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6992BB00-463A-4F5B-854E-4815B72A7B15}" xr6:coauthVersionLast="47" xr6:coauthVersionMax="47" xr10:uidLastSave="{00000000-0000-0000-0000-000000000000}"/>
  <bookViews>
    <workbookView xWindow="-36945" yWindow="-2385" windowWidth="33450" windowHeight="19065"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O15" i="9" l="1" a="1"/>
  <c r="O15" i="9" s="1"/>
  <c r="F15" i="9" a="1"/>
  <c r="F15" i="9" s="1"/>
  <c r="S15" i="7"/>
  <c r="T15" i="7"/>
  <c r="R15" i="7"/>
  <c r="AO15" i="5" l="1"/>
  <c r="AL15" i="5" l="1"/>
  <c r="J4" i="9" l="1"/>
  <c r="I4" i="9"/>
  <c r="G4" i="12"/>
  <c r="I4" i="12" s="1"/>
  <c r="H4" i="12"/>
  <c r="J4" i="12"/>
  <c r="K4" i="12"/>
  <c r="F4" i="5"/>
  <c r="N15" i="7" l="1"/>
  <c r="O15" i="7"/>
  <c r="P15" i="7"/>
  <c r="M15" i="7"/>
  <c r="Q15" i="7" s="1"/>
  <c r="G15" i="7"/>
  <c r="H15" i="7"/>
  <c r="I15" i="7"/>
  <c r="J15" i="7"/>
  <c r="K15" i="7"/>
  <c r="L15" i="7"/>
  <c r="F15" i="7"/>
  <c r="AH15" i="5" l="1"/>
  <c r="AG15" i="5"/>
  <c r="AF15" i="5"/>
  <c r="AC15" i="5"/>
  <c r="AA15" i="5"/>
  <c r="Z15" i="5"/>
  <c r="W15" i="5"/>
  <c r="U15" i="5"/>
  <c r="S15" i="5"/>
  <c r="R15" i="5"/>
  <c r="Q15" i="5"/>
  <c r="S15" i="12" l="1"/>
  <c r="G15" i="16"/>
  <c r="AE15" i="5" l="1"/>
  <c r="X15" i="5"/>
  <c r="AJ15" i="5" s="1"/>
  <c r="T15" i="5"/>
  <c r="N15" i="12" l="1"/>
  <c r="AU15" i="46" l="1" a="1"/>
  <c r="AU15" i="46" s="1"/>
  <c r="AT15" i="46" a="1"/>
  <c r="AT15" i="46" s="1"/>
  <c r="AN15" i="46" a="1"/>
  <c r="AN15" i="46" s="1"/>
  <c r="AM15" i="46" a="1"/>
  <c r="AM15" i="46" s="1"/>
  <c r="M15" i="5"/>
  <c r="AM15" i="5" l="1"/>
  <c r="AN15" i="5" s="1"/>
  <c r="AT15" i="5" l="1"/>
  <c r="AV15" i="5" s="1"/>
  <c r="BF15" i="5" s="1"/>
  <c r="AS15" i="5"/>
  <c r="I15" i="12"/>
  <c r="Q4" i="7" l="1"/>
  <c r="K15" i="12" l="1"/>
  <c r="W15" i="9" l="1"/>
  <c r="H15" i="9"/>
  <c r="F4" i="7"/>
  <c r="G4" i="7"/>
  <c r="H4" i="7"/>
  <c r="I4" i="7"/>
  <c r="J4" i="7"/>
  <c r="K4" i="7"/>
  <c r="L4" i="7"/>
  <c r="O4" i="9"/>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4" i="5" l="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M4" i="12" s="1"/>
  <c r="AZ4" i="5"/>
  <c r="BB4" i="5" s="1"/>
  <c r="BD15" i="5"/>
  <c r="BD4" i="5" s="1"/>
  <c r="BC4" i="5" l="1"/>
  <c r="L4" i="12"/>
  <c r="G4" i="16" l="1"/>
  <c r="O15" i="12"/>
  <c r="T4" i="7"/>
  <c r="O4" i="7"/>
  <c r="P4" i="7"/>
  <c r="S4" i="7"/>
  <c r="O4" i="12" l="1"/>
  <c r="P15" i="12"/>
  <c r="P4" i="12" s="1"/>
  <c r="N4" i="7"/>
  <c r="R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<sst xmlns="http://schemas.openxmlformats.org/spreadsheetml/2006/main" count="2278" uniqueCount="674">
  <si>
    <t>TX_CURR</t>
  </si>
  <si>
    <t>TX_NEW</t>
  </si>
  <si>
    <t>Roll-up</t>
  </si>
  <si>
    <t>PSNU</t>
  </si>
  <si>
    <t>Sex</t>
  </si>
  <si>
    <t>CXCA</t>
  </si>
  <si>
    <t>VMMC</t>
  </si>
  <si>
    <t>HTS</t>
  </si>
  <si>
    <t>OVC</t>
  </si>
  <si>
    <t>PrEP</t>
  </si>
  <si>
    <t>GEND</t>
  </si>
  <si>
    <t>CXCA_SCRN</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</si>
  <si>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</si>
  <si>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</si>
  <si>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</si>
  <si>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</si>
  <si>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</si>
  <si>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</si>
  <si>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</si>
  <si>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</si>
  <si>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</si>
  <si>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</si>
  <si>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</si>
  <si>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</si>
  <si>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</si>
  <si>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</si>
  <si>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</si>
  <si>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</si>
  <si>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</si>
  <si>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</si>
  <si>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</si>
  <si>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</si>
  <si>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</si>
  <si>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</si>
  <si>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</si>
  <si>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</si>
  <si>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</si>
  <si>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</si>
  <si>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</si>
  <si>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</si>
  <si>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</si>
  <si>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</si>
  <si>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</si>
  <si>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</si>
  <si>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</si>
  <si>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</si>
  <si>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</si>
  <si>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</si>
  <si>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</si>
  <si>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</si>
  <si>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</si>
  <si>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</si>
  <si>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</si>
  <si>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</si>
  <si>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</si>
  <si>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</si>
  <si>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</si>
  <si>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</si>
  <si>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</si>
  <si>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</si>
  <si>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</si>
  <si>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</si>
  <si>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</si>
  <si>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</si>
  <si>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</si>
  <si>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</si>
  <si>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</si>
  <si>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</si>
  <si>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</si>
  <si>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</si>
  <si>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</si>
  <si>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</si>
  <si>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</si>
  <si>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</si>
  <si>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</si>
  <si>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</si>
  <si>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</si>
  <si>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</si>
  <si>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</si>
  <si>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</si>
  <si>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</si>
  <si>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</si>
  <si>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</si>
  <si>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</si>
  <si>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</si>
  <si>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</si>
  <si>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</si>
  <si>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</si>
  <si>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</si>
  <si>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</si>
  <si>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</si>
  <si>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</si>
  <si>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</si>
  <si>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</si>
  <si>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</si>
  <si>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</si>
  <si>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</si>
  <si>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</si>
  <si>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</si>
  <si>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</si>
  <si>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</si>
  <si>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</si>
  <si>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</si>
  <si>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</si>
  <si>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</si>
  <si>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</si>
  <si>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</si>
  <si>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</si>
  <si>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</si>
  <si>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</si>
  <si>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</si>
  <si>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</si>
  <si>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</si>
  <si>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</si>
  <si>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</si>
  <si>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</si>
  <si>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</si>
  <si>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</si>
  <si>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</si>
  <si>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</si>
  <si>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</si>
  <si>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</si>
  <si>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</si>
  <si>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</si>
  <si>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</si>
  <si>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</si>
  <si>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</si>
  <si>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</si>
  <si>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</si>
  <si>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</si>
  <si>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</si>
  <si>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</si>
  <si>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</si>
  <si>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</si>
  <si>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</si>
  <si>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</si>
  <si>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</si>
  <si>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</si>
  <si>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</si>
  <si>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</si>
  <si>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</si>
  <si>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</si>
  <si>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</si>
  <si>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</si>
  <si>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</si>
  <si>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</si>
  <si>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</si>
  <si>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</si>
  <si>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</si>
  <si>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</si>
  <si>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</si>
  <si>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</si>
  <si>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</si>
  <si>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</si>
  <si>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</si>
  <si>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</si>
  <si>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</si>
  <si>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</si>
  <si>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</si>
  <si>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</si>
  <si>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</si>
  <si>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</si>
  <si>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</si>
  <si>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</si>
  <si>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</si>
  <si>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</si>
  <si>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</si>
  <si>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</si>
  <si>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</si>
  <si>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</si>
  <si>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</si>
  <si>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</si>
  <si>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</si>
  <si>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</si>
  <si>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</si>
  <si>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</si>
  <si>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</si>
  <si>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</si>
  <si>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</si>
  <si>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</si>
  <si>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</si>
  <si>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</si>
  <si>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</si>
  <si>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</si>
  <si>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</si>
  <si>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</si>
  <si>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</si>
  <si>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</si>
  <si>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</si>
  <si>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</si>
  <si>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</si>
  <si>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</si>
  <si>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</si>
  <si>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</si>
  <si>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</si>
  <si>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</si>
  <si>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</si>
  <si>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</si>
  <si>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</si>
  <si>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</si>
  <si>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</si>
  <si>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</si>
  <si>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</si>
  <si>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</si>
  <si>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</si>
  <si>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</si>
  <si>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</si>
  <si>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</si>
  <si>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</si>
  <si>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</si>
  <si>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</si>
  <si>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</si>
  <si>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</si>
  <si>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</si>
  <si>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</si>
  <si>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</si>
  <si>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</si>
  <si>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</si>
  <si>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</si>
  <si>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</si>
  <si>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</si>
  <si>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</si>
  <si>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</si>
  <si>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</si>
  <si>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</si>
  <si>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</si>
  <si>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</si>
  <si>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</si>
  <si>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</si>
  <si>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</si>
  <si>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</si>
  <si>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</si>
  <si>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</si>
  <si>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</si>
  <si>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</si>
  <si>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</si>
  <si>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</si>
  <si>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</si>
  <si>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</si>
  <si>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</si>
  <si>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</si>
  <si>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</si>
  <si>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</si>
  <si>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</si>
  <si>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</si>
  <si>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</si>
  <si>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</si>
  <si>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</si>
  <si>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</si>
  <si>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</si>
  <si>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</si>
  <si>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</si>
  <si>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</si>
  <si>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</si>
  <si>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</si>
  <si>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</si>
  <si>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</si>
  <si>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</si>
  <si>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</si>
  <si>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</si>
  <si>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</si>
  <si>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</si>
  <si>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</si>
  <si>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</si>
  <si>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</si>
  <si>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</si>
  <si>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</si>
  <si>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</si>
  <si>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</si>
  <si>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</si>
  <si>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</si>
  <si>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</si>
  <si>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</si>
  <si>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</si>
  <si>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</si>
  <si>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</si>
  <si>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</si>
  <si>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</si>
  <si>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</si>
  <si>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</si>
  <si>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</si>
  <si>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</si>
  <si>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</si>
  <si>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</si>
  <si>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</si>
  <si>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</si>
  <si>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</si>
  <si>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</si>
  <si>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</si>
  <si>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</si>
  <si>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</si>
  <si>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</si>
  <si>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</si>
  <si>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</si>
  <si>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</si>
  <si>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</si>
  <si>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</si>
  <si>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</si>
  <si>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</si>
  <si>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</si>
  <si>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</si>
  <si>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</si>
  <si>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</si>
  <si>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</si>
  <si>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</si>
  <si>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</si>
  <si>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</si>
  <si>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</si>
  <si>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</si>
  <si>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</si>
  <si>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</si>
  <si>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</si>
  <si>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</si>
  <si>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</si>
  <si>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</si>
  <si>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</si>
  <si>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</si>
  <si>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</si>
  <si>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</si>
  <si>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</si>
  <si>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</si>
  <si>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</si>
  <si>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</si>
  <si>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</si>
  <si>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</si>
  <si>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</si>
  <si>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</si>
  <si>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</si>
  <si>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</si>
  <si>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</si>
  <si>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</si>
  <si>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</si>
  <si>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</si>
  <si>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</si>
  <si>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</si>
  <si>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</si>
  <si>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</si>
  <si>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</si>
  <si>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</si>
  <si>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</si>
  <si>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</si>
  <si>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</si>
  <si>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</si>
  <si>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</si>
  <si>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</si>
  <si>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</si>
  <si>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</si>
  <si>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</si>
  <si>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</si>
  <si>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</si>
  <si>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</si>
  <si>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</si>
  <si>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</si>
  <si>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</si>
  <si>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</si>
  <si>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</si>
  <si>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</si>
  <si>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</si>
  <si>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</si>
  <si>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</si>
  <si>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</si>
  <si>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</si>
  <si>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</si>
  <si>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</si>
  <si>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</si>
  <si>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</si>
  <si>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</si>
  <si>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</si>
  <si>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</si>
  <si>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</si>
  <si>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</si>
  <si>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</si>
  <si>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</si>
  <si>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</si>
  <si>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</si>
  <si>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</si>
  <si>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</si>
  <si>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</si>
  <si>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</si>
  <si>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</si>
  <si>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</si>
  <si>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</si>
  <si>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</si>
  <si>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</si>
  <si>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</si>
  <si>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</si>
  <si>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</si>
  <si>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</si>
  <si>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</si>
  <si>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</si>
  <si>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</si>
  <si>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</si>
  <si>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</si>
  <si>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</si>
  <si>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</si>
  <si>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</si>
  <si>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</si>
  <si>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</si>
  <si>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</si>
  <si>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</si>
  <si>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</si>
  <si>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</si>
  <si>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</si>
  <si>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</si>
  <si>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</si>
  <si>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</si>
  <si>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</si>
  <si>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</si>
  <si>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</si>
  <si>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</si>
  <si>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</si>
  <si>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</si>
  <si>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</si>
  <si>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</si>
  <si>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</si>
  <si>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</si>
  <si>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</si>
  <si>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</si>
  <si>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</si>
  <si>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</si>
  <si>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</si>
  <si>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</si>
  <si>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</si>
  <si>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</si>
  <si>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</si>
  <si>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</si>
  <si>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</si>
  <si>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</si>
  <si>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</si>
  <si>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</si>
  <si>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</si>
  <si>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</si>
  <si>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</si>
  <si>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</si>
  <si>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</si>
  <si>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</si>
  <si>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</si>
  <si>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</si>
  <si>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</si>
  <si>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</si>
  <si>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</si>
  <si>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</si>
  <si>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</si>
  <si>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</si>
  <si>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</si>
  <si>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</si>
  <si>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</si>
  <si>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</si>
  <si>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</si>
  <si>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</si>
  <si>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</si>
  <si>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</si>
  <si>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</si>
  <si>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</si>
  <si>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</si>
  <si>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</si>
  <si>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</si>
  <si>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</si>
  <si>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</si>
  <si>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</si>
  <si>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</si>
  <si>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</si>
  <si>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</si>
  <si>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</si>
  <si>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</si>
  <si>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</si>
  <si>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</si>
  <si>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</si>
  <si>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</si>
  <si>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</si>
  <si>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</si>
  <si>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</si>
  <si>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</si>
  <si>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</si>
  <si>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</si>
  <si>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</si>
  <si>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</si>
  <si>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</si>
  <si>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</si>
  <si>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</si>
  <si>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</si>
  <si>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</si>
  <si>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</si>
  <si>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</si>
  <si>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</si>
  <si>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</si>
  <si>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</si>
  <si>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</si>
  <si>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</si>
  <si>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</si>
  <si>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</si>
  <si>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</si>
  <si>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</si>
  <si>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</si>
  <si>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</si>
  <si>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</si>
  <si>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</si>
  <si>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</si>
  <si>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</si>
  <si>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</si>
  <si>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</si>
  <si>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</si>
  <si>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</si>
  <si>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</si>
  <si>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</si>
  <si>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</si>
  <si>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</si>
  <si>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</si>
  <si>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</si>
  <si>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</si>
  <si>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</si>
  <si>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</si>
  <si>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</si>
  <si>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</si>
  <si>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</si>
  <si>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</si>
  <si>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</si>
  <si>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</si>
  <si>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</si>
  <si>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</si>
  <si>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</si>
  <si>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</si>
  <si>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</si>
  <si>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</si>
  <si>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</si>
  <si>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</si>
  <si>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</si>
  <si>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</si>
  <si>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</si>
  <si>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</si>
  <si>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</si>
  <si>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</si>
  <si>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</si>
  <si>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</si>
  <si>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</si>
  <si>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</si>
  <si>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</si>
  <si>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</si>
  <si>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</si>
  <si>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</si>
  <si>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</si>
  <si>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</si>
  <si>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</si>
  <si>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</si>
  <si>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</si>
  <si>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</si>
  <si>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</si>
  <si>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</si>
  <si>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</si>
  <si>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</si>
  <si>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</si>
  <si>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</si>
  <si>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</si>
  <si>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</si>
  <si>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</si>
  <si>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</si>
  <si>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</si>
  <si>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</si>
  <si>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</si>
  <si>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</si>
  <si>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</si>
  <si>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</si>
  <si>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</si>
  <si>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</si>
  <si>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</si>
  <si>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</si>
  <si>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</si>
  <si>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</si>
  <si>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</si>
  <si>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</si>
  <si>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</si>
  <si>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</si>
  <si>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</si>
  <si>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</si>
  <si>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</si>
  <si>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</si>
  <si>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</si>
  <si>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</si>
  <si>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</si>
  <si>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</si>
  <si>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</si>
  <si>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</si>
  <si>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</si>
  <si>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</si>
  <si>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</si>
  <si>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</si>
  <si>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</si>
  <si>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</si>
  <si>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</si>
  <si>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</si>
  <si>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</si>
  <si>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</si>
  <si>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</si>
  <si>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</si>
  <si>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</si>
  <si>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</si>
  <si>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</si>
  <si>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</si>
  <si>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</si>
  <si>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</si>
  <si>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</si>
  <si>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</si>
  <si>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</si>
  <si>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</si>
  <si>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</si>
  <si>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</si>
  <si>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</si>
  <si>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</si>
  <si>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</si>
  <si>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</si>
  <si>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</si>
  <si>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</si>
  <si>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</si>
  <si>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</si>
  <si>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</si>
  <si>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</si>
  <si>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</si>
  <si>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</si>
  <si>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</si>
  <si>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</si>
  <si>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</si>
  <si>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</si>
  <si>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</si>
  <si>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</si>
  <si>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</si>
  <si>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</si>
  <si>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</si>
  <si>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</si>
  <si>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</si>
  <si>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</si>
  <si>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</si>
  <si>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</si>
  <si>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</si>
  <si>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</si>
  <si>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</si>
  <si>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</si>
  <si>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</si>
  <si>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</si>
  <si>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</si>
  <si>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</si>
  <si>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</si>
  <si>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</si>
  <si>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</si>
  <si>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</si>
  <si>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</si>
  <si>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</si>
  <si>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</si>
  <si>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</si>
  <si>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</si>
  <si>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</si>
  <si>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</si>
  <si>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</si>
  <si>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</si>
  <si>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</si>
  <si>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</si>
  <si>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</si>
  <si>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</si>
  <si>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</si>
  <si>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</si>
  <si>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</si>
  <si>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</si>
  <si>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</si>
  <si>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</si>
  <si>
    <t xml:space="preserve">Note that this tab does not allow targeting for infants less than 1 year old to emphasize the role of EID testing in target setting.
IF teams need to add additional HTS_POS targets to account for expected positives that will likely be found via PMTCT on top of the modeled HTS_POS needed from the cascade tab, enter those additional HTS_POS needed in column K. </t>
  </si>
  <si>
    <t>Total PEPFAR VMMC_CIRC
(FY26)</t>
  </si>
  <si>
    <t>P.C. HIV+ Pregnant Women Already on ART
(FY26)</t>
  </si>
  <si>
    <t>Denominator - Started or Completed any DREAMS Service
(FY26)</t>
  </si>
  <si>
    <t>Already on ART
(FY26)</t>
  </si>
  <si>
    <t>Negative
HTS_TST_NEG
(FY26)</t>
  </si>
  <si>
    <t>PLHIV to Identify
(FY26)</t>
  </si>
  <si>
    <t>(OPTIONAL) HTS_TST_POS for PMTCT, and TB
(FY26)</t>
  </si>
  <si>
    <t>FY24 Results: 
HTS_TST_POS from PMTCT, and TB</t>
  </si>
  <si>
    <t>PEPFAR VMMC_CIRC</t>
  </si>
  <si>
    <t>DREAMS SNU?
(Y or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</si>
</sst>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font>
      <sz val="12"/>
      <color theme="1"/>
      <name val="Calibri"/>
      <family val="2"/>
      <scheme val="minor"/>
    </font>
    <font>
      <sz val="11"/>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2" fillId="0" borderId="0" applyFont="0" applyFill="0" applyBorder="0" applyAlignment="0" applyProtection="0"/>
    <xf numFmtId="0" fontId="4" fillId="0" borderId="0"/>
    <xf numFmtId="9" fontId="4" fillId="0" borderId="0" applyFont="0" applyFill="0" applyBorder="0" applyAlignment="0" applyProtection="0"/>
    <xf numFmtId="43" fontId="2" fillId="0" borderId="0" applyFont="0" applyFill="0" applyBorder="0" applyAlignment="0" applyProtection="0"/>
    <xf numFmtId="0" fontId="16" fillId="0" borderId="0" applyNumberFormat="0" applyFill="0" applyBorder="0" applyAlignment="0" applyProtection="0"/>
    <xf numFmtId="0" fontId="27" fillId="5" borderId="0" applyNumberFormat="0" applyBorder="0" applyAlignment="0" applyProtection="0"/>
  </cellStyleXfs>
  <cellXfs count="385">
    <xf numFmtId="0" fontId="0" fillId="0" borderId="0" xfId="0"/>
    <xf numFmtId="49" fontId="3" fillId="0" borderId="0" xfId="0" applyNumberFormat="1" applyFont="1" applyAlignment="1">
      <alignment vertical="center"/>
    </xf>
    <xf numFmtId="49" fontId="8" fillId="0" borderId="0" xfId="0" applyNumberFormat="1" applyFont="1"/>
    <xf numFmtId="9" fontId="8" fillId="0" borderId="0" xfId="1" applyFont="1"/>
    <xf numFmtId="49" fontId="5"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4" borderId="1" xfId="0" applyFont="1" applyFill="1" applyBorder="1" applyAlignment="1">
      <alignment horizontal="center"/>
    </xf>
    <xf numFmtId="9" fontId="0" fillId="0" borderId="0" xfId="1" applyFont="1"/>
    <xf numFmtId="0" fontId="3"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3"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49" fontId="22" fillId="0" borderId="0" xfId="0" applyNumberFormat="1" applyFont="1"/>
    <xf numFmtId="0" fontId="23" fillId="0" borderId="0" xfId="0" applyFont="1"/>
    <xf numFmtId="0" fontId="15" fillId="0" borderId="0" xfId="0" applyFont="1"/>
    <xf numFmtId="0" fontId="0" fillId="0" borderId="0" xfId="0" applyAlignment="1">
      <alignment horizontal="left"/>
    </xf>
    <xf numFmtId="0" fontId="3" fillId="0" borderId="0" xfId="0" applyFont="1"/>
    <xf numFmtId="0" fontId="2" fillId="0" borderId="0" xfId="0" applyFont="1"/>
    <xf numFmtId="49" fontId="14" fillId="0" borderId="0" xfId="0" applyNumberFormat="1" applyFont="1" applyAlignment="1">
      <alignment horizontal="center" vertical="center" wrapText="1"/>
    </xf>
    <xf numFmtId="49" fontId="2" fillId="0" borderId="0" xfId="0" applyNumberFormat="1" applyFont="1" applyAlignment="1">
      <alignment horizontal="right"/>
    </xf>
    <xf numFmtId="49" fontId="2" fillId="0" borderId="0" xfId="0" applyNumberFormat="1" applyFont="1"/>
    <xf numFmtId="3" fontId="14" fillId="3" borderId="0" xfId="0"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0" fillId="0" borderId="0" xfId="0" applyNumberFormat="1"/>
    <xf numFmtId="0" fontId="8" fillId="0" borderId="0" xfId="1" applyNumberFormat="1" applyFont="1"/>
    <xf numFmtId="0" fontId="2" fillId="3" borderId="0" xfId="1" applyNumberFormat="1" applyFont="1" applyFill="1" applyAlignment="1">
      <alignment horizontal="center" vertical="center" wrapText="1"/>
    </xf>
    <xf numFmtId="9" fontId="0" fillId="0" borderId="2" xfId="1" applyFont="1" applyBorder="1" applyAlignment="1">
      <alignment horizontal="right"/>
    </xf>
    <xf numFmtId="9" fontId="0" fillId="0" borderId="2" xfId="1" applyFont="1" applyBorder="1"/>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9" fontId="2" fillId="0" borderId="0" xfId="1" applyFont="1" applyAlignment="1">
      <alignment horizontal="right"/>
    </xf>
    <xf numFmtId="9" fontId="2" fillId="0" borderId="0" xfId="1" applyFont="1"/>
    <xf numFmtId="9" fontId="8" fillId="0" borderId="2" xfId="1" applyFont="1" applyBorder="1"/>
    <xf numFmtId="9" fontId="8" fillId="0" borderId="0" xfId="1" applyFont="1" applyBorder="1"/>
    <xf numFmtId="9" fontId="0" fillId="0" borderId="0" xfId="1" applyFont="1" applyBorder="1" applyAlignment="1">
      <alignment horizontal="right"/>
    </xf>
    <xf numFmtId="9" fontId="0" fillId="0" borderId="0" xfId="1" applyFont="1" applyBorder="1"/>
    <xf numFmtId="9" fontId="2" fillId="0" borderId="0" xfId="1" applyFont="1" applyBorder="1"/>
    <xf numFmtId="9" fontId="0" fillId="0" borderId="0" xfId="1" applyFont="1" applyFill="1"/>
    <xf numFmtId="9" fontId="2" fillId="3" borderId="0" xfId="1" applyFont="1" applyFill="1" applyAlignment="1">
      <alignment horizontal="center" vertical="center" wrapText="1"/>
    </xf>
    <xf numFmtId="0" fontId="0" fillId="3" borderId="2" xfId="1" applyNumberFormat="1" applyFont="1" applyFill="1" applyBorder="1" applyAlignment="1">
      <alignment horizontal="center" vertical="center" wrapText="1"/>
    </xf>
    <xf numFmtId="9" fontId="22" fillId="0" borderId="0" xfId="1" applyFont="1" applyAlignment="1">
      <alignment horizontal="right"/>
    </xf>
    <xf numFmtId="9" fontId="14" fillId="0" borderId="0" xfId="1" applyFont="1"/>
    <xf numFmtId="9" fontId="0" fillId="3" borderId="0" xfId="1" applyFont="1" applyFill="1" applyAlignment="1">
      <alignment horizontal="center" vertical="center" wrapText="1"/>
    </xf>
    <xf numFmtId="9" fontId="2" fillId="0" borderId="2" xfId="1" applyFont="1" applyBorder="1"/>
    <xf numFmtId="9" fontId="2" fillId="0" borderId="2" xfId="1" applyFont="1" applyBorder="1" applyAlignment="1">
      <alignment horizontal="right"/>
    </xf>
    <xf numFmtId="9" fontId="2"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9" fontId="31" fillId="6" borderId="0" xfId="1" applyFont="1" applyFill="1" applyAlignment="1">
      <alignment vertical="center"/>
    </xf>
    <xf numFmtId="9" fontId="32" fillId="6" borderId="0" xfId="1" applyFont="1" applyFill="1" applyAlignment="1">
      <alignment vertical="center"/>
    </xf>
    <xf numFmtId="9" fontId="31" fillId="6" borderId="0" xfId="1" applyFont="1" applyFill="1" applyBorder="1" applyAlignment="1">
      <alignment vertical="center"/>
    </xf>
    <xf numFmtId="49" fontId="20" fillId="3" borderId="0" xfId="0" applyNumberFormat="1" applyFont="1" applyFill="1" applyAlignment="1">
      <alignment horizontal="left"/>
    </xf>
    <xf numFmtId="49" fontId="20" fillId="3" borderId="0" xfId="0" applyNumberFormat="1" applyFont="1" applyFill="1"/>
    <xf numFmtId="9" fontId="33" fillId="3" borderId="0" xfId="1" applyFont="1" applyFill="1"/>
    <xf numFmtId="9" fontId="33" fillId="3" borderId="0" xfId="1" applyFont="1" applyFill="1" applyBorder="1"/>
    <xf numFmtId="9" fontId="2" fillId="7" borderId="0" xfId="1" applyFont="1" applyFill="1" applyAlignment="1">
      <alignment horizontal="center" vertical="center" wrapText="1"/>
    </xf>
    <xf numFmtId="0" fontId="31" fillId="6" borderId="2" xfId="1" applyNumberFormat="1" applyFont="1" applyFill="1" applyBorder="1" applyAlignment="1">
      <alignment horizontal="left" vertical="center"/>
    </xf>
    <xf numFmtId="0" fontId="31" fillId="6" borderId="0" xfId="1" applyNumberFormat="1" applyFont="1" applyFill="1" applyAlignment="1">
      <alignment horizontal="left" vertical="center"/>
    </xf>
    <xf numFmtId="0" fontId="32" fillId="6" borderId="0" xfId="1" applyNumberFormat="1" applyFont="1" applyFill="1" applyAlignment="1">
      <alignment vertical="center"/>
    </xf>
    <xf numFmtId="0" fontId="14" fillId="7" borderId="0" xfId="1" applyNumberFormat="1" applyFont="1" applyFill="1" applyAlignment="1">
      <alignment horizontal="center" vertical="center" wrapText="1"/>
    </xf>
    <xf numFmtId="49" fontId="14" fillId="3" borderId="0" xfId="0" applyNumberFormat="1" applyFont="1" applyFill="1"/>
    <xf numFmtId="0" fontId="34" fillId="3" borderId="2" xfId="1" applyNumberFormat="1" applyFont="1" applyFill="1" applyBorder="1" applyAlignment="1">
      <alignment horizontal="left"/>
    </xf>
    <xf numFmtId="0" fontId="34" fillId="3" borderId="0" xfId="1" applyNumberFormat="1" applyFont="1" applyFill="1" applyAlignment="1">
      <alignment horizontal="left"/>
    </xf>
    <xf numFmtId="0" fontId="33" fillId="3" borderId="0" xfId="1" applyNumberFormat="1" applyFont="1" applyFill="1"/>
    <xf numFmtId="9" fontId="31" fillId="6" borderId="2" xfId="1" applyFont="1" applyFill="1" applyBorder="1" applyAlignment="1">
      <alignment vertical="center"/>
    </xf>
    <xf numFmtId="3" fontId="34" fillId="3" borderId="0" xfId="1" applyNumberFormat="1" applyFont="1" applyFill="1"/>
    <xf numFmtId="9" fontId="33"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1" fillId="6" borderId="0" xfId="1" applyFont="1" applyFill="1" applyAlignment="1">
      <alignment horizontal="left" vertical="center"/>
    </xf>
    <xf numFmtId="0" fontId="35" fillId="0" borderId="0" xfId="0" applyFont="1"/>
    <xf numFmtId="9" fontId="2" fillId="7" borderId="2" xfId="1" applyFont="1" applyFill="1" applyBorder="1" applyAlignment="1">
      <alignment horizontal="center" vertical="center" wrapText="1"/>
    </xf>
    <xf numFmtId="0" fontId="37" fillId="6" borderId="0" xfId="0" applyFont="1" applyFill="1"/>
    <xf numFmtId="0" fontId="38" fillId="6" borderId="0" xfId="0" applyFont="1" applyFill="1" applyAlignment="1">
      <alignment horizontal="center"/>
    </xf>
    <xf numFmtId="0" fontId="37" fillId="6" borderId="0" xfId="0" applyFont="1" applyFill="1" applyAlignment="1">
      <alignment vertical="top" wrapText="1"/>
    </xf>
    <xf numFmtId="0" fontId="36" fillId="6" borderId="0" xfId="0" quotePrefix="1" applyFont="1" applyFill="1"/>
    <xf numFmtId="3" fontId="7" fillId="0" borderId="0" xfId="0" applyNumberFormat="1" applyFont="1" applyAlignment="1">
      <alignment horizontal="center"/>
    </xf>
    <xf numFmtId="0" fontId="7" fillId="0" borderId="0" xfId="1" applyNumberFormat="1" applyFont="1" applyAlignment="1">
      <alignment horizontal="center"/>
    </xf>
    <xf numFmtId="3" fontId="14" fillId="8" borderId="0" xfId="0" applyNumberFormat="1" applyFont="1" applyFill="1"/>
    <xf numFmtId="0" fontId="0" fillId="8" borderId="2" xfId="0" applyFill="1" applyBorder="1" applyAlignment="1">
      <alignment horizontal="left"/>
    </xf>
    <xf numFmtId="0" fontId="14" fillId="8" borderId="0" xfId="0" applyFont="1" applyFill="1" applyAlignment="1">
      <alignment horizontal="left"/>
    </xf>
    <xf numFmtId="0" fontId="3"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4" fillId="3" borderId="0" xfId="0" applyFont="1" applyFill="1"/>
    <xf numFmtId="0" fontId="5" fillId="0" borderId="0" xfId="0" applyFont="1" applyAlignment="1">
      <alignment vertical="center"/>
    </xf>
    <xf numFmtId="0" fontId="20" fillId="3" borderId="0" xfId="0" applyFont="1" applyFill="1"/>
    <xf numFmtId="0" fontId="22" fillId="0" borderId="0" xfId="0" applyFont="1"/>
    <xf numFmtId="0" fontId="20" fillId="3" borderId="0" xfId="0" applyFont="1" applyFill="1" applyAlignment="1">
      <alignment horizontal="left"/>
    </xf>
    <xf numFmtId="0" fontId="2" fillId="0" borderId="0" xfId="0" applyFont="1" applyAlignment="1">
      <alignment horizontal="right"/>
    </xf>
    <xf numFmtId="9" fontId="32" fillId="6" borderId="0" xfId="1" applyFont="1" applyFill="1" applyBorder="1" applyAlignment="1">
      <alignment vertical="center"/>
    </xf>
    <xf numFmtId="9" fontId="2" fillId="7" borderId="0" xfId="1" applyFont="1" applyFill="1" applyBorder="1" applyAlignment="1">
      <alignment horizontal="center" vertical="center" wrapText="1"/>
    </xf>
    <xf numFmtId="9" fontId="22" fillId="0" borderId="0" xfId="1" applyFont="1" applyBorder="1" applyAlignment="1">
      <alignment horizontal="right"/>
    </xf>
    <xf numFmtId="9" fontId="22" fillId="0" borderId="0" xfId="1" applyFont="1" applyBorder="1"/>
    <xf numFmtId="9" fontId="22" fillId="0" borderId="0" xfId="1" applyFont="1"/>
    <xf numFmtId="9" fontId="22" fillId="0" borderId="2" xfId="1" applyFont="1" applyBorder="1" applyAlignment="1">
      <alignment horizontal="right"/>
    </xf>
    <xf numFmtId="9" fontId="22" fillId="0" borderId="2" xfId="1" applyFont="1" applyBorder="1"/>
    <xf numFmtId="9" fontId="2" fillId="3" borderId="0" xfId="1" applyFont="1" applyFill="1" applyBorder="1" applyAlignment="1">
      <alignment horizontal="center" vertical="center" wrapText="1"/>
    </xf>
    <xf numFmtId="9" fontId="6" fillId="0" borderId="0" xfId="1" applyFont="1" applyBorder="1"/>
    <xf numFmtId="9" fontId="33" fillId="3" borderId="0" xfId="1" applyFont="1" applyFill="1" applyBorder="1" applyAlignment="1">
      <alignment horizontal="left"/>
    </xf>
    <xf numFmtId="9" fontId="6" fillId="0" borderId="2" xfId="1" applyFont="1" applyBorder="1"/>
    <xf numFmtId="9" fontId="33" fillId="3" borderId="2" xfId="1" applyFont="1" applyFill="1" applyBorder="1" applyAlignment="1">
      <alignment horizontal="left"/>
    </xf>
    <xf numFmtId="0" fontId="31" fillId="6" borderId="0" xfId="0" applyFont="1" applyFill="1" applyAlignment="1">
      <alignment horizontal="left" vertical="center"/>
    </xf>
    <xf numFmtId="0" fontId="8" fillId="0" borderId="0" xfId="0" applyFont="1" applyAlignment="1">
      <alignment horizontal="left"/>
    </xf>
    <xf numFmtId="0" fontId="0" fillId="3" borderId="0" xfId="0" applyFill="1" applyAlignment="1">
      <alignment horizontal="center" vertical="center" wrapText="1"/>
    </xf>
    <xf numFmtId="0" fontId="33" fillId="3" borderId="0" xfId="1" applyNumberFormat="1" applyFont="1" applyFill="1" applyAlignment="1">
      <alignment horizontal="center"/>
    </xf>
    <xf numFmtId="1" fontId="8" fillId="0" borderId="0" xfId="1" applyNumberFormat="1" applyFont="1"/>
    <xf numFmtId="1" fontId="33" fillId="3" borderId="0" xfId="1" applyNumberFormat="1" applyFont="1" applyFill="1"/>
    <xf numFmtId="1" fontId="0" fillId="0" borderId="0" xfId="0" applyNumberFormat="1"/>
    <xf numFmtId="9" fontId="21" fillId="0" borderId="0" xfId="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Fill="1"/>
    <xf numFmtId="1" fontId="31" fillId="6" borderId="0" xfId="1" applyNumberFormat="1" applyFont="1" applyFill="1" applyBorder="1" applyAlignment="1">
      <alignment vertical="center"/>
    </xf>
    <xf numFmtId="1" fontId="8" fillId="0" borderId="0" xfId="1" applyNumberFormat="1" applyFont="1" applyBorder="1"/>
    <xf numFmtId="1" fontId="21"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3" fillId="3" borderId="0" xfId="1" applyNumberFormat="1" applyFont="1" applyFill="1" applyBorder="1"/>
    <xf numFmtId="1" fontId="31" fillId="6" borderId="0" xfId="1" applyNumberFormat="1" applyFont="1" applyFill="1" applyAlignment="1">
      <alignment vertical="center"/>
    </xf>
    <xf numFmtId="1" fontId="0" fillId="9" borderId="0" xfId="1" applyNumberFormat="1" applyFont="1" applyFill="1"/>
    <xf numFmtId="9" fontId="0" fillId="0" borderId="0" xfId="1" applyFont="1" applyFill="1" applyBorder="1"/>
    <xf numFmtId="1" fontId="0" fillId="0" borderId="0" xfId="0" applyNumberFormat="1" applyAlignment="1">
      <alignment horizontal="right"/>
    </xf>
    <xf numFmtId="1" fontId="21" fillId="7" borderId="0" xfId="5" applyNumberFormat="1" applyFont="1" applyFill="1" applyBorder="1" applyAlignment="1">
      <alignment horizontal="center" vertical="center" wrapText="1"/>
    </xf>
    <xf numFmtId="1" fontId="31" fillId="6" borderId="2" xfId="1" applyNumberFormat="1" applyFont="1" applyFill="1" applyBorder="1" applyAlignment="1">
      <alignment vertical="center"/>
    </xf>
    <xf numFmtId="1" fontId="7" fillId="0" borderId="2" xfId="1" applyNumberFormat="1" applyFont="1" applyBorder="1"/>
    <xf numFmtId="1" fontId="14" fillId="7" borderId="2" xfId="1" applyNumberFormat="1" applyFont="1" applyFill="1" applyBorder="1" applyAlignment="1">
      <alignment horizontal="center" vertical="center" wrapText="1"/>
    </xf>
    <xf numFmtId="1" fontId="14" fillId="0" borderId="2" xfId="1" applyNumberFormat="1" applyFont="1" applyBorder="1" applyAlignment="1">
      <alignment horizontal="right"/>
    </xf>
    <xf numFmtId="1" fontId="14" fillId="0" borderId="2" xfId="1" applyNumberFormat="1" applyFont="1" applyBorder="1"/>
    <xf numFmtId="1" fontId="34" fillId="3" borderId="2" xfId="1" applyNumberFormat="1" applyFont="1" applyFill="1" applyBorder="1"/>
    <xf numFmtId="1" fontId="0" fillId="0" borderId="2" xfId="1" applyNumberFormat="1" applyFont="1" applyBorder="1"/>
    <xf numFmtId="1" fontId="0" fillId="0" borderId="2" xfId="0" applyNumberFormat="1" applyBorder="1"/>
    <xf numFmtId="1" fontId="14" fillId="9" borderId="2" xfId="1" applyNumberFormat="1" applyFont="1" applyFill="1" applyBorder="1"/>
    <xf numFmtId="1" fontId="0" fillId="3" borderId="0" xfId="1" applyNumberFormat="1" applyFont="1" applyFill="1" applyBorder="1" applyAlignment="1">
      <alignment horizontal="center" vertical="center" wrapText="1"/>
    </xf>
    <xf numFmtId="1" fontId="14" fillId="0" borderId="0" xfId="0" applyNumberFormat="1" applyFont="1" applyBorder="1"/>
    <xf numFmtId="9" fontId="8" fillId="0" borderId="0" xfId="1" applyNumberFormat="1" applyFont="1" applyBorder="1"/>
    <xf numFmtId="9" fontId="33" fillId="3" borderId="0" xfId="1" applyNumberFormat="1" applyFont="1" applyFill="1" applyBorder="1"/>
    <xf numFmtId="9" fontId="0" fillId="8" borderId="0" xfId="1" applyFont="1" applyFill="1"/>
    <xf numFmtId="0" fontId="37" fillId="6" borderId="0" xfId="0" applyFont="1" applyFill="1" applyAlignment="1">
      <alignment horizontal="left" vertical="top" wrapText="1"/>
    </xf>
    <xf numFmtId="49" fontId="29"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31" fillId="6" borderId="2" xfId="4" applyNumberFormat="1" applyFont="1" applyFill="1" applyBorder="1" applyAlignment="1">
      <alignment vertical="center"/>
    </xf>
    <xf numFmtId="1" fontId="31" fillId="6" borderId="0" xfId="4" applyNumberFormat="1" applyFont="1" applyFill="1" applyAlignment="1">
      <alignment vertical="center"/>
    </xf>
    <xf numFmtId="1" fontId="32" fillId="6" borderId="0" xfId="4" applyNumberFormat="1" applyFont="1" applyFill="1" applyBorder="1" applyAlignment="1">
      <alignment vertical="center"/>
    </xf>
    <xf numFmtId="1" fontId="32" fillId="6" borderId="0" xfId="4" applyNumberFormat="1" applyFont="1" applyFill="1" applyAlignment="1">
      <alignment vertical="center"/>
    </xf>
    <xf numFmtId="1" fontId="31" fillId="6" borderId="0" xfId="4" applyNumberFormat="1" applyFont="1" applyFill="1" applyBorder="1" applyAlignment="1">
      <alignment vertical="center"/>
    </xf>
    <xf numFmtId="1" fontId="31" fillId="6" borderId="0" xfId="0" applyNumberFormat="1" applyFont="1" applyFill="1" applyAlignment="1">
      <alignment vertical="center"/>
    </xf>
    <xf numFmtId="1" fontId="8" fillId="0" borderId="2" xfId="1" applyNumberFormat="1" applyFont="1" applyBorder="1"/>
    <xf numFmtId="1" fontId="8" fillId="0" borderId="2" xfId="4" applyNumberFormat="1" applyFont="1" applyBorder="1"/>
    <xf numFmtId="1" fontId="6" fillId="0" borderId="0" xfId="4" applyNumberFormat="1" applyFont="1"/>
    <xf numFmtId="1" fontId="8" fillId="0" borderId="0" xfId="4" applyNumberFormat="1" applyFont="1" applyBorder="1"/>
    <xf numFmtId="1" fontId="8" fillId="0" borderId="0" xfId="4" applyNumberFormat="1" applyFont="1"/>
    <xf numFmtId="1" fontId="6" fillId="0" borderId="2" xfId="4" applyNumberFormat="1" applyFont="1" applyBorder="1"/>
    <xf numFmtId="1" fontId="0" fillId="7" borderId="2" xfId="1" applyNumberFormat="1" applyFont="1" applyFill="1" applyBorder="1" applyAlignment="1">
      <alignment horizontal="center" vertical="center" wrapText="1"/>
    </xf>
    <xf numFmtId="1" fontId="2" fillId="3" borderId="2" xfId="4" applyNumberFormat="1" applyFont="1" applyFill="1" applyBorder="1" applyAlignment="1">
      <alignment horizontal="center" vertical="center" wrapText="1"/>
    </xf>
    <xf numFmtId="1" fontId="2" fillId="3" borderId="0" xfId="4" applyNumberFormat="1" applyFont="1" applyFill="1" applyBorder="1" applyAlignment="1">
      <alignment horizontal="center" vertical="center" wrapText="1"/>
    </xf>
    <xf numFmtId="1" fontId="2" fillId="7" borderId="0" xfId="4" applyNumberFormat="1" applyFont="1" applyFill="1" applyBorder="1" applyAlignment="1">
      <alignment horizontal="center" vertical="center" wrapText="1"/>
    </xf>
    <xf numFmtId="1" fontId="2" fillId="3" borderId="0" xfId="4" applyNumberFormat="1" applyFont="1" applyFill="1" applyAlignment="1">
      <alignment horizontal="center" vertical="center" wrapText="1"/>
    </xf>
    <xf numFmtId="1" fontId="2" fillId="7" borderId="2" xfId="4" applyNumberFormat="1" applyFont="1" applyFill="1" applyBorder="1" applyAlignment="1">
      <alignment horizontal="center" vertical="center" wrapText="1"/>
    </xf>
    <xf numFmtId="1" fontId="2" fillId="7" borderId="0" xfId="4" applyNumberFormat="1" applyFont="1" applyFill="1" applyAlignment="1">
      <alignment horizontal="center" vertical="center" wrapText="1"/>
    </xf>
    <xf numFmtId="1" fontId="2" fillId="7" borderId="0" xfId="1" applyNumberFormat="1" applyFont="1" applyFill="1" applyAlignment="1">
      <alignment horizontal="center" vertical="center" wrapText="1"/>
    </xf>
    <xf numFmtId="1" fontId="0" fillId="0" borderId="2" xfId="4" applyNumberFormat="1" applyFont="1" applyBorder="1" applyAlignment="1">
      <alignment horizontal="right"/>
    </xf>
    <xf numFmtId="1" fontId="22" fillId="0" borderId="0" xfId="4" applyNumberFormat="1" applyFont="1" applyAlignment="1">
      <alignment horizontal="right"/>
    </xf>
    <xf numFmtId="1" fontId="0" fillId="0" borderId="0" xfId="4" applyNumberFormat="1" applyFont="1" applyBorder="1" applyAlignment="1">
      <alignment horizontal="right"/>
    </xf>
    <xf numFmtId="1" fontId="0" fillId="0" borderId="0" xfId="4" applyNumberFormat="1" applyFont="1" applyAlignment="1">
      <alignment horizontal="right"/>
    </xf>
    <xf numFmtId="1" fontId="22" fillId="0" borderId="0" xfId="1" applyNumberFormat="1" applyFont="1" applyAlignment="1">
      <alignment horizontal="right"/>
    </xf>
    <xf numFmtId="1" fontId="0" fillId="0" borderId="2" xfId="4" applyNumberFormat="1" applyFont="1" applyBorder="1"/>
    <xf numFmtId="1" fontId="0" fillId="0" borderId="0" xfId="4" applyNumberFormat="1" applyFont="1" applyBorder="1"/>
    <xf numFmtId="1" fontId="0" fillId="0" borderId="0" xfId="4" applyNumberFormat="1" applyFont="1"/>
    <xf numFmtId="1" fontId="0" fillId="8" borderId="2" xfId="4" applyNumberFormat="1" applyFont="1" applyFill="1" applyBorder="1"/>
    <xf numFmtId="1" fontId="0" fillId="8" borderId="0" xfId="4" applyNumberFormat="1" applyFont="1" applyFill="1" applyBorder="1"/>
    <xf numFmtId="1" fontId="0" fillId="8" borderId="0" xfId="4" applyNumberFormat="1" applyFont="1" applyFill="1"/>
    <xf numFmtId="1" fontId="0" fillId="8" borderId="0" xfId="0" applyNumberFormat="1" applyFill="1"/>
    <xf numFmtId="1" fontId="0" fillId="0" borderId="0" xfId="4" applyNumberFormat="1" applyFont="1" applyFill="1" applyBorder="1"/>
    <xf numFmtId="1" fontId="33" fillId="3" borderId="2" xfId="1" applyNumberFormat="1" applyFont="1" applyFill="1" applyBorder="1"/>
    <xf numFmtId="1" fontId="33" fillId="3" borderId="2" xfId="4" applyNumberFormat="1" applyFont="1" applyFill="1" applyBorder="1"/>
    <xf numFmtId="1" fontId="34" fillId="3" borderId="0" xfId="4" applyNumberFormat="1" applyFont="1" applyFill="1" applyBorder="1" applyAlignment="1">
      <alignment horizontal="left"/>
    </xf>
    <xf numFmtId="1" fontId="33" fillId="3" borderId="0" xfId="4" applyNumberFormat="1" applyFont="1" applyFill="1" applyBorder="1"/>
    <xf numFmtId="1" fontId="34" fillId="3" borderId="0" xfId="4" applyNumberFormat="1" applyFont="1" applyFill="1" applyAlignment="1">
      <alignment horizontal="left"/>
    </xf>
    <xf numFmtId="1" fontId="33" fillId="3" borderId="0" xfId="4" applyNumberFormat="1" applyFont="1" applyFill="1"/>
    <xf numFmtId="1" fontId="33" fillId="3" borderId="2" xfId="4" applyNumberFormat="1" applyFont="1" applyFill="1" applyBorder="1" applyAlignment="1">
      <alignment horizontal="left"/>
    </xf>
    <xf numFmtId="1" fontId="22" fillId="0" borderId="0" xfId="4" applyNumberFormat="1" applyFont="1" applyBorder="1"/>
    <xf numFmtId="1" fontId="22" fillId="0" borderId="2" xfId="4" applyNumberFormat="1" applyFont="1" applyBorder="1"/>
    <xf numFmtId="1" fontId="2" fillId="0" borderId="0" xfId="4" applyNumberFormat="1" applyFont="1"/>
    <xf numFmtId="1" fontId="2" fillId="0" borderId="0" xfId="1" applyNumberFormat="1" applyFont="1"/>
    <xf numFmtId="1" fontId="32" fillId="6" borderId="0" xfId="1" applyNumberFormat="1" applyFont="1" applyFill="1" applyAlignment="1">
      <alignment vertical="center"/>
    </xf>
    <xf numFmtId="1" fontId="2" fillId="0" borderId="0" xfId="1" applyNumberFormat="1" applyFont="1" applyFill="1"/>
    <xf numFmtId="1" fontId="0" fillId="9" borderId="0" xfId="0" applyNumberFormat="1" applyFill="1"/>
    <xf numFmtId="1" fontId="2" fillId="0" borderId="0" xfId="1" applyNumberFormat="1" applyFont="1" applyAlignment="1">
      <alignment horizontal="right"/>
    </xf>
    <xf numFmtId="1" fontId="22" fillId="0" borderId="0" xfId="1" applyNumberFormat="1" applyFont="1"/>
    <xf numFmtId="1" fontId="32" fillId="6" borderId="0" xfId="1" applyNumberFormat="1" applyFont="1" applyFill="1" applyBorder="1" applyAlignment="1">
      <alignment vertical="center"/>
    </xf>
    <xf numFmtId="1" fontId="0" fillId="7" borderId="0" xfId="0" applyNumberFormat="1" applyFill="1" applyAlignment="1">
      <alignment horizontal="center" vertical="center" wrapText="1"/>
    </xf>
    <xf numFmtId="1" fontId="22" fillId="0" borderId="0" xfId="1" applyNumberFormat="1" applyFont="1" applyBorder="1" applyAlignment="1">
      <alignment horizontal="right"/>
    </xf>
    <xf numFmtId="1" fontId="22" fillId="0" borderId="0" xfId="0" applyNumberFormat="1" applyFont="1"/>
    <xf numFmtId="1" fontId="2" fillId="3" borderId="0" xfId="0" applyNumberFormat="1" applyFont="1" applyFill="1" applyAlignment="1">
      <alignment horizontal="center" vertical="center" wrapText="1"/>
    </xf>
    <xf numFmtId="1" fontId="2" fillId="7" borderId="0" xfId="0" applyNumberFormat="1" applyFont="1" applyFill="1" applyAlignment="1">
      <alignment horizontal="center" vertical="center" wrapText="1"/>
    </xf>
    <xf numFmtId="1" fontId="30" fillId="0" borderId="2" xfId="0" applyNumberFormat="1" applyFont="1" applyBorder="1" applyAlignment="1">
      <alignment horizontal="center"/>
    </xf>
    <xf numFmtId="1" fontId="7" fillId="0" borderId="0" xfId="1" applyNumberFormat="1" applyFont="1" applyBorder="1" applyAlignment="1">
      <alignment horizontal="center"/>
    </xf>
    <xf numFmtId="1" fontId="14" fillId="3" borderId="2" xfId="0" applyNumberFormat="1" applyFont="1" applyFill="1" applyBorder="1" applyAlignment="1">
      <alignment horizontal="center" vertical="center" wrapText="1"/>
    </xf>
    <xf numFmtId="1" fontId="14" fillId="7" borderId="0" xfId="0" applyNumberFormat="1" applyFont="1" applyFill="1" applyAlignment="1">
      <alignment horizontal="center" vertical="center" wrapText="1"/>
    </xf>
    <xf numFmtId="1" fontId="14" fillId="0" borderId="2" xfId="0" applyNumberFormat="1" applyFont="1" applyBorder="1"/>
    <xf numFmtId="1" fontId="14" fillId="0" borderId="0" xfId="0" applyNumberFormat="1" applyFont="1"/>
    <xf numFmtId="1" fontId="14" fillId="8" borderId="2" xfId="0" applyNumberFormat="1" applyFont="1" applyFill="1" applyBorder="1"/>
    <xf numFmtId="1" fontId="14" fillId="8" borderId="0" xfId="0" applyNumberFormat="1" applyFont="1" applyFill="1"/>
    <xf numFmtId="1" fontId="34" fillId="3" borderId="0" xfId="1" applyNumberFormat="1" applyFont="1" applyFill="1" applyBorder="1"/>
    <xf numFmtId="1" fontId="20" fillId="0" borderId="2" xfId="0" applyNumberFormat="1" applyFont="1" applyBorder="1"/>
    <xf numFmtId="1" fontId="20" fillId="0" borderId="0" xfId="0" applyNumberFormat="1" applyFont="1"/>
    <xf numFmtId="1" fontId="22" fillId="0" borderId="0" xfId="0" applyNumberFormat="1" applyFont="1" applyAlignment="1">
      <alignment horizontal="right"/>
    </xf>
    <xf numFmtId="1" fontId="31" fillId="6" borderId="9" xfId="1" applyNumberFormat="1" applyFont="1" applyFill="1" applyBorder="1" applyAlignment="1">
      <alignment vertical="center"/>
    </xf>
    <xf numFmtId="1" fontId="30" fillId="0" borderId="9" xfId="1" applyNumberFormat="1" applyFont="1" applyBorder="1" applyAlignment="1">
      <alignment horizontal="center"/>
    </xf>
    <xf numFmtId="1" fontId="14" fillId="3" borderId="9" xfId="0" applyNumberFormat="1" applyFont="1" applyFill="1" applyBorder="1" applyAlignment="1">
      <alignment horizontal="center" vertical="center" wrapText="1"/>
    </xf>
    <xf numFmtId="1" fontId="20" fillId="0" borderId="9" xfId="1" applyNumberFormat="1" applyFont="1" applyBorder="1" applyAlignment="1">
      <alignment horizontal="right"/>
    </xf>
    <xf numFmtId="1" fontId="14" fillId="0" borderId="9" xfId="1" applyNumberFormat="1" applyFont="1" applyBorder="1"/>
    <xf numFmtId="1" fontId="14" fillId="8" borderId="9" xfId="1" applyNumberFormat="1" applyFont="1" applyFill="1" applyBorder="1"/>
    <xf numFmtId="1" fontId="34" fillId="3" borderId="9" xfId="1" applyNumberFormat="1" applyFont="1" applyFill="1" applyBorder="1" applyAlignment="1">
      <alignment horizontal="left"/>
    </xf>
    <xf numFmtId="1" fontId="20" fillId="0" borderId="9" xfId="1" applyNumberFormat="1" applyFont="1" applyBorder="1"/>
    <xf numFmtId="1" fontId="0" fillId="0" borderId="9" xfId="0" applyNumberFormat="1" applyBorder="1"/>
    <xf numFmtId="1" fontId="6" fillId="0" borderId="0" xfId="4" applyNumberFormat="1" applyFont="1" applyBorder="1" applyAlignment="1">
      <alignment horizontal="center"/>
    </xf>
    <xf numFmtId="1" fontId="2" fillId="0" borderId="0" xfId="4" applyNumberFormat="1" applyFont="1" applyBorder="1" applyAlignment="1">
      <alignment horizontal="right"/>
    </xf>
    <xf numFmtId="1" fontId="2" fillId="0" borderId="0" xfId="4" applyNumberFormat="1" applyFont="1" applyBorder="1"/>
    <xf numFmtId="1" fontId="33" fillId="3" borderId="0" xfId="4" applyNumberFormat="1" applyFont="1" applyFill="1" applyBorder="1" applyAlignment="1">
      <alignment horizontal="left"/>
    </xf>
    <xf numFmtId="1" fontId="30" fillId="0" borderId="0" xfId="0" applyNumberFormat="1" applyFont="1" applyAlignment="1">
      <alignment horizontal="center"/>
    </xf>
    <xf numFmtId="1" fontId="14" fillId="3" borderId="0" xfId="0" applyNumberFormat="1" applyFont="1" applyFill="1" applyAlignment="1">
      <alignment horizontal="center" vertical="center" wrapText="1"/>
    </xf>
    <xf numFmtId="1" fontId="20" fillId="0" borderId="0" xfId="0" applyNumberFormat="1" applyFont="1" applyAlignment="1">
      <alignment horizontal="right"/>
    </xf>
    <xf numFmtId="1" fontId="34" fillId="3" borderId="0" xfId="0" applyNumberFormat="1" applyFont="1" applyFill="1" applyAlignment="1">
      <alignment horizontal="left"/>
    </xf>
    <xf numFmtId="1" fontId="6" fillId="0" borderId="0" xfId="4" applyNumberFormat="1" applyFont="1" applyAlignment="1">
      <alignment horizontal="center"/>
    </xf>
    <xf numFmtId="1" fontId="33" fillId="3" borderId="0" xfId="4" applyNumberFormat="1" applyFont="1" applyFill="1" applyAlignment="1">
      <alignment horizontal="left"/>
    </xf>
    <xf numFmtId="1" fontId="22" fillId="0" borderId="0" xfId="4" applyNumberFormat="1" applyFont="1"/>
    <xf numFmtId="1" fontId="20" fillId="0" borderId="0" xfId="1" applyNumberFormat="1" applyFont="1"/>
    <xf numFmtId="9" fontId="6" fillId="0" borderId="2" xfId="1" applyFont="1" applyBorder="1" applyAlignment="1">
      <alignment horizontal="left"/>
    </xf>
    <xf numFmtId="9" fontId="34" fillId="3" borderId="2" xfId="1" applyFont="1" applyFill="1" applyBorder="1" applyAlignment="1">
      <alignment horizontal="left"/>
    </xf>
    <xf numFmtId="9" fontId="6" fillId="0" borderId="0" xfId="1" applyFont="1" applyAlignment="1">
      <alignment horizontal="center"/>
    </xf>
    <xf numFmtId="9" fontId="33" fillId="3" borderId="0" xfId="1" applyFont="1" applyFill="1" applyAlignment="1">
      <alignment horizontal="left"/>
    </xf>
    <xf numFmtId="1" fontId="31" fillId="6" borderId="2" xfId="0" applyNumberFormat="1" applyFont="1" applyFill="1" applyBorder="1" applyAlignment="1">
      <alignment vertical="center"/>
    </xf>
    <xf numFmtId="1" fontId="7" fillId="0" borderId="2" xfId="0" applyNumberFormat="1" applyFont="1" applyBorder="1" applyAlignment="1">
      <alignment horizontal="center"/>
    </xf>
    <xf numFmtId="1" fontId="7" fillId="0" borderId="0" xfId="0" applyNumberFormat="1" applyFont="1" applyAlignment="1">
      <alignment horizontal="center"/>
    </xf>
    <xf numFmtId="1" fontId="14" fillId="7" borderId="2" xfId="0" applyNumberFormat="1" applyFont="1" applyFill="1" applyBorder="1" applyAlignment="1">
      <alignment horizontal="center" vertical="center" wrapText="1"/>
    </xf>
    <xf numFmtId="1" fontId="14" fillId="0" borderId="2" xfId="0" applyNumberFormat="1" applyFont="1" applyBorder="1" applyAlignment="1">
      <alignment horizontal="right"/>
    </xf>
    <xf numFmtId="1" fontId="14" fillId="0" borderId="0" xfId="0" applyNumberFormat="1" applyFont="1" applyAlignment="1">
      <alignment horizontal="right"/>
    </xf>
    <xf numFmtId="1" fontId="34" fillId="3" borderId="0" xfId="1" applyNumberFormat="1" applyFont="1" applyFill="1"/>
    <xf numFmtId="1" fontId="2" fillId="3" borderId="2" xfId="0" applyNumberFormat="1" applyFont="1" applyFill="1" applyBorder="1" applyAlignment="1">
      <alignment horizontal="center" vertical="center" wrapText="1"/>
    </xf>
    <xf numFmtId="1" fontId="2" fillId="0" borderId="2" xfId="0" applyNumberFormat="1" applyFont="1" applyBorder="1"/>
    <xf numFmtId="1" fontId="2" fillId="8" borderId="2" xfId="0" applyNumberFormat="1" applyFont="1" applyFill="1" applyBorder="1"/>
    <xf numFmtId="1" fontId="2" fillId="3" borderId="2" xfId="1" applyNumberFormat="1" applyFont="1" applyFill="1" applyBorder="1" applyAlignment="1">
      <alignment horizontal="center" vertical="center" wrapText="1"/>
    </xf>
    <xf numFmtId="1" fontId="7" fillId="0" borderId="0" xfId="1" applyNumberFormat="1" applyFont="1" applyAlignment="1">
      <alignment horizontal="center"/>
    </xf>
    <xf numFmtId="1" fontId="14" fillId="7" borderId="0" xfId="1" applyNumberFormat="1" applyFont="1" applyFill="1" applyAlignment="1">
      <alignment horizontal="center" vertical="center" wrapText="1"/>
    </xf>
    <xf numFmtId="1" fontId="14" fillId="0" borderId="0" xfId="1" applyNumberFormat="1" applyFont="1"/>
    <xf numFmtId="1" fontId="14" fillId="8" borderId="0" xfId="1" applyNumberFormat="1" applyFont="1" applyFill="1"/>
    <xf numFmtId="1" fontId="14" fillId="0" borderId="0" xfId="1" applyNumberFormat="1" applyFont="1" applyFill="1"/>
    <xf numFmtId="1" fontId="2" fillId="0" borderId="2" xfId="1" applyNumberFormat="1" applyFont="1" applyBorder="1" applyAlignment="1">
      <alignment horizontal="right"/>
    </xf>
    <xf numFmtId="1" fontId="2" fillId="0" borderId="2" xfId="1" applyNumberFormat="1" applyFont="1" applyBorder="1"/>
    <xf numFmtId="1" fontId="2" fillId="8" borderId="2" xfId="1" applyNumberFormat="1" applyFont="1" applyFill="1" applyBorder="1"/>
    <xf numFmtId="1" fontId="2" fillId="0" borderId="2" xfId="1" applyNumberFormat="1" applyFont="1" applyFill="1" applyBorder="1"/>
    <xf numFmtId="1" fontId="0" fillId="3" borderId="0" xfId="1" applyNumberFormat="1" applyFont="1" applyFill="1" applyAlignment="1">
      <alignment horizontal="center" vertical="center" wrapText="1"/>
    </xf>
    <xf numFmtId="1" fontId="2" fillId="8" borderId="0" xfId="1" applyNumberFormat="1" applyFont="1" applyFill="1"/>
    <xf numFmtId="1" fontId="32" fillId="6" borderId="0" xfId="0" applyNumberFormat="1" applyFont="1" applyFill="1" applyAlignment="1">
      <alignment vertical="center"/>
    </xf>
    <xf numFmtId="1" fontId="4" fillId="0" borderId="0" xfId="0" applyNumberFormat="1" applyFont="1" applyAlignment="1">
      <alignment horizontal="center"/>
    </xf>
    <xf numFmtId="1" fontId="2" fillId="0" borderId="2" xfId="0" applyNumberFormat="1" applyFont="1" applyBorder="1" applyAlignment="1">
      <alignment horizontal="right"/>
    </xf>
    <xf numFmtId="1" fontId="4" fillId="0" borderId="0" xfId="1" applyNumberFormat="1" applyFont="1" applyAlignment="1">
      <alignment horizontal="center"/>
    </xf>
    <xf numFmtId="9" fontId="7" fillId="0" borderId="0" xfId="1" applyFont="1" applyAlignment="1">
      <alignment horizontal="center"/>
    </xf>
    <xf numFmtId="9" fontId="14" fillId="7" borderId="0" xfId="1" applyFont="1" applyFill="1" applyAlignment="1">
      <alignment horizontal="center" vertical="center" wrapText="1"/>
    </xf>
    <xf numFmtId="9" fontId="14" fillId="0" borderId="0" xfId="1" applyFont="1" applyAlignment="1">
      <alignment horizontal="right"/>
    </xf>
    <xf numFmtId="9" fontId="14" fillId="8" borderId="0" xfId="1" applyFont="1" applyFill="1"/>
    <xf numFmtId="9" fontId="14" fillId="0" borderId="0" xfId="1" applyFont="1" applyFill="1"/>
    <xf numFmtId="9" fontId="34" fillId="3" borderId="0" xfId="1" applyFont="1" applyFill="1"/>
    <xf numFmtId="9" fontId="4" fillId="0" borderId="0" xfId="1" applyFont="1" applyAlignment="1">
      <alignment horizontal="center"/>
    </xf>
    <xf numFmtId="1" fontId="22" fillId="3" borderId="0" xfId="1" applyNumberFormat="1" applyFont="1" applyFill="1" applyBorder="1" applyAlignment="1">
      <alignment horizontal="center" vertical="center" wrapText="1"/>
    </xf>
    <xf numFmtId="1" fontId="2" fillId="0" borderId="0" xfId="1" applyNumberFormat="1" applyFont="1" applyBorder="1" applyAlignment="1">
      <alignment horizontal="right"/>
    </xf>
    <xf numFmtId="1" fontId="2" fillId="0" borderId="0" xfId="1" applyNumberFormat="1" applyFont="1" applyBorder="1"/>
    <xf numFmtId="1" fontId="2" fillId="0" borderId="0" xfId="1" applyNumberFormat="1" applyFont="1" applyFill="1" applyBorder="1"/>
    <xf numFmtId="1" fontId="22" fillId="0" borderId="0" xfId="1" applyNumberFormat="1" applyFont="1" applyBorder="1"/>
    <xf numFmtId="1" fontId="8" fillId="0" borderId="2" xfId="0" applyNumberFormat="1" applyFont="1" applyBorder="1"/>
    <xf numFmtId="1" fontId="0" fillId="3" borderId="2" xfId="0" applyNumberFormat="1" applyFill="1" applyBorder="1" applyAlignment="1">
      <alignment horizontal="center" vertical="center" wrapText="1"/>
    </xf>
    <xf numFmtId="1" fontId="0" fillId="0" borderId="2" xfId="0" applyNumberFormat="1" applyBorder="1" applyAlignment="1">
      <alignment horizontal="right"/>
    </xf>
    <xf numFmtId="1" fontId="0" fillId="8" borderId="2" xfId="0" applyNumberFormat="1" applyFill="1" applyBorder="1"/>
    <xf numFmtId="1" fontId="8" fillId="0" borderId="0" xfId="0" applyNumberFormat="1" applyFont="1"/>
    <xf numFmtId="1" fontId="0" fillId="3" borderId="0" xfId="0" applyNumberFormat="1" applyFill="1" applyAlignment="1">
      <alignment horizontal="center" vertical="center" wrapText="1"/>
    </xf>
    <xf numFmtId="1" fontId="14" fillId="9" borderId="0" xfId="0" applyNumberFormat="1" applyFont="1" applyFill="1"/>
    <xf numFmtId="1" fontId="21" fillId="8" borderId="2" xfId="6" applyNumberFormat="1" applyFont="1" applyFill="1" applyBorder="1"/>
    <xf numFmtId="9" fontId="31" fillId="6" borderId="0" xfId="1" applyNumberFormat="1" applyFont="1" applyFill="1" applyAlignment="1">
      <alignment vertical="center"/>
    </xf>
    <xf numFmtId="9" fontId="0" fillId="7" borderId="0" xfId="1" applyNumberFormat="1" applyFont="1" applyFill="1" applyBorder="1" applyAlignment="1">
      <alignment horizontal="center" vertical="center" wrapText="1"/>
    </xf>
    <xf numFmtId="9" fontId="2" fillId="0" borderId="0" xfId="1" applyNumberFormat="1" applyFont="1" applyBorder="1" applyAlignment="1">
      <alignment horizontal="right"/>
    </xf>
    <xf numFmtId="9" fontId="2" fillId="0" borderId="0" xfId="1" applyNumberFormat="1" applyFont="1" applyBorder="1"/>
    <xf numFmtId="9" fontId="2" fillId="0" borderId="0" xfId="1" applyNumberFormat="1" applyFont="1" applyFill="1" applyBorder="1"/>
    <xf numFmtId="9" fontId="0" fillId="0" borderId="0" xfId="1" applyNumberFormat="1" applyFont="1" applyBorder="1"/>
    <xf numFmtId="9" fontId="0" fillId="0" borderId="0" xfId="1" applyNumberFormat="1" applyFont="1"/>
    <xf numFmtId="9" fontId="31" fillId="6" borderId="2" xfId="1" applyNumberFormat="1" applyFont="1" applyFill="1" applyBorder="1" applyAlignment="1">
      <alignment vertical="center"/>
    </xf>
    <xf numFmtId="9" fontId="8" fillId="0" borderId="2" xfId="1" applyNumberFormat="1" applyFont="1" applyBorder="1"/>
    <xf numFmtId="9" fontId="22" fillId="7" borderId="2" xfId="1" applyNumberFormat="1" applyFont="1" applyFill="1" applyBorder="1" applyAlignment="1">
      <alignment horizontal="center" vertical="center" wrapText="1"/>
    </xf>
    <xf numFmtId="9" fontId="2" fillId="0" borderId="2" xfId="1" applyNumberFormat="1" applyFont="1" applyBorder="1" applyAlignment="1">
      <alignment horizontal="right"/>
    </xf>
    <xf numFmtId="9" fontId="2" fillId="0" borderId="2" xfId="1" applyNumberFormat="1" applyFont="1" applyBorder="1"/>
    <xf numFmtId="9" fontId="2" fillId="0" borderId="2" xfId="1" applyNumberFormat="1" applyFont="1" applyFill="1" applyBorder="1"/>
    <xf numFmtId="9" fontId="33" fillId="3" borderId="2" xfId="1" applyNumberFormat="1" applyFont="1" applyFill="1" applyBorder="1"/>
    <xf numFmtId="9" fontId="22" fillId="0" borderId="2" xfId="1" applyNumberFormat="1" applyFont="1" applyBorder="1"/>
    <xf numFmtId="9" fontId="0" fillId="0" borderId="2" xfId="1" applyNumberFormat="1" applyFont="1" applyBorder="1"/>
    <xf numFmtId="9" fontId="32" fillId="6" borderId="0" xfId="1" applyNumberFormat="1" applyFont="1" applyFill="1" applyAlignment="1">
      <alignment vertical="center"/>
    </xf>
    <xf numFmtId="9" fontId="8" fillId="0" borderId="0" xfId="1" applyNumberFormat="1" applyFont="1"/>
    <xf numFmtId="9" fontId="22" fillId="7" borderId="0" xfId="1" applyNumberFormat="1" applyFont="1" applyFill="1" applyAlignment="1">
      <alignment horizontal="center" vertical="center" wrapText="1"/>
    </xf>
    <xf numFmtId="9" fontId="2" fillId="0" borderId="0" xfId="1" applyNumberFormat="1" applyFont="1" applyAlignment="1">
      <alignment horizontal="right"/>
    </xf>
    <xf numFmtId="9" fontId="2" fillId="0" borderId="0" xfId="1" applyNumberFormat="1" applyFont="1"/>
    <xf numFmtId="9" fontId="2" fillId="0" borderId="0" xfId="1" applyNumberFormat="1" applyFont="1" applyFill="1"/>
    <xf numFmtId="9" fontId="33" fillId="3" borderId="0" xfId="1" applyNumberFormat="1" applyFont="1" applyFill="1"/>
    <xf numFmtId="9" fontId="22" fillId="0" borderId="0" xfId="1" applyNumberFormat="1" applyFont="1"/>
    <xf numFmtId="9" fontId="0" fillId="7" borderId="0" xfId="1" applyNumberFormat="1" applyFont="1" applyFill="1" applyAlignment="1">
      <alignment horizontal="center" vertical="center" wrapText="1"/>
    </xf>
    <xf numFmtId="1" fontId="31" fillId="6" borderId="8" xfId="0" applyNumberFormat="1" applyFont="1" applyFill="1" applyBorder="1" applyAlignment="1">
      <alignment vertical="center"/>
    </xf>
    <xf numFmtId="1" fontId="31" fillId="6" borderId="7" xfId="0" applyNumberFormat="1" applyFont="1" applyFill="1" applyBorder="1" applyAlignment="1">
      <alignment vertical="center"/>
    </xf>
    <xf numFmtId="1" fontId="8" fillId="0" borderId="8" xfId="1" applyNumberFormat="1" applyFont="1" applyBorder="1"/>
    <xf numFmtId="1" fontId="9" fillId="0" borderId="7" xfId="0" applyNumberFormat="1" applyFont="1" applyBorder="1"/>
    <xf numFmtId="1" fontId="9" fillId="0" borderId="0" xfId="0" applyNumberFormat="1" applyFont="1"/>
    <xf numFmtId="1" fontId="28" fillId="0" borderId="0" xfId="0" applyNumberFormat="1" applyFont="1"/>
    <xf numFmtId="1" fontId="16" fillId="3" borderId="2" xfId="5" applyNumberFormat="1" applyFill="1" applyBorder="1" applyAlignment="1">
      <alignment horizontal="center" vertical="center" wrapText="1"/>
    </xf>
    <xf numFmtId="1" fontId="16" fillId="3" borderId="0" xfId="5" applyNumberFormat="1" applyFill="1" applyBorder="1" applyAlignment="1">
      <alignment horizontal="center" vertical="center" wrapText="1"/>
    </xf>
    <xf numFmtId="1" fontId="16" fillId="3" borderId="8" xfId="5" applyNumberFormat="1" applyFill="1" applyBorder="1" applyAlignment="1">
      <alignment horizontal="center" vertical="center" wrapText="1"/>
    </xf>
    <xf numFmtId="1" fontId="24" fillId="3" borderId="7" xfId="5" applyNumberFormat="1" applyFont="1" applyFill="1" applyBorder="1" applyAlignment="1">
      <alignment horizontal="center" vertical="center" wrapText="1"/>
    </xf>
    <xf numFmtId="1" fontId="24" fillId="3" borderId="0" xfId="5" applyNumberFormat="1" applyFont="1" applyFill="1" applyBorder="1" applyAlignment="1">
      <alignment horizontal="center" vertical="center" wrapText="1"/>
    </xf>
    <xf numFmtId="1" fontId="24" fillId="3" borderId="0" xfId="5" applyNumberFormat="1" applyFont="1" applyFill="1" applyAlignment="1">
      <alignment horizontal="center" vertical="center" wrapText="1"/>
    </xf>
    <xf numFmtId="1" fontId="2" fillId="0" borderId="8" xfId="1" applyNumberFormat="1" applyFont="1" applyBorder="1" applyAlignment="1">
      <alignment horizontal="right"/>
    </xf>
    <xf numFmtId="1" fontId="14" fillId="0" borderId="7" xfId="0" applyNumberFormat="1" applyFont="1" applyBorder="1" applyAlignment="1">
      <alignment horizontal="right"/>
    </xf>
    <xf numFmtId="1" fontId="2" fillId="0" borderId="8" xfId="1" applyNumberFormat="1" applyFont="1" applyBorder="1"/>
    <xf numFmtId="1" fontId="14" fillId="0" borderId="7" xfId="0" applyNumberFormat="1" applyFont="1" applyBorder="1"/>
    <xf numFmtId="1" fontId="2" fillId="0" borderId="8" xfId="1" applyNumberFormat="1" applyFont="1" applyFill="1" applyBorder="1"/>
    <xf numFmtId="1" fontId="33" fillId="3" borderId="8" xfId="1" applyNumberFormat="1" applyFont="1" applyFill="1" applyBorder="1"/>
    <xf numFmtId="1" fontId="34" fillId="3" borderId="7" xfId="1" applyNumberFormat="1" applyFont="1" applyFill="1" applyBorder="1"/>
    <xf numFmtId="1" fontId="0" fillId="0" borderId="8" xfId="1" applyNumberFormat="1" applyFont="1" applyBorder="1"/>
    <xf numFmtId="1" fontId="16" fillId="3" borderId="0" xfId="5" applyNumberFormat="1" applyFill="1" applyAlignment="1">
      <alignment horizontal="center" vertical="center" wrapText="1"/>
    </xf>
    <xf numFmtId="1" fontId="1" fillId="0" borderId="0" xfId="0" applyNumberFormat="1" applyFont="1" applyFill="1" applyAlignment="1">
      <alignment horizontal="center"/>
    </xf>
    <xf numFmtId="1" fontId="0" fillId="7" borderId="0" xfId="0" applyNumberFormat="1" applyFont="1" applyFill="1" applyAlignment="1">
      <alignment horizontal="center" vertical="center" wrapText="1"/>
    </xf>
    <xf numFmtId="1" fontId="0" fillId="0" borderId="0" xfId="0" applyNumberFormat="1" applyFont="1" applyAlignment="1">
      <alignment horizontal="right"/>
    </xf>
    <xf numFmtId="1" fontId="0" fillId="0" borderId="0" xfId="0" applyNumberFormat="1" applyFont="1"/>
    <xf numFmtId="1" fontId="0" fillId="8" borderId="0" xfId="0" applyNumberFormat="1" applyFont="1" applyFill="1"/>
    <xf numFmtId="1" fontId="14" fillId="0" borderId="0" xfId="1" applyNumberFormat="1" applyFont="1" applyAlignment="1">
      <alignment horizontal="right"/>
    </xf>
    <xf numFmtId="1" fontId="14" fillId="10" borderId="0" xfId="0" applyNumberFormat="1" applyFont="1" applyFill="1"/>
    <xf numFmtId="9" fontId="16" fillId="3" borderId="0" xfId="1" applyFont="1" applyFill="1" applyAlignment="1">
      <alignment horizontal="center" vertical="center" wrapText="1"/>
    </xf>
    <xf numFmtId="9" fontId="16" fillId="3" borderId="2" xfId="1" applyFont="1" applyFill="1" applyBorder="1" applyAlignment="1">
      <alignment horizontal="center" vertical="center" wrapText="1"/>
    </xf>
    <xf numFmtId="9" fontId="21" fillId="3" borderId="0" xfId="1" applyFont="1" applyFill="1" applyBorder="1" applyAlignment="1">
      <alignment horizontal="center" vertical="center" wrapText="1"/>
    </xf>
    <xf numFmtId="1" fontId="9" fillId="0" borderId="0" xfId="1" applyNumberFormat="1" applyFont="1" applyBorder="1"/>
    <xf numFmtId="1" fontId="14" fillId="3" borderId="0" xfId="1" applyNumberFormat="1" applyFont="1" applyFill="1" applyBorder="1" applyAlignment="1">
      <alignment horizontal="center" vertical="center" wrapText="1"/>
    </xf>
    <xf numFmtId="1" fontId="14" fillId="0" borderId="0" xfId="1" applyNumberFormat="1" applyFont="1" applyBorder="1"/>
    <xf numFmtId="1" fontId="21" fillId="8" borderId="2" xfId="0" applyNumberFormat="1" applyFont="1" applyFill="1" applyBorder="1"/>
    <xf numFmtId="1" fontId="21" fillId="8" borderId="0" xfId="0" applyNumberFormat="1" applyFont="1" applyFill="1"/>
    <xf numFmtId="1" fontId="0" fillId="8" borderId="2" xfId="1" applyNumberFormat="1" applyFont="1" applyFill="1" applyBorder="1"/>
    <xf numFmtId="1" fontId="0" fillId="7" borderId="0" xfId="1" applyNumberFormat="1" applyFont="1" applyFill="1" applyBorder="1" applyAlignment="1">
      <alignment horizontal="center" vertical="center" wrapText="1"/>
    </xf>
    <xf numFmtId="1" fontId="0" fillId="0" borderId="0" xfId="1" applyNumberFormat="1" applyFont="1" applyFill="1" applyBorder="1"/>
    <xf numFmtId="1" fontId="0" fillId="0" borderId="0" xfId="1" applyNumberFormat="1" applyFont="1" applyFill="1" applyBorder="1" applyAlignment="1">
      <alignment wrapText="1"/>
    </xf>
    <xf numFmtId="1" fontId="14" fillId="0" borderId="0" xfId="0" applyNumberFormat="1" applyFont="1" applyFill="1"/>
    <xf numFmtId="1" fontId="0" fillId="0" borderId="0" xfId="0" applyNumberFormat="1" applyFont="1" applyFill="1"/>
    <xf numFmtId="9" fontId="8" fillId="0" borderId="0" xfId="1" applyFont="1" applyFill="1"/>
    <xf numFmtId="1" fontId="31" fillId="6" borderId="0" xfId="0" applyNumberFormat="1" applyFont="1" applyFill="1" applyAlignment="1">
      <alignment horizontal="left" vertical="center"/>
    </xf>
    <xf numFmtId="1" fontId="8" fillId="0" borderId="0" xfId="0" applyNumberFormat="1" applyFont="1" applyAlignment="1">
      <alignment horizontal="left"/>
    </xf>
    <xf numFmtId="1" fontId="0" fillId="0" borderId="0" xfId="0" applyNumberFormat="1" applyAlignment="1">
      <alignment horizontal="left"/>
    </xf>
    <xf numFmtId="1" fontId="21" fillId="8" borderId="0" xfId="0" applyNumberFormat="1" applyFont="1" applyFill="1" applyAlignment="1">
      <alignment horizontal="left"/>
    </xf>
    <xf numFmtId="1" fontId="0" fillId="8" borderId="0" xfId="0" applyNumberFormat="1" applyFill="1" applyAlignment="1">
      <alignment horizontal="left"/>
    </xf>
    <xf numFmtId="1" fontId="33" fillId="3" borderId="0" xfId="1" applyNumberFormat="1" applyFont="1" applyFill="1" applyAlignment="1">
      <alignment horizontal="left"/>
    </xf>
    <xf numFmtId="1" fontId="0" fillId="0" borderId="0" xfId="0" applyNumberFormat="1" applyAlignment="1">
      <alignment horizontal="center"/>
    </xf>
    <xf numFmtId="1" fontId="25" fillId="8" borderId="0" xfId="0" applyNumberFormat="1" applyFont="1" applyFill="1"/>
    <xf numFmtId="1" fontId="31" fillId="6" borderId="2" xfId="0" applyNumberFormat="1" applyFont="1" applyFill="1" applyBorder="1" applyAlignment="1">
      <alignment horizontal="left" vertical="center"/>
    </xf>
    <xf numFmtId="1" fontId="33" fillId="3" borderId="0" xfId="0" applyNumberFormat="1" applyFont="1" applyFill="1"/>
    <xf numFmtId="1" fontId="34" fillId="3" borderId="0" xfId="0" applyNumberFormat="1" applyFont="1" applyFill="1"/>
    <xf numFmtId="1" fontId="39" fillId="7" borderId="0" xfId="0" applyNumberFormat="1" applyFont="1" applyFill="1" applyAlignment="1">
      <alignment horizontal="center" vertical="center" wrapText="1"/>
    </xf>
    <xf numFmtId="1" fontId="21" fillId="0" borderId="0" xfId="0" applyNumberFormat="1" applyFont="1"/>
    <xf numFmtId="1" fontId="7" fillId="0" borderId="2" xfId="4" applyNumberFormat="1" applyFont="1" applyBorder="1" applyAlignment="1">
      <alignment horizontal="center"/>
    </xf>
    <xf numFmtId="1" fontId="7" fillId="0" borderId="0" xfId="0" applyNumberFormat="1" applyFont="1" applyBorder="1" applyAlignment="1">
      <alignment horizontal="center"/>
    </xf>
    <xf numFmtId="1" fontId="14" fillId="7" borderId="2" xfId="4" applyNumberFormat="1" applyFont="1" applyFill="1" applyBorder="1" applyAlignment="1">
      <alignment horizontal="center" vertical="center" wrapText="1"/>
    </xf>
    <xf numFmtId="1" fontId="14" fillId="7" borderId="0" xfId="0" applyNumberFormat="1" applyFont="1" applyFill="1" applyBorder="1" applyAlignment="1">
      <alignment horizontal="center" vertical="center" wrapText="1"/>
    </xf>
    <xf numFmtId="1" fontId="25" fillId="0" borderId="2" xfId="1" applyNumberFormat="1" applyFont="1" applyFill="1" applyBorder="1" applyAlignment="1">
      <alignment horizontal="right"/>
    </xf>
    <xf numFmtId="1" fontId="20" fillId="0" borderId="0" xfId="1" applyNumberFormat="1" applyFont="1" applyBorder="1" applyAlignment="1">
      <alignment horizontal="right"/>
    </xf>
    <xf numFmtId="1" fontId="20" fillId="0" borderId="0" xfId="1" applyNumberFormat="1" applyFont="1" applyAlignment="1">
      <alignment horizontal="right"/>
    </xf>
    <xf numFmtId="1" fontId="14" fillId="8" borderId="0" xfId="0" applyNumberFormat="1" applyFont="1" applyFill="1" applyBorder="1"/>
    <xf numFmtId="1" fontId="33" fillId="3" borderId="2" xfId="0" applyNumberFormat="1" applyFont="1" applyFill="1" applyBorder="1"/>
    <xf numFmtId="1" fontId="33" fillId="3" borderId="0" xfId="0" applyNumberFormat="1" applyFont="1" applyFill="1" applyBorder="1"/>
    <xf numFmtId="1" fontId="14" fillId="0" borderId="2" xfId="4" applyNumberFormat="1" applyFon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0">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15</v>
      </c>
    </row>
    <row r="10" spans="2:2" ht="97.2">
      <c r="B10" s="6" t="s">
        <v>614</v>
      </c>
    </row>
    <row r="20" spans="2:2" ht="82.2">
      <c r="B20" s="81" t="s">
        <v>194</v>
      </c>
    </row>
    <row r="25" spans="2:2">
      <c r="B25"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83" customWidth="1"/>
    <col min="2" max="2" width="49" style="83" customWidth="1"/>
    <col min="3" max="3" width="3.19921875" style="8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105</v>
      </c>
      <c r="E1" s="8" t="s">
        <v>195</v>
      </c>
      <c r="F1" s="8" t="s">
        <v>325</v>
      </c>
      <c r="G1" s="8" t="s">
        <v>120</v>
      </c>
      <c r="H1" s="8" t="s">
        <v>340</v>
      </c>
      <c r="I1" s="9" t="s">
        <v>121</v>
      </c>
      <c r="J1" s="8" t="s">
        <v>122</v>
      </c>
      <c r="K1" s="8" t="s">
        <v>123</v>
      </c>
      <c r="L1" s="8" t="s">
        <v>124</v>
      </c>
      <c r="M1" s="8" t="s">
        <v>324</v>
      </c>
      <c r="N1" s="8" t="s">
        <v>28</v>
      </c>
      <c r="O1" s="8" t="s">
        <v>118</v>
      </c>
      <c r="P1" s="8" t="s">
        <v>117</v>
      </c>
      <c r="Q1" s="8" t="s">
        <v>434</v>
      </c>
      <c r="R1" s="8" t="s">
        <v>27</v>
      </c>
      <c r="S1" s="8"/>
    </row>
    <row r="2" spans="2:19" ht="16.2" thickBot="1">
      <c r="B2" s="10" t="s">
        <v>113</v>
      </c>
      <c r="C2" s="86" t="s">
        <v>29</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84" t="s">
        <v>30</v>
      </c>
      <c r="D4" s="5"/>
      <c r="E4" s="5"/>
      <c r="F4" s="5"/>
      <c r="G4" s="5"/>
      <c r="H4" s="5"/>
      <c r="J4" s="5"/>
      <c r="K4" s="5"/>
      <c r="L4" s="5"/>
    </row>
    <row r="5" spans="2:19">
      <c r="D5" s="5"/>
      <c r="E5" s="5"/>
      <c r="F5" s="5"/>
      <c r="G5" s="5"/>
      <c r="H5" s="5"/>
      <c r="J5" s="5"/>
      <c r="K5" s="5"/>
      <c r="L5" s="5"/>
    </row>
    <row r="6" spans="2:19">
      <c r="B6" s="149" t="s">
        <v>106</v>
      </c>
      <c r="D6" s="5"/>
      <c r="E6" s="5"/>
      <c r="F6" s="5"/>
      <c r="G6" s="5"/>
      <c r="H6" s="5"/>
      <c r="J6" s="5"/>
      <c r="K6" s="5"/>
      <c r="L6" s="5"/>
    </row>
    <row r="7" spans="2:19">
      <c r="B7" s="149"/>
      <c r="D7" s="5"/>
      <c r="E7" s="5"/>
      <c r="F7" s="5"/>
      <c r="G7" s="5"/>
      <c r="H7" s="5"/>
      <c r="J7" s="5"/>
      <c r="K7" s="5"/>
      <c r="L7" s="5"/>
    </row>
    <row r="8" spans="2:19">
      <c r="B8" s="85"/>
      <c r="D8" s="5"/>
      <c r="E8" s="5"/>
      <c r="F8" s="5"/>
      <c r="G8" s="5"/>
      <c r="H8" s="5"/>
      <c r="J8" s="5"/>
      <c r="K8" s="5"/>
      <c r="L8" s="5"/>
    </row>
    <row r="9" spans="2:19">
      <c r="B9" s="85" t="s">
        <v>107</v>
      </c>
      <c r="D9" s="5"/>
      <c r="E9" s="5"/>
      <c r="F9" s="5"/>
      <c r="G9" s="5"/>
      <c r="H9" s="5"/>
      <c r="J9" s="5"/>
      <c r="K9" s="5"/>
      <c r="L9" s="5"/>
    </row>
    <row r="10" spans="2:19">
      <c r="B10" s="85"/>
      <c r="D10" s="5"/>
      <c r="E10" s="5"/>
      <c r="F10" s="5"/>
      <c r="G10" s="5"/>
      <c r="H10" s="5"/>
      <c r="J10" s="5"/>
      <c r="K10" s="5"/>
      <c r="L10" s="5"/>
    </row>
    <row r="11" spans="2:19">
      <c r="B11" s="149" t="s">
        <v>108</v>
      </c>
      <c r="D11" s="5"/>
      <c r="E11" s="5"/>
      <c r="F11" s="5"/>
      <c r="G11" s="5"/>
      <c r="H11" s="5"/>
      <c r="J11" s="5"/>
      <c r="K11" s="5"/>
      <c r="L11" s="5"/>
    </row>
    <row r="12" spans="2:19">
      <c r="B12" s="149"/>
      <c r="D12" s="5"/>
      <c r="E12" s="5"/>
      <c r="F12" s="5"/>
      <c r="G12" s="5"/>
      <c r="H12" s="5"/>
      <c r="J12" s="5"/>
      <c r="K12" s="5"/>
      <c r="L12" s="5"/>
    </row>
    <row r="13" spans="2:19">
      <c r="B13" s="85"/>
      <c r="D13" s="5"/>
      <c r="E13" s="5"/>
      <c r="F13" s="5"/>
      <c r="G13" s="5"/>
      <c r="H13" s="5"/>
      <c r="J13" s="5"/>
      <c r="K13" s="5"/>
      <c r="L13" s="5"/>
    </row>
    <row r="14" spans="2:19" ht="31.2">
      <c r="B14" s="85" t="s">
        <v>109</v>
      </c>
      <c r="D14" s="5"/>
      <c r="E14" s="5"/>
      <c r="F14" s="5"/>
      <c r="G14" s="5"/>
      <c r="H14" s="5"/>
      <c r="J14" s="5"/>
      <c r="K14" s="5"/>
      <c r="L14" s="5"/>
    </row>
    <row r="15" spans="2:19">
      <c r="B15" s="85"/>
      <c r="D15" s="5"/>
      <c r="E15" s="5"/>
      <c r="F15" s="5"/>
      <c r="G15" s="5"/>
      <c r="H15" s="5"/>
      <c r="J15" s="5"/>
      <c r="K15" s="5"/>
      <c r="L15" s="5"/>
    </row>
    <row r="16" spans="2:19">
      <c r="B16" s="149" t="s">
        <v>110</v>
      </c>
      <c r="D16" s="5"/>
      <c r="E16" s="5"/>
      <c r="F16" s="5"/>
      <c r="G16" s="5"/>
      <c r="H16" s="5"/>
      <c r="J16" s="5"/>
      <c r="K16" s="5"/>
      <c r="L16" s="5"/>
    </row>
    <row r="17" spans="2:12">
      <c r="B17" s="149"/>
      <c r="D17" s="5"/>
      <c r="E17" s="5"/>
      <c r="F17" s="5"/>
      <c r="G17" s="5"/>
      <c r="H17" s="5"/>
      <c r="J17" s="5"/>
      <c r="K17" s="5"/>
      <c r="L17" s="5"/>
    </row>
    <row r="18" spans="2:12">
      <c r="B18" s="85"/>
      <c r="D18" s="5"/>
      <c r="E18" s="5"/>
      <c r="F18" s="5"/>
      <c r="G18" s="5"/>
      <c r="H18" s="5"/>
      <c r="J18" s="5"/>
      <c r="K18" s="5"/>
      <c r="L18" s="5"/>
    </row>
    <row r="19" spans="2:12">
      <c r="B19" s="149" t="s">
        <v>111</v>
      </c>
      <c r="D19" s="5"/>
      <c r="E19" s="5"/>
      <c r="F19" s="5"/>
      <c r="G19" s="5"/>
      <c r="H19" s="5"/>
      <c r="J19" s="5"/>
      <c r="K19" s="5"/>
      <c r="L19" s="5"/>
    </row>
    <row r="20" spans="2:12">
      <c r="B20" s="149"/>
      <c r="D20" s="5"/>
      <c r="E20" s="5"/>
      <c r="F20" s="5"/>
      <c r="G20" s="5"/>
      <c r="H20" s="5"/>
      <c r="J20" s="5"/>
      <c r="K20" s="5"/>
      <c r="L20" s="5"/>
    </row>
    <row r="21" spans="2:12">
      <c r="D21" s="5"/>
      <c r="E21" s="5"/>
      <c r="F21" s="5"/>
      <c r="G21" s="5"/>
      <c r="H21" s="5"/>
      <c r="J21" s="5"/>
      <c r="K21" s="5"/>
      <c r="L21" s="5"/>
    </row>
    <row r="22" spans="2:12" ht="16.05" customHeight="1">
      <c r="B22" s="85" t="s">
        <v>343</v>
      </c>
      <c r="D22" s="5"/>
      <c r="E22" s="5"/>
      <c r="F22" s="5"/>
      <c r="G22" s="5"/>
      <c r="H22" s="5"/>
      <c r="J22" s="5"/>
      <c r="K22" s="5"/>
      <c r="L22" s="5"/>
    </row>
    <row r="23" spans="2:12">
      <c r="B23" s="85"/>
      <c r="D23" s="5"/>
      <c r="E23" s="5"/>
      <c r="F23" s="5"/>
      <c r="G23" s="5"/>
      <c r="H23" s="5"/>
      <c r="J23" s="5"/>
      <c r="K23" s="5"/>
      <c r="L23" s="5"/>
    </row>
    <row r="24" spans="2:12">
      <c r="B24" s="83" t="s">
        <v>112</v>
      </c>
      <c r="D24" s="5"/>
      <c r="E24" s="5"/>
      <c r="F24" s="5"/>
      <c r="G24" s="5"/>
      <c r="H24" s="5"/>
      <c r="J24" s="5"/>
      <c r="K24" s="5"/>
      <c r="L24" s="5"/>
    </row>
    <row r="25" spans="2:12">
      <c r="D25" s="5"/>
      <c r="E25" s="5"/>
      <c r="F25" s="5"/>
      <c r="G25" s="5"/>
      <c r="H25" s="5"/>
      <c r="J25" s="5"/>
      <c r="K25" s="5"/>
      <c r="L25" s="5"/>
    </row>
    <row r="26" spans="2:12">
      <c r="B26" s="149" t="s">
        <v>435</v>
      </c>
      <c r="D26" s="5"/>
      <c r="E26" s="5"/>
      <c r="F26" s="5"/>
      <c r="G26" s="5"/>
      <c r="H26" s="5"/>
      <c r="J26" s="5"/>
      <c r="K26" s="5"/>
      <c r="L26" s="5"/>
    </row>
    <row r="27" spans="2:12">
      <c r="B27" s="149"/>
      <c r="D27" s="5"/>
      <c r="E27" s="5"/>
      <c r="F27" s="5"/>
      <c r="G27" s="5"/>
      <c r="H27" s="5"/>
      <c r="J27" s="5"/>
      <c r="K27" s="5"/>
      <c r="L27" s="5"/>
    </row>
    <row r="28" spans="2:12">
      <c r="D28" s="5"/>
      <c r="E28" s="5"/>
      <c r="F28" s="5"/>
      <c r="G28" s="5"/>
      <c r="H28" s="5"/>
      <c r="J28" s="5"/>
      <c r="K28" s="5"/>
      <c r="L28" s="5"/>
    </row>
    <row r="29" spans="2:12">
      <c r="B29" s="85"/>
      <c r="D29" s="5"/>
      <c r="E29" s="5"/>
      <c r="F29" s="5"/>
      <c r="G29" s="5"/>
      <c r="H29" s="5"/>
      <c r="J29" s="5"/>
      <c r="K29" s="5"/>
      <c r="L29" s="5"/>
    </row>
    <row r="30" spans="2:12">
      <c r="B30" s="85"/>
      <c r="D30" s="5"/>
      <c r="E30" s="5"/>
      <c r="F30" s="5"/>
      <c r="G30" s="5"/>
      <c r="H30" s="5"/>
      <c r="J30" s="5"/>
      <c r="K30" s="5"/>
      <c r="L30" s="5"/>
    </row>
    <row r="31" spans="2:12">
      <c r="B31" s="8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3" sqref="A13"/>
    </sheetView>
  </sheetViews>
  <sheetFormatPr defaultColWidth="11.19921875" defaultRowHeight="15.6"/>
  <cols>
    <col min="1" max="1" width="47.69921875" style="5" customWidth="1"/>
    <col min="2" max="2" width="13.19921875" style="58" customWidth="1"/>
    <col min="3" max="3" width="13.19921875" style="38" customWidth="1"/>
    <col min="4" max="4" width="28" customWidth="1"/>
  </cols>
  <sheetData>
    <row r="1" spans="1:4" s="21" customFormat="1" ht="31.05" customHeight="1">
      <c r="A1" s="4" t="s">
        <v>24</v>
      </c>
      <c r="B1" s="67" t="s">
        <v>24</v>
      </c>
      <c r="C1" s="68"/>
      <c r="D1" s="69"/>
    </row>
    <row r="2" spans="1:4" s="36" customFormat="1" ht="18">
      <c r="A2" s="14"/>
      <c r="B2" s="56"/>
      <c r="C2" s="88" t="s">
        <v>401</v>
      </c>
      <c r="D2" s="32"/>
    </row>
    <row r="3" spans="1:4" ht="117" customHeight="1">
      <c r="A3" s="17"/>
      <c r="B3" s="49" t="s">
        <v>447</v>
      </c>
      <c r="C3" s="70" t="s">
        <v>486</v>
      </c>
      <c r="D3" s="33" t="s">
        <v>448</v>
      </c>
    </row>
    <row r="4" spans="1:4">
      <c r="A4" s="15"/>
      <c r="B4" s="57"/>
      <c r="C4" s="39"/>
      <c r="D4" s="37" t="str">
        <f>IF(COUNTIF(C$15:INDEX($C:$C,COUNTA($A:$A)+14-COUNTA($A$1:$A$14)),"")&gt;0,"BLANK PRIORITIZATIONS","")</f>
        <v>BLANK PRIORITIZATIONS</v>
      </c>
    </row>
    <row r="5" spans="1:4">
      <c r="A5" s="5" t="s">
        <v>38</v>
      </c>
      <c r="B5" s="57" t="s">
        <v>46</v>
      </c>
      <c r="C5" s="39" t="s">
        <v>46</v>
      </c>
      <c r="D5" t="s">
        <v>38</v>
      </c>
    </row>
    <row r="6" spans="1:4">
      <c r="A6" s="5" t="s">
        <v>87</v>
      </c>
      <c r="B6" s="57" t="s">
        <v>50</v>
      </c>
      <c r="C6" s="39" t="s">
        <v>32</v>
      </c>
      <c r="D6" t="s">
        <v>33</v>
      </c>
    </row>
    <row r="7" spans="1:4">
      <c r="A7" s="5" t="s">
        <v>48</v>
      </c>
      <c r="B7" s="57" t="s">
        <v>34</v>
      </c>
      <c r="C7" s="39" t="s">
        <v>34</v>
      </c>
      <c r="D7" t="s">
        <v>48</v>
      </c>
    </row>
    <row r="8" spans="1:4">
      <c r="B8" s="90" t="s">
        <v>45</v>
      </c>
      <c r="C8" s="91" t="s">
        <v>45</v>
      </c>
    </row>
    <row r="9" spans="1:4">
      <c r="B9" s="90"/>
      <c r="C9" s="91"/>
    </row>
    <row r="10" spans="1:4">
      <c r="B10" s="90"/>
      <c r="C10" s="91"/>
    </row>
    <row r="11" spans="1:4">
      <c r="B11" s="57"/>
      <c r="C11" s="39"/>
    </row>
    <row r="12" spans="1:4">
      <c r="B12" s="57"/>
      <c r="C12" s="39"/>
    </row>
    <row r="13" spans="1:4">
      <c r="B13" s="57"/>
      <c r="C13" s="39"/>
    </row>
    <row r="14" spans="1:4">
      <c r="A14" s="71" t="s">
        <v>3</v>
      </c>
      <c r="B14" s="72" t="s">
        <v>221</v>
      </c>
      <c r="C14" s="73" t="s">
        <v>222</v>
      </c>
      <c r="D14" s="74" t="s">
        <v>320</v>
      </c>
    </row>
    <row r="15" spans="1:4">
      <c r="C15" s="38" t="str">
        <f>IF(LEFT($A15,4)="_Mil","M",IF(SUM($B15)=0,"",$B15))</f>
        <v/>
      </c>
      <c r="D15" s="22" t="str">
        <f>IF($C15=1,"1 - Scale-up: Saturation",IF($C15=2,"2 - Scale-up: Aggressive",IF($C15=4,"4 - Sustained",IF($C15=5,"5 - Centrally Supported",IF($C15=6,"6 - Sustained:Commodities",IF($C15=7,"7 - Attained",IF($C15=8,"8 - Not PEPFAR Supported",IF($C15="M","Military",IF($C15="NA","Not a PSNU","INVALID")))))))))</f>
        <v>INVALID</v>
      </c>
    </row>
    <row r="16" spans="1:4">
      <c r="D16" s="22"/>
    </row>
    <row r="17" spans="1:4">
      <c r="D17" s="22"/>
    </row>
    <row r="18" spans="1:4">
      <c r="A18" s="19"/>
      <c r="D18" s="22"/>
    </row>
  </sheetData>
  <conditionalFormatting sqref="B1:C1048576">
    <cfRule type="expression" dxfId="99" priority="2">
      <formula>AND(ROW(B1)&gt;14,LEFT($A1,4)&lt;&gt;"_Mil",$A1&lt;&gt;"",B1&lt;&gt;1,B1&lt;&gt;2,B1&lt;&gt;4,B1&lt;&gt;5,B1&lt;&gt;6,B1&lt;&gt;7,B1&lt;&gt;8,B1&lt;&gt;"M",B1&lt;&gt;"NA")</formula>
    </cfRule>
  </conditionalFormatting>
  <conditionalFormatting sqref="C1:C1048576">
    <cfRule type="expression" dxfId="98" priority="729">
      <formula>AND(LEFT($A1,4)&lt;&gt;"_Mil",ROW($C1)&gt;14,$C1&lt;&gt;$B1,$A1&lt;&gt;"")</formula>
    </cfRule>
  </conditionalFormatting>
  <conditionalFormatting sqref="D4">
    <cfRule type="containsText" dxfId="97"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90" zoomScaleNormal="90" workbookViewId="0">
      <pane xSplit="5" ySplit="14" topLeftCell="F16" activePane="bottomRight" state="frozen"/>
      <selection pane="topRight"/>
      <selection pane="bottomLeft"/>
      <selection pane="bottomRight" activeCell="D16" sqref="D1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142" customWidth="1"/>
    <col min="7" max="7" width="13.19921875" style="180" customWidth="1"/>
    <col min="8" max="10" width="13.19921875" style="182" customWidth="1"/>
    <col min="11" max="11" width="13.19921875" style="180" customWidth="1"/>
    <col min="12" max="12" width="13.19921875" style="182" customWidth="1"/>
    <col min="13" max="13" width="13.19921875" style="181" customWidth="1"/>
    <col min="14" max="16" width="13.19921875" style="182" customWidth="1"/>
    <col min="17" max="17" width="13.19921875" style="180" customWidth="1"/>
    <col min="18" max="18" width="13.19921875" style="182" customWidth="1"/>
    <col min="19" max="19" width="13.19921875" style="119" customWidth="1"/>
    <col min="20" max="20" width="13.19921875" style="11" customWidth="1"/>
    <col min="21" max="21" width="13.19921875" style="119" customWidth="1"/>
    <col min="22" max="22" width="13.19921875" style="11" customWidth="1"/>
    <col min="23" max="23" width="13.19921875" style="119" customWidth="1"/>
    <col min="24" max="24" width="13.19921875" style="45" customWidth="1"/>
    <col min="25" max="25" width="13.19921875" style="11" customWidth="1"/>
    <col min="26" max="27" width="13.19921875" style="119" customWidth="1"/>
    <col min="28" max="28" width="13.19921875" style="46" customWidth="1"/>
    <col min="29" max="29" width="13.19921875" style="119" customWidth="1"/>
    <col min="30" max="30" width="13.19921875" style="46" customWidth="1"/>
    <col min="31" max="31" width="13.19921875" style="11" customWidth="1"/>
    <col min="32" max="35" width="13.19921875" style="119" customWidth="1"/>
    <col min="36" max="36" width="13.19921875" style="35" customWidth="1"/>
    <col min="37" max="37" width="13.19921875" style="119" customWidth="1"/>
    <col min="38" max="38" width="13.19921875" style="11" customWidth="1"/>
    <col min="39" max="39" width="13.19921875" style="119" customWidth="1"/>
    <col min="40" max="40" width="13.19921875" style="214" customWidth="1"/>
    <col min="41" max="41" width="13.19921875" style="215" customWidth="1"/>
    <col min="42" max="42" width="13.19921875" style="45" customWidth="1"/>
    <col min="43" max="43" width="13.19921875" style="35" customWidth="1"/>
    <col min="44" max="44" width="13.19921875" style="45" customWidth="1"/>
    <col min="45" max="46" width="13.19921875" style="119" customWidth="1"/>
    <col min="47" max="47" width="13.19921875" style="11" customWidth="1"/>
    <col min="48" max="48" width="13.19921875" style="230" customWidth="1"/>
    <col min="49" max="49" width="13.19921875" style="35" customWidth="1"/>
    <col min="50" max="50" width="13.19921875" style="233" customWidth="1"/>
    <col min="51" max="51" width="13.19921875" style="11" customWidth="1"/>
    <col min="52" max="52" width="13.19921875" style="215" customWidth="1"/>
    <col min="53" max="53" width="13.19921875" style="197" customWidth="1"/>
    <col min="54" max="54" width="13.19921875" style="35" customWidth="1"/>
    <col min="55" max="55" width="13.19921875" style="119" customWidth="1"/>
    <col min="56" max="56" width="13.19921875" style="215" customWidth="1"/>
    <col min="57" max="57" width="13.19921875" style="35" customWidth="1"/>
    <col min="58" max="58" width="13.19921875" style="215" customWidth="1"/>
  </cols>
  <sheetData>
    <row r="1" spans="1:58" ht="31.05" customHeight="1" thickBot="1">
      <c r="A1" s="96" t="s">
        <v>125</v>
      </c>
      <c r="B1" s="4"/>
      <c r="C1" s="4"/>
      <c r="D1" s="4"/>
      <c r="E1" s="96"/>
      <c r="F1" s="135" t="s">
        <v>453</v>
      </c>
      <c r="G1" s="155" t="s">
        <v>519</v>
      </c>
      <c r="H1" s="156"/>
      <c r="I1" s="157"/>
      <c r="J1" s="156"/>
      <c r="K1" s="155" t="s">
        <v>504</v>
      </c>
      <c r="L1" s="158"/>
      <c r="M1" s="159"/>
      <c r="N1" s="158"/>
      <c r="O1" s="156"/>
      <c r="P1" s="156"/>
      <c r="Q1" s="155" t="s">
        <v>430</v>
      </c>
      <c r="R1" s="156"/>
      <c r="S1" s="160"/>
      <c r="T1" s="59"/>
      <c r="U1" s="160"/>
      <c r="V1" s="60"/>
      <c r="W1" s="160"/>
      <c r="X1" s="101"/>
      <c r="Y1" s="60"/>
      <c r="Z1" s="199"/>
      <c r="AA1" s="160"/>
      <c r="AB1" s="101"/>
      <c r="AC1" s="130"/>
      <c r="AD1" s="101"/>
      <c r="AE1" s="59"/>
      <c r="AF1" s="130"/>
      <c r="AG1" s="204"/>
      <c r="AH1" s="204"/>
      <c r="AI1" s="204"/>
      <c r="AJ1" s="75" t="s">
        <v>385</v>
      </c>
      <c r="AK1" s="204"/>
      <c r="AL1" s="101"/>
      <c r="AM1" s="204"/>
      <c r="AN1" s="135" t="s">
        <v>383</v>
      </c>
      <c r="AO1" s="124"/>
      <c r="AP1" s="101"/>
      <c r="AQ1" s="75" t="s">
        <v>384</v>
      </c>
      <c r="AR1" s="101"/>
      <c r="AS1" s="204"/>
      <c r="AT1" s="204"/>
      <c r="AU1" s="61"/>
      <c r="AV1" s="222"/>
      <c r="AW1" s="75" t="s">
        <v>382</v>
      </c>
      <c r="AX1" s="157"/>
      <c r="AY1" s="60"/>
      <c r="AZ1" s="160"/>
      <c r="BA1" s="158"/>
      <c r="BB1" s="75" t="s">
        <v>381</v>
      </c>
      <c r="BC1" s="160"/>
      <c r="BD1" s="160"/>
      <c r="BE1" s="75" t="s">
        <v>379</v>
      </c>
      <c r="BF1" s="160"/>
    </row>
    <row r="2" spans="1:58" ht="18">
      <c r="A2" s="150" t="s">
        <v>431</v>
      </c>
      <c r="B2" s="151"/>
      <c r="C2" s="2"/>
      <c r="D2" s="2"/>
      <c r="E2" s="13"/>
      <c r="F2" s="161"/>
      <c r="G2" s="162"/>
      <c r="H2" s="163"/>
      <c r="I2" s="164"/>
      <c r="J2" s="163"/>
      <c r="K2" s="162"/>
      <c r="L2" s="163"/>
      <c r="M2" s="164"/>
      <c r="N2" s="165"/>
      <c r="O2" s="163"/>
      <c r="P2" s="163"/>
      <c r="Q2" s="166" t="s">
        <v>505</v>
      </c>
      <c r="R2" s="165"/>
      <c r="S2" s="117"/>
      <c r="T2" s="3"/>
      <c r="U2" s="117"/>
      <c r="V2" s="3"/>
      <c r="W2" s="117"/>
      <c r="X2" s="43"/>
      <c r="Y2" s="3"/>
      <c r="Z2" s="117"/>
      <c r="AA2" s="117"/>
      <c r="AB2" s="43"/>
      <c r="AC2" s="117"/>
      <c r="AD2" s="43"/>
      <c r="AE2" s="3" t="s">
        <v>487</v>
      </c>
      <c r="AF2" s="117"/>
      <c r="AG2" s="125"/>
      <c r="AH2" s="125"/>
      <c r="AI2" s="125"/>
      <c r="AJ2" s="42" t="s">
        <v>386</v>
      </c>
      <c r="AK2" s="125"/>
      <c r="AL2" s="43"/>
      <c r="AM2" s="125"/>
      <c r="AN2" s="210" t="s">
        <v>401</v>
      </c>
      <c r="AO2" s="211" t="s">
        <v>401</v>
      </c>
      <c r="AP2" s="43"/>
      <c r="AQ2" s="42"/>
      <c r="AR2" s="43"/>
      <c r="AS2" s="125"/>
      <c r="AT2" s="125"/>
      <c r="AU2" s="109"/>
      <c r="AV2" s="223" t="s">
        <v>401</v>
      </c>
      <c r="AW2" s="243"/>
      <c r="AX2" s="231"/>
      <c r="AY2" s="245"/>
      <c r="AZ2" s="235" t="s">
        <v>401</v>
      </c>
      <c r="BA2" s="239"/>
      <c r="BB2" s="111"/>
      <c r="BC2" s="235" t="s">
        <v>401</v>
      </c>
      <c r="BD2" s="235" t="s">
        <v>401</v>
      </c>
      <c r="BE2" s="111"/>
      <c r="BF2" s="235"/>
    </row>
    <row r="3" spans="1:58" ht="133.94999999999999" customHeight="1" thickBot="1">
      <c r="A3" s="152"/>
      <c r="B3" s="153"/>
      <c r="C3" s="17"/>
      <c r="D3" s="17"/>
      <c r="E3" s="93"/>
      <c r="F3" s="167" t="s">
        <v>520</v>
      </c>
      <c r="G3" s="168" t="s">
        <v>1</v>
      </c>
      <c r="H3" s="169" t="s">
        <v>0</v>
      </c>
      <c r="I3" s="169" t="s">
        <v>22</v>
      </c>
      <c r="J3" s="169" t="s">
        <v>21</v>
      </c>
      <c r="K3" s="168" t="s">
        <v>1</v>
      </c>
      <c r="L3" s="169" t="s">
        <v>0</v>
      </c>
      <c r="M3" s="170" t="s">
        <v>506</v>
      </c>
      <c r="N3" s="171" t="s">
        <v>22</v>
      </c>
      <c r="O3" s="169" t="s">
        <v>21</v>
      </c>
      <c r="P3" s="169" t="s">
        <v>380</v>
      </c>
      <c r="Q3" s="172" t="s">
        <v>507</v>
      </c>
      <c r="R3" s="173" t="s">
        <v>449</v>
      </c>
      <c r="S3" s="174" t="s">
        <v>450</v>
      </c>
      <c r="T3" s="66" t="s">
        <v>508</v>
      </c>
      <c r="U3" s="174" t="s">
        <v>509</v>
      </c>
      <c r="V3" s="66" t="s">
        <v>510</v>
      </c>
      <c r="W3" s="174" t="s">
        <v>511</v>
      </c>
      <c r="X3" s="102" t="s">
        <v>512</v>
      </c>
      <c r="Y3" s="66" t="s">
        <v>513</v>
      </c>
      <c r="Z3" s="174" t="s">
        <v>514</v>
      </c>
      <c r="AA3" s="174" t="s">
        <v>515</v>
      </c>
      <c r="AB3" s="102" t="s">
        <v>516</v>
      </c>
      <c r="AC3" s="174" t="s">
        <v>517</v>
      </c>
      <c r="AD3" s="102" t="s">
        <v>518</v>
      </c>
      <c r="AE3" s="66" t="s">
        <v>488</v>
      </c>
      <c r="AF3" s="174" t="s">
        <v>451</v>
      </c>
      <c r="AG3" s="205" t="s">
        <v>489</v>
      </c>
      <c r="AH3" s="205" t="s">
        <v>490</v>
      </c>
      <c r="AI3" s="205" t="s">
        <v>452</v>
      </c>
      <c r="AJ3" s="82" t="s">
        <v>491</v>
      </c>
      <c r="AK3" s="208" t="s">
        <v>492</v>
      </c>
      <c r="AL3" s="78" t="s">
        <v>656</v>
      </c>
      <c r="AM3" s="209" t="s">
        <v>493</v>
      </c>
      <c r="AN3" s="212" t="s">
        <v>453</v>
      </c>
      <c r="AO3" s="213" t="s">
        <v>494</v>
      </c>
      <c r="AP3" s="108" t="s">
        <v>495</v>
      </c>
      <c r="AQ3" s="82" t="s">
        <v>496</v>
      </c>
      <c r="AR3" s="102" t="s">
        <v>497</v>
      </c>
      <c r="AS3" s="208" t="s">
        <v>498</v>
      </c>
      <c r="AT3" s="209" t="s">
        <v>660</v>
      </c>
      <c r="AU3" s="102" t="s">
        <v>500</v>
      </c>
      <c r="AV3" s="224" t="s">
        <v>501</v>
      </c>
      <c r="AW3" s="82" t="s">
        <v>454</v>
      </c>
      <c r="AX3" s="169" t="s">
        <v>455</v>
      </c>
      <c r="AY3" s="66" t="s">
        <v>456</v>
      </c>
      <c r="AZ3" s="236" t="s">
        <v>484</v>
      </c>
      <c r="BA3" s="173" t="s">
        <v>502</v>
      </c>
      <c r="BB3" s="82" t="s">
        <v>457</v>
      </c>
      <c r="BC3" s="236" t="s">
        <v>485</v>
      </c>
      <c r="BD3" s="213" t="s">
        <v>503</v>
      </c>
      <c r="BE3" s="82" t="s">
        <v>458</v>
      </c>
      <c r="BF3" s="236" t="s">
        <v>669</v>
      </c>
    </row>
    <row r="4" spans="1:58">
      <c r="A4" s="94"/>
      <c r="B4" s="15"/>
      <c r="C4" s="15"/>
      <c r="D4" s="15" t="s">
        <v>2</v>
      </c>
      <c r="E4" s="94"/>
      <c r="F4" s="175">
        <f>SUBTOTAL(109,F$15:INDEX(F:F,COUNTA($B:$B)+14-COUNTA($B$1:$B$14)))</f>
        <v>0</v>
      </c>
      <c r="G4" s="175">
        <f>SUBTOTAL(109,G$15:INDEX(G:G,COUNTA($B:$B)+14-COUNTA($B$1:$B$14)))</f>
        <v>0</v>
      </c>
      <c r="H4" s="176">
        <f>SUBTOTAL(109,H$15:INDEX(H:H,COUNTA($B:$B)+14-COUNTA($B$1:$B$14)))</f>
        <v>0</v>
      </c>
      <c r="I4" s="177">
        <f>SUBTOTAL(109,I$15:INDEX(I:I,COUNTA($B:$B)+14-COUNTA($B$1:$B$14)))</f>
        <v>0</v>
      </c>
      <c r="J4" s="178">
        <f>SUBTOTAL(109,J$15:INDEX(J:J,COUNTA($B:$B)+14-COUNTA($B$1:$B$14)))</f>
        <v>0</v>
      </c>
      <c r="K4" s="175">
        <f>SUBTOTAL(109,K$15:INDEX(K:K,COUNTA($B:$B)+14-COUNTA($B$1:$B$14)))</f>
        <v>0</v>
      </c>
      <c r="L4" s="176">
        <f>SUBTOTAL(109,L$15:INDEX(L:L,COUNTA($B:$B)+14-COUNTA($B$1:$B$14)))</f>
        <v>0</v>
      </c>
      <c r="M4" s="176">
        <f>SUBTOTAL(109,M$15:INDEX(M:M,COUNTA($B:$B)+14-COUNTA($B$1:$B$14)))</f>
        <v>0</v>
      </c>
      <c r="N4" s="178">
        <f>SUBTOTAL(109,N$15:INDEX(N:N,COUNTA($B:$B)+14-COUNTA($B$1:$B$14)))</f>
        <v>0</v>
      </c>
      <c r="O4" s="178">
        <f>SUBTOTAL(109,O$15:INDEX(O:O,COUNTA($B:$B)+14-COUNTA($B$1:$B$14)))</f>
        <v>0</v>
      </c>
      <c r="P4" s="178">
        <f>SUBTOTAL(109,P$15:INDEX(P:P,COUNTA($B:$B)+14-COUNTA($B$1:$B$14)))</f>
        <v>0</v>
      </c>
      <c r="Q4" s="175">
        <f>SUBTOTAL(109,Q$15:INDEX(Q:Q,COUNTA($B:$B)+14-COUNTA($B$1:$B$14)))</f>
        <v>0</v>
      </c>
      <c r="R4" s="176">
        <f>SUBTOTAL(109,R$15:INDEX(R:R,COUNTA($B:$B)+14-COUNTA($B$1:$B$14)))</f>
        <v>0</v>
      </c>
      <c r="S4" s="179">
        <f>SUBTOTAL(109,S$15:INDEX(S:S,COUNTA($B:$B)+14-COUNTA($B$1:$B$14)))</f>
        <v>0</v>
      </c>
      <c r="T4" s="40" t="str">
        <f>IF(SUM($Q4)=0,"",SUM($R4)/$Q4)</f>
        <v/>
      </c>
      <c r="U4" s="179">
        <f>SUBTOTAL(109,U$15:INDEX(U:U,COUNTA($B:$B)+14-COUNTA($B$1:$B$14)))</f>
        <v>0</v>
      </c>
      <c r="V4" s="50" t="str">
        <f>IF(SUM($R4)=0,"",SUM($U4)/$R4)</f>
        <v/>
      </c>
      <c r="W4" s="179">
        <f>SUBTOTAL(109,W$15:INDEX(W:W,COUNTA($B:$B)+14-COUNTA($B$1:$B$14)))</f>
        <v>0</v>
      </c>
      <c r="X4" s="103" t="str">
        <f>IF(SUM($R4)=0,"",SUM($W4)/$R4)</f>
        <v/>
      </c>
      <c r="Y4" s="50" t="str">
        <f>IF(SUM($U4)=0,"",SUM($W4)/$U4)</f>
        <v/>
      </c>
      <c r="Z4" s="179">
        <f>SUBTOTAL(109,Z$15:INDEX(Z:Z,COUNTA($B:$B)+14-COUNTA($B$1:$B$14)))</f>
        <v>0</v>
      </c>
      <c r="AA4" s="179">
        <f>SUBTOTAL(109,AA$15:INDEX(AA:AA,COUNTA($B:$B)+14-COUNTA($B$1:$B$14)))</f>
        <v>0</v>
      </c>
      <c r="AB4" s="103" t="str">
        <f>IF(SUM($W4)=0,"",SUM($AA4)/$W4)</f>
        <v/>
      </c>
      <c r="AC4" s="179">
        <f>SUBTOTAL(109,AC$15:INDEX(AC:AC,COUNTA($B:$B)+14-COUNTA($B$1:$B$14)))</f>
        <v>0</v>
      </c>
      <c r="AD4" s="103" t="str">
        <f>IF(SUM($AA4)=0,"",SUM($AC4)/$AA4)</f>
        <v/>
      </c>
      <c r="AE4" s="40" t="str">
        <f>IF(SUM($Q4)=0,"",SUM($AF4)/$Q4)</f>
        <v/>
      </c>
      <c r="AF4" s="202">
        <f>SUBTOTAL(109,AF$15:INDEX(AF:AF,COUNTA($B:$B)+14-COUNTA($B$1:$B$14)))</f>
        <v>0</v>
      </c>
      <c r="AG4" s="206">
        <f>SUBTOTAL(109,AG$15:INDEX(AG:AG,COUNTA($B:$B)+14-COUNTA($B$1:$B$14)))</f>
        <v>0</v>
      </c>
      <c r="AH4" s="206">
        <f>SUBTOTAL(109,AH$15:INDEX(AH:AH,COUNTA($B:$B)+14-COUNTA($B$1:$B$14)))</f>
        <v>0</v>
      </c>
      <c r="AI4" s="206">
        <f>SUBTOTAL(109,AI$15:INDEX(AI:AI,COUNTA($B:$B)+14-COUNTA($B$1:$B$14)))</f>
        <v>0</v>
      </c>
      <c r="AJ4" s="106" t="str">
        <f>IF(SUM($AG4)=0,"",SUM($AK4)/$AG4)</f>
        <v/>
      </c>
      <c r="AK4" s="206">
        <f>SUBTOTAL(109,AK$15:INDEX(AK:AK,COUNTA($B:$B)+14-COUNTA($B$1:$B$14)))</f>
        <v>0</v>
      </c>
      <c r="AL4" s="103" t="str">
        <f>IF(SUM($AT4)=0,"",ROUND(SUM($M15)/IF(SUM($W15)=0,1,$W15),2))</f>
        <v/>
      </c>
      <c r="AM4" s="206">
        <f>SUBTOTAL(109,AM$15:INDEX(AM:AM,COUNTA($B:$B)+14-COUNTA($B$1:$B$14)))</f>
        <v>0</v>
      </c>
      <c r="AN4" s="214">
        <f>SUBTOTAL(109,AN$15:INDEX(AN:AN,COUNTA($B:$B)+14-COUNTA($B$1:$B$14)))</f>
        <v>0</v>
      </c>
      <c r="AO4" s="215">
        <f>SUBTOTAL(109,AO$15:INDEX(AO:AO,COUNTA($B:$B)+14-COUNTA($B$1:$B$14)))</f>
        <v>0</v>
      </c>
      <c r="AP4" s="103" t="str">
        <f>IF(SUM($AG4)=0,"",SUM($AO4)/$AG4)</f>
        <v/>
      </c>
      <c r="AQ4" s="106"/>
      <c r="AR4" s="103"/>
      <c r="AS4" s="221">
        <f>SUBTOTAL(109,AS$15:INDEX(AS:AS,COUNTA($B:$B)+14-COUNTA($B$1:$B$14)))</f>
        <v>0</v>
      </c>
      <c r="AT4" s="221">
        <f>SUBTOTAL(109,AT$15:INDEX(AT:AT,COUNTA($B:$B)+14-COUNTA($B$1:$B$14)))</f>
        <v>0</v>
      </c>
      <c r="AU4" s="103" t="str">
        <f>IF(SUM($AT4)=0,"",SUM($AV4)/$AT4)</f>
        <v/>
      </c>
      <c r="AV4" s="225">
        <f>SUBTOTAL(109,AV$15:INDEX(AV:AV,COUNTA($B:$B)+14-COUNTA($B$1:$B$14)))</f>
        <v>0</v>
      </c>
      <c r="AW4" s="34" t="str">
        <f>IF(SUM($AT4)=0,"",(SUM($AX4)-SUM($M4))/$AT4)</f>
        <v/>
      </c>
      <c r="AX4" s="232">
        <f>SUBTOTAL(109,AX$15:INDEX(AX:AX,COUNTA($B:$B)+14-COUNTA($B$1:$B$14)))</f>
        <v>0</v>
      </c>
      <c r="AY4" s="18" t="str">
        <f>IF(SUM($AX4)=0,"",SUM($AZ4)/$AX4)</f>
        <v/>
      </c>
      <c r="AZ4" s="237">
        <f>SUBTOTAL(109,AZ$15:INDEX(AZ:AZ,COUNTA($B:$B)+14-COUNTA($B$1:$B$14)))</f>
        <v>0</v>
      </c>
      <c r="BA4" s="176">
        <f>SUBTOTAL(109,BA$15:INDEX(BA:BA,COUNTA($B:$B)+14-COUNTA($B$1:$B$14)))</f>
        <v>0</v>
      </c>
      <c r="BB4" s="34" t="str">
        <f>IF(SUM($AZ4)=0,"",SUM($BC4)/$AZ4)</f>
        <v/>
      </c>
      <c r="BC4" s="237">
        <f>SUBTOTAL(109,BC$15:INDEX(BC:BC,COUNTA($B:$B)+14-COUNTA($B$1:$B$14)))</f>
        <v>0</v>
      </c>
      <c r="BD4" s="237">
        <f>SUBTOTAL(109,BD$15:INDEX(BD:BD,COUNTA($B:$B)+14-COUNTA($B$1:$B$14)))</f>
        <v>0</v>
      </c>
      <c r="BE4" s="106" t="str">
        <f>IF(SUM($BF4)=0,"",SUM($AV4)/$BF4)</f>
        <v/>
      </c>
      <c r="BF4" s="237">
        <f>SUBTOTAL(109,BF$15:INDEX(BF:BF,COUNTA($B:$B)+14-COUNTA($B$1:$B$14)))</f>
        <v>0</v>
      </c>
    </row>
    <row r="5" spans="1:58">
      <c r="A5" t="s">
        <v>38</v>
      </c>
      <c r="B5" s="5" t="s">
        <v>38</v>
      </c>
      <c r="C5" s="5" t="s">
        <v>38</v>
      </c>
      <c r="D5" s="5" t="s">
        <v>38</v>
      </c>
      <c r="E5" t="s">
        <v>38</v>
      </c>
      <c r="F5" s="142" t="s">
        <v>38</v>
      </c>
      <c r="G5" s="180" t="s">
        <v>49</v>
      </c>
      <c r="H5" s="181" t="s">
        <v>49</v>
      </c>
      <c r="I5" s="182" t="s">
        <v>49</v>
      </c>
      <c r="J5" s="182" t="s">
        <v>49</v>
      </c>
      <c r="K5" s="180" t="s">
        <v>49</v>
      </c>
      <c r="L5" s="181" t="s">
        <v>49</v>
      </c>
      <c r="M5" s="181" t="s">
        <v>38</v>
      </c>
      <c r="N5" s="182" t="s">
        <v>49</v>
      </c>
      <c r="O5" s="182" t="s">
        <v>49</v>
      </c>
      <c r="P5" s="182" t="s">
        <v>38</v>
      </c>
      <c r="Q5" s="180" t="s">
        <v>46</v>
      </c>
      <c r="R5" s="182" t="s">
        <v>46</v>
      </c>
      <c r="S5" s="119" t="s">
        <v>38</v>
      </c>
      <c r="T5" s="11" t="s">
        <v>46</v>
      </c>
      <c r="U5" s="119" t="s">
        <v>47</v>
      </c>
      <c r="V5" s="41" t="s">
        <v>38</v>
      </c>
      <c r="W5" s="119" t="s">
        <v>47</v>
      </c>
      <c r="X5" s="45" t="s">
        <v>38</v>
      </c>
      <c r="Y5" s="41" t="s">
        <v>38</v>
      </c>
      <c r="Z5" s="198" t="s">
        <v>38</v>
      </c>
      <c r="AA5" s="119" t="s">
        <v>47</v>
      </c>
      <c r="AB5" s="46" t="s">
        <v>38</v>
      </c>
      <c r="AC5" s="119" t="s">
        <v>47</v>
      </c>
      <c r="AD5" s="46" t="s">
        <v>38</v>
      </c>
      <c r="AE5" s="41" t="s">
        <v>38</v>
      </c>
      <c r="AF5" s="198" t="s">
        <v>46</v>
      </c>
      <c r="AG5" s="119" t="s">
        <v>38</v>
      </c>
      <c r="AH5" s="119" t="s">
        <v>38</v>
      </c>
      <c r="AI5" s="119" t="s">
        <v>46</v>
      </c>
      <c r="AJ5" s="35" t="s">
        <v>38</v>
      </c>
      <c r="AK5" s="119" t="s">
        <v>38</v>
      </c>
      <c r="AL5" s="11" t="s">
        <v>38</v>
      </c>
      <c r="AM5" s="119" t="s">
        <v>38</v>
      </c>
      <c r="AN5" s="214" t="s">
        <v>49</v>
      </c>
      <c r="AO5" s="215" t="s">
        <v>47</v>
      </c>
      <c r="AP5" s="45" t="s">
        <v>38</v>
      </c>
      <c r="AQ5" s="35" t="s">
        <v>38</v>
      </c>
      <c r="AR5" s="45" t="s">
        <v>38</v>
      </c>
      <c r="AS5" s="119" t="s">
        <v>38</v>
      </c>
      <c r="AT5" s="119" t="s">
        <v>38</v>
      </c>
      <c r="AU5" s="46" t="s">
        <v>38</v>
      </c>
      <c r="AV5" s="226" t="s">
        <v>49</v>
      </c>
      <c r="AW5" s="35" t="s">
        <v>38</v>
      </c>
      <c r="AX5" s="233" t="s">
        <v>38</v>
      </c>
      <c r="AY5" s="11" t="s">
        <v>38</v>
      </c>
      <c r="AZ5" s="215" t="s">
        <v>49</v>
      </c>
      <c r="BA5" s="197" t="s">
        <v>38</v>
      </c>
      <c r="BB5" s="35" t="s">
        <v>38</v>
      </c>
      <c r="BC5" s="215" t="s">
        <v>49</v>
      </c>
      <c r="BD5" s="215" t="s">
        <v>47</v>
      </c>
      <c r="BE5" s="35" t="s">
        <v>38</v>
      </c>
      <c r="BF5" s="215" t="s">
        <v>38</v>
      </c>
    </row>
    <row r="6" spans="1:58">
      <c r="A6" t="s">
        <v>87</v>
      </c>
      <c r="B6" s="5" t="s">
        <v>87</v>
      </c>
      <c r="C6" s="5" t="s">
        <v>87</v>
      </c>
      <c r="D6" s="5" t="s">
        <v>87</v>
      </c>
      <c r="E6" t="s">
        <v>87</v>
      </c>
      <c r="F6" s="142" t="s">
        <v>52</v>
      </c>
      <c r="G6" s="180" t="s">
        <v>50</v>
      </c>
      <c r="H6" s="181" t="s">
        <v>50</v>
      </c>
      <c r="I6" s="182" t="s">
        <v>50</v>
      </c>
      <c r="J6" s="182" t="s">
        <v>50</v>
      </c>
      <c r="K6" s="180" t="s">
        <v>50</v>
      </c>
      <c r="L6" s="181" t="s">
        <v>50</v>
      </c>
      <c r="M6" s="181" t="s">
        <v>52</v>
      </c>
      <c r="N6" s="182" t="s">
        <v>50</v>
      </c>
      <c r="O6" s="182" t="s">
        <v>50</v>
      </c>
      <c r="P6" s="182" t="s">
        <v>33</v>
      </c>
      <c r="Q6" s="180" t="s">
        <v>32</v>
      </c>
      <c r="R6" s="182" t="s">
        <v>32</v>
      </c>
      <c r="S6" s="119" t="s">
        <v>52</v>
      </c>
      <c r="T6" s="11" t="s">
        <v>32</v>
      </c>
      <c r="U6" s="119" t="s">
        <v>32</v>
      </c>
      <c r="V6" s="41" t="s">
        <v>33</v>
      </c>
      <c r="W6" s="119" t="s">
        <v>32</v>
      </c>
      <c r="X6" s="45" t="s">
        <v>33</v>
      </c>
      <c r="Y6" s="41" t="s">
        <v>33</v>
      </c>
      <c r="Z6" s="198" t="s">
        <v>52</v>
      </c>
      <c r="AA6" s="119" t="s">
        <v>32</v>
      </c>
      <c r="AB6" s="46" t="s">
        <v>33</v>
      </c>
      <c r="AC6" s="119" t="s">
        <v>32</v>
      </c>
      <c r="AD6" s="46" t="s">
        <v>33</v>
      </c>
      <c r="AE6" s="41" t="s">
        <v>33</v>
      </c>
      <c r="AF6" s="198" t="s">
        <v>32</v>
      </c>
      <c r="AG6" s="119" t="s">
        <v>52</v>
      </c>
      <c r="AH6" s="119" t="s">
        <v>52</v>
      </c>
      <c r="AI6" s="119" t="s">
        <v>32</v>
      </c>
      <c r="AJ6" s="35" t="s">
        <v>52</v>
      </c>
      <c r="AK6" s="119" t="s">
        <v>33</v>
      </c>
      <c r="AL6" s="11" t="s">
        <v>33</v>
      </c>
      <c r="AM6" s="119" t="s">
        <v>52</v>
      </c>
      <c r="AN6" s="214" t="s">
        <v>32</v>
      </c>
      <c r="AO6" s="215" t="s">
        <v>32</v>
      </c>
      <c r="AP6" s="45" t="s">
        <v>33</v>
      </c>
      <c r="AQ6" s="35" t="s">
        <v>52</v>
      </c>
      <c r="AR6" s="45" t="s">
        <v>52</v>
      </c>
      <c r="AS6" s="119" t="s">
        <v>33</v>
      </c>
      <c r="AT6" s="119" t="s">
        <v>33</v>
      </c>
      <c r="AU6" s="46" t="s">
        <v>52</v>
      </c>
      <c r="AV6" s="226" t="s">
        <v>32</v>
      </c>
      <c r="AW6" s="35" t="s">
        <v>52</v>
      </c>
      <c r="AX6" s="233" t="s">
        <v>33</v>
      </c>
      <c r="AY6" s="11" t="s">
        <v>52</v>
      </c>
      <c r="AZ6" s="215" t="s">
        <v>32</v>
      </c>
      <c r="BA6" s="197" t="s">
        <v>52</v>
      </c>
      <c r="BB6" s="35" t="s">
        <v>52</v>
      </c>
      <c r="BC6" s="215" t="s">
        <v>32</v>
      </c>
      <c r="BD6" s="215" t="s">
        <v>32</v>
      </c>
      <c r="BE6" s="35" t="s">
        <v>52</v>
      </c>
      <c r="BF6" s="215" t="s">
        <v>33</v>
      </c>
    </row>
    <row r="7" spans="1:58">
      <c r="A7" t="s">
        <v>48</v>
      </c>
      <c r="B7" s="5" t="s">
        <v>48</v>
      </c>
      <c r="C7" s="5" t="s">
        <v>48</v>
      </c>
      <c r="D7" s="5" t="s">
        <v>48</v>
      </c>
      <c r="E7" t="s">
        <v>48</v>
      </c>
      <c r="F7" s="142" t="s">
        <v>34</v>
      </c>
      <c r="G7" s="180" t="s">
        <v>34</v>
      </c>
      <c r="H7" s="181" t="s">
        <v>34</v>
      </c>
      <c r="I7" s="182" t="s">
        <v>34</v>
      </c>
      <c r="J7" s="182" t="s">
        <v>34</v>
      </c>
      <c r="K7" s="180" t="s">
        <v>34</v>
      </c>
      <c r="L7" s="181" t="s">
        <v>34</v>
      </c>
      <c r="M7" s="181" t="s">
        <v>34</v>
      </c>
      <c r="N7" s="182" t="s">
        <v>34</v>
      </c>
      <c r="O7" s="182" t="s">
        <v>34</v>
      </c>
      <c r="P7" s="182" t="s">
        <v>34</v>
      </c>
      <c r="Q7" s="180" t="s">
        <v>34</v>
      </c>
      <c r="R7" s="182" t="s">
        <v>34</v>
      </c>
      <c r="S7" s="119" t="s">
        <v>34</v>
      </c>
      <c r="T7" s="11" t="s">
        <v>35</v>
      </c>
      <c r="U7" s="119" t="s">
        <v>34</v>
      </c>
      <c r="V7" s="41" t="s">
        <v>35</v>
      </c>
      <c r="W7" s="119" t="s">
        <v>34</v>
      </c>
      <c r="X7" s="45" t="s">
        <v>35</v>
      </c>
      <c r="Y7" s="41" t="s">
        <v>35</v>
      </c>
      <c r="Z7" s="198" t="s">
        <v>34</v>
      </c>
      <c r="AA7" s="119" t="s">
        <v>34</v>
      </c>
      <c r="AB7" s="46" t="s">
        <v>35</v>
      </c>
      <c r="AC7" s="119" t="s">
        <v>34</v>
      </c>
      <c r="AD7" s="46" t="s">
        <v>35</v>
      </c>
      <c r="AE7" s="41" t="s">
        <v>35</v>
      </c>
      <c r="AF7" s="198" t="s">
        <v>34</v>
      </c>
      <c r="AG7" s="119" t="s">
        <v>34</v>
      </c>
      <c r="AH7" s="119" t="s">
        <v>34</v>
      </c>
      <c r="AI7" s="119" t="s">
        <v>34</v>
      </c>
      <c r="AJ7" s="35" t="s">
        <v>35</v>
      </c>
      <c r="AK7" s="119" t="s">
        <v>34</v>
      </c>
      <c r="AL7" s="11" t="s">
        <v>35</v>
      </c>
      <c r="AM7" s="119" t="s">
        <v>34</v>
      </c>
      <c r="AN7" s="214" t="s">
        <v>34</v>
      </c>
      <c r="AO7" s="215" t="s">
        <v>34</v>
      </c>
      <c r="AP7" s="45" t="s">
        <v>35</v>
      </c>
      <c r="AQ7" s="35" t="s">
        <v>35</v>
      </c>
      <c r="AR7" s="45" t="s">
        <v>35</v>
      </c>
      <c r="AS7" s="119" t="s">
        <v>34</v>
      </c>
      <c r="AT7" s="119" t="s">
        <v>34</v>
      </c>
      <c r="AU7" s="46" t="s">
        <v>35</v>
      </c>
      <c r="AV7" s="226" t="s">
        <v>34</v>
      </c>
      <c r="AW7" s="35" t="s">
        <v>35</v>
      </c>
      <c r="AX7" s="233" t="s">
        <v>34</v>
      </c>
      <c r="AY7" s="11" t="s">
        <v>35</v>
      </c>
      <c r="AZ7" s="215" t="s">
        <v>34</v>
      </c>
      <c r="BA7" s="197" t="s">
        <v>34</v>
      </c>
      <c r="BB7" s="35" t="s">
        <v>35</v>
      </c>
      <c r="BC7" s="215" t="s">
        <v>34</v>
      </c>
      <c r="BD7" s="215" t="s">
        <v>34</v>
      </c>
      <c r="BE7" s="35" t="s">
        <v>35</v>
      </c>
      <c r="BF7" s="215" t="s">
        <v>34</v>
      </c>
    </row>
    <row r="8" spans="1:58">
      <c r="B8" s="5"/>
      <c r="D8" s="31"/>
      <c r="G8" s="183" t="s">
        <v>360</v>
      </c>
      <c r="H8" s="184" t="s">
        <v>344</v>
      </c>
      <c r="I8" s="185" t="s">
        <v>417</v>
      </c>
      <c r="J8" s="185" t="s">
        <v>355</v>
      </c>
      <c r="K8" s="183" t="s">
        <v>63</v>
      </c>
      <c r="L8" s="184" t="s">
        <v>61</v>
      </c>
      <c r="N8" s="185" t="s">
        <v>65</v>
      </c>
      <c r="O8" s="185" t="s">
        <v>353</v>
      </c>
      <c r="Q8" s="180" t="s">
        <v>36</v>
      </c>
      <c r="R8" s="185" t="s">
        <v>116</v>
      </c>
      <c r="S8" s="186"/>
      <c r="T8" s="148" t="s">
        <v>37</v>
      </c>
      <c r="U8" s="186" t="s">
        <v>39</v>
      </c>
      <c r="V8" s="55"/>
      <c r="W8" s="186" t="s">
        <v>119</v>
      </c>
      <c r="Y8" s="55"/>
      <c r="Z8" s="200"/>
      <c r="AA8" s="201" t="s">
        <v>477</v>
      </c>
      <c r="AC8" s="186" t="s">
        <v>40</v>
      </c>
      <c r="AE8" s="55"/>
      <c r="AF8" s="186" t="s">
        <v>440</v>
      </c>
      <c r="AI8" s="186" t="s">
        <v>116</v>
      </c>
      <c r="AN8" s="216" t="s">
        <v>61</v>
      </c>
      <c r="AO8" s="217" t="s">
        <v>119</v>
      </c>
      <c r="AU8" s="46"/>
      <c r="AV8" s="227" t="s">
        <v>63</v>
      </c>
      <c r="AZ8" s="217" t="s">
        <v>480</v>
      </c>
      <c r="BC8" s="217" t="s">
        <v>482</v>
      </c>
      <c r="BD8" s="217" t="s">
        <v>40</v>
      </c>
    </row>
    <row r="9" spans="1:58">
      <c r="B9" s="5"/>
      <c r="D9" s="31"/>
      <c r="G9" s="183" t="s">
        <v>361</v>
      </c>
      <c r="H9" s="184" t="s">
        <v>104</v>
      </c>
      <c r="I9" s="185" t="s">
        <v>416</v>
      </c>
      <c r="J9" s="185" t="s">
        <v>356</v>
      </c>
      <c r="K9" s="183" t="s">
        <v>64</v>
      </c>
      <c r="L9" s="184" t="s">
        <v>62</v>
      </c>
      <c r="N9" s="185" t="s">
        <v>66</v>
      </c>
      <c r="O9" s="185" t="s">
        <v>354</v>
      </c>
      <c r="R9" s="185"/>
      <c r="S9" s="186"/>
      <c r="T9" s="148"/>
      <c r="U9" s="186"/>
      <c r="V9" s="55"/>
      <c r="W9" s="186"/>
      <c r="Y9" s="55"/>
      <c r="Z9" s="200"/>
      <c r="AC9" s="186"/>
      <c r="AE9" s="55"/>
      <c r="AF9" s="200"/>
      <c r="AI9" s="186"/>
      <c r="AN9" s="216" t="s">
        <v>62</v>
      </c>
      <c r="AO9" s="217"/>
      <c r="AU9" s="46"/>
      <c r="AV9" s="227" t="s">
        <v>64</v>
      </c>
      <c r="AZ9" s="217" t="s">
        <v>481</v>
      </c>
      <c r="BC9" s="217" t="s">
        <v>483</v>
      </c>
      <c r="BD9" s="217"/>
    </row>
    <row r="10" spans="1:58">
      <c r="B10" s="5"/>
      <c r="D10" s="31"/>
      <c r="G10" s="183" t="s">
        <v>44</v>
      </c>
      <c r="H10" s="184" t="s">
        <v>44</v>
      </c>
      <c r="I10" s="185" t="s">
        <v>67</v>
      </c>
      <c r="J10" s="185" t="s">
        <v>67</v>
      </c>
      <c r="K10" s="183" t="s">
        <v>44</v>
      </c>
      <c r="L10" s="184" t="s">
        <v>44</v>
      </c>
      <c r="N10" s="184" t="s">
        <v>67</v>
      </c>
      <c r="O10" s="184" t="s">
        <v>67</v>
      </c>
      <c r="P10" s="187"/>
      <c r="R10" s="185" t="s">
        <v>44</v>
      </c>
      <c r="S10" s="186"/>
      <c r="T10" s="148"/>
      <c r="U10" s="186" t="s">
        <v>44</v>
      </c>
      <c r="V10" s="55"/>
      <c r="W10" s="186" t="s">
        <v>44</v>
      </c>
      <c r="Y10" s="55"/>
      <c r="Z10" s="200"/>
      <c r="AA10" s="186" t="s">
        <v>44</v>
      </c>
      <c r="AC10" s="186" t="s">
        <v>44</v>
      </c>
      <c r="AE10" s="55"/>
      <c r="AF10" s="186" t="s">
        <v>44</v>
      </c>
      <c r="AI10" s="186" t="s">
        <v>44</v>
      </c>
      <c r="AN10" s="216" t="s">
        <v>44</v>
      </c>
      <c r="AO10" s="217" t="s">
        <v>44</v>
      </c>
      <c r="AU10" s="46"/>
      <c r="AV10" s="227" t="s">
        <v>44</v>
      </c>
      <c r="AZ10" s="217" t="s">
        <v>44</v>
      </c>
      <c r="BC10" s="217" t="s">
        <v>44</v>
      </c>
      <c r="BD10" s="217" t="s">
        <v>44</v>
      </c>
    </row>
    <row r="11" spans="1:58">
      <c r="B11" s="5"/>
      <c r="D11" s="31"/>
      <c r="F11" s="142" t="s">
        <v>414</v>
      </c>
      <c r="G11" s="180" t="s">
        <v>414</v>
      </c>
      <c r="H11" s="181" t="s">
        <v>414</v>
      </c>
      <c r="I11" s="182" t="s">
        <v>414</v>
      </c>
      <c r="J11" s="182" t="s">
        <v>414</v>
      </c>
      <c r="K11" s="180" t="s">
        <v>414</v>
      </c>
      <c r="L11" s="181" t="s">
        <v>414</v>
      </c>
      <c r="M11" s="181" t="s">
        <v>414</v>
      </c>
      <c r="N11" s="182" t="s">
        <v>414</v>
      </c>
      <c r="O11" s="181" t="s">
        <v>414</v>
      </c>
      <c r="P11" s="181" t="s">
        <v>414</v>
      </c>
      <c r="Q11" s="180" t="s">
        <v>414</v>
      </c>
      <c r="R11" s="182" t="s">
        <v>414</v>
      </c>
      <c r="S11" s="119" t="s">
        <v>414</v>
      </c>
      <c r="T11" s="11" t="s">
        <v>414</v>
      </c>
      <c r="U11" s="119" t="s">
        <v>414</v>
      </c>
      <c r="V11" s="41" t="s">
        <v>414</v>
      </c>
      <c r="W11" s="119" t="s">
        <v>414</v>
      </c>
      <c r="X11" s="45" t="s">
        <v>414</v>
      </c>
      <c r="Y11" s="41" t="s">
        <v>414</v>
      </c>
      <c r="Z11" s="198" t="s">
        <v>414</v>
      </c>
      <c r="AA11" s="119" t="s">
        <v>414</v>
      </c>
      <c r="AB11" s="46" t="s">
        <v>414</v>
      </c>
      <c r="AC11" s="119" t="s">
        <v>414</v>
      </c>
      <c r="AD11" s="46" t="s">
        <v>414</v>
      </c>
      <c r="AE11" s="41" t="s">
        <v>414</v>
      </c>
      <c r="AF11" s="198" t="s">
        <v>414</v>
      </c>
      <c r="AG11" s="119" t="s">
        <v>414</v>
      </c>
      <c r="AH11" s="119" t="s">
        <v>414</v>
      </c>
      <c r="AI11" s="119" t="s">
        <v>414</v>
      </c>
      <c r="AJ11" s="35" t="s">
        <v>414</v>
      </c>
      <c r="AK11" s="119" t="s">
        <v>414</v>
      </c>
      <c r="AL11" s="11" t="s">
        <v>414</v>
      </c>
      <c r="AM11" s="119" t="s">
        <v>414</v>
      </c>
      <c r="AN11" s="214" t="s">
        <v>414</v>
      </c>
      <c r="AO11" s="215" t="s">
        <v>414</v>
      </c>
      <c r="AP11" s="45" t="s">
        <v>414</v>
      </c>
      <c r="AQ11" s="35" t="s">
        <v>414</v>
      </c>
      <c r="AR11" s="45" t="s">
        <v>414</v>
      </c>
      <c r="AS11" s="119" t="s">
        <v>414</v>
      </c>
      <c r="AT11" s="119" t="s">
        <v>414</v>
      </c>
      <c r="AU11" s="46" t="s">
        <v>414</v>
      </c>
      <c r="AV11" s="226" t="s">
        <v>414</v>
      </c>
      <c r="AW11" s="35" t="s">
        <v>414</v>
      </c>
      <c r="AX11" s="233" t="s">
        <v>414</v>
      </c>
      <c r="AY11" s="11" t="s">
        <v>414</v>
      </c>
      <c r="AZ11" s="215" t="s">
        <v>414</v>
      </c>
      <c r="BA11" s="197" t="s">
        <v>414</v>
      </c>
      <c r="BB11" s="35" t="s">
        <v>414</v>
      </c>
      <c r="BC11" s="215" t="s">
        <v>414</v>
      </c>
      <c r="BD11" s="215" t="s">
        <v>414</v>
      </c>
      <c r="BE11" s="35" t="s">
        <v>414</v>
      </c>
      <c r="BF11" s="215" t="s">
        <v>414</v>
      </c>
    </row>
    <row r="12" spans="1:58">
      <c r="B12" s="5"/>
      <c r="D12" s="31"/>
      <c r="F12" s="142" t="s">
        <v>88</v>
      </c>
      <c r="G12" s="180" t="s">
        <v>88</v>
      </c>
      <c r="H12" s="181" t="s">
        <v>88</v>
      </c>
      <c r="I12" s="182" t="s">
        <v>88</v>
      </c>
      <c r="J12" s="182" t="s">
        <v>88</v>
      </c>
      <c r="K12" s="180" t="s">
        <v>88</v>
      </c>
      <c r="L12" s="181" t="s">
        <v>88</v>
      </c>
      <c r="M12" s="181" t="s">
        <v>88</v>
      </c>
      <c r="N12" s="182" t="s">
        <v>88</v>
      </c>
      <c r="O12" s="181" t="s">
        <v>88</v>
      </c>
      <c r="P12" s="181" t="s">
        <v>88</v>
      </c>
      <c r="Q12" s="180" t="s">
        <v>88</v>
      </c>
      <c r="R12" s="182" t="s">
        <v>88</v>
      </c>
      <c r="S12" s="119" t="s">
        <v>88</v>
      </c>
      <c r="T12" s="11" t="s">
        <v>88</v>
      </c>
      <c r="U12" s="119" t="s">
        <v>88</v>
      </c>
      <c r="V12" s="41" t="s">
        <v>88</v>
      </c>
      <c r="W12" s="119" t="s">
        <v>88</v>
      </c>
      <c r="X12" s="45" t="s">
        <v>88</v>
      </c>
      <c r="Y12" s="41" t="s">
        <v>88</v>
      </c>
      <c r="Z12" s="198" t="s">
        <v>88</v>
      </c>
      <c r="AA12" s="119" t="s">
        <v>88</v>
      </c>
      <c r="AB12" s="46" t="s">
        <v>88</v>
      </c>
      <c r="AC12" s="119" t="s">
        <v>88</v>
      </c>
      <c r="AD12" s="46" t="s">
        <v>88</v>
      </c>
      <c r="AE12" s="41" t="s">
        <v>88</v>
      </c>
      <c r="AF12" s="198" t="s">
        <v>88</v>
      </c>
      <c r="AG12" s="119" t="s">
        <v>88</v>
      </c>
      <c r="AH12" s="119" t="s">
        <v>88</v>
      </c>
      <c r="AI12" s="119" t="s">
        <v>88</v>
      </c>
      <c r="AJ12" s="35" t="s">
        <v>88</v>
      </c>
      <c r="AK12" s="119" t="s">
        <v>88</v>
      </c>
      <c r="AL12" s="11" t="s">
        <v>88</v>
      </c>
      <c r="AM12" s="119" t="s">
        <v>88</v>
      </c>
      <c r="AN12" s="214" t="s">
        <v>88</v>
      </c>
      <c r="AO12" s="215" t="s">
        <v>88</v>
      </c>
      <c r="AP12" s="45" t="s">
        <v>88</v>
      </c>
      <c r="AQ12" s="35" t="s">
        <v>88</v>
      </c>
      <c r="AR12" s="45" t="s">
        <v>88</v>
      </c>
      <c r="AS12" s="119" t="s">
        <v>88</v>
      </c>
      <c r="AT12" s="119" t="s">
        <v>88</v>
      </c>
      <c r="AU12" s="46" t="s">
        <v>88</v>
      </c>
      <c r="AV12" s="226" t="s">
        <v>88</v>
      </c>
      <c r="AW12" s="35" t="s">
        <v>88</v>
      </c>
      <c r="AX12" s="233" t="s">
        <v>88</v>
      </c>
      <c r="AY12" s="11" t="s">
        <v>88</v>
      </c>
      <c r="AZ12" s="215" t="s">
        <v>88</v>
      </c>
      <c r="BA12" s="197" t="s">
        <v>88</v>
      </c>
      <c r="BB12" s="35" t="s">
        <v>88</v>
      </c>
      <c r="BC12" s="215" t="s">
        <v>88</v>
      </c>
      <c r="BD12" s="215" t="s">
        <v>88</v>
      </c>
      <c r="BE12" s="35" t="s">
        <v>88</v>
      </c>
      <c r="BF12" s="215" t="s">
        <v>88</v>
      </c>
    </row>
    <row r="13" spans="1:58">
      <c r="B13" s="5"/>
      <c r="D13" s="31"/>
      <c r="H13" s="181"/>
      <c r="L13" s="181"/>
      <c r="V13" s="41"/>
      <c r="Y13" s="41"/>
      <c r="Z13" s="198"/>
      <c r="AE13" s="41"/>
      <c r="AF13" s="198"/>
      <c r="AU13" s="46"/>
      <c r="AV13" s="226"/>
      <c r="BC13" s="215"/>
    </row>
    <row r="14" spans="1:58">
      <c r="A14" s="99" t="s">
        <v>24</v>
      </c>
      <c r="B14" s="62" t="s">
        <v>3</v>
      </c>
      <c r="C14" s="63" t="s">
        <v>16</v>
      </c>
      <c r="D14" s="63" t="s">
        <v>4</v>
      </c>
      <c r="E14" s="97" t="s">
        <v>27</v>
      </c>
      <c r="F14" s="188" t="s">
        <v>395</v>
      </c>
      <c r="G14" s="189" t="s">
        <v>362</v>
      </c>
      <c r="H14" s="190" t="s">
        <v>137</v>
      </c>
      <c r="I14" s="191" t="s">
        <v>373</v>
      </c>
      <c r="J14" s="192" t="s">
        <v>358</v>
      </c>
      <c r="K14" s="189" t="s">
        <v>363</v>
      </c>
      <c r="L14" s="190" t="s">
        <v>138</v>
      </c>
      <c r="M14" s="191" t="s">
        <v>403</v>
      </c>
      <c r="N14" s="193" t="s">
        <v>372</v>
      </c>
      <c r="O14" s="192" t="s">
        <v>357</v>
      </c>
      <c r="P14" s="192" t="s">
        <v>376</v>
      </c>
      <c r="Q14" s="194" t="s">
        <v>126</v>
      </c>
      <c r="R14" s="193" t="s">
        <v>445</v>
      </c>
      <c r="S14" s="118" t="s">
        <v>432</v>
      </c>
      <c r="T14" s="64" t="s">
        <v>129</v>
      </c>
      <c r="U14" s="118" t="s">
        <v>128</v>
      </c>
      <c r="V14" s="64" t="s">
        <v>387</v>
      </c>
      <c r="W14" s="118" t="s">
        <v>130</v>
      </c>
      <c r="X14" s="65" t="s">
        <v>391</v>
      </c>
      <c r="Y14" s="64" t="s">
        <v>193</v>
      </c>
      <c r="Z14" s="118" t="s">
        <v>433</v>
      </c>
      <c r="AA14" s="118" t="s">
        <v>352</v>
      </c>
      <c r="AB14" s="65" t="s">
        <v>388</v>
      </c>
      <c r="AC14" s="118" t="s">
        <v>422</v>
      </c>
      <c r="AD14" s="65" t="s">
        <v>421</v>
      </c>
      <c r="AE14" s="64" t="s">
        <v>426</v>
      </c>
      <c r="AF14" s="118" t="s">
        <v>425</v>
      </c>
      <c r="AG14" s="129" t="s">
        <v>444</v>
      </c>
      <c r="AH14" s="129" t="s">
        <v>438</v>
      </c>
      <c r="AI14" s="129" t="s">
        <v>389</v>
      </c>
      <c r="AJ14" s="77" t="s">
        <v>394</v>
      </c>
      <c r="AK14" s="129" t="s">
        <v>392</v>
      </c>
      <c r="AL14" s="65" t="s">
        <v>657</v>
      </c>
      <c r="AM14" s="129" t="s">
        <v>393</v>
      </c>
      <c r="AN14" s="140" t="s">
        <v>139</v>
      </c>
      <c r="AO14" s="218" t="s">
        <v>364</v>
      </c>
      <c r="AP14" s="65" t="s">
        <v>390</v>
      </c>
      <c r="AQ14" s="77" t="s">
        <v>175</v>
      </c>
      <c r="AR14" s="65" t="s">
        <v>174</v>
      </c>
      <c r="AS14" s="129" t="s">
        <v>377</v>
      </c>
      <c r="AT14" s="129" t="s">
        <v>396</v>
      </c>
      <c r="AU14" s="110" t="s">
        <v>397</v>
      </c>
      <c r="AV14" s="228" t="s">
        <v>140</v>
      </c>
      <c r="AW14" s="244" t="s">
        <v>398</v>
      </c>
      <c r="AX14" s="234" t="s">
        <v>399</v>
      </c>
      <c r="AY14" s="246" t="s">
        <v>400</v>
      </c>
      <c r="AZ14" s="238" t="s">
        <v>478</v>
      </c>
      <c r="BA14" s="240" t="s">
        <v>415</v>
      </c>
      <c r="BB14" s="112" t="s">
        <v>359</v>
      </c>
      <c r="BC14" s="238" t="s">
        <v>479</v>
      </c>
      <c r="BD14" s="238" t="s">
        <v>423</v>
      </c>
      <c r="BE14" s="112" t="s">
        <v>196</v>
      </c>
      <c r="BF14" s="238" t="s">
        <v>219</v>
      </c>
    </row>
    <row r="15" spans="1:58">
      <c r="A15" t="e">
        <f>INDEX(Prioritization!$D:$D,MATCH($B15,Prioritization!$A:$A,0))</f>
        <v>#N/A</v>
      </c>
      <c r="B15" s="5"/>
      <c r="D15" s="5"/>
      <c r="E15" t="str">
        <f>$B15&amp;"|"&amp;$C15&amp;"|"&amp;$D15</f>
        <v>||</v>
      </c>
      <c r="F15" s="141"/>
      <c r="H15" s="195"/>
      <c r="I15" s="181"/>
      <c r="J15" s="195"/>
      <c r="L15" s="195"/>
      <c r="M15" s="195" t="str">
        <f>IFERROR(1/(1/MAX($H15,$L15)),"")</f>
        <v/>
      </c>
      <c r="O15" s="195"/>
      <c r="P15" s="195" t="str">
        <f>IF(AND(SUM($H15)=0,SUM($M15)=0),"",SUM($M15)-$H15)</f>
        <v/>
      </c>
      <c r="Q15" s="196" t="str">
        <f>IF(LEFT($B15,4)="_Mil","",_xlfn.IFNA(ROUND(INDEX(Spectrum!$N:$N,MATCH(RIGHT($B15,13)&amp;"|"&amp;$C15&amp;"|"&amp;$D15&amp;"|"&amp;Q$14&amp;"|"&amp;"CY2025Q3",Spectrum!$R:$R,0)),0),IFERROR(1/(1/ROUND(SUMIFS(Spectrum!$N:$N,Spectrum!$Q:$Q,"="&amp;$C15,Spectrum!$K:$K,$D15,Spectrum!$G:$G,Q$14,Spectrum!$M:$M,"CY2025Q3"),0)),"")))</f>
        <v/>
      </c>
      <c r="R15" s="197" t="str">
        <f>IF(LEFT($B15,4)="_Mil","",_xlfn.IFNA(ROUND(INDEX(Spectrum!$N:$N,MATCH(RIGHT($B15,13)&amp;"|"&amp;$C15&amp;"|"&amp;$D15&amp;"|"&amp;R$14&amp;"|"&amp;"CY2025Q3",Spectrum!$R:$R,0)),0),IFERROR(1/(1/ROUND(SUMIFS(Spectrum!$N:$N,Spectrum!$Q:$Q,"="&amp;$C15,Spectrum!$K:$K,$D15,Spectrum!$G:$G,R$14,Spectrum!$M:$M,"CY2025Q3"),0)),"")))</f>
        <v/>
      </c>
      <c r="S15" s="198"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198" t="str">
        <f>IF(LEFT($B15,4)="_Mil","",_xlfn.IFNA(ROUND(INDEX(Spectrum!$N:$N,MATCH(RIGHT($B15,13)&amp;"|"&amp;$C15&amp;"|"&amp;$D15&amp;"|"&amp;U$14&amp;"|"&amp;"CY2025Q3",Spectrum!$R:$R,0)),0),IFERROR(1/(1/ROUND(SUMIFS(Spectrum!$N:$N,Spectrum!$Q:$Q,"="&amp;$C15,Spectrum!$K:$K,$D15,Spectrum!$G:$G,U$14,Spectrum!$M:$M,"CY2025Q3"),0)),"")))</f>
        <v/>
      </c>
      <c r="V15" s="41" t="str">
        <f>IF(OR(SUM($R15)=0,LEFT($B15,4)="_Mil"),"",ROUND(SUM($U15)/$R15,2))</f>
        <v/>
      </c>
      <c r="W15" s="198" t="str">
        <f>IF(LEFT($B15,4)="_Mil","",_xlfn.IFNA(ROUND(INDEX(Spectrum!$N:$N,MATCH(RIGHT($B15,13)&amp;"|"&amp;$C15&amp;"|"&amp;$D15&amp;"|"&amp;W$14&amp;"|"&amp;"CY2025Q3",Spectrum!$R:$R,0)),0),IFERROR(1/(1/ROUND(SUMIFS(Spectrum!$N:$N,Spectrum!$Q:$Q,"="&amp;$C15,Spectrum!$K:$K,$D15,Spectrum!$G:$G,W$14,Spectrum!$M:$M,"CY2025Q3"),0)),"")))</f>
        <v/>
      </c>
      <c r="X15" s="104" t="str">
        <f>IF(LEFT($B15,4)="_Mil","",IFERROR(1/(1/INDEX(Spectrum!$N:$N,MATCH(RIGHT($B15,13)&amp;"|"&amp;$C15&amp;"|"&amp;$D15&amp;"|"&amp;X$14&amp;"|"&amp;"CY2025Q3",Spectrum!$R:$R,0))),IFERROR(1/(1/ROUND(AVERAGEIFS(Spectrum!$N:$N,Spectrum!$Q:$Q,"="&amp;$B15,Spectrum!$K:$K,$C15,Spectrum!$G:$G,X$14,Spectrum!$M:$M,"CY2025Q3"),2)),IF(SUM($R15)=0,"",SUM($W15)/$R15))))</f>
        <v/>
      </c>
      <c r="Y15" s="41" t="str">
        <f>IF(OR(LEFT($B15,4)="_Mil",SUM($U15)=0),"",SUM($W15)/$U15)</f>
        <v/>
      </c>
      <c r="Z15" s="198" t="str">
        <f>IF(LEFT($B15,4)="_Mil","",_xlfn.IFNA(ROUND(INDEX(Spectrum!$N:$N,MATCH(RIGHT($B15,13)&amp;"|"&amp;$C15&amp;"|"&amp;$D15&amp;"|"&amp;Z$14&amp;"|"&amp;"CY2025Q3",Spectrum!$R:$R,0)),0),IFERROR(1/(1/ROUND(SUMIFS(Spectrum!$N:$N,Spectrum!$Q:$Q,"="&amp;$C15,Spectrum!$K:$K,$D15,Spectrum!$G:$G,Z$14,Spectrum!$M:$M,"CY2025Q3"),0)),"")))</f>
        <v/>
      </c>
      <c r="AA15" s="198" t="str">
        <f>IF(LEFT($B15,4)="_Mil","",_xlfn.IFNA(ROUND(INDEX(Spectrum!$N:$N,MATCH(RIGHT($B15,13)&amp;"|"&amp;$C15&amp;"|"&amp;$D15&amp;"|"&amp;AA$14&amp;"|"&amp;"CY2025Q3",Spectrum!$R:$R,0)),0),IFERROR(1/(1/ROUND(SUMIFS(Spectrum!$N:$N,Spectrum!$Q:$Q,"="&amp;$C15,Spectrum!$K:$K,$D15,Spectrum!$G:$G,AA$14,Spectrum!$M:$M,"CY2025Q3"),0)),"")))</f>
        <v/>
      </c>
      <c r="AB15" s="104" t="str">
        <f>IF(OR(LEFT($B15,4)="_Mil",SUM($W15)=0),"",ROUND(SUM($AA15)/$W15,2))</f>
        <v/>
      </c>
      <c r="AC15" s="198" t="str">
        <f>IF(LEFT($B15,4)="_Mil","",_xlfn.IFNA(ROUND(INDEX(Spectrum!$N:$N,MATCH(RIGHT($B15,13)&amp;"|"&amp;$C15&amp;"|"&amp;$D15&amp;"|"&amp;AC$14&amp;"|"&amp;"CY2025Q3",Spectrum!$R:$R,0)),0),IFERROR(1/(1/ROUND(SUMIFS(Spectrum!$N:$N,Spectrum!$Q:$Q,"="&amp;$C15,Spectrum!$K:$K,$D15,Spectrum!$G:$G,AC$14,Spectrum!$M:$M,"CY2025Q3"),0)),"")))</f>
        <v/>
      </c>
      <c r="AD15" s="104" t="str">
        <f>IF(OR(LEFT($B15,4)="_Mil",SUM($AA15)=0),"",SUM($AC15)/$AA15)</f>
        <v/>
      </c>
      <c r="AE15" s="105" t="str">
        <f>IF(LEFT($B15,4)="_Mil","",_xlfn.IFNA(INDEX(Spectrum!$N:$N,MATCH(RIGHT($B15,13)&amp;"|"&amp;$C15&amp;"|"&amp;$D15&amp;"|"&amp;AE$14&amp;"|"&amp;"CY2026Q3",Spectrum!$R:$R,0)),IFERROR(1/(1/ROUND(AVERAGEIFS(Spectrum!$N:$N,Spectrum!$Q:$Q,"="&amp;$B15,Spectrum!$K:$K,$C15,Spectrum!$G:$G,AE$14,Spectrum!$M:$M,"CY2026Q3"),2)),"")))</f>
        <v/>
      </c>
      <c r="AF15" s="203" t="str">
        <f>IF(LEFT($B15,4)="_Mil","",_xlfn.IFNA(ROUND(INDEX(Spectrum!$N:$N,MATCH(RIGHT($B15,13)&amp;"|"&amp;$C15&amp;"|"&amp;$D15&amp;"|"&amp;AF$14&amp;"|"&amp;"CY2026Q3",Spectrum!$R:$R,0)),0),IFERROR(1/(1/ROUND(SUMIFS(Spectrum!$N:$N,Spectrum!$Q:$Q,"="&amp;$C15,Spectrum!$K:$K,$D15,Spectrum!$G:$G,AF$14,Spectrum!$M:$M,"CY2026Q3"),0)),"")))</f>
        <v/>
      </c>
      <c r="AG15" s="203" t="str">
        <f>IF(LEFT($B15,4)="_Mil","",_xlfn.IFNA(ROUND(INDEX(Spectrum!$N:$N,MATCH(RIGHT($B15,13)&amp;"|"&amp;$C15&amp;"|"&amp;$D15&amp;"|"&amp;AG$14&amp;"|"&amp;"CY2026Q3",Spectrum!$R:$R,0)),0),IFERROR(1/(1/ROUND(SUMIFS(Spectrum!$N:$N,Spectrum!$Q:$Q,"="&amp;$C15,Spectrum!$K:$K,$D15,Spectrum!$G:$G,AG$14,Spectrum!$M:$M,"CY2026Q3"),0)),"")))</f>
        <v/>
      </c>
      <c r="AH15" s="203" t="str">
        <f>IF(LEFT($B15,4)="_Mil","",_xlfn.IFNA(ROUND(INDEX(Spectrum!$N:$N,MATCH(RIGHT($B15,13)&amp;"|"&amp;$C15&amp;"|"&amp;$D15&amp;"|"&amp;AH$14&amp;"|"&amp;"CY2026Q3",Spectrum!$R:$R,0)),0),IFERROR(1/(1/ROUND(SUMIFS(Spectrum!$N:$N,Spectrum!$Q:$Q,"="&amp;$C15,Spectrum!$K:$K,$D15,Spectrum!$G:$G,AH$14,Spectrum!$M:$M,"CY2026Q3"),0)),"")))</f>
        <v/>
      </c>
      <c r="AI15" s="203" t="str">
        <f>AH15</f>
        <v/>
      </c>
      <c r="AJ15" s="107">
        <f>IF(OR(LEFT($B15,4)="_Mil"),"",MAX(SUM($X15),90%))</f>
        <v>0.9</v>
      </c>
      <c r="AK15" s="207">
        <f>IF(OR(LEFT($B15,4)="_Mil"),"",ROUND(SUM($AI15)*SUM($AJ15),0))</f>
        <v>0</v>
      </c>
      <c r="AL15" s="105" t="str">
        <f>IF(SUM($M15)=0,"",ROUND(SUM($M15)/IF(SUM($W15)=0,$M15,$W15),2))</f>
        <v/>
      </c>
      <c r="AM15" s="207" t="str">
        <f>IF(SUM($M15)=0,"",ROUND(SUM($AK15)*$AL15,0))</f>
        <v/>
      </c>
      <c r="AN15" s="219" t="str">
        <f>IF(OR($F15=""),$AM15,ROUND($F15,0))</f>
        <v/>
      </c>
      <c r="AO15" s="220">
        <f>IF(LEFT($B15,4)="_Mil","",IF(SUM($AN15)=0,SUM($W15),IF(OR(SUM($W15)=0,SUM($M15)=0),MAX($AN15,$W15),ROUND($AN15*$W15/$M15,0))))</f>
        <v>0</v>
      </c>
      <c r="AP15" s="104" t="str">
        <f>IF(OR(LEFT($B15,4)="_Mil",SUM($AI15)=0),"",SUM($AO15)/$AI15)</f>
        <v/>
      </c>
      <c r="AQ15" s="107">
        <v>0.98</v>
      </c>
      <c r="AR15" s="104">
        <v>0.98</v>
      </c>
      <c r="AS15" s="207">
        <f>SUM($AN15)-SUM($M15)</f>
        <v>0</v>
      </c>
      <c r="AT15" s="207">
        <f>IF(SUM($AR15)=0,"",ROUND((SUM($AN15)-(SUM($M15)*SUM($AQ15)))/$AR15,0))</f>
        <v>0</v>
      </c>
      <c r="AU15" s="104">
        <v>1</v>
      </c>
      <c r="AV15" s="229">
        <f>ROUND(SUM($AT15)*SUM($AU15),0)</f>
        <v>0</v>
      </c>
      <c r="AW15" s="107">
        <v>0.7</v>
      </c>
      <c r="AX15" s="195">
        <f>ROUND(SUM($M15)+(SUM($AT15)*$AW15),0)</f>
        <v>0</v>
      </c>
      <c r="AY15" s="105">
        <v>0.95</v>
      </c>
      <c r="AZ15" s="220">
        <f>ROUND($AX15*$AY15,0)</f>
        <v>0</v>
      </c>
      <c r="BA15" s="241">
        <f>IF(LEFT($B15,4)="_Mil","",IF(SUM($AZ15)=0,SUM($AA15),IF(OR(SUM($AN15)=0,SUM($AO15)=0),MAX($AZ15,$AA15),ROUND($AZ15*$AO15/$AN15,0))))</f>
        <v>0</v>
      </c>
      <c r="BB15" s="107">
        <v>0.95</v>
      </c>
      <c r="BC15" s="242">
        <f>ROUND($BB15*$AZ15,0)</f>
        <v>0</v>
      </c>
      <c r="BD15" s="242">
        <f>IF(LEFT($B15,4)="_Mil","",IF(SUM($BC15)=0,SUM($AC15),IF(OR(SUM($AN15)=0,SUM($AO15)=0),MAX($BC15,$AC15),ROUND($BC15*$AO15/$AN15,0))))</f>
        <v>0</v>
      </c>
      <c r="BE15" s="107">
        <v>0.95</v>
      </c>
      <c r="BF15" s="220">
        <f>ROUND($AV15/$BE15,0)</f>
        <v>0</v>
      </c>
    </row>
    <row r="16" spans="1:58">
      <c r="M16" s="195"/>
      <c r="P16" s="195"/>
      <c r="V16" s="41"/>
      <c r="Y16" s="41"/>
      <c r="Z16" s="198"/>
      <c r="AB16" s="104"/>
      <c r="AD16" s="104"/>
      <c r="AG16" s="207"/>
      <c r="AH16" s="203"/>
      <c r="AI16" s="203"/>
      <c r="AJ16" s="107"/>
      <c r="AK16" s="207"/>
      <c r="AL16" s="105"/>
      <c r="AM16" s="207"/>
      <c r="AN16" s="219"/>
      <c r="AO16" s="220"/>
      <c r="AP16" s="104"/>
      <c r="AQ16" s="107"/>
      <c r="AR16" s="104"/>
      <c r="AS16" s="207"/>
      <c r="AT16" s="207"/>
      <c r="AU16" s="104"/>
      <c r="AV16" s="229"/>
      <c r="AW16" s="107"/>
      <c r="AX16" s="195"/>
      <c r="AY16" s="105"/>
      <c r="AZ16" s="220"/>
      <c r="BA16" s="241"/>
      <c r="BC16" s="242"/>
      <c r="BD16" s="242"/>
      <c r="BE16" s="107"/>
      <c r="BF16" s="220"/>
    </row>
    <row r="17" spans="33:58">
      <c r="AG17" s="207"/>
      <c r="AH17" s="203"/>
      <c r="AI17" s="203"/>
      <c r="AJ17" s="107"/>
      <c r="AK17" s="207"/>
      <c r="AL17" s="105"/>
      <c r="AM17" s="207"/>
      <c r="AN17" s="219"/>
      <c r="AO17" s="220"/>
      <c r="AW17" s="107"/>
      <c r="AX17" s="195"/>
      <c r="AY17" s="105"/>
      <c r="AZ17" s="220"/>
      <c r="BA17" s="241"/>
      <c r="BE17" s="107"/>
      <c r="BF17" s="220"/>
    </row>
    <row r="18" spans="33:58">
      <c r="AG18" s="207"/>
      <c r="AH18" s="203"/>
      <c r="AI18" s="203"/>
      <c r="AW18" s="107"/>
      <c r="AX18" s="195"/>
      <c r="AY18" s="105"/>
      <c r="AZ18" s="220"/>
      <c r="BA18" s="241"/>
      <c r="BE18" s="107"/>
      <c r="BF18" s="220"/>
    </row>
    <row r="19" spans="33:58">
      <c r="AW19" s="107"/>
      <c r="AX19" s="195"/>
      <c r="AY19" s="105"/>
      <c r="AZ19" s="220"/>
      <c r="BA19" s="241"/>
      <c r="BE19" s="107"/>
      <c r="BF19" s="220"/>
    </row>
    <row r="20" spans="33:58">
      <c r="AW20" s="107"/>
      <c r="AX20" s="195"/>
      <c r="AY20" s="105"/>
      <c r="AZ20" s="220"/>
      <c r="BA20" s="241"/>
      <c r="BE20" s="107"/>
      <c r="BF20" s="220"/>
    </row>
    <row r="21" spans="33:58">
      <c r="AW21" s="107"/>
      <c r="AX21" s="195"/>
      <c r="AY21" s="105"/>
      <c r="AZ21" s="220"/>
      <c r="BA21" s="241"/>
      <c r="BE21" s="107"/>
      <c r="BF21" s="220"/>
    </row>
    <row r="22" spans="33:58">
      <c r="AW22" s="107"/>
      <c r="AX22" s="195"/>
      <c r="AY22" s="105"/>
      <c r="AZ22" s="220"/>
      <c r="BA22" s="241"/>
      <c r="BE22" s="107"/>
      <c r="BF22" s="220"/>
    </row>
    <row r="23" spans="33:58">
      <c r="AW23" s="107"/>
      <c r="AX23" s="195"/>
      <c r="AY23" s="105"/>
      <c r="AZ23" s="220"/>
      <c r="BA23" s="241"/>
      <c r="BE23" s="107"/>
      <c r="BF23" s="220"/>
    </row>
    <row r="24" spans="33:58">
      <c r="AW24" s="107"/>
      <c r="AX24" s="195"/>
      <c r="AY24" s="105"/>
      <c r="AZ24" s="220"/>
      <c r="BA24" s="241"/>
      <c r="BE24" s="107"/>
      <c r="BF24" s="220"/>
    </row>
    <row r="25" spans="33:58">
      <c r="AW25" s="107"/>
      <c r="AX25" s="195"/>
      <c r="AY25" s="105"/>
      <c r="AZ25" s="220"/>
      <c r="BA25" s="241"/>
      <c r="BE25" s="107"/>
      <c r="BF25" s="220"/>
    </row>
    <row r="26" spans="33:58">
      <c r="AW26" s="107"/>
      <c r="AX26" s="195"/>
      <c r="AY26" s="105"/>
      <c r="AZ26" s="220"/>
      <c r="BA26" s="241"/>
      <c r="BE26" s="107"/>
      <c r="BF26" s="220"/>
    </row>
    <row r="27" spans="33:58">
      <c r="AW27" s="107"/>
      <c r="AX27" s="195"/>
      <c r="AY27" s="105"/>
      <c r="AZ27" s="220"/>
      <c r="BA27" s="241"/>
      <c r="BE27" s="107"/>
      <c r="BF27" s="220"/>
    </row>
    <row r="28" spans="33:58">
      <c r="AW28" s="107"/>
      <c r="AX28" s="195"/>
      <c r="AY28" s="105"/>
      <c r="AZ28" s="220"/>
      <c r="BA28" s="241"/>
      <c r="BE28" s="107"/>
      <c r="BF28" s="220"/>
    </row>
    <row r="29" spans="33:58">
      <c r="AW29" s="107"/>
      <c r="AX29" s="195"/>
      <c r="AY29" s="105"/>
      <c r="AZ29" s="220"/>
      <c r="BA29" s="241"/>
      <c r="BE29" s="107"/>
      <c r="BF29" s="220"/>
    </row>
    <row r="30" spans="33:58">
      <c r="AW30" s="107"/>
      <c r="AX30" s="195"/>
      <c r="AY30" s="105"/>
      <c r="AZ30" s="220"/>
      <c r="BA30" s="241"/>
      <c r="BE30" s="107"/>
      <c r="BF30" s="220"/>
    </row>
    <row r="31" spans="33:58">
      <c r="AW31" s="107"/>
      <c r="AX31" s="195"/>
      <c r="AY31" s="105"/>
      <c r="AZ31" s="220"/>
      <c r="BA31" s="241"/>
      <c r="BE31" s="107"/>
      <c r="BF31" s="220"/>
    </row>
    <row r="32" spans="33:58">
      <c r="AW32" s="107"/>
      <c r="AX32" s="195"/>
      <c r="AY32" s="105"/>
      <c r="AZ32" s="220"/>
      <c r="BA32" s="241"/>
      <c r="BE32" s="107"/>
      <c r="BF32" s="220"/>
    </row>
    <row r="33" spans="49:58">
      <c r="AW33" s="107"/>
      <c r="AX33" s="195"/>
      <c r="AY33" s="105"/>
      <c r="AZ33" s="220"/>
      <c r="BA33" s="241"/>
      <c r="BE33" s="107"/>
      <c r="BF33" s="220"/>
    </row>
    <row r="34" spans="49:58">
      <c r="AW34" s="107"/>
      <c r="AX34" s="195"/>
      <c r="AY34" s="105"/>
      <c r="AZ34" s="220"/>
      <c r="BA34" s="241"/>
      <c r="BE34" s="107"/>
      <c r="BF34" s="220"/>
    </row>
    <row r="35" spans="49:58">
      <c r="AW35" s="107"/>
      <c r="AX35" s="195"/>
      <c r="AY35" s="105"/>
      <c r="AZ35" s="220"/>
      <c r="BA35" s="241"/>
      <c r="BE35" s="107"/>
      <c r="BF35" s="220"/>
    </row>
    <row r="36" spans="49:58">
      <c r="AW36" s="107"/>
      <c r="AX36" s="195"/>
      <c r="AY36" s="105"/>
      <c r="AZ36" s="220"/>
      <c r="BA36" s="241"/>
      <c r="BE36" s="107"/>
      <c r="BF36" s="220"/>
    </row>
    <row r="37" spans="49:58">
      <c r="AW37" s="107"/>
      <c r="AX37" s="195"/>
      <c r="AY37" s="105"/>
      <c r="AZ37" s="220"/>
      <c r="BA37" s="241"/>
      <c r="BE37" s="107"/>
      <c r="BF37" s="220"/>
    </row>
    <row r="38" spans="49:58">
      <c r="AW38" s="107"/>
      <c r="AX38" s="195"/>
      <c r="AY38" s="105"/>
      <c r="AZ38" s="220"/>
      <c r="BA38" s="241"/>
      <c r="BE38" s="107"/>
      <c r="BF38" s="220"/>
    </row>
    <row r="39" spans="49:58">
      <c r="AW39" s="107"/>
      <c r="AX39" s="195"/>
      <c r="AY39" s="105"/>
      <c r="AZ39" s="220"/>
      <c r="BA39" s="241"/>
      <c r="BE39" s="107"/>
      <c r="BF39" s="220"/>
    </row>
    <row r="40" spans="49:58">
      <c r="AW40" s="107"/>
      <c r="AX40" s="195"/>
      <c r="AY40" s="105"/>
      <c r="AZ40" s="220"/>
      <c r="BA40" s="241"/>
      <c r="BE40" s="107"/>
      <c r="BF40" s="220"/>
    </row>
    <row r="41" spans="49:58">
      <c r="AW41" s="107"/>
      <c r="AX41" s="195"/>
      <c r="AY41" s="105"/>
      <c r="AZ41" s="220"/>
      <c r="BA41" s="241"/>
      <c r="BE41" s="107"/>
      <c r="BF41" s="220"/>
    </row>
    <row r="42" spans="49:58">
      <c r="AW42" s="107"/>
      <c r="AX42" s="195"/>
      <c r="AY42" s="105"/>
      <c r="AZ42" s="220"/>
      <c r="BA42" s="241"/>
      <c r="BE42" s="107"/>
      <c r="BF42" s="220"/>
    </row>
    <row r="43" spans="49:58">
      <c r="AW43" s="107"/>
      <c r="AX43" s="195"/>
      <c r="AY43" s="105"/>
      <c r="AZ43" s="220"/>
      <c r="BA43" s="241"/>
      <c r="BE43" s="107"/>
      <c r="BF43" s="220"/>
    </row>
    <row r="44" spans="49:58">
      <c r="AW44" s="107"/>
      <c r="AX44" s="195"/>
      <c r="AY44" s="105"/>
      <c r="AZ44" s="220"/>
      <c r="BA44" s="241"/>
      <c r="BE44" s="107"/>
      <c r="BF44" s="220"/>
    </row>
    <row r="45" spans="49:58">
      <c r="AW45" s="107"/>
      <c r="AX45" s="195"/>
      <c r="AY45" s="105"/>
      <c r="AZ45" s="220"/>
      <c r="BA45" s="241"/>
      <c r="BE45" s="107"/>
      <c r="BF45" s="220"/>
    </row>
    <row r="46" spans="49:58">
      <c r="AW46" s="107"/>
      <c r="AX46" s="195"/>
      <c r="AY46" s="105"/>
      <c r="AZ46" s="220"/>
      <c r="BA46" s="241"/>
      <c r="BE46" s="107"/>
      <c r="BF46" s="220"/>
    </row>
    <row r="47" spans="49:58">
      <c r="AW47" s="107"/>
      <c r="AX47" s="195"/>
      <c r="AY47" s="105"/>
      <c r="AZ47" s="220"/>
      <c r="BA47" s="241"/>
      <c r="BE47" s="107"/>
      <c r="BF47" s="220"/>
    </row>
    <row r="48" spans="49:58">
      <c r="AW48" s="107"/>
      <c r="AX48" s="195"/>
      <c r="AY48" s="105"/>
      <c r="AZ48" s="220"/>
      <c r="BA48" s="241"/>
      <c r="BE48" s="107"/>
      <c r="BF48" s="220"/>
    </row>
    <row r="49" spans="49:58">
      <c r="AW49" s="107"/>
      <c r="AX49" s="195"/>
      <c r="AY49" s="105"/>
      <c r="AZ49" s="220"/>
      <c r="BA49" s="241"/>
      <c r="BE49" s="107"/>
      <c r="BF49" s="220"/>
    </row>
    <row r="50" spans="49:58">
      <c r="AW50" s="107"/>
      <c r="AX50" s="195"/>
      <c r="AY50" s="105"/>
      <c r="AZ50" s="220"/>
      <c r="BA50" s="241"/>
      <c r="BE50" s="107"/>
      <c r="BF50" s="220"/>
    </row>
    <row r="51" spans="49:58">
      <c r="AW51" s="107"/>
      <c r="AX51" s="195"/>
      <c r="AY51" s="105"/>
      <c r="AZ51" s="220"/>
      <c r="BA51" s="241"/>
      <c r="BE51" s="107"/>
      <c r="BF51" s="220"/>
    </row>
    <row r="52" spans="49:58">
      <c r="AW52" s="107"/>
      <c r="AX52" s="195"/>
      <c r="AY52" s="105"/>
      <c r="AZ52" s="220"/>
      <c r="BA52" s="241"/>
      <c r="BE52" s="107"/>
      <c r="BF52" s="220"/>
    </row>
    <row r="53" spans="49:58">
      <c r="AW53" s="107"/>
      <c r="AX53" s="195"/>
      <c r="AY53" s="105"/>
      <c r="AZ53" s="220"/>
      <c r="BA53" s="241"/>
      <c r="BE53" s="107"/>
      <c r="BF53" s="220"/>
    </row>
    <row r="54" spans="49:58">
      <c r="AW54" s="107"/>
      <c r="AX54" s="195"/>
      <c r="AY54" s="105"/>
      <c r="AZ54" s="220"/>
      <c r="BA54" s="241"/>
      <c r="BE54" s="107"/>
      <c r="BF54" s="220"/>
    </row>
    <row r="55" spans="49:58">
      <c r="AW55" s="107"/>
      <c r="AX55" s="195"/>
      <c r="AY55" s="105"/>
      <c r="AZ55" s="220"/>
      <c r="BA55" s="241"/>
      <c r="BE55" s="107"/>
      <c r="BF55" s="220"/>
    </row>
    <row r="56" spans="49:58">
      <c r="AW56" s="107"/>
      <c r="AX56" s="195"/>
      <c r="AY56" s="105"/>
      <c r="AZ56" s="220"/>
      <c r="BA56" s="241"/>
      <c r="BE56" s="107"/>
      <c r="BF56" s="220"/>
    </row>
    <row r="57" spans="49:58">
      <c r="AW57" s="107"/>
      <c r="AX57" s="195"/>
      <c r="AY57" s="105"/>
      <c r="AZ57" s="220"/>
      <c r="BA57" s="241"/>
      <c r="BE57" s="107"/>
      <c r="BF57" s="220"/>
    </row>
    <row r="58" spans="49:58">
      <c r="AW58" s="107"/>
      <c r="AX58" s="195"/>
      <c r="AY58" s="105"/>
      <c r="AZ58" s="220"/>
      <c r="BA58" s="241"/>
      <c r="BE58" s="107"/>
      <c r="BF58" s="220"/>
    </row>
    <row r="59" spans="49:58">
      <c r="AW59" s="107"/>
      <c r="AX59" s="195"/>
      <c r="AY59" s="105"/>
      <c r="AZ59" s="220"/>
      <c r="BA59" s="241"/>
      <c r="BE59" s="107"/>
      <c r="BF59" s="220"/>
    </row>
    <row r="60" spans="49:58">
      <c r="AW60" s="107"/>
      <c r="AX60" s="195"/>
      <c r="AY60" s="105"/>
      <c r="AZ60" s="220"/>
      <c r="BA60" s="241"/>
      <c r="BE60" s="107"/>
      <c r="BF60" s="220"/>
    </row>
    <row r="61" spans="49:58">
      <c r="AW61" s="107"/>
      <c r="AX61" s="195"/>
      <c r="AY61" s="105"/>
      <c r="AZ61" s="220"/>
      <c r="BA61" s="241"/>
      <c r="BE61" s="107"/>
      <c r="BF61" s="220"/>
    </row>
    <row r="62" spans="49:58">
      <c r="AW62" s="107"/>
      <c r="AX62" s="195"/>
      <c r="AY62" s="105"/>
      <c r="AZ62" s="220"/>
      <c r="BA62" s="241"/>
      <c r="BE62" s="107"/>
      <c r="BF62" s="220"/>
    </row>
    <row r="63" spans="49:58">
      <c r="AW63" s="107"/>
      <c r="AX63" s="195"/>
      <c r="AY63" s="105"/>
      <c r="AZ63" s="220"/>
      <c r="BA63" s="241"/>
      <c r="BE63" s="107"/>
      <c r="BF63" s="220"/>
    </row>
    <row r="64" spans="49:58">
      <c r="AW64" s="107"/>
      <c r="AX64" s="195"/>
      <c r="AY64" s="105"/>
      <c r="AZ64" s="220"/>
      <c r="BA64" s="241"/>
      <c r="BE64" s="107"/>
      <c r="BF64" s="220"/>
    </row>
    <row r="65" spans="49:58">
      <c r="AW65" s="107"/>
      <c r="AX65" s="195"/>
      <c r="AY65" s="105"/>
      <c r="AZ65" s="220"/>
      <c r="BA65" s="241"/>
      <c r="BE65" s="107"/>
      <c r="BF65" s="220"/>
    </row>
    <row r="66" spans="49:58">
      <c r="AW66" s="107"/>
      <c r="AX66" s="195"/>
      <c r="AY66" s="105"/>
      <c r="AZ66" s="220"/>
      <c r="BA66" s="241"/>
      <c r="BE66" s="107"/>
      <c r="BF66" s="220"/>
    </row>
    <row r="67" spans="49:58">
      <c r="AW67" s="107"/>
      <c r="AX67" s="195"/>
      <c r="AY67" s="105"/>
      <c r="AZ67" s="220"/>
      <c r="BA67" s="241"/>
      <c r="BE67" s="107"/>
      <c r="BF67" s="220"/>
    </row>
    <row r="68" spans="49:58">
      <c r="AW68" s="107"/>
      <c r="AX68" s="195"/>
      <c r="AY68" s="105"/>
      <c r="AZ68" s="220"/>
      <c r="BA68" s="241"/>
      <c r="BE68" s="107"/>
      <c r="BF68" s="220"/>
    </row>
    <row r="69" spans="49:58">
      <c r="AW69" s="107"/>
      <c r="AX69" s="195"/>
      <c r="AY69" s="105"/>
      <c r="AZ69" s="220"/>
      <c r="BA69" s="241"/>
      <c r="BE69" s="107"/>
      <c r="BF69" s="220"/>
    </row>
    <row r="70" spans="49:58">
      <c r="AW70" s="107"/>
      <c r="AX70" s="195"/>
      <c r="AY70" s="105"/>
      <c r="AZ70" s="220"/>
      <c r="BA70" s="241"/>
      <c r="BE70" s="107"/>
      <c r="BF70" s="220"/>
    </row>
    <row r="71" spans="49:58">
      <c r="AW71" s="107"/>
      <c r="AX71" s="195"/>
      <c r="AY71" s="105"/>
      <c r="AZ71" s="220"/>
      <c r="BA71" s="241"/>
      <c r="BE71" s="107"/>
      <c r="BF71" s="220"/>
    </row>
    <row r="72" spans="49:58">
      <c r="AW72" s="107"/>
      <c r="AX72" s="195"/>
      <c r="AY72" s="105"/>
      <c r="AZ72" s="220"/>
      <c r="BA72" s="241"/>
      <c r="BE72" s="107"/>
      <c r="BF72" s="220"/>
    </row>
    <row r="73" spans="49:58">
      <c r="AW73" s="107"/>
      <c r="AX73" s="195"/>
      <c r="AY73" s="105"/>
      <c r="AZ73" s="220"/>
      <c r="BA73" s="241"/>
      <c r="BE73" s="107"/>
      <c r="BF73" s="220"/>
    </row>
    <row r="74" spans="49:58">
      <c r="AW74" s="107"/>
      <c r="AX74" s="195"/>
      <c r="AY74" s="105"/>
      <c r="AZ74" s="220"/>
      <c r="BA74" s="241"/>
      <c r="BE74" s="107"/>
      <c r="BF74" s="220"/>
    </row>
    <row r="75" spans="49:58">
      <c r="AW75" s="107"/>
      <c r="AX75" s="195"/>
      <c r="AY75" s="105"/>
      <c r="AZ75" s="220"/>
      <c r="BA75" s="241"/>
      <c r="BE75" s="107"/>
      <c r="BF75" s="220"/>
    </row>
    <row r="76" spans="49:58">
      <c r="AW76" s="107"/>
      <c r="AX76" s="195"/>
      <c r="AY76" s="105"/>
      <c r="AZ76" s="220"/>
      <c r="BA76" s="241"/>
      <c r="BE76" s="107"/>
      <c r="BF76" s="220"/>
    </row>
    <row r="77" spans="49:58">
      <c r="AW77" s="107"/>
      <c r="AX77" s="195"/>
      <c r="AY77" s="105"/>
      <c r="AZ77" s="220"/>
      <c r="BA77" s="241"/>
      <c r="BE77" s="107"/>
      <c r="BF77" s="220"/>
    </row>
    <row r="78" spans="49:58">
      <c r="AW78" s="107"/>
      <c r="AX78" s="195"/>
      <c r="AY78" s="105"/>
      <c r="AZ78" s="220"/>
      <c r="BA78" s="241"/>
      <c r="BE78" s="107"/>
      <c r="BF78" s="220"/>
    </row>
    <row r="79" spans="49:58">
      <c r="AW79" s="107"/>
      <c r="AX79" s="195"/>
      <c r="AY79" s="105"/>
      <c r="AZ79" s="220"/>
      <c r="BA79" s="241"/>
      <c r="BE79" s="107"/>
      <c r="BF79" s="220"/>
    </row>
    <row r="80" spans="49:58">
      <c r="AW80" s="107"/>
      <c r="AX80" s="195"/>
      <c r="AY80" s="105"/>
      <c r="AZ80" s="220"/>
      <c r="BA80" s="241"/>
      <c r="BE80" s="107"/>
      <c r="BF80" s="220"/>
    </row>
    <row r="81" spans="49:58">
      <c r="AW81" s="107"/>
      <c r="AX81" s="195"/>
      <c r="AY81" s="105"/>
      <c r="AZ81" s="220"/>
      <c r="BA81" s="241"/>
      <c r="BE81" s="107"/>
      <c r="BF81" s="220"/>
    </row>
    <row r="82" spans="49:58">
      <c r="AW82" s="107"/>
      <c r="AX82" s="195"/>
      <c r="AY82" s="105"/>
      <c r="AZ82" s="220"/>
      <c r="BA82" s="241"/>
      <c r="BE82" s="107"/>
      <c r="BF82" s="220"/>
    </row>
    <row r="83" spans="49:58">
      <c r="AW83" s="107"/>
      <c r="AX83" s="195"/>
      <c r="AY83" s="105"/>
      <c r="AZ83" s="220"/>
      <c r="BA83" s="241"/>
      <c r="BE83" s="107"/>
      <c r="BF83" s="220"/>
    </row>
    <row r="84" spans="49:58">
      <c r="AW84" s="107"/>
      <c r="AX84" s="195"/>
      <c r="AY84" s="105"/>
      <c r="AZ84" s="220"/>
      <c r="BA84" s="241"/>
      <c r="BE84" s="107"/>
      <c r="BF84" s="220"/>
    </row>
    <row r="85" spans="49:58">
      <c r="AW85" s="107"/>
      <c r="AX85" s="195"/>
      <c r="AY85" s="105"/>
      <c r="AZ85" s="220"/>
      <c r="BA85" s="241"/>
      <c r="BE85" s="107"/>
      <c r="BF85" s="220"/>
    </row>
    <row r="86" spans="49:58">
      <c r="AW86" s="107"/>
      <c r="AX86" s="195"/>
      <c r="AY86" s="105"/>
      <c r="AZ86" s="220"/>
      <c r="BA86" s="241"/>
      <c r="BE86" s="107"/>
      <c r="BF86" s="220"/>
    </row>
    <row r="87" spans="49:58">
      <c r="AW87" s="107"/>
      <c r="AX87" s="195"/>
      <c r="AY87" s="105"/>
      <c r="AZ87" s="220"/>
      <c r="BA87" s="241"/>
      <c r="BE87" s="107"/>
      <c r="BF87" s="220"/>
    </row>
    <row r="88" spans="49:58">
      <c r="AW88" s="107"/>
      <c r="AX88" s="195"/>
      <c r="AY88" s="105"/>
      <c r="AZ88" s="220"/>
      <c r="BA88" s="241"/>
      <c r="BE88" s="107"/>
      <c r="BF88" s="220"/>
    </row>
    <row r="89" spans="49:58">
      <c r="AW89" s="107"/>
      <c r="AX89" s="195"/>
      <c r="AY89" s="105"/>
      <c r="AZ89" s="220"/>
      <c r="BA89" s="241"/>
      <c r="BE89" s="107"/>
      <c r="BF89" s="220"/>
    </row>
    <row r="90" spans="49:58">
      <c r="AW90" s="107"/>
      <c r="AX90" s="195"/>
      <c r="AY90" s="105"/>
      <c r="AZ90" s="220"/>
      <c r="BA90" s="241"/>
      <c r="BE90" s="107"/>
      <c r="BF90" s="220"/>
    </row>
    <row r="91" spans="49:58">
      <c r="AW91" s="107"/>
      <c r="AX91" s="195"/>
      <c r="AY91" s="105"/>
      <c r="AZ91" s="220"/>
      <c r="BA91" s="241"/>
      <c r="BE91" s="107"/>
      <c r="BF91" s="220"/>
    </row>
    <row r="92" spans="49:58">
      <c r="AW92" s="107"/>
      <c r="AX92" s="195"/>
      <c r="AY92" s="105"/>
      <c r="AZ92" s="220"/>
      <c r="BA92" s="241"/>
      <c r="BE92" s="107"/>
      <c r="BF92" s="220"/>
    </row>
    <row r="93" spans="49:58">
      <c r="AW93" s="107"/>
      <c r="AX93" s="195"/>
      <c r="AY93" s="105"/>
      <c r="AZ93" s="220"/>
      <c r="BA93" s="241"/>
      <c r="BE93" s="107"/>
      <c r="BF93" s="220"/>
    </row>
    <row r="94" spans="49:58">
      <c r="AW94" s="107"/>
      <c r="AX94" s="195"/>
      <c r="AY94" s="105"/>
      <c r="AZ94" s="220"/>
      <c r="BA94" s="241"/>
      <c r="BE94" s="107"/>
      <c r="BF94" s="220"/>
    </row>
    <row r="95" spans="49:58">
      <c r="AW95" s="107"/>
      <c r="AX95" s="195"/>
      <c r="AY95" s="105"/>
      <c r="AZ95" s="220"/>
      <c r="BA95" s="241"/>
      <c r="BE95" s="107"/>
      <c r="BF95" s="220"/>
    </row>
    <row r="96" spans="49:58">
      <c r="AW96" s="107"/>
      <c r="AX96" s="195"/>
      <c r="AY96" s="105"/>
      <c r="AZ96" s="220"/>
      <c r="BA96" s="241"/>
      <c r="BE96" s="107"/>
      <c r="BF96" s="220"/>
    </row>
    <row r="97" spans="49:58">
      <c r="AW97" s="107"/>
      <c r="AX97" s="195"/>
      <c r="AY97" s="105"/>
      <c r="AZ97" s="220"/>
      <c r="BA97" s="241"/>
      <c r="BE97" s="107"/>
      <c r="BF97" s="220"/>
    </row>
    <row r="98" spans="49:58">
      <c r="AW98" s="107"/>
      <c r="AX98" s="195"/>
      <c r="AY98" s="105"/>
      <c r="AZ98" s="220"/>
      <c r="BA98" s="241"/>
      <c r="BE98" s="107"/>
      <c r="BF98" s="220"/>
    </row>
    <row r="99" spans="49:58">
      <c r="AW99" s="107"/>
      <c r="AX99" s="195"/>
      <c r="AY99" s="105"/>
      <c r="AZ99" s="220"/>
      <c r="BA99" s="241"/>
      <c r="BE99" s="107"/>
      <c r="BF99" s="220"/>
    </row>
    <row r="100" spans="49:58">
      <c r="AW100" s="107"/>
      <c r="AX100" s="195"/>
      <c r="AY100" s="105"/>
      <c r="AZ100" s="220"/>
      <c r="BA100" s="241"/>
      <c r="BE100" s="107"/>
      <c r="BF100" s="220"/>
    </row>
    <row r="101" spans="49:58">
      <c r="AW101" s="107"/>
      <c r="AX101" s="195"/>
      <c r="AY101" s="105"/>
      <c r="AZ101" s="220"/>
      <c r="BA101" s="241"/>
      <c r="BE101" s="107"/>
      <c r="BF101" s="220"/>
    </row>
    <row r="102" spans="49:58">
      <c r="AW102" s="107"/>
      <c r="AX102" s="195"/>
      <c r="AY102" s="105"/>
      <c r="AZ102" s="220"/>
      <c r="BA102" s="241"/>
      <c r="BE102" s="107"/>
      <c r="BF102" s="220"/>
    </row>
    <row r="103" spans="49:58">
      <c r="AW103" s="107"/>
      <c r="AX103" s="195"/>
      <c r="AY103" s="105"/>
      <c r="AZ103" s="220"/>
      <c r="BA103" s="241"/>
      <c r="BE103" s="107"/>
      <c r="BF103" s="220"/>
    </row>
    <row r="104" spans="49:58">
      <c r="AW104" s="107"/>
      <c r="AX104" s="195"/>
      <c r="AY104" s="105"/>
      <c r="AZ104" s="220"/>
      <c r="BA104" s="241"/>
      <c r="BE104" s="107"/>
      <c r="BF104" s="220"/>
    </row>
    <row r="105" spans="49:58">
      <c r="AW105" s="107"/>
      <c r="AX105" s="195"/>
      <c r="AY105" s="105"/>
      <c r="AZ105" s="220"/>
      <c r="BA105" s="241"/>
      <c r="BE105" s="107"/>
      <c r="BF105" s="220"/>
    </row>
    <row r="106" spans="49:58">
      <c r="AW106" s="107"/>
      <c r="AX106" s="195"/>
      <c r="AY106" s="105"/>
      <c r="AZ106" s="220"/>
      <c r="BA106" s="241"/>
      <c r="BE106" s="107"/>
      <c r="BF106" s="220"/>
    </row>
    <row r="107" spans="49:58">
      <c r="AW107" s="107"/>
      <c r="AX107" s="195"/>
      <c r="AY107" s="105"/>
      <c r="AZ107" s="220"/>
      <c r="BA107" s="241"/>
      <c r="BE107" s="107"/>
      <c r="BF107" s="220"/>
    </row>
    <row r="108" spans="49:58">
      <c r="AW108" s="107"/>
      <c r="AX108" s="195"/>
      <c r="AY108" s="105"/>
      <c r="AZ108" s="220"/>
      <c r="BA108" s="241"/>
      <c r="BE108" s="107"/>
      <c r="BF108" s="220"/>
    </row>
    <row r="109" spans="49:58">
      <c r="AW109" s="107"/>
      <c r="AX109" s="195"/>
      <c r="AY109" s="105"/>
      <c r="AZ109" s="220"/>
      <c r="BA109" s="241"/>
      <c r="BE109" s="107"/>
      <c r="BF109" s="220"/>
    </row>
    <row r="110" spans="49:58">
      <c r="AW110" s="107"/>
      <c r="AX110" s="195"/>
      <c r="AY110" s="105"/>
      <c r="AZ110" s="220"/>
      <c r="BA110" s="241"/>
      <c r="BE110" s="107"/>
      <c r="BF110" s="220"/>
    </row>
    <row r="111" spans="49:58">
      <c r="AW111" s="107"/>
      <c r="AX111" s="195"/>
      <c r="AY111" s="105"/>
      <c r="AZ111" s="220"/>
      <c r="BA111" s="241"/>
      <c r="BE111" s="107"/>
      <c r="BF111" s="220"/>
    </row>
    <row r="112" spans="49:58">
      <c r="AW112" s="107"/>
      <c r="AX112" s="195"/>
      <c r="AY112" s="105"/>
      <c r="AZ112" s="220"/>
      <c r="BA112" s="241"/>
      <c r="BE112" s="107"/>
      <c r="BF112" s="220"/>
    </row>
    <row r="113" spans="49:58">
      <c r="AW113" s="107"/>
      <c r="AX113" s="195"/>
      <c r="AY113" s="105"/>
      <c r="AZ113" s="220"/>
      <c r="BA113" s="241"/>
      <c r="BE113" s="107"/>
      <c r="BF113" s="220"/>
    </row>
    <row r="114" spans="49:58">
      <c r="AW114" s="107"/>
      <c r="AX114" s="195"/>
      <c r="AY114" s="105"/>
      <c r="AZ114" s="220"/>
      <c r="BA114" s="241"/>
      <c r="BE114" s="107"/>
      <c r="BF114" s="220"/>
    </row>
    <row r="115" spans="49:58">
      <c r="AW115" s="107"/>
      <c r="AX115" s="195"/>
      <c r="AY115" s="105"/>
      <c r="AZ115" s="220"/>
      <c r="BA115" s="241"/>
      <c r="BE115" s="107"/>
      <c r="BF115" s="220"/>
    </row>
    <row r="116" spans="49:58">
      <c r="AW116" s="107"/>
      <c r="AX116" s="195"/>
      <c r="AY116" s="105"/>
      <c r="AZ116" s="220"/>
      <c r="BA116" s="241"/>
      <c r="BE116" s="107"/>
      <c r="BF116" s="220"/>
    </row>
    <row r="117" spans="49:58">
      <c r="AW117" s="107"/>
      <c r="AX117" s="195"/>
      <c r="AY117" s="105"/>
      <c r="AZ117" s="220"/>
      <c r="BA117" s="241"/>
      <c r="BE117" s="107"/>
      <c r="BF117" s="220"/>
    </row>
    <row r="118" spans="49:58">
      <c r="AW118" s="107"/>
      <c r="AX118" s="195"/>
      <c r="AY118" s="105"/>
      <c r="AZ118" s="220"/>
      <c r="BA118" s="241"/>
      <c r="BE118" s="107"/>
      <c r="BF118" s="220"/>
    </row>
    <row r="119" spans="49:58">
      <c r="AW119" s="107"/>
      <c r="AX119" s="195"/>
      <c r="AY119" s="105"/>
      <c r="AZ119" s="220"/>
      <c r="BA119" s="241"/>
      <c r="BE119" s="107"/>
      <c r="BF119" s="220"/>
    </row>
    <row r="120" spans="49:58">
      <c r="AW120" s="107"/>
      <c r="AX120" s="195"/>
      <c r="AY120" s="105"/>
      <c r="AZ120" s="220"/>
      <c r="BA120" s="241"/>
      <c r="BE120" s="107"/>
      <c r="BF120" s="220"/>
    </row>
    <row r="121" spans="49:58">
      <c r="AW121" s="107"/>
      <c r="AX121" s="195"/>
      <c r="AY121" s="105"/>
      <c r="AZ121" s="220"/>
      <c r="BA121" s="241"/>
      <c r="BE121" s="107"/>
      <c r="BF121" s="220"/>
    </row>
    <row r="122" spans="49:58">
      <c r="AW122" s="107"/>
      <c r="AX122" s="195"/>
      <c r="AY122" s="105"/>
      <c r="AZ122" s="220"/>
      <c r="BA122" s="241"/>
      <c r="BE122" s="107"/>
      <c r="BF122" s="220"/>
    </row>
    <row r="123" spans="49:58">
      <c r="AW123" s="107"/>
      <c r="AX123" s="195"/>
      <c r="AY123" s="105"/>
      <c r="AZ123" s="220"/>
      <c r="BA123" s="241"/>
      <c r="BE123" s="107"/>
      <c r="BF123" s="220"/>
    </row>
    <row r="124" spans="49:58">
      <c r="AW124" s="107"/>
      <c r="AX124" s="195"/>
      <c r="AY124" s="105"/>
      <c r="AZ124" s="220"/>
      <c r="BA124" s="241"/>
      <c r="BE124" s="107"/>
      <c r="BF124" s="220"/>
    </row>
    <row r="125" spans="49:58">
      <c r="AW125" s="107"/>
      <c r="AX125" s="195"/>
      <c r="AY125" s="105"/>
      <c r="AZ125" s="220"/>
      <c r="BA125" s="241"/>
      <c r="BE125" s="107"/>
      <c r="BF125" s="220"/>
    </row>
    <row r="126" spans="49:58">
      <c r="AW126" s="107"/>
      <c r="AX126" s="195"/>
      <c r="AY126" s="105"/>
      <c r="AZ126" s="220"/>
      <c r="BA126" s="241"/>
      <c r="BE126" s="107"/>
      <c r="BF126" s="220"/>
    </row>
    <row r="127" spans="49:58">
      <c r="AW127" s="107"/>
      <c r="AX127" s="195"/>
      <c r="AY127" s="105"/>
      <c r="AZ127" s="220"/>
      <c r="BA127" s="241"/>
      <c r="BE127" s="107"/>
      <c r="BF127" s="220"/>
    </row>
    <row r="128" spans="49:58">
      <c r="AW128" s="107"/>
      <c r="AX128" s="195"/>
      <c r="AY128" s="105"/>
      <c r="AZ128" s="220"/>
      <c r="BA128" s="241"/>
      <c r="BE128" s="107"/>
      <c r="BF128" s="220"/>
    </row>
    <row r="129" spans="49:58">
      <c r="AW129" s="107"/>
      <c r="AX129" s="195"/>
      <c r="AY129" s="105"/>
      <c r="AZ129" s="220"/>
      <c r="BA129" s="241"/>
      <c r="BE129" s="107"/>
      <c r="BF129" s="220"/>
    </row>
    <row r="130" spans="49:58">
      <c r="AW130" s="107"/>
      <c r="AX130" s="195"/>
      <c r="AY130" s="105"/>
      <c r="AZ130" s="220"/>
      <c r="BA130" s="241"/>
      <c r="BE130" s="107"/>
      <c r="BF130" s="220"/>
    </row>
    <row r="131" spans="49:58">
      <c r="AW131" s="107"/>
      <c r="AX131" s="195"/>
      <c r="AY131" s="105"/>
      <c r="AZ131" s="220"/>
      <c r="BA131" s="241"/>
      <c r="BE131" s="107"/>
      <c r="BF131" s="220"/>
    </row>
    <row r="132" spans="49:58">
      <c r="AW132" s="107"/>
      <c r="AX132" s="195"/>
      <c r="AY132" s="105"/>
      <c r="AZ132" s="220"/>
      <c r="BA132" s="241"/>
      <c r="BE132" s="107"/>
      <c r="BF132" s="220"/>
    </row>
    <row r="133" spans="49:58">
      <c r="AW133" s="107"/>
      <c r="AX133" s="195"/>
      <c r="AY133" s="105"/>
      <c r="AZ133" s="220"/>
      <c r="BA133" s="241"/>
      <c r="BE133" s="107"/>
      <c r="BF133" s="220"/>
    </row>
    <row r="134" spans="49:58">
      <c r="AW134" s="107"/>
      <c r="AX134" s="195"/>
      <c r="AY134" s="105"/>
      <c r="AZ134" s="220"/>
      <c r="BA134" s="241"/>
      <c r="BE134" s="107"/>
      <c r="BF134" s="220"/>
    </row>
    <row r="135" spans="49:58">
      <c r="AW135" s="107"/>
      <c r="AX135" s="195"/>
      <c r="AY135" s="105"/>
      <c r="AZ135" s="220"/>
      <c r="BA135" s="241"/>
      <c r="BE135" s="107"/>
      <c r="BF135" s="220"/>
    </row>
    <row r="136" spans="49:58">
      <c r="AW136" s="107"/>
      <c r="AX136" s="195"/>
      <c r="AY136" s="105"/>
      <c r="AZ136" s="220"/>
      <c r="BA136" s="241"/>
      <c r="BE136" s="107"/>
      <c r="BF136" s="220"/>
    </row>
    <row r="137" spans="49:58">
      <c r="AW137" s="107"/>
      <c r="AX137" s="195"/>
      <c r="AY137" s="105"/>
      <c r="AZ137" s="220"/>
      <c r="BA137" s="241"/>
      <c r="BE137" s="107"/>
      <c r="BF137" s="220"/>
    </row>
    <row r="138" spans="49:58">
      <c r="AW138" s="107"/>
      <c r="AX138" s="195"/>
      <c r="AY138" s="105"/>
      <c r="AZ138" s="220"/>
      <c r="BA138" s="241"/>
      <c r="BE138" s="107"/>
      <c r="BF138" s="220"/>
    </row>
    <row r="139" spans="49:58">
      <c r="AW139" s="107"/>
      <c r="AX139" s="195"/>
      <c r="AY139" s="105"/>
      <c r="AZ139" s="220"/>
      <c r="BA139" s="241"/>
      <c r="BE139" s="107"/>
      <c r="BF139" s="220"/>
    </row>
    <row r="140" spans="49:58">
      <c r="AW140" s="107"/>
      <c r="AX140" s="195"/>
      <c r="AY140" s="105"/>
      <c r="AZ140" s="220"/>
      <c r="BA140" s="241"/>
      <c r="BE140" s="107"/>
      <c r="BF140" s="220"/>
    </row>
    <row r="141" spans="49:58">
      <c r="AW141" s="107"/>
      <c r="AX141" s="195"/>
      <c r="AY141" s="105"/>
      <c r="AZ141" s="220"/>
      <c r="BA141" s="241"/>
      <c r="BE141" s="107"/>
      <c r="BF141" s="220"/>
    </row>
    <row r="142" spans="49:58">
      <c r="AW142" s="107"/>
      <c r="AX142" s="195"/>
      <c r="AY142" s="105"/>
      <c r="AZ142" s="220"/>
      <c r="BA142" s="241"/>
      <c r="BE142" s="107"/>
      <c r="BF142" s="220"/>
    </row>
    <row r="143" spans="49:58">
      <c r="AW143" s="107"/>
      <c r="AX143" s="195"/>
      <c r="AY143" s="105"/>
      <c r="AZ143" s="220"/>
      <c r="BA143" s="241"/>
      <c r="BE143" s="107"/>
      <c r="BF143" s="220"/>
    </row>
    <row r="144" spans="49:58">
      <c r="AW144" s="107"/>
      <c r="AX144" s="195"/>
      <c r="AY144" s="105"/>
      <c r="AZ144" s="220"/>
      <c r="BA144" s="241"/>
      <c r="BE144" s="107"/>
      <c r="BF144" s="220"/>
    </row>
    <row r="145" spans="49:58">
      <c r="AW145" s="107"/>
      <c r="AX145" s="195"/>
      <c r="AY145" s="105"/>
      <c r="AZ145" s="220"/>
      <c r="BA145" s="241"/>
      <c r="BE145" s="107"/>
      <c r="BF145" s="220"/>
    </row>
    <row r="146" spans="49:58">
      <c r="AW146" s="107"/>
      <c r="AX146" s="195"/>
      <c r="AY146" s="105"/>
      <c r="AZ146" s="220"/>
      <c r="BA146" s="241"/>
      <c r="BE146" s="107"/>
      <c r="BF146" s="220"/>
    </row>
    <row r="147" spans="49:58">
      <c r="AW147" s="107"/>
      <c r="AX147" s="195"/>
      <c r="AY147" s="105"/>
      <c r="AZ147" s="220"/>
      <c r="BA147" s="241"/>
      <c r="BE147" s="107"/>
      <c r="BF147" s="220"/>
    </row>
    <row r="148" spans="49:58">
      <c r="AW148" s="107"/>
      <c r="AX148" s="195"/>
      <c r="AY148" s="105"/>
      <c r="AZ148" s="220"/>
      <c r="BA148" s="241"/>
      <c r="BE148" s="107"/>
      <c r="BF148" s="220"/>
    </row>
    <row r="149" spans="49:58">
      <c r="AW149" s="107"/>
      <c r="AX149" s="195"/>
      <c r="AY149" s="105"/>
      <c r="AZ149" s="220"/>
      <c r="BA149" s="241"/>
      <c r="BE149" s="107"/>
      <c r="BF149" s="220"/>
    </row>
    <row r="150" spans="49:58">
      <c r="AW150" s="107"/>
      <c r="AX150" s="195"/>
      <c r="AY150" s="105"/>
      <c r="AZ150" s="220"/>
      <c r="BA150" s="241"/>
      <c r="BE150" s="107"/>
      <c r="BF150" s="220"/>
    </row>
    <row r="151" spans="49:58">
      <c r="AW151" s="107"/>
      <c r="AX151" s="195"/>
      <c r="AY151" s="105"/>
      <c r="AZ151" s="220"/>
      <c r="BA151" s="241"/>
      <c r="BE151" s="107"/>
      <c r="BF151" s="220"/>
    </row>
    <row r="152" spans="49:58">
      <c r="AW152" s="107"/>
      <c r="AX152" s="195"/>
      <c r="AY152" s="105"/>
      <c r="AZ152" s="220"/>
      <c r="BA152" s="241"/>
      <c r="BE152" s="107"/>
      <c r="BF152" s="220"/>
    </row>
    <row r="153" spans="49:58">
      <c r="AW153" s="107"/>
      <c r="AX153" s="195"/>
      <c r="AY153" s="105"/>
      <c r="AZ153" s="220"/>
      <c r="BA153" s="241"/>
      <c r="BE153" s="107"/>
      <c r="BF153" s="220"/>
    </row>
    <row r="154" spans="49:58">
      <c r="AW154" s="107"/>
      <c r="AX154" s="195"/>
      <c r="AY154" s="105"/>
      <c r="AZ154" s="220"/>
      <c r="BA154" s="241"/>
      <c r="BE154" s="107"/>
      <c r="BF154" s="220"/>
    </row>
    <row r="155" spans="49:58">
      <c r="AW155" s="107"/>
      <c r="AX155" s="195"/>
      <c r="AY155" s="105"/>
      <c r="AZ155" s="220"/>
      <c r="BA155" s="241"/>
      <c r="BE155" s="107"/>
      <c r="BF155" s="220"/>
    </row>
    <row r="156" spans="49:58">
      <c r="AW156" s="107"/>
      <c r="AX156" s="195"/>
      <c r="AY156" s="105"/>
      <c r="AZ156" s="220"/>
      <c r="BA156" s="241"/>
      <c r="BE156" s="107"/>
      <c r="BF156" s="220"/>
    </row>
    <row r="157" spans="49:58">
      <c r="AW157" s="107"/>
      <c r="AX157" s="195"/>
      <c r="AY157" s="105"/>
      <c r="AZ157" s="220"/>
      <c r="BA157" s="241"/>
      <c r="BE157" s="107"/>
      <c r="BF157" s="220"/>
    </row>
    <row r="158" spans="49:58">
      <c r="AW158" s="107"/>
      <c r="AX158" s="195"/>
      <c r="AY158" s="105"/>
      <c r="AZ158" s="220"/>
      <c r="BA158" s="241"/>
      <c r="BE158" s="107"/>
      <c r="BF158" s="220"/>
    </row>
    <row r="159" spans="49:58">
      <c r="AW159" s="107"/>
      <c r="AX159" s="195"/>
      <c r="AY159" s="105"/>
      <c r="AZ159" s="220"/>
      <c r="BA159" s="241"/>
      <c r="BE159" s="107"/>
      <c r="BF159" s="220"/>
    </row>
    <row r="160" spans="49:58">
      <c r="AW160" s="107"/>
      <c r="AX160" s="195"/>
      <c r="AY160" s="105"/>
      <c r="AZ160" s="220"/>
      <c r="BA160" s="241"/>
      <c r="BE160" s="107"/>
      <c r="BF160" s="220"/>
    </row>
    <row r="161" spans="49:58">
      <c r="AW161" s="107"/>
      <c r="AX161" s="195"/>
      <c r="AY161" s="105"/>
      <c r="AZ161" s="220"/>
      <c r="BA161" s="241"/>
      <c r="BE161" s="107"/>
      <c r="BF161" s="220"/>
    </row>
    <row r="162" spans="49:58">
      <c r="AW162" s="107"/>
      <c r="AX162" s="195"/>
      <c r="AY162" s="105"/>
      <c r="AZ162" s="220"/>
      <c r="BA162" s="241"/>
      <c r="BE162" s="107"/>
      <c r="BF162" s="220"/>
    </row>
    <row r="163" spans="49:58">
      <c r="AW163" s="107"/>
      <c r="AX163" s="195"/>
      <c r="AY163" s="105"/>
      <c r="AZ163" s="220"/>
      <c r="BA163" s="241"/>
      <c r="BE163" s="107"/>
      <c r="BF163" s="220"/>
    </row>
    <row r="164" spans="49:58">
      <c r="AW164" s="107"/>
      <c r="AX164" s="195"/>
      <c r="AY164" s="105"/>
      <c r="AZ164" s="220"/>
      <c r="BA164" s="241"/>
      <c r="BE164" s="107"/>
      <c r="BF164" s="220"/>
    </row>
    <row r="165" spans="49:58">
      <c r="AW165" s="107"/>
      <c r="AX165" s="195"/>
      <c r="AY165" s="105"/>
      <c r="AZ165" s="220"/>
      <c r="BA165" s="241"/>
      <c r="BE165" s="107"/>
      <c r="BF165" s="220"/>
    </row>
    <row r="166" spans="49:58">
      <c r="AW166" s="107"/>
      <c r="AX166" s="195"/>
      <c r="AY166" s="105"/>
      <c r="AZ166" s="220"/>
      <c r="BA166" s="241"/>
      <c r="BE166" s="107"/>
      <c r="BF166" s="220"/>
    </row>
    <row r="167" spans="49:58">
      <c r="AW167" s="107"/>
      <c r="AX167" s="195"/>
      <c r="AY167" s="105"/>
      <c r="AZ167" s="220"/>
      <c r="BA167" s="241"/>
      <c r="BE167" s="107"/>
      <c r="BF167" s="220"/>
    </row>
    <row r="168" spans="49:58">
      <c r="AW168" s="107"/>
      <c r="AX168" s="195"/>
      <c r="AY168" s="105"/>
      <c r="AZ168" s="220"/>
      <c r="BA168" s="241"/>
      <c r="BE168" s="107"/>
      <c r="BF168" s="220"/>
    </row>
    <row r="169" spans="49:58">
      <c r="AW169" s="107"/>
      <c r="AX169" s="195"/>
      <c r="AY169" s="105"/>
      <c r="AZ169" s="220"/>
      <c r="BA169" s="241"/>
      <c r="BE169" s="107"/>
      <c r="BF169" s="220"/>
    </row>
    <row r="170" spans="49:58">
      <c r="AW170" s="107"/>
      <c r="AX170" s="195"/>
      <c r="AY170" s="105"/>
      <c r="AZ170" s="220"/>
      <c r="BA170" s="241"/>
      <c r="BE170" s="107"/>
      <c r="BF170" s="220"/>
    </row>
    <row r="171" spans="49:58">
      <c r="AW171" s="107"/>
      <c r="AX171" s="195"/>
      <c r="AY171" s="105"/>
      <c r="AZ171" s="220"/>
      <c r="BA171" s="241"/>
      <c r="BE171" s="107"/>
      <c r="BF171" s="220"/>
    </row>
    <row r="172" spans="49:58">
      <c r="AW172" s="107"/>
      <c r="AX172" s="195"/>
      <c r="AY172" s="105"/>
      <c r="AZ172" s="220"/>
      <c r="BA172" s="241"/>
      <c r="BE172" s="107"/>
      <c r="BF172" s="220"/>
    </row>
    <row r="173" spans="49:58">
      <c r="AW173" s="107"/>
      <c r="AX173" s="195"/>
      <c r="AY173" s="105"/>
      <c r="AZ173" s="220"/>
      <c r="BA173" s="241"/>
      <c r="BE173" s="107"/>
      <c r="BF173" s="220"/>
    </row>
    <row r="174" spans="49:58">
      <c r="AW174" s="107"/>
      <c r="AX174" s="195"/>
      <c r="AY174" s="105"/>
      <c r="AZ174" s="220"/>
      <c r="BA174" s="241"/>
      <c r="BE174" s="107"/>
      <c r="BF174" s="220"/>
    </row>
    <row r="175" spans="49:58">
      <c r="AW175" s="107"/>
      <c r="AX175" s="195"/>
      <c r="AY175" s="105"/>
      <c r="AZ175" s="220"/>
      <c r="BA175" s="241"/>
      <c r="BE175" s="107"/>
      <c r="BF175" s="220"/>
    </row>
    <row r="176" spans="49:58">
      <c r="AW176" s="107"/>
      <c r="AX176" s="195"/>
      <c r="AY176" s="105"/>
      <c r="AZ176" s="220"/>
      <c r="BA176" s="241"/>
      <c r="BE176" s="107"/>
      <c r="BF176" s="220"/>
    </row>
    <row r="177" spans="49:58">
      <c r="AW177" s="107"/>
      <c r="AX177" s="195"/>
      <c r="AY177" s="105"/>
      <c r="AZ177" s="220"/>
      <c r="BA177" s="241"/>
      <c r="BE177" s="107"/>
      <c r="BF177" s="220"/>
    </row>
    <row r="178" spans="49:58">
      <c r="AW178" s="107"/>
      <c r="AX178" s="195"/>
      <c r="AY178" s="105"/>
      <c r="AZ178" s="220"/>
      <c r="BA178" s="241"/>
      <c r="BE178" s="107"/>
      <c r="BF178" s="220"/>
    </row>
    <row r="179" spans="49:58">
      <c r="AW179" s="107"/>
      <c r="AX179" s="195"/>
      <c r="AY179" s="105"/>
      <c r="AZ179" s="220"/>
      <c r="BA179" s="241"/>
      <c r="BE179" s="107"/>
      <c r="BF179" s="220"/>
    </row>
    <row r="180" spans="49:58">
      <c r="AW180" s="107"/>
      <c r="AX180" s="195"/>
      <c r="AY180" s="105"/>
      <c r="AZ180" s="220"/>
      <c r="BA180" s="241"/>
      <c r="BE180" s="107"/>
      <c r="BF180" s="220"/>
    </row>
    <row r="181" spans="49:58">
      <c r="AW181" s="107"/>
      <c r="AX181" s="195"/>
      <c r="AY181" s="105"/>
      <c r="AZ181" s="220"/>
      <c r="BA181" s="241"/>
      <c r="BE181" s="107"/>
      <c r="BF181" s="220"/>
    </row>
    <row r="182" spans="49:58">
      <c r="AW182" s="107"/>
      <c r="AX182" s="195"/>
      <c r="AY182" s="105"/>
      <c r="AZ182" s="220"/>
      <c r="BA182" s="241"/>
      <c r="BE182" s="107"/>
      <c r="BF182" s="220"/>
    </row>
    <row r="183" spans="49:58">
      <c r="AW183" s="107"/>
      <c r="AX183" s="195"/>
      <c r="AY183" s="105"/>
      <c r="AZ183" s="220"/>
      <c r="BA183" s="241"/>
      <c r="BE183" s="107"/>
      <c r="BF183" s="220"/>
    </row>
    <row r="184" spans="49:58">
      <c r="AW184" s="107"/>
      <c r="AX184" s="195"/>
      <c r="AY184" s="105"/>
      <c r="AZ184" s="220"/>
      <c r="BA184" s="241"/>
      <c r="BE184" s="107"/>
      <c r="BF184" s="220"/>
    </row>
    <row r="185" spans="49:58">
      <c r="AW185" s="107"/>
      <c r="AX185" s="195"/>
      <c r="AY185" s="105"/>
      <c r="AZ185" s="220"/>
      <c r="BA185" s="241"/>
      <c r="BE185" s="107"/>
      <c r="BF185" s="220"/>
    </row>
    <row r="186" spans="49:58">
      <c r="AW186" s="107"/>
      <c r="AX186" s="195"/>
      <c r="AY186" s="105"/>
      <c r="AZ186" s="220"/>
      <c r="BA186" s="241"/>
      <c r="BE186" s="107"/>
      <c r="BF186" s="220"/>
    </row>
    <row r="187" spans="49:58">
      <c r="AW187" s="107"/>
      <c r="AX187" s="195"/>
      <c r="AY187" s="105"/>
      <c r="AZ187" s="220"/>
      <c r="BA187" s="241"/>
      <c r="BE187" s="107"/>
      <c r="BF187" s="220"/>
    </row>
    <row r="188" spans="49:58">
      <c r="AW188" s="107"/>
      <c r="AX188" s="195"/>
      <c r="AY188" s="105"/>
      <c r="AZ188" s="220"/>
      <c r="BA188" s="241"/>
      <c r="BE188" s="107"/>
      <c r="BF188" s="220"/>
    </row>
    <row r="189" spans="49:58">
      <c r="AW189" s="107"/>
      <c r="AX189" s="195"/>
      <c r="AY189" s="105"/>
      <c r="AZ189" s="220"/>
      <c r="BA189" s="241"/>
      <c r="BE189" s="107"/>
      <c r="BF189" s="220"/>
    </row>
    <row r="190" spans="49:58">
      <c r="AW190" s="107"/>
      <c r="AX190" s="195"/>
      <c r="AY190" s="105"/>
      <c r="AZ190" s="220"/>
      <c r="BA190" s="241"/>
      <c r="BE190" s="107"/>
      <c r="BF190" s="220"/>
    </row>
    <row r="191" spans="49:58">
      <c r="AW191" s="107"/>
      <c r="AX191" s="195"/>
      <c r="AY191" s="105"/>
      <c r="AZ191" s="220"/>
      <c r="BA191" s="241"/>
      <c r="BE191" s="107"/>
      <c r="BF191" s="220"/>
    </row>
    <row r="192" spans="49:58">
      <c r="AW192" s="107"/>
      <c r="AX192" s="195"/>
      <c r="AY192" s="105"/>
      <c r="AZ192" s="220"/>
      <c r="BA192" s="241"/>
      <c r="BE192" s="107"/>
      <c r="BF192" s="220"/>
    </row>
    <row r="193" spans="49:58">
      <c r="AW193" s="107"/>
      <c r="AX193" s="195"/>
      <c r="AY193" s="105"/>
      <c r="AZ193" s="220"/>
      <c r="BA193" s="241"/>
      <c r="BE193" s="107"/>
      <c r="BF193" s="220"/>
    </row>
    <row r="194" spans="49:58">
      <c r="AW194" s="107"/>
      <c r="AX194" s="195"/>
      <c r="AY194" s="105"/>
      <c r="AZ194" s="220"/>
      <c r="BA194" s="241"/>
      <c r="BE194" s="107"/>
      <c r="BF194" s="220"/>
    </row>
    <row r="195" spans="49:58">
      <c r="AW195" s="107"/>
      <c r="AX195" s="195"/>
      <c r="AY195" s="105"/>
      <c r="AZ195" s="220"/>
      <c r="BA195" s="241"/>
      <c r="BE195" s="107"/>
      <c r="BF195" s="220"/>
    </row>
    <row r="196" spans="49:58">
      <c r="AW196" s="107"/>
      <c r="AX196" s="195"/>
      <c r="AY196" s="105"/>
      <c r="AZ196" s="220"/>
      <c r="BA196" s="241"/>
      <c r="BE196" s="107"/>
      <c r="BF196" s="220"/>
    </row>
    <row r="197" spans="49:58">
      <c r="AW197" s="107"/>
      <c r="AX197" s="195"/>
      <c r="AY197" s="105"/>
      <c r="AZ197" s="220"/>
      <c r="BA197" s="241"/>
      <c r="BE197" s="107"/>
      <c r="BF197" s="220"/>
    </row>
    <row r="198" spans="49:58">
      <c r="AW198" s="107"/>
      <c r="AX198" s="195"/>
      <c r="AY198" s="105"/>
      <c r="AZ198" s="220"/>
      <c r="BA198" s="241"/>
      <c r="BE198" s="107"/>
      <c r="BF198" s="220"/>
    </row>
    <row r="199" spans="49:58">
      <c r="AW199" s="107"/>
      <c r="AX199" s="195"/>
      <c r="AY199" s="105"/>
      <c r="AZ199" s="220"/>
      <c r="BA199" s="241"/>
      <c r="BE199" s="107"/>
      <c r="BF199" s="220"/>
    </row>
    <row r="200" spans="49:58">
      <c r="AW200" s="107"/>
      <c r="AX200" s="195"/>
      <c r="AY200" s="105"/>
      <c r="AZ200" s="220"/>
      <c r="BA200" s="241"/>
      <c r="BE200" s="107"/>
      <c r="BF200" s="220"/>
    </row>
    <row r="201" spans="49:58">
      <c r="AW201" s="107"/>
      <c r="AX201" s="195"/>
      <c r="AY201" s="105"/>
      <c r="AZ201" s="220"/>
      <c r="BA201" s="241"/>
      <c r="BE201" s="107"/>
      <c r="BF201" s="220"/>
    </row>
    <row r="202" spans="49:58">
      <c r="AW202" s="107"/>
      <c r="AX202" s="195"/>
      <c r="AY202" s="105"/>
      <c r="AZ202" s="220"/>
      <c r="BA202" s="241"/>
      <c r="BE202" s="107"/>
      <c r="BF202" s="220"/>
    </row>
    <row r="203" spans="49:58">
      <c r="AW203" s="107"/>
      <c r="AX203" s="195"/>
      <c r="AY203" s="105"/>
      <c r="AZ203" s="220"/>
      <c r="BA203" s="241"/>
      <c r="BE203" s="107"/>
      <c r="BF203" s="220"/>
    </row>
    <row r="204" spans="49:58">
      <c r="AW204" s="107"/>
      <c r="AX204" s="195"/>
      <c r="AY204" s="105"/>
      <c r="AZ204" s="220"/>
      <c r="BA204" s="241"/>
      <c r="BE204" s="107"/>
      <c r="BF204" s="220"/>
    </row>
    <row r="205" spans="49:58">
      <c r="AW205" s="107"/>
      <c r="AX205" s="195"/>
      <c r="AY205" s="105"/>
      <c r="AZ205" s="220"/>
      <c r="BA205" s="241"/>
      <c r="BE205" s="107"/>
      <c r="BF205" s="220"/>
    </row>
    <row r="206" spans="49:58">
      <c r="AW206" s="107"/>
      <c r="AX206" s="195"/>
      <c r="AY206" s="105"/>
      <c r="AZ206" s="220"/>
      <c r="BA206" s="241"/>
      <c r="BE206" s="107"/>
      <c r="BF206" s="220"/>
    </row>
    <row r="207" spans="49:58">
      <c r="AW207" s="107"/>
      <c r="AX207" s="195"/>
      <c r="AY207" s="105"/>
      <c r="AZ207" s="220"/>
      <c r="BA207" s="241"/>
      <c r="BE207" s="107"/>
      <c r="BF207" s="220"/>
    </row>
    <row r="208" spans="49:58">
      <c r="AW208" s="107"/>
      <c r="AX208" s="195"/>
      <c r="AY208" s="105"/>
      <c r="AZ208" s="220"/>
      <c r="BA208" s="241"/>
      <c r="BE208" s="107"/>
      <c r="BF208" s="220"/>
    </row>
    <row r="209" spans="49:58">
      <c r="AW209" s="107"/>
      <c r="AX209" s="195"/>
      <c r="AY209" s="105"/>
      <c r="AZ209" s="220"/>
      <c r="BA209" s="241"/>
      <c r="BE209" s="107"/>
      <c r="BF209" s="220"/>
    </row>
    <row r="210" spans="49:58">
      <c r="AW210" s="107"/>
      <c r="AX210" s="195"/>
      <c r="AY210" s="105"/>
      <c r="AZ210" s="220"/>
      <c r="BA210" s="241"/>
      <c r="BE210" s="107"/>
      <c r="BF210" s="220"/>
    </row>
    <row r="211" spans="49:58">
      <c r="AW211" s="107"/>
      <c r="AX211" s="195"/>
      <c r="AY211" s="105"/>
      <c r="AZ211" s="220"/>
      <c r="BA211" s="241"/>
      <c r="BE211" s="107"/>
      <c r="BF211" s="220"/>
    </row>
    <row r="212" spans="49:58">
      <c r="AW212" s="107"/>
      <c r="AX212" s="195"/>
      <c r="AY212" s="105"/>
      <c r="AZ212" s="220"/>
      <c r="BA212" s="241"/>
      <c r="BE212" s="107"/>
      <c r="BF212" s="220"/>
    </row>
    <row r="213" spans="49:58">
      <c r="AW213" s="107"/>
      <c r="AX213" s="195"/>
      <c r="AY213" s="105"/>
      <c r="AZ213" s="220"/>
      <c r="BA213" s="241"/>
      <c r="BE213" s="107"/>
      <c r="BF213" s="220"/>
    </row>
    <row r="214" spans="49:58">
      <c r="AW214" s="107"/>
      <c r="AX214" s="195"/>
      <c r="AY214" s="105"/>
      <c r="AZ214" s="220"/>
      <c r="BA214" s="241"/>
      <c r="BE214" s="107"/>
      <c r="BF214" s="220"/>
    </row>
    <row r="215" spans="49:58">
      <c r="AW215" s="107"/>
      <c r="AX215" s="195"/>
      <c r="AY215" s="105"/>
      <c r="AZ215" s="220"/>
      <c r="BA215" s="241"/>
      <c r="BE215" s="107"/>
      <c r="BF215" s="220"/>
    </row>
    <row r="216" spans="49:58">
      <c r="AW216" s="107"/>
      <c r="AX216" s="195"/>
      <c r="AY216" s="105"/>
      <c r="AZ216" s="220"/>
      <c r="BA216" s="241"/>
      <c r="BE216" s="107"/>
      <c r="BF216" s="220"/>
    </row>
    <row r="217" spans="49:58">
      <c r="AW217" s="107"/>
      <c r="AX217" s="195"/>
      <c r="AY217" s="105"/>
      <c r="AZ217" s="220"/>
      <c r="BA217" s="241"/>
      <c r="BE217" s="107"/>
      <c r="BF217" s="220"/>
    </row>
    <row r="218" spans="49:58">
      <c r="AW218" s="107"/>
      <c r="AX218" s="195"/>
      <c r="AY218" s="105"/>
      <c r="AZ218" s="220"/>
      <c r="BA218" s="241"/>
      <c r="BE218" s="107"/>
      <c r="BF218" s="220"/>
    </row>
    <row r="219" spans="49:58">
      <c r="AW219" s="107"/>
      <c r="AX219" s="195"/>
      <c r="AY219" s="105"/>
      <c r="AZ219" s="220"/>
      <c r="BA219" s="241"/>
      <c r="BE219" s="107"/>
      <c r="BF219" s="220"/>
    </row>
    <row r="220" spans="49:58">
      <c r="AW220" s="107"/>
      <c r="AX220" s="195"/>
      <c r="AY220" s="105"/>
      <c r="AZ220" s="220"/>
      <c r="BA220" s="241"/>
      <c r="BE220" s="107"/>
      <c r="BF220" s="220"/>
    </row>
    <row r="221" spans="49:58">
      <c r="AW221" s="107"/>
      <c r="AX221" s="195"/>
      <c r="AY221" s="105"/>
      <c r="AZ221" s="220"/>
      <c r="BA221" s="241"/>
      <c r="BE221" s="107"/>
      <c r="BF221" s="220"/>
    </row>
    <row r="222" spans="49:58">
      <c r="AW222" s="107"/>
      <c r="AX222" s="195"/>
      <c r="AY222" s="105"/>
      <c r="AZ222" s="220"/>
      <c r="BA222" s="241"/>
      <c r="BE222" s="107"/>
      <c r="BF222" s="220"/>
    </row>
    <row r="223" spans="49:58">
      <c r="AW223" s="107"/>
      <c r="AX223" s="195"/>
      <c r="AY223" s="105"/>
      <c r="AZ223" s="220"/>
      <c r="BA223" s="241"/>
      <c r="BE223" s="107"/>
      <c r="BF223" s="220"/>
    </row>
    <row r="224" spans="49:58">
      <c r="AW224" s="107"/>
      <c r="AX224" s="195"/>
      <c r="AY224" s="105"/>
      <c r="AZ224" s="220"/>
      <c r="BA224" s="241"/>
      <c r="BE224" s="107"/>
      <c r="BF224" s="220"/>
    </row>
    <row r="225" spans="49:58">
      <c r="AW225" s="107"/>
      <c r="AX225" s="195"/>
      <c r="AY225" s="105"/>
      <c r="AZ225" s="220"/>
      <c r="BA225" s="241"/>
      <c r="BE225" s="107"/>
      <c r="BF225" s="220"/>
    </row>
    <row r="226" spans="49:58">
      <c r="AW226" s="107"/>
      <c r="AX226" s="195"/>
      <c r="AY226" s="105"/>
      <c r="AZ226" s="220"/>
      <c r="BA226" s="241"/>
      <c r="BE226" s="107"/>
      <c r="BF226" s="220"/>
    </row>
    <row r="227" spans="49:58">
      <c r="AW227" s="107"/>
      <c r="AX227" s="195"/>
      <c r="AY227" s="105"/>
      <c r="AZ227" s="220"/>
      <c r="BA227" s="241"/>
      <c r="BE227" s="107"/>
      <c r="BF227" s="220"/>
    </row>
    <row r="228" spans="49:58">
      <c r="AW228" s="107"/>
      <c r="AX228" s="195"/>
      <c r="AY228" s="105"/>
      <c r="AZ228" s="220"/>
      <c r="BA228" s="241"/>
      <c r="BE228" s="107"/>
      <c r="BF228" s="220"/>
    </row>
    <row r="229" spans="49:58">
      <c r="AW229" s="107"/>
      <c r="AX229" s="195"/>
      <c r="AY229" s="105"/>
      <c r="AZ229" s="220"/>
      <c r="BA229" s="241"/>
      <c r="BE229" s="107"/>
      <c r="BF229" s="220"/>
    </row>
    <row r="230" spans="49:58">
      <c r="AW230" s="107"/>
      <c r="AX230" s="195"/>
      <c r="AY230" s="105"/>
      <c r="AZ230" s="220"/>
      <c r="BA230" s="241"/>
      <c r="BE230" s="107"/>
      <c r="BF230" s="220"/>
    </row>
    <row r="231" spans="49:58">
      <c r="AW231" s="107"/>
      <c r="AX231" s="195"/>
      <c r="AY231" s="105"/>
      <c r="AZ231" s="220"/>
      <c r="BA231" s="241"/>
      <c r="BE231" s="107"/>
      <c r="BF231" s="220"/>
    </row>
    <row r="232" spans="49:58">
      <c r="AW232" s="107"/>
      <c r="AX232" s="195"/>
      <c r="AY232" s="105"/>
      <c r="AZ232" s="220"/>
      <c r="BA232" s="241"/>
      <c r="BE232" s="107"/>
      <c r="BF232" s="220"/>
    </row>
    <row r="233" spans="49:58">
      <c r="AW233" s="107"/>
      <c r="AX233" s="195"/>
      <c r="AY233" s="105"/>
      <c r="AZ233" s="220"/>
      <c r="BA233" s="241"/>
      <c r="BE233" s="107"/>
      <c r="BF233" s="220"/>
    </row>
    <row r="234" spans="49:58">
      <c r="AW234" s="107"/>
      <c r="AX234" s="195"/>
      <c r="AY234" s="105"/>
      <c r="AZ234" s="220"/>
      <c r="BA234" s="241"/>
      <c r="BE234" s="107"/>
      <c r="BF234" s="220"/>
    </row>
    <row r="235" spans="49:58">
      <c r="AW235" s="107"/>
      <c r="AX235" s="195"/>
      <c r="AY235" s="105"/>
      <c r="AZ235" s="220"/>
      <c r="BA235" s="241"/>
      <c r="BE235" s="107"/>
      <c r="BF235" s="220"/>
    </row>
    <row r="236" spans="49:58">
      <c r="AW236" s="107"/>
      <c r="AX236" s="195"/>
      <c r="AY236" s="105"/>
      <c r="AZ236" s="220"/>
      <c r="BA236" s="241"/>
      <c r="BE236" s="107"/>
      <c r="BF236" s="220"/>
    </row>
    <row r="237" spans="49:58">
      <c r="AW237" s="107"/>
      <c r="AX237" s="195"/>
      <c r="AY237" s="105"/>
      <c r="AZ237" s="220"/>
      <c r="BA237" s="241"/>
      <c r="BE237" s="107"/>
      <c r="BF237" s="220"/>
    </row>
    <row r="238" spans="49:58">
      <c r="AW238" s="107"/>
      <c r="AX238" s="195"/>
      <c r="AY238" s="105"/>
      <c r="AZ238" s="220"/>
      <c r="BA238" s="241"/>
      <c r="BE238" s="107"/>
      <c r="BF238" s="220"/>
    </row>
    <row r="239" spans="49:58">
      <c r="AW239" s="107"/>
      <c r="AX239" s="195"/>
      <c r="AY239" s="105"/>
      <c r="AZ239" s="220"/>
      <c r="BA239" s="241"/>
      <c r="BE239" s="107"/>
      <c r="BF239" s="220"/>
    </row>
    <row r="240" spans="49:58">
      <c r="AW240" s="107"/>
      <c r="AX240" s="195"/>
      <c r="AY240" s="105"/>
      <c r="AZ240" s="220"/>
      <c r="BA240" s="241"/>
      <c r="BE240" s="107"/>
      <c r="BF240" s="220"/>
    </row>
    <row r="241" spans="49:58">
      <c r="AW241" s="107"/>
      <c r="AX241" s="195"/>
      <c r="AY241" s="105"/>
      <c r="AZ241" s="220"/>
      <c r="BA241" s="241"/>
      <c r="BE241" s="107"/>
      <c r="BF241" s="220"/>
    </row>
    <row r="242" spans="49:58">
      <c r="AW242" s="107"/>
      <c r="AX242" s="195"/>
      <c r="AY242" s="105"/>
      <c r="AZ242" s="220"/>
      <c r="BA242" s="241"/>
      <c r="BE242" s="107"/>
      <c r="BF242" s="220"/>
    </row>
    <row r="243" spans="49:58">
      <c r="AW243" s="107"/>
      <c r="AX243" s="195"/>
      <c r="AY243" s="105"/>
      <c r="AZ243" s="220"/>
      <c r="BA243" s="241"/>
      <c r="BE243" s="107"/>
      <c r="BF243" s="220"/>
    </row>
    <row r="244" spans="49:58">
      <c r="AW244" s="107"/>
      <c r="AX244" s="195"/>
      <c r="AY244" s="105"/>
      <c r="AZ244" s="220"/>
      <c r="BA244" s="241"/>
      <c r="BE244" s="107"/>
      <c r="BF244" s="220"/>
    </row>
    <row r="245" spans="49:58">
      <c r="AW245" s="107"/>
      <c r="AX245" s="195"/>
      <c r="AY245" s="105"/>
      <c r="AZ245" s="220"/>
      <c r="BA245" s="241"/>
      <c r="BE245" s="107"/>
      <c r="BF245" s="220"/>
    </row>
    <row r="246" spans="49:58">
      <c r="AW246" s="107"/>
      <c r="AX246" s="195"/>
      <c r="AY246" s="105"/>
      <c r="AZ246" s="220"/>
      <c r="BA246" s="241"/>
      <c r="BE246" s="107"/>
      <c r="BF246" s="220"/>
    </row>
    <row r="247" spans="49:58">
      <c r="AW247" s="107"/>
      <c r="AX247" s="195"/>
      <c r="AY247" s="105"/>
      <c r="AZ247" s="220"/>
      <c r="BA247" s="241"/>
      <c r="BE247" s="107"/>
      <c r="BF247" s="220"/>
    </row>
    <row r="248" spans="49:58">
      <c r="AW248" s="107"/>
      <c r="AX248" s="195"/>
      <c r="AY248" s="105"/>
      <c r="AZ248" s="220"/>
      <c r="BA248" s="241"/>
      <c r="BE248" s="107"/>
      <c r="BF248" s="220"/>
    </row>
    <row r="249" spans="49:58">
      <c r="AW249" s="107"/>
      <c r="AX249" s="195"/>
      <c r="AY249" s="105"/>
      <c r="AZ249" s="220"/>
      <c r="BA249" s="241"/>
      <c r="BE249" s="107"/>
      <c r="BF249" s="220"/>
    </row>
    <row r="250" spans="49:58">
      <c r="AW250" s="107"/>
      <c r="AX250" s="195"/>
      <c r="AY250" s="105"/>
      <c r="AZ250" s="220"/>
      <c r="BA250" s="241"/>
      <c r="BE250" s="107"/>
      <c r="BF250" s="220"/>
    </row>
    <row r="251" spans="49:58">
      <c r="AW251" s="107"/>
      <c r="AX251" s="195"/>
      <c r="AY251" s="105"/>
      <c r="AZ251" s="220"/>
      <c r="BA251" s="241"/>
      <c r="BE251" s="107"/>
      <c r="BF251" s="220"/>
    </row>
    <row r="252" spans="49:58">
      <c r="AW252" s="107"/>
      <c r="AX252" s="195"/>
      <c r="AY252" s="105"/>
      <c r="AZ252" s="220"/>
      <c r="BA252" s="241"/>
      <c r="BE252" s="107"/>
      <c r="BF252" s="220"/>
    </row>
    <row r="253" spans="49:58">
      <c r="AW253" s="107"/>
      <c r="AX253" s="195"/>
      <c r="AY253" s="105"/>
      <c r="AZ253" s="220"/>
      <c r="BA253" s="241"/>
      <c r="BE253" s="107"/>
      <c r="BF253" s="220"/>
    </row>
    <row r="254" spans="49:58">
      <c r="AW254" s="107"/>
      <c r="AX254" s="195"/>
      <c r="AY254" s="105"/>
      <c r="AZ254" s="220"/>
      <c r="BA254" s="241"/>
      <c r="BE254" s="107"/>
      <c r="BF254" s="220"/>
    </row>
    <row r="255" spans="49:58">
      <c r="AW255" s="107"/>
      <c r="AX255" s="195"/>
      <c r="AY255" s="105"/>
      <c r="AZ255" s="220"/>
      <c r="BA255" s="241"/>
      <c r="BE255" s="107"/>
      <c r="BF255" s="220"/>
    </row>
    <row r="256" spans="49:58">
      <c r="AW256" s="107"/>
      <c r="AX256" s="195"/>
      <c r="AY256" s="105"/>
      <c r="AZ256" s="220"/>
      <c r="BA256" s="241"/>
      <c r="BE256" s="107"/>
      <c r="BF256" s="220"/>
    </row>
    <row r="257" spans="49:58">
      <c r="AW257" s="107"/>
      <c r="AX257" s="195"/>
      <c r="AY257" s="105"/>
      <c r="AZ257" s="220"/>
      <c r="BA257" s="241"/>
      <c r="BE257" s="107"/>
      <c r="BF257" s="220"/>
    </row>
    <row r="258" spans="49:58">
      <c r="AW258" s="107"/>
      <c r="AX258" s="195"/>
      <c r="AY258" s="105"/>
      <c r="AZ258" s="220"/>
      <c r="BA258" s="241"/>
      <c r="BE258" s="107"/>
      <c r="BF258" s="220"/>
    </row>
    <row r="259" spans="49:58">
      <c r="AW259" s="107"/>
      <c r="AX259" s="195"/>
      <c r="AY259" s="105"/>
      <c r="AZ259" s="220"/>
      <c r="BA259" s="241"/>
      <c r="BE259" s="107"/>
      <c r="BF259" s="220"/>
    </row>
    <row r="260" spans="49:58">
      <c r="AW260" s="107"/>
      <c r="AX260" s="195"/>
      <c r="AY260" s="105"/>
      <c r="AZ260" s="220"/>
      <c r="BA260" s="241"/>
      <c r="BE260" s="107"/>
      <c r="BF260" s="220"/>
    </row>
    <row r="261" spans="49:58">
      <c r="AW261" s="107"/>
      <c r="AX261" s="195"/>
      <c r="AY261" s="105"/>
      <c r="AZ261" s="220"/>
      <c r="BA261" s="241"/>
      <c r="BE261" s="107"/>
      <c r="BF261" s="220"/>
    </row>
    <row r="262" spans="49:58">
      <c r="AW262" s="107"/>
      <c r="AX262" s="195"/>
      <c r="AY262" s="105"/>
      <c r="AZ262" s="220"/>
      <c r="BA262" s="241"/>
      <c r="BE262" s="107"/>
      <c r="BF262" s="220"/>
    </row>
    <row r="263" spans="49:58">
      <c r="AW263" s="107"/>
      <c r="AX263" s="195"/>
      <c r="AY263" s="105"/>
      <c r="AZ263" s="220"/>
      <c r="BA263" s="241"/>
      <c r="BE263" s="107"/>
      <c r="BF263" s="220"/>
    </row>
    <row r="264" spans="49:58">
      <c r="AW264" s="107"/>
      <c r="AX264" s="195"/>
      <c r="AY264" s="105"/>
      <c r="AZ264" s="220"/>
      <c r="BA264" s="241"/>
      <c r="BE264" s="107"/>
      <c r="BF264" s="220"/>
    </row>
    <row r="265" spans="49:58">
      <c r="AW265" s="107"/>
      <c r="AX265" s="195"/>
      <c r="AY265" s="105"/>
      <c r="AZ265" s="220"/>
      <c r="BA265" s="241"/>
      <c r="BE265" s="107"/>
      <c r="BF265" s="220"/>
    </row>
    <row r="266" spans="49:58">
      <c r="AW266" s="107"/>
      <c r="AX266" s="195"/>
      <c r="AY266" s="105"/>
      <c r="AZ266" s="220"/>
      <c r="BA266" s="241"/>
      <c r="BE266" s="107"/>
      <c r="BF266" s="220"/>
    </row>
    <row r="267" spans="49:58">
      <c r="AW267" s="107"/>
      <c r="AX267" s="195"/>
      <c r="AY267" s="105"/>
      <c r="AZ267" s="220"/>
      <c r="BA267" s="241"/>
      <c r="BE267" s="107"/>
      <c r="BF267" s="220"/>
    </row>
    <row r="268" spans="49:58">
      <c r="AW268" s="107"/>
      <c r="AX268" s="195"/>
      <c r="AY268" s="105"/>
      <c r="AZ268" s="220"/>
      <c r="BA268" s="241"/>
      <c r="BE268" s="107"/>
      <c r="BF268" s="220"/>
    </row>
    <row r="269" spans="49:58">
      <c r="AW269" s="107"/>
      <c r="AX269" s="195"/>
      <c r="AY269" s="105"/>
      <c r="AZ269" s="220"/>
      <c r="BA269" s="241"/>
      <c r="BE269" s="107"/>
      <c r="BF269" s="220"/>
    </row>
    <row r="270" spans="49:58">
      <c r="AW270" s="107"/>
      <c r="AX270" s="195"/>
      <c r="AY270" s="105"/>
      <c r="AZ270" s="220"/>
      <c r="BA270" s="241"/>
      <c r="BE270" s="107"/>
      <c r="BF270" s="220"/>
    </row>
    <row r="271" spans="49:58">
      <c r="AW271" s="107"/>
      <c r="AX271" s="195"/>
      <c r="AY271" s="105"/>
      <c r="AZ271" s="220"/>
      <c r="BA271" s="241"/>
      <c r="BE271" s="107"/>
      <c r="BF271" s="220"/>
    </row>
    <row r="272" spans="49:58">
      <c r="AW272" s="107"/>
      <c r="AX272" s="195"/>
      <c r="AY272" s="105"/>
      <c r="AZ272" s="220"/>
      <c r="BA272" s="241"/>
      <c r="BE272" s="107"/>
      <c r="BF272" s="220"/>
    </row>
    <row r="273" spans="49:58">
      <c r="AW273" s="107"/>
      <c r="AX273" s="195"/>
      <c r="AY273" s="105"/>
      <c r="AZ273" s="220"/>
      <c r="BA273" s="241"/>
      <c r="BE273" s="107"/>
      <c r="BF273" s="220"/>
    </row>
    <row r="274" spans="49:58">
      <c r="AW274" s="107"/>
      <c r="AX274" s="195"/>
      <c r="AY274" s="105"/>
      <c r="AZ274" s="220"/>
      <c r="BA274" s="241"/>
      <c r="BE274" s="107"/>
      <c r="BF274" s="220"/>
    </row>
    <row r="275" spans="49:58">
      <c r="AW275" s="107"/>
      <c r="AX275" s="195"/>
      <c r="AY275" s="105"/>
      <c r="AZ275" s="220"/>
      <c r="BA275" s="241"/>
      <c r="BE275" s="107"/>
      <c r="BF275" s="220"/>
    </row>
    <row r="276" spans="49:58">
      <c r="AW276" s="107"/>
      <c r="AX276" s="195"/>
      <c r="AY276" s="105"/>
      <c r="AZ276" s="220"/>
      <c r="BA276" s="241"/>
      <c r="BE276" s="107"/>
      <c r="BF276" s="220"/>
    </row>
    <row r="277" spans="49:58">
      <c r="AW277" s="107"/>
      <c r="AX277" s="195"/>
      <c r="AY277" s="105"/>
      <c r="AZ277" s="220"/>
      <c r="BA277" s="241"/>
      <c r="BE277" s="107"/>
      <c r="BF277" s="220"/>
    </row>
    <row r="278" spans="49:58">
      <c r="AW278" s="107"/>
      <c r="AX278" s="195"/>
      <c r="AY278" s="105"/>
      <c r="AZ278" s="220"/>
      <c r="BA278" s="241"/>
      <c r="BE278" s="107"/>
      <c r="BF278" s="220"/>
    </row>
    <row r="279" spans="49:58">
      <c r="AW279" s="107"/>
      <c r="AX279" s="195"/>
      <c r="AY279" s="105"/>
      <c r="AZ279" s="220"/>
      <c r="BA279" s="241"/>
      <c r="BE279" s="107"/>
      <c r="BF279" s="220"/>
    </row>
    <row r="280" spans="49:58">
      <c r="AW280" s="107"/>
      <c r="AX280" s="195"/>
      <c r="AY280" s="105"/>
      <c r="AZ280" s="220"/>
      <c r="BA280" s="241"/>
      <c r="BE280" s="107"/>
      <c r="BF280" s="220"/>
    </row>
    <row r="281" spans="49:58">
      <c r="AW281" s="107"/>
      <c r="AX281" s="195"/>
      <c r="AY281" s="105"/>
      <c r="AZ281" s="220"/>
      <c r="BA281" s="241"/>
      <c r="BE281" s="107"/>
      <c r="BF281" s="220"/>
    </row>
    <row r="282" spans="49:58">
      <c r="AW282" s="107"/>
      <c r="AX282" s="195"/>
      <c r="AY282" s="105"/>
      <c r="AZ282" s="220"/>
      <c r="BA282" s="241"/>
      <c r="BE282" s="107"/>
      <c r="BF282" s="220"/>
    </row>
    <row r="283" spans="49:58">
      <c r="AW283" s="107"/>
      <c r="AX283" s="195"/>
      <c r="AY283" s="105"/>
      <c r="AZ283" s="220"/>
      <c r="BA283" s="241"/>
      <c r="BE283" s="107"/>
      <c r="BF283" s="220"/>
    </row>
    <row r="284" spans="49:58">
      <c r="AW284" s="107"/>
      <c r="AX284" s="195"/>
      <c r="AY284" s="105"/>
      <c r="AZ284" s="220"/>
      <c r="BA284" s="241"/>
      <c r="BE284" s="107"/>
      <c r="BF284" s="220"/>
    </row>
    <row r="285" spans="49:58">
      <c r="AW285" s="107"/>
      <c r="AX285" s="195"/>
      <c r="AY285" s="105"/>
      <c r="AZ285" s="220"/>
      <c r="BA285" s="241"/>
      <c r="BE285" s="107"/>
      <c r="BF285" s="220"/>
    </row>
    <row r="286" spans="49:58">
      <c r="AW286" s="107"/>
      <c r="AX286" s="195"/>
      <c r="AY286" s="105"/>
      <c r="AZ286" s="220"/>
      <c r="BA286" s="241"/>
      <c r="BE286" s="107"/>
      <c r="BF286" s="220"/>
    </row>
    <row r="287" spans="49:58">
      <c r="AW287" s="107"/>
      <c r="AX287" s="195"/>
      <c r="AY287" s="105"/>
      <c r="AZ287" s="220"/>
      <c r="BA287" s="241"/>
      <c r="BE287" s="107"/>
      <c r="BF287" s="220"/>
    </row>
    <row r="288" spans="49:58">
      <c r="AW288" s="107"/>
      <c r="AX288" s="195"/>
      <c r="AY288" s="105"/>
      <c r="AZ288" s="220"/>
      <c r="BA288" s="241"/>
      <c r="BE288" s="107"/>
      <c r="BF288" s="220"/>
    </row>
    <row r="289" spans="49:58">
      <c r="AW289" s="107"/>
      <c r="AX289" s="195"/>
      <c r="AY289" s="105"/>
      <c r="AZ289" s="220"/>
      <c r="BA289" s="241"/>
      <c r="BE289" s="107"/>
      <c r="BF289" s="220"/>
    </row>
    <row r="290" spans="49:58">
      <c r="AW290" s="107"/>
      <c r="AX290" s="195"/>
      <c r="AY290" s="105"/>
      <c r="AZ290" s="220"/>
      <c r="BA290" s="241"/>
      <c r="BE290" s="107"/>
      <c r="BF290" s="220"/>
    </row>
    <row r="291" spans="49:58">
      <c r="AW291" s="107"/>
      <c r="AX291" s="195"/>
      <c r="AY291" s="105"/>
      <c r="AZ291" s="220"/>
      <c r="BA291" s="241"/>
      <c r="BE291" s="107"/>
      <c r="BF291" s="220"/>
    </row>
    <row r="292" spans="49:58">
      <c r="AW292" s="107"/>
      <c r="AX292" s="195"/>
      <c r="AY292" s="105"/>
      <c r="AZ292" s="220"/>
      <c r="BA292" s="241"/>
      <c r="BE292" s="107"/>
      <c r="BF292" s="220"/>
    </row>
    <row r="293" spans="49:58">
      <c r="AW293" s="107"/>
      <c r="AX293" s="195"/>
      <c r="AY293" s="105"/>
      <c r="AZ293" s="220"/>
      <c r="BA293" s="241"/>
      <c r="BE293" s="107"/>
      <c r="BF293" s="220"/>
    </row>
    <row r="294" spans="49:58">
      <c r="AW294" s="107"/>
      <c r="AX294" s="195"/>
      <c r="AY294" s="105"/>
      <c r="AZ294" s="220"/>
      <c r="BA294" s="241"/>
      <c r="BE294" s="107"/>
      <c r="BF294" s="220"/>
    </row>
    <row r="295" spans="49:58">
      <c r="AW295" s="107"/>
      <c r="AX295" s="195"/>
      <c r="AY295" s="105"/>
      <c r="AZ295" s="220"/>
      <c r="BA295" s="241"/>
      <c r="BE295" s="107"/>
      <c r="BF295" s="220"/>
    </row>
    <row r="296" spans="49:58">
      <c r="AW296" s="107"/>
      <c r="AX296" s="195"/>
      <c r="AY296" s="105"/>
      <c r="AZ296" s="220"/>
      <c r="BA296" s="241"/>
      <c r="BE296" s="107"/>
      <c r="BF296" s="220"/>
    </row>
    <row r="297" spans="49:58">
      <c r="AW297" s="107"/>
      <c r="AX297" s="195"/>
      <c r="AY297" s="105"/>
      <c r="AZ297" s="220"/>
      <c r="BA297" s="241"/>
      <c r="BE297" s="107"/>
      <c r="BF297" s="220"/>
    </row>
    <row r="298" spans="49:58">
      <c r="AW298" s="107"/>
      <c r="AX298" s="195"/>
      <c r="AY298" s="105"/>
      <c r="AZ298" s="220"/>
      <c r="BA298" s="241"/>
      <c r="BE298" s="107"/>
      <c r="BF298" s="220"/>
    </row>
    <row r="299" spans="49:58">
      <c r="AW299" s="107"/>
      <c r="AX299" s="195"/>
      <c r="AY299" s="105"/>
      <c r="AZ299" s="220"/>
      <c r="BA299" s="241"/>
      <c r="BE299" s="107"/>
      <c r="BF299" s="220"/>
    </row>
    <row r="300" spans="49:58">
      <c r="AW300" s="107"/>
      <c r="AX300" s="195"/>
      <c r="AY300" s="105"/>
      <c r="AZ300" s="220"/>
      <c r="BA300" s="241"/>
      <c r="BE300" s="107"/>
      <c r="BF300" s="220"/>
    </row>
    <row r="301" spans="49:58">
      <c r="AW301" s="107"/>
      <c r="AX301" s="195"/>
      <c r="AY301" s="105"/>
      <c r="AZ301" s="220"/>
      <c r="BA301" s="241"/>
      <c r="BE301" s="107"/>
      <c r="BF301" s="220"/>
    </row>
    <row r="302" spans="49:58">
      <c r="AW302" s="107"/>
      <c r="AX302" s="195"/>
      <c r="AY302" s="105"/>
      <c r="AZ302" s="220"/>
      <c r="BA302" s="241"/>
      <c r="BE302" s="107"/>
      <c r="BF302" s="220"/>
    </row>
    <row r="303" spans="49:58">
      <c r="AW303" s="107"/>
      <c r="AX303" s="195"/>
      <c r="AY303" s="105"/>
      <c r="AZ303" s="220"/>
      <c r="BA303" s="241"/>
      <c r="BE303" s="107"/>
      <c r="BF303" s="220"/>
    </row>
    <row r="304" spans="49:58">
      <c r="AW304" s="107"/>
      <c r="AX304" s="195"/>
      <c r="AY304" s="105"/>
      <c r="AZ304" s="220"/>
      <c r="BA304" s="241"/>
      <c r="BE304" s="107"/>
      <c r="BF304" s="220"/>
    </row>
    <row r="305" spans="49:58">
      <c r="AW305" s="107"/>
      <c r="AX305" s="195"/>
      <c r="AY305" s="105"/>
      <c r="AZ305" s="220"/>
      <c r="BA305" s="241"/>
      <c r="BE305" s="107"/>
      <c r="BF305" s="220"/>
    </row>
    <row r="306" spans="49:58">
      <c r="AW306" s="107"/>
      <c r="AX306" s="195"/>
      <c r="AY306" s="105"/>
      <c r="AZ306" s="220"/>
      <c r="BA306" s="241"/>
      <c r="BE306" s="107"/>
      <c r="BF306" s="220"/>
    </row>
    <row r="307" spans="49:58">
      <c r="AW307" s="107"/>
      <c r="AX307" s="195"/>
      <c r="AY307" s="105"/>
      <c r="AZ307" s="220"/>
      <c r="BA307" s="241"/>
      <c r="BE307" s="107"/>
      <c r="BF307" s="220"/>
    </row>
    <row r="308" spans="49:58">
      <c r="AW308" s="107"/>
      <c r="AX308" s="195"/>
      <c r="AY308" s="105"/>
      <c r="AZ308" s="220"/>
      <c r="BA308" s="241"/>
      <c r="BE308" s="107"/>
      <c r="BF308" s="220"/>
    </row>
    <row r="309" spans="49:58">
      <c r="AW309" s="107"/>
      <c r="AX309" s="195"/>
      <c r="AY309" s="105"/>
      <c r="AZ309" s="220"/>
      <c r="BA309" s="241"/>
      <c r="BE309" s="107"/>
      <c r="BF309" s="220"/>
    </row>
    <row r="310" spans="49:58">
      <c r="AW310" s="107"/>
      <c r="AX310" s="195"/>
      <c r="AY310" s="105"/>
      <c r="AZ310" s="220"/>
      <c r="BA310" s="241"/>
      <c r="BE310" s="107"/>
      <c r="BF310" s="220"/>
    </row>
    <row r="311" spans="49:58">
      <c r="AW311" s="107"/>
      <c r="AX311" s="195"/>
      <c r="AY311" s="105"/>
      <c r="AZ311" s="220"/>
      <c r="BA311" s="241"/>
      <c r="BE311" s="107"/>
      <c r="BF311" s="220"/>
    </row>
    <row r="312" spans="49:58">
      <c r="AW312" s="107"/>
      <c r="AX312" s="195"/>
      <c r="AY312" s="105"/>
      <c r="AZ312" s="220"/>
      <c r="BA312" s="241"/>
      <c r="BE312" s="107"/>
      <c r="BF312" s="220"/>
    </row>
    <row r="313" spans="49:58">
      <c r="AW313" s="107"/>
      <c r="AX313" s="195"/>
      <c r="AY313" s="105"/>
      <c r="AZ313" s="220"/>
      <c r="BA313" s="241"/>
      <c r="BE313" s="107"/>
      <c r="BF313" s="220"/>
    </row>
    <row r="314" spans="49:58">
      <c r="AW314" s="107"/>
      <c r="AX314" s="195"/>
      <c r="AY314" s="105"/>
      <c r="AZ314" s="220"/>
      <c r="BA314" s="241"/>
      <c r="BE314" s="107"/>
      <c r="BF314" s="220"/>
    </row>
    <row r="315" spans="49:58">
      <c r="AW315" s="107"/>
      <c r="AX315" s="195"/>
      <c r="AY315" s="105"/>
      <c r="AZ315" s="220"/>
      <c r="BA315" s="241"/>
      <c r="BE315" s="107"/>
      <c r="BF315" s="220"/>
    </row>
    <row r="316" spans="49:58">
      <c r="AW316" s="107"/>
      <c r="AX316" s="195"/>
      <c r="AY316" s="105"/>
      <c r="AZ316" s="220"/>
      <c r="BA316" s="241"/>
      <c r="BE316" s="107"/>
      <c r="BF316" s="220"/>
    </row>
    <row r="317" spans="49:58">
      <c r="AW317" s="107"/>
      <c r="AX317" s="195"/>
      <c r="AY317" s="105"/>
      <c r="AZ317" s="220"/>
      <c r="BA317" s="241"/>
      <c r="BE317" s="107"/>
      <c r="BF317" s="220"/>
    </row>
    <row r="318" spans="49:58">
      <c r="AW318" s="107"/>
      <c r="AX318" s="195"/>
      <c r="AY318" s="105"/>
      <c r="AZ318" s="220"/>
      <c r="BA318" s="241"/>
      <c r="BE318" s="107"/>
      <c r="BF318" s="220"/>
    </row>
    <row r="319" spans="49:58">
      <c r="AW319" s="107"/>
      <c r="AX319" s="195"/>
      <c r="AY319" s="105"/>
      <c r="AZ319" s="220"/>
      <c r="BA319" s="241"/>
      <c r="BE319" s="107"/>
      <c r="BF319" s="220"/>
    </row>
    <row r="320" spans="49:58">
      <c r="AW320" s="107"/>
      <c r="AX320" s="195"/>
      <c r="AY320" s="105"/>
      <c r="AZ320" s="220"/>
      <c r="BA320" s="241"/>
      <c r="BE320" s="107"/>
      <c r="BF320" s="220"/>
    </row>
    <row r="321" spans="49:58">
      <c r="AW321" s="107"/>
      <c r="AX321" s="195"/>
      <c r="AY321" s="105"/>
      <c r="AZ321" s="220"/>
      <c r="BA321" s="241"/>
      <c r="BE321" s="107"/>
      <c r="BF321" s="220"/>
    </row>
    <row r="322" spans="49:58">
      <c r="AW322" s="107"/>
      <c r="AX322" s="195"/>
      <c r="AY322" s="105"/>
      <c r="AZ322" s="220"/>
      <c r="BA322" s="241"/>
      <c r="BE322" s="107"/>
      <c r="BF322" s="220"/>
    </row>
    <row r="323" spans="49:58">
      <c r="AW323" s="107"/>
      <c r="AX323" s="195"/>
      <c r="AY323" s="105"/>
      <c r="AZ323" s="220"/>
      <c r="BA323" s="241"/>
      <c r="BE323" s="107"/>
      <c r="BF323" s="220"/>
    </row>
    <row r="324" spans="49:58">
      <c r="AW324" s="107"/>
      <c r="AX324" s="195"/>
      <c r="AY324" s="105"/>
      <c r="AZ324" s="220"/>
      <c r="BA324" s="241"/>
      <c r="BE324" s="107"/>
      <c r="BF324" s="220"/>
    </row>
    <row r="325" spans="49:58">
      <c r="AW325" s="107"/>
      <c r="AX325" s="195"/>
      <c r="AY325" s="105"/>
      <c r="AZ325" s="220"/>
      <c r="BA325" s="241"/>
      <c r="BE325" s="107"/>
      <c r="BF325" s="220"/>
    </row>
    <row r="326" spans="49:58">
      <c r="AW326" s="107"/>
      <c r="AX326" s="195"/>
      <c r="AY326" s="105"/>
      <c r="AZ326" s="220"/>
      <c r="BA326" s="241"/>
      <c r="BE326" s="107"/>
      <c r="BF326" s="220"/>
    </row>
    <row r="327" spans="49:58">
      <c r="AW327" s="107"/>
      <c r="AX327" s="195"/>
      <c r="AY327" s="105"/>
      <c r="AZ327" s="220"/>
      <c r="BA327" s="241"/>
      <c r="BE327" s="107"/>
      <c r="BF327" s="220"/>
    </row>
    <row r="328" spans="49:58">
      <c r="AW328" s="107"/>
      <c r="AX328" s="195"/>
      <c r="AY328" s="105"/>
      <c r="AZ328" s="220"/>
      <c r="BA328" s="241"/>
      <c r="BE328" s="107"/>
      <c r="BF328" s="220"/>
    </row>
    <row r="329" spans="49:58">
      <c r="AW329" s="107"/>
      <c r="AX329" s="195"/>
      <c r="AY329" s="105"/>
      <c r="AZ329" s="220"/>
      <c r="BA329" s="241"/>
      <c r="BE329" s="107"/>
      <c r="BF329" s="220"/>
    </row>
    <row r="330" spans="49:58">
      <c r="AW330" s="107"/>
      <c r="AX330" s="195"/>
      <c r="AY330" s="105"/>
      <c r="AZ330" s="220"/>
      <c r="BA330" s="241"/>
      <c r="BE330" s="107"/>
      <c r="BF330" s="220"/>
    </row>
    <row r="331" spans="49:58">
      <c r="AW331" s="107"/>
      <c r="AX331" s="195"/>
      <c r="AY331" s="105"/>
      <c r="AZ331" s="220"/>
      <c r="BA331" s="241"/>
      <c r="BE331" s="107"/>
      <c r="BF331" s="220"/>
    </row>
    <row r="332" spans="49:58">
      <c r="AW332" s="107"/>
      <c r="AX332" s="195"/>
      <c r="AY332" s="105"/>
      <c r="AZ332" s="220"/>
      <c r="BA332" s="241"/>
      <c r="BE332" s="107"/>
      <c r="BF332" s="220"/>
    </row>
    <row r="333" spans="49:58">
      <c r="AW333" s="107"/>
      <c r="AX333" s="195"/>
      <c r="AY333" s="105"/>
      <c r="AZ333" s="220"/>
      <c r="BA333" s="241"/>
      <c r="BE333" s="107"/>
      <c r="BF333" s="220"/>
    </row>
    <row r="334" spans="49:58">
      <c r="AW334" s="107"/>
      <c r="AX334" s="195"/>
      <c r="AY334" s="105"/>
      <c r="AZ334" s="220"/>
      <c r="BA334" s="241"/>
      <c r="BE334" s="107"/>
      <c r="BF334" s="220"/>
    </row>
    <row r="335" spans="49:58">
      <c r="AW335" s="107"/>
      <c r="AX335" s="195"/>
      <c r="AY335" s="105"/>
      <c r="AZ335" s="220"/>
      <c r="BA335" s="241"/>
      <c r="BE335" s="107"/>
      <c r="BF335" s="220"/>
    </row>
    <row r="336" spans="49:58">
      <c r="AW336" s="107"/>
      <c r="AX336" s="195"/>
      <c r="AY336" s="105"/>
      <c r="AZ336" s="220"/>
      <c r="BA336" s="241"/>
      <c r="BE336" s="107"/>
      <c r="BF336" s="220"/>
    </row>
    <row r="337" spans="49:58">
      <c r="AW337" s="107"/>
      <c r="AX337" s="195"/>
      <c r="AY337" s="105"/>
      <c r="AZ337" s="220"/>
      <c r="BA337" s="241"/>
      <c r="BE337" s="107"/>
      <c r="BF337" s="220"/>
    </row>
    <row r="338" spans="49:58">
      <c r="AW338" s="107"/>
      <c r="AX338" s="195"/>
      <c r="AY338" s="105"/>
      <c r="AZ338" s="220"/>
      <c r="BA338" s="241"/>
      <c r="BE338" s="107"/>
      <c r="BF338" s="220"/>
    </row>
    <row r="339" spans="49:58">
      <c r="AW339" s="107"/>
      <c r="AX339" s="195"/>
      <c r="AY339" s="105"/>
      <c r="AZ339" s="220"/>
      <c r="BA339" s="241"/>
      <c r="BE339" s="107"/>
      <c r="BF339" s="220"/>
    </row>
    <row r="340" spans="49:58">
      <c r="AW340" s="107"/>
      <c r="AX340" s="195"/>
      <c r="AY340" s="105"/>
      <c r="AZ340" s="220"/>
      <c r="BA340" s="241"/>
      <c r="BE340" s="107"/>
      <c r="BF340" s="220"/>
    </row>
    <row r="341" spans="49:58">
      <c r="AW341" s="107"/>
      <c r="AX341" s="195"/>
      <c r="AY341" s="105"/>
      <c r="AZ341" s="220"/>
      <c r="BA341" s="241"/>
      <c r="BE341" s="107"/>
      <c r="BF341" s="220"/>
    </row>
    <row r="342" spans="49:58">
      <c r="AW342" s="107"/>
      <c r="AX342" s="195"/>
      <c r="AY342" s="105"/>
      <c r="AZ342" s="220"/>
      <c r="BA342" s="241"/>
      <c r="BE342" s="107"/>
      <c r="BF342" s="220"/>
    </row>
    <row r="343" spans="49:58">
      <c r="AW343" s="107"/>
      <c r="AX343" s="195"/>
      <c r="AY343" s="105"/>
      <c r="AZ343" s="220"/>
      <c r="BA343" s="241"/>
      <c r="BE343" s="107"/>
      <c r="BF343" s="220"/>
    </row>
    <row r="344" spans="49:58">
      <c r="AW344" s="107"/>
      <c r="AX344" s="195"/>
      <c r="AY344" s="105"/>
      <c r="AZ344" s="220"/>
      <c r="BA344" s="241"/>
      <c r="BE344" s="107"/>
      <c r="BF344" s="220"/>
    </row>
    <row r="345" spans="49:58">
      <c r="AW345" s="107"/>
      <c r="AX345" s="195"/>
      <c r="AY345" s="105"/>
      <c r="AZ345" s="220"/>
      <c r="BA345" s="241"/>
      <c r="BE345" s="107"/>
      <c r="BF345" s="220"/>
    </row>
    <row r="346" spans="49:58">
      <c r="AW346" s="107"/>
      <c r="AX346" s="195"/>
      <c r="AY346" s="105"/>
      <c r="AZ346" s="220"/>
      <c r="BA346" s="241"/>
      <c r="BE346" s="107"/>
      <c r="BF346" s="220"/>
    </row>
    <row r="347" spans="49:58">
      <c r="AW347" s="107"/>
      <c r="AX347" s="195"/>
      <c r="AY347" s="105"/>
      <c r="AZ347" s="220"/>
      <c r="BA347" s="241"/>
      <c r="BE347" s="107"/>
      <c r="BF347" s="220"/>
    </row>
    <row r="348" spans="49:58">
      <c r="AW348" s="107"/>
      <c r="AX348" s="195"/>
      <c r="AY348" s="105"/>
      <c r="AZ348" s="220"/>
      <c r="BA348" s="241"/>
      <c r="BE348" s="107"/>
      <c r="BF348" s="220"/>
    </row>
    <row r="349" spans="49:58">
      <c r="AW349" s="107"/>
      <c r="AX349" s="195"/>
      <c r="AY349" s="105"/>
      <c r="AZ349" s="220"/>
      <c r="BA349" s="241"/>
      <c r="BE349" s="107"/>
      <c r="BF349" s="220"/>
    </row>
    <row r="350" spans="49:58">
      <c r="AW350" s="107"/>
      <c r="AX350" s="195"/>
      <c r="AY350" s="105"/>
      <c r="AZ350" s="220"/>
      <c r="BA350" s="241"/>
      <c r="BE350" s="107"/>
      <c r="BF350" s="220"/>
    </row>
    <row r="351" spans="49:58">
      <c r="AW351" s="107"/>
      <c r="AX351" s="195"/>
      <c r="AY351" s="105"/>
      <c r="AZ351" s="220"/>
      <c r="BA351" s="241"/>
      <c r="BE351" s="107"/>
      <c r="BF351" s="220"/>
    </row>
    <row r="352" spans="49:58">
      <c r="AW352" s="107"/>
      <c r="AX352" s="195"/>
      <c r="AY352" s="105"/>
      <c r="AZ352" s="220"/>
      <c r="BA352" s="241"/>
      <c r="BE352" s="107"/>
      <c r="BF352" s="220"/>
    </row>
    <row r="353" spans="49:58">
      <c r="AW353" s="107"/>
      <c r="AX353" s="195"/>
      <c r="AY353" s="105"/>
      <c r="AZ353" s="220"/>
      <c r="BA353" s="241"/>
      <c r="BE353" s="107"/>
      <c r="BF353" s="220"/>
    </row>
    <row r="354" spans="49:58">
      <c r="AW354" s="107"/>
      <c r="AX354" s="195"/>
      <c r="AY354" s="105"/>
      <c r="AZ354" s="220"/>
      <c r="BA354" s="241"/>
      <c r="BE354" s="107"/>
      <c r="BF354" s="220"/>
    </row>
    <row r="355" spans="49:58">
      <c r="AW355" s="107"/>
      <c r="AX355" s="195"/>
      <c r="AY355" s="105"/>
      <c r="AZ355" s="220"/>
      <c r="BA355" s="241"/>
      <c r="BE355" s="107"/>
      <c r="BF355" s="220"/>
    </row>
    <row r="356" spans="49:58">
      <c r="AW356" s="107"/>
      <c r="AX356" s="195"/>
      <c r="AY356" s="105"/>
      <c r="AZ356" s="220"/>
      <c r="BA356" s="241"/>
      <c r="BE356" s="107"/>
      <c r="BF356" s="220"/>
    </row>
    <row r="357" spans="49:58">
      <c r="AW357" s="107"/>
      <c r="AX357" s="195"/>
      <c r="AY357" s="105"/>
      <c r="AZ357" s="220"/>
      <c r="BA357" s="241"/>
      <c r="BE357" s="107"/>
      <c r="BF357" s="220"/>
    </row>
    <row r="358" spans="49:58">
      <c r="AW358" s="107"/>
      <c r="AX358" s="195"/>
      <c r="AY358" s="105"/>
      <c r="AZ358" s="220"/>
      <c r="BA358" s="241"/>
      <c r="BE358" s="107"/>
      <c r="BF358" s="220"/>
    </row>
    <row r="359" spans="49:58">
      <c r="AW359" s="107"/>
      <c r="AX359" s="195"/>
      <c r="AY359" s="105"/>
      <c r="AZ359" s="220"/>
      <c r="BA359" s="241"/>
      <c r="BE359" s="107"/>
      <c r="BF359" s="220"/>
    </row>
    <row r="360" spans="49:58">
      <c r="AW360" s="107"/>
      <c r="AX360" s="195"/>
      <c r="AY360" s="105"/>
      <c r="AZ360" s="220"/>
      <c r="BA360" s="241"/>
      <c r="BE360" s="107"/>
      <c r="BF360" s="220"/>
    </row>
    <row r="361" spans="49:58">
      <c r="AW361" s="107"/>
      <c r="AX361" s="195"/>
      <c r="AY361" s="105"/>
      <c r="AZ361" s="220"/>
      <c r="BA361" s="241"/>
      <c r="BE361" s="107"/>
      <c r="BF361" s="220"/>
    </row>
    <row r="362" spans="49:58">
      <c r="AW362" s="107"/>
      <c r="AX362" s="195"/>
      <c r="AY362" s="105"/>
      <c r="AZ362" s="220"/>
      <c r="BA362" s="241"/>
      <c r="BE362" s="107"/>
      <c r="BF362" s="220"/>
    </row>
    <row r="363" spans="49:58">
      <c r="AW363" s="107"/>
      <c r="AX363" s="195"/>
      <c r="AY363" s="105"/>
      <c r="AZ363" s="220"/>
      <c r="BA363" s="241"/>
      <c r="BE363" s="107"/>
      <c r="BF363" s="220"/>
    </row>
    <row r="364" spans="49:58">
      <c r="AW364" s="107"/>
      <c r="AX364" s="195"/>
      <c r="AY364" s="105"/>
      <c r="AZ364" s="220"/>
      <c r="BA364" s="241"/>
      <c r="BE364" s="107"/>
      <c r="BF364" s="220"/>
    </row>
    <row r="365" spans="49:58">
      <c r="AW365" s="107"/>
      <c r="AX365" s="195"/>
      <c r="AY365" s="105"/>
      <c r="AZ365" s="220"/>
      <c r="BA365" s="241"/>
      <c r="BE365" s="107"/>
      <c r="BF365" s="220"/>
    </row>
    <row r="366" spans="49:58">
      <c r="AW366" s="107"/>
      <c r="AX366" s="195"/>
      <c r="AY366" s="105"/>
      <c r="AZ366" s="220"/>
      <c r="BA366" s="241"/>
      <c r="BE366" s="107"/>
      <c r="BF366" s="220"/>
    </row>
    <row r="367" spans="49:58">
      <c r="AW367" s="107"/>
      <c r="AX367" s="195"/>
      <c r="AY367" s="105"/>
      <c r="AZ367" s="220"/>
      <c r="BA367" s="241"/>
      <c r="BE367" s="107"/>
      <c r="BF367" s="220"/>
    </row>
    <row r="368" spans="49:58">
      <c r="AW368" s="107"/>
      <c r="AX368" s="195"/>
      <c r="AY368" s="105"/>
      <c r="AZ368" s="220"/>
      <c r="BA368" s="241"/>
      <c r="BE368" s="107"/>
      <c r="BF368" s="220"/>
    </row>
    <row r="369" spans="49:58">
      <c r="AW369" s="107"/>
      <c r="AX369" s="195"/>
      <c r="AY369" s="105"/>
      <c r="AZ369" s="220"/>
      <c r="BA369" s="241"/>
      <c r="BE369" s="107"/>
      <c r="BF369" s="220"/>
    </row>
    <row r="370" spans="49:58">
      <c r="AW370" s="107"/>
      <c r="AX370" s="195"/>
      <c r="AY370" s="105"/>
      <c r="AZ370" s="220"/>
      <c r="BA370" s="241"/>
      <c r="BE370" s="107"/>
      <c r="BF370" s="220"/>
    </row>
    <row r="371" spans="49:58">
      <c r="AW371" s="107"/>
      <c r="AX371" s="195"/>
      <c r="AY371" s="105"/>
      <c r="AZ371" s="220"/>
      <c r="BA371" s="241"/>
      <c r="BE371" s="107"/>
      <c r="BF371" s="220"/>
    </row>
    <row r="372" spans="49:58">
      <c r="AW372" s="107"/>
      <c r="AX372" s="195"/>
      <c r="AY372" s="105"/>
      <c r="AZ372" s="220"/>
      <c r="BA372" s="241"/>
      <c r="BE372" s="107"/>
      <c r="BF372" s="220"/>
    </row>
    <row r="373" spans="49:58">
      <c r="AW373" s="107"/>
      <c r="AX373" s="195"/>
      <c r="AY373" s="105"/>
      <c r="AZ373" s="220"/>
      <c r="BA373" s="241"/>
      <c r="BE373" s="107"/>
      <c r="BF373" s="220"/>
    </row>
    <row r="374" spans="49:58">
      <c r="AW374" s="107"/>
      <c r="AX374" s="195"/>
      <c r="AY374" s="105"/>
      <c r="AZ374" s="220"/>
      <c r="BA374" s="241"/>
      <c r="BE374" s="107"/>
      <c r="BF374" s="220"/>
    </row>
    <row r="375" spans="49:58">
      <c r="AW375" s="107"/>
      <c r="AX375" s="195"/>
      <c r="AY375" s="105"/>
      <c r="AZ375" s="220"/>
      <c r="BA375" s="241"/>
      <c r="BE375" s="107"/>
      <c r="BF375" s="220"/>
    </row>
    <row r="376" spans="49:58">
      <c r="AW376" s="107"/>
      <c r="AX376" s="195"/>
      <c r="AY376" s="105"/>
      <c r="AZ376" s="220"/>
      <c r="BA376" s="241"/>
      <c r="BE376" s="107"/>
      <c r="BF376" s="220"/>
    </row>
    <row r="377" spans="49:58">
      <c r="AW377" s="107"/>
      <c r="AX377" s="195"/>
      <c r="AY377" s="105"/>
      <c r="AZ377" s="220"/>
      <c r="BA377" s="241"/>
      <c r="BE377" s="107"/>
      <c r="BF377" s="220"/>
    </row>
    <row r="378" spans="49:58">
      <c r="AW378" s="107"/>
      <c r="AX378" s="195"/>
      <c r="AY378" s="105"/>
      <c r="AZ378" s="220"/>
      <c r="BA378" s="241"/>
      <c r="BE378" s="107"/>
      <c r="BF378" s="220"/>
    </row>
    <row r="379" spans="49:58">
      <c r="AW379" s="107"/>
      <c r="AX379" s="195"/>
      <c r="AY379" s="105"/>
      <c r="AZ379" s="220"/>
      <c r="BA379" s="241"/>
      <c r="BE379" s="107"/>
      <c r="BF379" s="220"/>
    </row>
    <row r="380" spans="49:58">
      <c r="AW380" s="107"/>
      <c r="AX380" s="195"/>
      <c r="AY380" s="105"/>
      <c r="AZ380" s="220"/>
      <c r="BA380" s="241"/>
      <c r="BE380" s="107"/>
      <c r="BF380" s="220"/>
    </row>
    <row r="381" spans="49:58">
      <c r="AW381" s="107"/>
      <c r="AX381" s="195"/>
      <c r="AY381" s="105"/>
      <c r="AZ381" s="220"/>
      <c r="BA381" s="241"/>
      <c r="BE381" s="107"/>
      <c r="BF381" s="220"/>
    </row>
    <row r="382" spans="49:58">
      <c r="AW382" s="107"/>
      <c r="AX382" s="195"/>
      <c r="AY382" s="105"/>
      <c r="AZ382" s="220"/>
      <c r="BA382" s="241"/>
      <c r="BE382" s="107"/>
      <c r="BF382" s="220"/>
    </row>
    <row r="383" spans="49:58">
      <c r="AW383" s="107"/>
      <c r="AX383" s="195"/>
      <c r="AY383" s="105"/>
      <c r="AZ383" s="220"/>
      <c r="BA383" s="241"/>
      <c r="BE383" s="107"/>
      <c r="BF383" s="220"/>
    </row>
    <row r="384" spans="49:58">
      <c r="AW384" s="107"/>
      <c r="AX384" s="195"/>
      <c r="AY384" s="105"/>
      <c r="AZ384" s="220"/>
      <c r="BA384" s="241"/>
      <c r="BE384" s="107"/>
      <c r="BF384" s="220"/>
    </row>
    <row r="385" spans="49:58">
      <c r="AW385" s="107"/>
      <c r="AX385" s="195"/>
      <c r="AY385" s="105"/>
      <c r="AZ385" s="220"/>
      <c r="BA385" s="241"/>
      <c r="BE385" s="107"/>
      <c r="BF385" s="220"/>
    </row>
    <row r="386" spans="49:58">
      <c r="AW386" s="107"/>
      <c r="AX386" s="195"/>
      <c r="AY386" s="105"/>
      <c r="AZ386" s="220"/>
      <c r="BA386" s="241"/>
      <c r="BE386" s="107"/>
      <c r="BF386" s="220"/>
    </row>
    <row r="387" spans="49:58">
      <c r="AW387" s="107"/>
      <c r="AX387" s="195"/>
      <c r="AY387" s="105"/>
      <c r="AZ387" s="220"/>
      <c r="BA387" s="241"/>
      <c r="BE387" s="107"/>
      <c r="BF387" s="220"/>
    </row>
    <row r="388" spans="49:58">
      <c r="AW388" s="107"/>
      <c r="AX388" s="195"/>
      <c r="AY388" s="105"/>
      <c r="AZ388" s="220"/>
      <c r="BA388" s="241"/>
      <c r="BE388" s="107"/>
      <c r="BF388" s="220"/>
    </row>
    <row r="389" spans="49:58">
      <c r="AW389" s="107"/>
      <c r="AX389" s="195"/>
      <c r="AY389" s="105"/>
      <c r="AZ389" s="220"/>
      <c r="BA389" s="241"/>
      <c r="BE389" s="107"/>
      <c r="BF389" s="220"/>
    </row>
    <row r="390" spans="49:58">
      <c r="AW390" s="107"/>
      <c r="AX390" s="195"/>
      <c r="AY390" s="105"/>
      <c r="AZ390" s="220"/>
      <c r="BA390" s="241"/>
      <c r="BE390" s="107"/>
      <c r="BF390" s="220"/>
    </row>
    <row r="391" spans="49:58">
      <c r="AW391" s="107"/>
      <c r="AX391" s="195"/>
      <c r="AY391" s="105"/>
      <c r="AZ391" s="220"/>
      <c r="BA391" s="241"/>
      <c r="BE391" s="107"/>
      <c r="BF391" s="220"/>
    </row>
    <row r="392" spans="49:58">
      <c r="AW392" s="107"/>
      <c r="AX392" s="195"/>
      <c r="AY392" s="105"/>
      <c r="AZ392" s="220"/>
      <c r="BA392" s="241"/>
      <c r="BE392" s="107"/>
      <c r="BF392" s="220"/>
    </row>
    <row r="393" spans="49:58">
      <c r="AW393" s="107"/>
      <c r="AX393" s="195"/>
      <c r="AY393" s="105"/>
      <c r="AZ393" s="220"/>
      <c r="BA393" s="241"/>
      <c r="BE393" s="107"/>
      <c r="BF393" s="220"/>
    </row>
    <row r="394" spans="49:58">
      <c r="AW394" s="107"/>
      <c r="AX394" s="195"/>
      <c r="AY394" s="105"/>
      <c r="AZ394" s="220"/>
      <c r="BA394" s="241"/>
      <c r="BE394" s="107"/>
      <c r="BF394" s="220"/>
    </row>
    <row r="395" spans="49:58">
      <c r="AW395" s="107"/>
      <c r="AX395" s="195"/>
      <c r="AY395" s="105"/>
      <c r="AZ395" s="220"/>
      <c r="BA395" s="241"/>
      <c r="BE395" s="107"/>
      <c r="BF395" s="220"/>
    </row>
    <row r="396" spans="49:58">
      <c r="AW396" s="107"/>
      <c r="AX396" s="195"/>
      <c r="AY396" s="105"/>
      <c r="AZ396" s="220"/>
      <c r="BA396" s="241"/>
      <c r="BE396" s="107"/>
      <c r="BF396" s="220"/>
    </row>
    <row r="397" spans="49:58">
      <c r="AW397" s="107"/>
      <c r="AX397" s="195"/>
      <c r="AY397" s="105"/>
      <c r="AZ397" s="220"/>
      <c r="BA397" s="241"/>
      <c r="BE397" s="107"/>
      <c r="BF397" s="220"/>
    </row>
    <row r="398" spans="49:58">
      <c r="AW398" s="107"/>
      <c r="AX398" s="195"/>
      <c r="AY398" s="105"/>
      <c r="AZ398" s="220"/>
      <c r="BA398" s="241"/>
      <c r="BE398" s="107"/>
      <c r="BF398" s="220"/>
    </row>
    <row r="399" spans="49:58">
      <c r="AW399" s="107"/>
      <c r="AX399" s="195"/>
      <c r="AY399" s="105"/>
      <c r="AZ399" s="220"/>
      <c r="BA399" s="241"/>
      <c r="BE399" s="107"/>
      <c r="BF399" s="220"/>
    </row>
    <row r="400" spans="49:58">
      <c r="AW400" s="107"/>
      <c r="AX400" s="195"/>
      <c r="AY400" s="105"/>
      <c r="AZ400" s="220"/>
      <c r="BA400" s="241"/>
      <c r="BE400" s="107"/>
      <c r="BF400" s="220"/>
    </row>
    <row r="401" spans="49:58">
      <c r="AW401" s="107"/>
      <c r="AX401" s="195"/>
      <c r="AY401" s="105"/>
      <c r="AZ401" s="220"/>
      <c r="BA401" s="241"/>
      <c r="BE401" s="107"/>
      <c r="BF401" s="220"/>
    </row>
    <row r="402" spans="49:58">
      <c r="AW402" s="107"/>
      <c r="AX402" s="195"/>
      <c r="AY402" s="105"/>
      <c r="AZ402" s="220"/>
      <c r="BA402" s="241"/>
      <c r="BE402" s="107"/>
      <c r="BF402" s="220"/>
    </row>
    <row r="403" spans="49:58">
      <c r="AW403" s="107"/>
      <c r="AX403" s="195"/>
      <c r="AY403" s="105"/>
      <c r="AZ403" s="220"/>
      <c r="BA403" s="241"/>
      <c r="BE403" s="107"/>
      <c r="BF403" s="220"/>
    </row>
    <row r="404" spans="49:58">
      <c r="AW404" s="107"/>
      <c r="AX404" s="195"/>
      <c r="AY404" s="105"/>
      <c r="AZ404" s="220"/>
      <c r="BA404" s="241"/>
      <c r="BE404" s="107"/>
      <c r="BF404" s="220"/>
    </row>
    <row r="405" spans="49:58">
      <c r="AW405" s="107"/>
      <c r="AX405" s="195"/>
      <c r="AY405" s="105"/>
      <c r="AZ405" s="220"/>
      <c r="BA405" s="241"/>
      <c r="BE405" s="107"/>
      <c r="BF405" s="220"/>
    </row>
    <row r="406" spans="49:58">
      <c r="AW406" s="107"/>
      <c r="AX406" s="195"/>
      <c r="AY406" s="105"/>
      <c r="AZ406" s="220"/>
      <c r="BA406" s="241"/>
      <c r="BE406" s="107"/>
      <c r="BF406" s="220"/>
    </row>
    <row r="407" spans="49:58">
      <c r="AW407" s="107"/>
      <c r="AX407" s="195"/>
      <c r="AY407" s="105"/>
      <c r="AZ407" s="220"/>
      <c r="BA407" s="241"/>
      <c r="BE407" s="107"/>
      <c r="BF407" s="220"/>
    </row>
    <row r="408" spans="49:58">
      <c r="AW408" s="107"/>
      <c r="AX408" s="195"/>
      <c r="AY408" s="105"/>
      <c r="AZ408" s="220"/>
      <c r="BA408" s="241"/>
      <c r="BE408" s="107"/>
      <c r="BF408" s="220"/>
    </row>
    <row r="409" spans="49:58">
      <c r="AW409" s="107"/>
      <c r="AX409" s="195"/>
      <c r="AY409" s="105"/>
      <c r="AZ409" s="220"/>
      <c r="BA409" s="241"/>
      <c r="BE409" s="107"/>
      <c r="BF409" s="220"/>
    </row>
    <row r="410" spans="49:58">
      <c r="AW410" s="107"/>
      <c r="AX410" s="195"/>
      <c r="AY410" s="105"/>
      <c r="AZ410" s="220"/>
      <c r="BA410" s="241"/>
      <c r="BE410" s="107"/>
      <c r="BF410" s="220"/>
    </row>
    <row r="411" spans="49:58">
      <c r="AW411" s="107"/>
      <c r="AX411" s="195"/>
      <c r="AY411" s="105"/>
      <c r="AZ411" s="220"/>
      <c r="BA411" s="241"/>
      <c r="BE411" s="107"/>
      <c r="BF411" s="220"/>
    </row>
    <row r="412" spans="49:58">
      <c r="AW412" s="107"/>
      <c r="AX412" s="195"/>
      <c r="AY412" s="105"/>
      <c r="AZ412" s="220"/>
      <c r="BA412" s="241"/>
      <c r="BE412" s="107"/>
      <c r="BF412" s="220"/>
    </row>
    <row r="413" spans="49:58">
      <c r="AW413" s="107"/>
      <c r="AX413" s="195"/>
      <c r="AY413" s="105"/>
      <c r="AZ413" s="220"/>
      <c r="BA413" s="241"/>
      <c r="BE413" s="107"/>
      <c r="BF413" s="220"/>
    </row>
    <row r="414" spans="49:58">
      <c r="AW414" s="107"/>
      <c r="AX414" s="195"/>
      <c r="AY414" s="105"/>
      <c r="AZ414" s="220"/>
      <c r="BA414" s="241"/>
      <c r="BE414" s="107"/>
      <c r="BF414" s="220"/>
    </row>
    <row r="415" spans="49:58">
      <c r="AW415" s="107"/>
      <c r="AX415" s="195"/>
      <c r="AY415" s="105"/>
      <c r="AZ415" s="220"/>
      <c r="BA415" s="241"/>
      <c r="BE415" s="107"/>
      <c r="BF415" s="220"/>
    </row>
    <row r="416" spans="49:58">
      <c r="AW416" s="107"/>
      <c r="AX416" s="195"/>
      <c r="AY416" s="105"/>
      <c r="AZ416" s="220"/>
      <c r="BA416" s="241"/>
      <c r="BE416" s="107"/>
      <c r="BF416" s="220"/>
    </row>
    <row r="417" spans="49:58">
      <c r="AW417" s="107"/>
      <c r="AX417" s="195"/>
      <c r="AY417" s="105"/>
      <c r="AZ417" s="220"/>
      <c r="BA417" s="241"/>
      <c r="BE417" s="107"/>
      <c r="BF417" s="220"/>
    </row>
    <row r="418" spans="49:58">
      <c r="AW418" s="107"/>
      <c r="AX418" s="195"/>
      <c r="AY418" s="105"/>
      <c r="AZ418" s="220"/>
      <c r="BA418" s="241"/>
      <c r="BE418" s="107"/>
      <c r="BF418" s="220"/>
    </row>
    <row r="419" spans="49:58">
      <c r="AW419" s="107"/>
      <c r="AX419" s="195"/>
      <c r="AY419" s="105"/>
      <c r="AZ419" s="220"/>
      <c r="BA419" s="241"/>
      <c r="BE419" s="107"/>
      <c r="BF419" s="220"/>
    </row>
    <row r="420" spans="49:58">
      <c r="AW420" s="107"/>
      <c r="AX420" s="195"/>
      <c r="AY420" s="105"/>
      <c r="AZ420" s="220"/>
      <c r="BA420" s="241"/>
      <c r="BE420" s="107"/>
      <c r="BF420" s="220"/>
    </row>
    <row r="421" spans="49:58">
      <c r="AW421" s="107"/>
      <c r="AX421" s="195"/>
      <c r="AY421" s="105"/>
      <c r="AZ421" s="220"/>
      <c r="BA421" s="241"/>
      <c r="BE421" s="107"/>
      <c r="BF421" s="220"/>
    </row>
    <row r="422" spans="49:58">
      <c r="AW422" s="107"/>
      <c r="AX422" s="195"/>
      <c r="AY422" s="105"/>
      <c r="AZ422" s="220"/>
      <c r="BA422" s="241"/>
      <c r="BE422" s="107"/>
      <c r="BF422" s="220"/>
    </row>
    <row r="423" spans="49:58">
      <c r="AW423" s="107"/>
      <c r="AX423" s="195"/>
      <c r="AY423" s="105"/>
      <c r="AZ423" s="220"/>
      <c r="BA423" s="241"/>
      <c r="BE423" s="107"/>
      <c r="BF423" s="220"/>
    </row>
    <row r="424" spans="49:58">
      <c r="AW424" s="107"/>
      <c r="AX424" s="195"/>
      <c r="AY424" s="105"/>
      <c r="AZ424" s="220"/>
      <c r="BA424" s="241"/>
      <c r="BE424" s="107"/>
      <c r="BF424" s="220"/>
    </row>
    <row r="425" spans="49:58">
      <c r="AW425" s="107"/>
      <c r="AX425" s="195"/>
      <c r="AY425" s="105"/>
      <c r="AZ425" s="220"/>
      <c r="BA425" s="241"/>
      <c r="BE425" s="107"/>
      <c r="BF425" s="220"/>
    </row>
    <row r="426" spans="49:58">
      <c r="AW426" s="107"/>
      <c r="AX426" s="195"/>
      <c r="AY426" s="105"/>
      <c r="AZ426" s="220"/>
      <c r="BA426" s="241"/>
      <c r="BE426" s="107"/>
      <c r="BF426" s="220"/>
    </row>
    <row r="427" spans="49:58">
      <c r="AW427" s="107"/>
      <c r="AX427" s="195"/>
      <c r="AY427" s="105"/>
      <c r="AZ427" s="220"/>
      <c r="BA427" s="241"/>
      <c r="BE427" s="107"/>
      <c r="BF427" s="220"/>
    </row>
    <row r="428" spans="49:58">
      <c r="AW428" s="107"/>
      <c r="AX428" s="195"/>
      <c r="AY428" s="105"/>
      <c r="AZ428" s="220"/>
      <c r="BA428" s="241"/>
      <c r="BE428" s="107"/>
      <c r="BF428" s="220"/>
    </row>
    <row r="429" spans="49:58">
      <c r="AW429" s="107"/>
      <c r="AX429" s="195"/>
      <c r="AY429" s="105"/>
      <c r="AZ429" s="220"/>
      <c r="BA429" s="241"/>
      <c r="BE429" s="107"/>
      <c r="BF429" s="220"/>
    </row>
    <row r="430" spans="49:58">
      <c r="AW430" s="107"/>
      <c r="AX430" s="195"/>
      <c r="AY430" s="105"/>
      <c r="AZ430" s="220"/>
      <c r="BA430" s="241"/>
      <c r="BE430" s="107"/>
      <c r="BF430" s="220"/>
    </row>
    <row r="431" spans="49:58">
      <c r="AW431" s="107"/>
      <c r="AX431" s="195"/>
      <c r="AY431" s="105"/>
      <c r="AZ431" s="220"/>
      <c r="BA431" s="241"/>
      <c r="BE431" s="107"/>
      <c r="BF431" s="220"/>
    </row>
    <row r="432" spans="49:58">
      <c r="AW432" s="107"/>
      <c r="AX432" s="195"/>
      <c r="AY432" s="105"/>
      <c r="AZ432" s="220"/>
      <c r="BA432" s="241"/>
      <c r="BE432" s="107"/>
      <c r="BF432" s="220"/>
    </row>
    <row r="433" spans="49:58">
      <c r="AW433" s="107"/>
      <c r="AX433" s="195"/>
      <c r="AY433" s="105"/>
      <c r="AZ433" s="220"/>
      <c r="BA433" s="241"/>
      <c r="BE433" s="107"/>
      <c r="BF433" s="220"/>
    </row>
    <row r="434" spans="49:58">
      <c r="AW434" s="107"/>
      <c r="AX434" s="195"/>
      <c r="AY434" s="105"/>
      <c r="AZ434" s="220"/>
      <c r="BA434" s="241"/>
      <c r="BE434" s="107"/>
      <c r="BF434" s="220"/>
    </row>
    <row r="435" spans="49:58">
      <c r="AW435" s="107"/>
      <c r="AX435" s="195"/>
      <c r="AY435" s="105"/>
      <c r="AZ435" s="220"/>
      <c r="BA435" s="241"/>
      <c r="BE435" s="107"/>
      <c r="BF435" s="220"/>
    </row>
    <row r="436" spans="49:58">
      <c r="AW436" s="107"/>
      <c r="AX436" s="195"/>
      <c r="AY436" s="105"/>
      <c r="AZ436" s="220"/>
      <c r="BA436" s="241"/>
      <c r="BE436" s="107"/>
      <c r="BF436" s="220"/>
    </row>
    <row r="437" spans="49:58">
      <c r="AW437" s="107"/>
      <c r="AX437" s="195"/>
      <c r="AY437" s="105"/>
      <c r="AZ437" s="220"/>
      <c r="BA437" s="241"/>
      <c r="BE437" s="107"/>
      <c r="BF437" s="220"/>
    </row>
    <row r="438" spans="49:58">
      <c r="AW438" s="107"/>
      <c r="AX438" s="195"/>
      <c r="AY438" s="105"/>
      <c r="AZ438" s="220"/>
      <c r="BA438" s="241"/>
      <c r="BE438" s="107"/>
      <c r="BF438" s="220"/>
    </row>
    <row r="439" spans="49:58">
      <c r="AW439" s="107"/>
      <c r="AX439" s="195"/>
      <c r="AY439" s="105"/>
      <c r="AZ439" s="220"/>
      <c r="BA439" s="241"/>
      <c r="BE439" s="107"/>
      <c r="BF439" s="220"/>
    </row>
    <row r="440" spans="49:58">
      <c r="AW440" s="107"/>
      <c r="AX440" s="195"/>
      <c r="AY440" s="105"/>
      <c r="AZ440" s="220"/>
      <c r="BA440" s="241"/>
      <c r="BE440" s="107"/>
      <c r="BF440" s="220"/>
    </row>
    <row r="441" spans="49:58">
      <c r="AW441" s="107"/>
      <c r="AX441" s="195"/>
      <c r="AY441" s="105"/>
      <c r="AZ441" s="220"/>
      <c r="BA441" s="241"/>
      <c r="BE441" s="107"/>
      <c r="BF441" s="220"/>
    </row>
    <row r="442" spans="49:58">
      <c r="AW442" s="107"/>
      <c r="AX442" s="195"/>
      <c r="AY442" s="105"/>
      <c r="AZ442" s="220"/>
      <c r="BA442" s="241"/>
      <c r="BE442" s="107"/>
      <c r="BF442" s="220"/>
    </row>
    <row r="443" spans="49:58">
      <c r="AW443" s="107"/>
      <c r="AX443" s="195"/>
      <c r="AY443" s="105"/>
      <c r="AZ443" s="220"/>
      <c r="BA443" s="241"/>
      <c r="BE443" s="107"/>
      <c r="BF443" s="220"/>
    </row>
    <row r="444" spans="49:58">
      <c r="AW444" s="107"/>
      <c r="AX444" s="195"/>
      <c r="AY444" s="105"/>
      <c r="AZ444" s="220"/>
      <c r="BA444" s="241"/>
      <c r="BE444" s="107"/>
      <c r="BF444" s="220"/>
    </row>
    <row r="445" spans="49:58">
      <c r="AW445" s="107"/>
      <c r="AX445" s="195"/>
      <c r="AY445" s="105"/>
      <c r="AZ445" s="220"/>
      <c r="BA445" s="241"/>
      <c r="BE445" s="107"/>
      <c r="BF445" s="220"/>
    </row>
    <row r="446" spans="49:58">
      <c r="AW446" s="107"/>
      <c r="AX446" s="195"/>
      <c r="AY446" s="105"/>
      <c r="AZ446" s="220"/>
      <c r="BA446" s="241"/>
      <c r="BE446" s="107"/>
      <c r="BF446" s="220"/>
    </row>
    <row r="447" spans="49:58">
      <c r="AW447" s="107"/>
      <c r="AX447" s="195"/>
      <c r="AY447" s="105"/>
      <c r="AZ447" s="220"/>
      <c r="BA447" s="241"/>
      <c r="BE447" s="107"/>
      <c r="BF447" s="220"/>
    </row>
    <row r="448" spans="49:58">
      <c r="AW448" s="107"/>
      <c r="AX448" s="195"/>
      <c r="AY448" s="105"/>
      <c r="AZ448" s="220"/>
      <c r="BA448" s="241"/>
      <c r="BE448" s="107"/>
      <c r="BF448" s="220"/>
    </row>
    <row r="449" spans="49:58">
      <c r="AW449" s="107"/>
      <c r="AX449" s="195"/>
      <c r="AY449" s="105"/>
      <c r="AZ449" s="220"/>
      <c r="BA449" s="241"/>
      <c r="BE449" s="107"/>
      <c r="BF449" s="220"/>
    </row>
    <row r="450" spans="49:58">
      <c r="AW450" s="107"/>
      <c r="AX450" s="195"/>
      <c r="AY450" s="105"/>
      <c r="AZ450" s="220"/>
      <c r="BA450" s="241"/>
      <c r="BE450" s="107"/>
      <c r="BF450" s="220"/>
    </row>
    <row r="451" spans="49:58">
      <c r="AW451" s="107"/>
      <c r="AX451" s="195"/>
      <c r="AY451" s="105"/>
      <c r="AZ451" s="220"/>
      <c r="BA451" s="241"/>
      <c r="BE451" s="107"/>
      <c r="BF451" s="220"/>
    </row>
    <row r="452" spans="49:58">
      <c r="AW452" s="107"/>
      <c r="AX452" s="195"/>
      <c r="AY452" s="105"/>
      <c r="AZ452" s="220"/>
      <c r="BA452" s="241"/>
      <c r="BE452" s="107"/>
      <c r="BF452" s="220"/>
    </row>
    <row r="453" spans="49:58">
      <c r="AW453" s="107"/>
      <c r="AX453" s="195"/>
      <c r="AY453" s="105"/>
      <c r="AZ453" s="220"/>
      <c r="BA453" s="241"/>
      <c r="BE453" s="107"/>
      <c r="BF453" s="220"/>
    </row>
    <row r="454" spans="49:58">
      <c r="AW454" s="107"/>
      <c r="AX454" s="195"/>
      <c r="AY454" s="105"/>
      <c r="AZ454" s="220"/>
      <c r="BA454" s="241"/>
      <c r="BE454" s="107"/>
      <c r="BF454" s="220"/>
    </row>
    <row r="455" spans="49:58">
      <c r="AW455" s="107"/>
      <c r="AX455" s="195"/>
      <c r="AY455" s="105"/>
      <c r="AZ455" s="220"/>
      <c r="BA455" s="241"/>
      <c r="BE455" s="107"/>
      <c r="BF455" s="220"/>
    </row>
    <row r="456" spans="49:58">
      <c r="AW456" s="107"/>
      <c r="AX456" s="195"/>
      <c r="AY456" s="105"/>
      <c r="AZ456" s="220"/>
      <c r="BA456" s="241"/>
      <c r="BE456" s="107"/>
      <c r="BF456" s="220"/>
    </row>
    <row r="457" spans="49:58">
      <c r="AW457" s="107"/>
      <c r="AX457" s="195"/>
      <c r="AY457" s="105"/>
      <c r="AZ457" s="220"/>
      <c r="BA457" s="241"/>
      <c r="BE457" s="107"/>
      <c r="BF457" s="220"/>
    </row>
    <row r="458" spans="49:58">
      <c r="AW458" s="107"/>
      <c r="AX458" s="195"/>
      <c r="AY458" s="105"/>
      <c r="AZ458" s="220"/>
      <c r="BA458" s="241"/>
      <c r="BE458" s="107"/>
      <c r="BF458" s="220"/>
    </row>
    <row r="459" spans="49:58">
      <c r="AW459" s="107"/>
      <c r="AX459" s="195"/>
      <c r="AY459" s="105"/>
      <c r="AZ459" s="220"/>
      <c r="BA459" s="241"/>
      <c r="BE459" s="107"/>
      <c r="BF459" s="220"/>
    </row>
    <row r="460" spans="49:58">
      <c r="AW460" s="107"/>
      <c r="AX460" s="195"/>
      <c r="AY460" s="105"/>
      <c r="AZ460" s="220"/>
      <c r="BA460" s="241"/>
      <c r="BE460" s="107"/>
      <c r="BF460" s="220"/>
    </row>
    <row r="461" spans="49:58">
      <c r="AW461" s="107"/>
      <c r="AX461" s="195"/>
      <c r="AY461" s="105"/>
      <c r="AZ461" s="220"/>
      <c r="BA461" s="241"/>
      <c r="BE461" s="107"/>
      <c r="BF461" s="220"/>
    </row>
    <row r="462" spans="49:58">
      <c r="AW462" s="107"/>
      <c r="AX462" s="195"/>
      <c r="AY462" s="105"/>
      <c r="AZ462" s="220"/>
      <c r="BA462" s="241"/>
      <c r="BE462" s="107"/>
      <c r="BF462" s="220"/>
    </row>
    <row r="463" spans="49:58">
      <c r="AW463" s="107"/>
      <c r="AX463" s="195"/>
      <c r="AY463" s="105"/>
      <c r="AZ463" s="220"/>
      <c r="BA463" s="241"/>
      <c r="BE463" s="107"/>
      <c r="BF463" s="220"/>
    </row>
    <row r="464" spans="49:58">
      <c r="AW464" s="107"/>
      <c r="AX464" s="195"/>
      <c r="AY464" s="105"/>
      <c r="AZ464" s="220"/>
      <c r="BA464" s="241"/>
      <c r="BE464" s="107"/>
      <c r="BF464" s="220"/>
    </row>
    <row r="465" spans="49:58">
      <c r="AW465" s="107"/>
      <c r="AX465" s="195"/>
      <c r="AY465" s="105"/>
      <c r="AZ465" s="220"/>
      <c r="BA465" s="241"/>
      <c r="BE465" s="107"/>
      <c r="BF465" s="220"/>
    </row>
    <row r="466" spans="49:58">
      <c r="AW466" s="107"/>
      <c r="AX466" s="195"/>
      <c r="AY466" s="105"/>
      <c r="AZ466" s="220"/>
      <c r="BA466" s="241"/>
      <c r="BE466" s="107"/>
      <c r="BF466" s="220"/>
    </row>
    <row r="467" spans="49:58">
      <c r="AW467" s="107"/>
      <c r="AX467" s="195"/>
      <c r="AY467" s="105"/>
      <c r="AZ467" s="220"/>
      <c r="BA467" s="241"/>
      <c r="BE467" s="107"/>
      <c r="BF467" s="220"/>
    </row>
    <row r="468" spans="49:58">
      <c r="AW468" s="107"/>
      <c r="AX468" s="195"/>
      <c r="AY468" s="105"/>
      <c r="AZ468" s="220"/>
      <c r="BA468" s="241"/>
      <c r="BE468" s="107"/>
      <c r="BF468" s="220"/>
    </row>
    <row r="469" spans="49:58">
      <c r="AW469" s="107"/>
      <c r="AX469" s="195"/>
      <c r="AY469" s="105"/>
      <c r="AZ469" s="220"/>
      <c r="BA469" s="241"/>
      <c r="BE469" s="107"/>
      <c r="BF469" s="220"/>
    </row>
    <row r="470" spans="49:58">
      <c r="AW470" s="107"/>
      <c r="AX470" s="195"/>
      <c r="AY470" s="105"/>
      <c r="AZ470" s="220"/>
      <c r="BA470" s="241"/>
      <c r="BE470" s="107"/>
      <c r="BF470" s="220"/>
    </row>
    <row r="471" spans="49:58">
      <c r="AW471" s="107"/>
      <c r="AX471" s="195"/>
      <c r="AY471" s="105"/>
      <c r="AZ471" s="220"/>
      <c r="BA471" s="241"/>
      <c r="BE471" s="107"/>
      <c r="BF471" s="220"/>
    </row>
    <row r="472" spans="49:58">
      <c r="AW472" s="107"/>
      <c r="AX472" s="195"/>
      <c r="AY472" s="105"/>
      <c r="AZ472" s="220"/>
      <c r="BA472" s="241"/>
      <c r="BE472" s="107"/>
      <c r="BF472" s="220"/>
    </row>
    <row r="473" spans="49:58">
      <c r="AW473" s="107"/>
      <c r="AX473" s="195"/>
      <c r="AY473" s="105"/>
      <c r="AZ473" s="220"/>
      <c r="BA473" s="241"/>
      <c r="BE473" s="107"/>
      <c r="BF473" s="220"/>
    </row>
    <row r="474" spans="49:58">
      <c r="AW474" s="107"/>
      <c r="AX474" s="195"/>
      <c r="AY474" s="105"/>
      <c r="AZ474" s="220"/>
      <c r="BA474" s="241"/>
      <c r="BE474" s="107"/>
      <c r="BF474" s="220"/>
    </row>
    <row r="475" spans="49:58">
      <c r="AW475" s="107"/>
      <c r="AX475" s="195"/>
      <c r="AY475" s="105"/>
      <c r="AZ475" s="220"/>
      <c r="BA475" s="241"/>
      <c r="BE475" s="107"/>
      <c r="BF475" s="220"/>
    </row>
    <row r="476" spans="49:58">
      <c r="AW476" s="107"/>
      <c r="AX476" s="195"/>
      <c r="AY476" s="105"/>
      <c r="AZ476" s="220"/>
      <c r="BA476" s="241"/>
      <c r="BE476" s="107"/>
      <c r="BF476" s="220"/>
    </row>
    <row r="477" spans="49:58">
      <c r="AW477" s="107"/>
      <c r="AX477" s="195"/>
      <c r="AY477" s="105"/>
      <c r="AZ477" s="220"/>
      <c r="BA477" s="241"/>
      <c r="BE477" s="107"/>
      <c r="BF477" s="220"/>
    </row>
    <row r="478" spans="49:58">
      <c r="AW478" s="107"/>
      <c r="AX478" s="195"/>
      <c r="AY478" s="105"/>
      <c r="AZ478" s="220"/>
      <c r="BA478" s="241"/>
      <c r="BE478" s="107"/>
      <c r="BF478" s="220"/>
    </row>
    <row r="479" spans="49:58">
      <c r="AW479" s="107"/>
      <c r="AX479" s="195"/>
      <c r="AY479" s="105"/>
      <c r="AZ479" s="220"/>
      <c r="BA479" s="241"/>
      <c r="BE479" s="107"/>
      <c r="BF479" s="220"/>
    </row>
    <row r="480" spans="49:58">
      <c r="AW480" s="107"/>
      <c r="AX480" s="195"/>
      <c r="AY480" s="105"/>
      <c r="AZ480" s="220"/>
      <c r="BA480" s="241"/>
      <c r="BE480" s="107"/>
      <c r="BF480" s="220"/>
    </row>
    <row r="481" spans="49:58">
      <c r="AW481" s="107"/>
      <c r="AX481" s="195"/>
      <c r="AY481" s="105"/>
      <c r="AZ481" s="220"/>
      <c r="BA481" s="241"/>
      <c r="BE481" s="107"/>
      <c r="BF481" s="220"/>
    </row>
    <row r="482" spans="49:58">
      <c r="AW482" s="107"/>
      <c r="AX482" s="195"/>
      <c r="AY482" s="105"/>
      <c r="AZ482" s="220"/>
      <c r="BA482" s="241"/>
      <c r="BE482" s="107"/>
      <c r="BF482" s="220"/>
    </row>
    <row r="483" spans="49:58">
      <c r="AW483" s="107"/>
      <c r="AX483" s="195"/>
      <c r="AY483" s="105"/>
      <c r="AZ483" s="220"/>
      <c r="BA483" s="241"/>
      <c r="BE483" s="107"/>
      <c r="BF483" s="220"/>
    </row>
    <row r="484" spans="49:58">
      <c r="AW484" s="107"/>
      <c r="AX484" s="195"/>
      <c r="AY484" s="105"/>
      <c r="AZ484" s="220"/>
      <c r="BA484" s="241"/>
      <c r="BE484" s="107"/>
      <c r="BF484" s="220"/>
    </row>
    <row r="485" spans="49:58">
      <c r="AW485" s="107"/>
      <c r="AX485" s="195"/>
      <c r="AY485" s="105"/>
      <c r="AZ485" s="220"/>
      <c r="BA485" s="241"/>
      <c r="BE485" s="107"/>
      <c r="BF485" s="220"/>
    </row>
    <row r="486" spans="49:58">
      <c r="AW486" s="107"/>
      <c r="AX486" s="195"/>
      <c r="AY486" s="105"/>
      <c r="AZ486" s="220"/>
      <c r="BA486" s="241"/>
      <c r="BE486" s="107"/>
      <c r="BF486" s="220"/>
    </row>
    <row r="487" spans="49:58">
      <c r="AW487" s="107"/>
      <c r="AX487" s="195"/>
      <c r="AY487" s="105"/>
      <c r="AZ487" s="220"/>
      <c r="BA487" s="241"/>
      <c r="BE487" s="107"/>
      <c r="BF487" s="220"/>
    </row>
    <row r="488" spans="49:58">
      <c r="AW488" s="107"/>
      <c r="AX488" s="195"/>
      <c r="AY488" s="105"/>
      <c r="AZ488" s="220"/>
      <c r="BA488" s="241"/>
      <c r="BE488" s="107"/>
      <c r="BF488" s="220"/>
    </row>
    <row r="489" spans="49:58">
      <c r="AW489" s="107"/>
      <c r="AX489" s="195"/>
      <c r="AY489" s="105"/>
      <c r="AZ489" s="220"/>
      <c r="BA489" s="241"/>
      <c r="BE489" s="107"/>
      <c r="BF489" s="220"/>
    </row>
    <row r="490" spans="49:58">
      <c r="AW490" s="107"/>
      <c r="AX490" s="195"/>
      <c r="AY490" s="105"/>
      <c r="AZ490" s="220"/>
      <c r="BA490" s="241"/>
      <c r="BE490" s="107"/>
      <c r="BF490" s="220"/>
    </row>
    <row r="491" spans="49:58">
      <c r="AW491" s="107"/>
      <c r="AX491" s="195"/>
      <c r="AY491" s="105"/>
      <c r="AZ491" s="220"/>
      <c r="BA491" s="241"/>
      <c r="BE491" s="107"/>
      <c r="BF491" s="220"/>
    </row>
    <row r="492" spans="49:58">
      <c r="AW492" s="107"/>
      <c r="AX492" s="195"/>
      <c r="AY492" s="105"/>
      <c r="AZ492" s="220"/>
      <c r="BA492" s="241"/>
      <c r="BE492" s="107"/>
      <c r="BF492" s="220"/>
    </row>
    <row r="493" spans="49:58">
      <c r="AW493" s="107"/>
      <c r="AX493" s="195"/>
      <c r="AY493" s="105"/>
      <c r="AZ493" s="220"/>
      <c r="BA493" s="241"/>
      <c r="BE493" s="107"/>
      <c r="BF493" s="220"/>
    </row>
    <row r="494" spans="49:58">
      <c r="AW494" s="107"/>
      <c r="AX494" s="195"/>
      <c r="AY494" s="105"/>
      <c r="AZ494" s="220"/>
      <c r="BA494" s="241"/>
      <c r="BE494" s="107"/>
      <c r="BF494" s="220"/>
    </row>
    <row r="495" spans="49:58">
      <c r="AW495" s="107"/>
      <c r="AX495" s="195"/>
      <c r="AY495" s="105"/>
      <c r="AZ495" s="220"/>
      <c r="BA495" s="241"/>
      <c r="BE495" s="107"/>
      <c r="BF495" s="220"/>
    </row>
    <row r="496" spans="49:58">
      <c r="AW496" s="107"/>
      <c r="AX496" s="195"/>
      <c r="AY496" s="105"/>
      <c r="AZ496" s="220"/>
      <c r="BA496" s="241"/>
      <c r="BE496" s="107"/>
      <c r="BF496" s="220"/>
    </row>
    <row r="497" spans="49:58">
      <c r="AW497" s="107"/>
      <c r="AX497" s="195"/>
      <c r="AY497" s="105"/>
      <c r="AZ497" s="220"/>
      <c r="BA497" s="241"/>
      <c r="BE497" s="107"/>
      <c r="BF497" s="220"/>
    </row>
    <row r="498" spans="49:58">
      <c r="AW498" s="107"/>
      <c r="AX498" s="195"/>
      <c r="AY498" s="105"/>
      <c r="AZ498" s="220"/>
      <c r="BA498" s="241"/>
      <c r="BE498" s="107"/>
      <c r="BF498" s="220"/>
    </row>
    <row r="499" spans="49:58">
      <c r="AW499" s="107"/>
      <c r="AX499" s="195"/>
      <c r="AY499" s="105"/>
      <c r="AZ499" s="220"/>
      <c r="BA499" s="241"/>
      <c r="BE499" s="107"/>
      <c r="BF499" s="220"/>
    </row>
    <row r="500" spans="49:58">
      <c r="AW500" s="107"/>
      <c r="AX500" s="195"/>
      <c r="AY500" s="105"/>
      <c r="AZ500" s="220"/>
      <c r="BA500" s="241"/>
      <c r="BE500" s="107"/>
      <c r="BF500" s="220"/>
    </row>
    <row r="501" spans="49:58">
      <c r="AW501" s="107"/>
      <c r="AX501" s="195"/>
      <c r="AY501" s="105"/>
      <c r="AZ501" s="220"/>
      <c r="BA501" s="241"/>
      <c r="BE501" s="107"/>
      <c r="BF501" s="220"/>
    </row>
    <row r="502" spans="49:58">
      <c r="AW502" s="107"/>
      <c r="AX502" s="195"/>
      <c r="AY502" s="105"/>
      <c r="AZ502" s="220"/>
      <c r="BA502" s="241"/>
      <c r="BE502" s="107"/>
      <c r="BF502" s="220"/>
    </row>
    <row r="503" spans="49:58">
      <c r="AW503" s="107"/>
      <c r="AX503" s="195"/>
      <c r="AY503" s="105"/>
      <c r="AZ503" s="220"/>
      <c r="BA503" s="241"/>
      <c r="BE503" s="107"/>
      <c r="BF503" s="220"/>
    </row>
    <row r="504" spans="49:58">
      <c r="AW504" s="107"/>
      <c r="AX504" s="195"/>
      <c r="AY504" s="105"/>
      <c r="AZ504" s="220"/>
      <c r="BA504" s="241"/>
      <c r="BE504" s="107"/>
      <c r="BF504" s="220"/>
    </row>
    <row r="505" spans="49:58">
      <c r="AW505" s="107"/>
      <c r="AX505" s="195"/>
      <c r="AY505" s="105"/>
      <c r="AZ505" s="220"/>
      <c r="BA505" s="241"/>
      <c r="BE505" s="107"/>
      <c r="BF505" s="220"/>
    </row>
    <row r="506" spans="49:58">
      <c r="AW506" s="107"/>
      <c r="AX506" s="195"/>
      <c r="AY506" s="105"/>
      <c r="AZ506" s="220"/>
      <c r="BA506" s="241"/>
      <c r="BE506" s="107"/>
      <c r="BF506" s="220"/>
    </row>
    <row r="507" spans="49:58">
      <c r="AW507" s="107"/>
      <c r="AX507" s="195"/>
      <c r="AY507" s="105"/>
      <c r="AZ507" s="220"/>
      <c r="BA507" s="241"/>
      <c r="BE507" s="107"/>
      <c r="BF507" s="220"/>
    </row>
    <row r="508" spans="49:58">
      <c r="AW508" s="107"/>
      <c r="AX508" s="195"/>
      <c r="AY508" s="105"/>
      <c r="AZ508" s="220"/>
      <c r="BA508" s="241"/>
      <c r="BE508" s="107"/>
      <c r="BF508" s="220"/>
    </row>
    <row r="509" spans="49:58">
      <c r="AW509" s="107"/>
      <c r="AX509" s="195"/>
      <c r="AY509" s="105"/>
      <c r="AZ509" s="220"/>
      <c r="BA509" s="241"/>
      <c r="BE509" s="107"/>
      <c r="BF509" s="220"/>
    </row>
    <row r="510" spans="49:58">
      <c r="AW510" s="107"/>
      <c r="AX510" s="195"/>
      <c r="AY510" s="105"/>
      <c r="AZ510" s="220"/>
      <c r="BA510" s="241"/>
      <c r="BE510" s="107"/>
      <c r="BF510" s="220"/>
    </row>
    <row r="511" spans="49:58">
      <c r="AW511" s="107"/>
      <c r="AX511" s="195"/>
      <c r="AY511" s="105"/>
      <c r="AZ511" s="220"/>
      <c r="BA511" s="241"/>
      <c r="BE511" s="107"/>
      <c r="BF511" s="220"/>
    </row>
    <row r="512" spans="49:58">
      <c r="AW512" s="107"/>
      <c r="AX512" s="195"/>
      <c r="AY512" s="105"/>
      <c r="AZ512" s="220"/>
      <c r="BA512" s="241"/>
      <c r="BE512" s="107"/>
      <c r="BF512" s="220"/>
    </row>
    <row r="513" spans="49:58">
      <c r="AW513" s="107"/>
      <c r="AX513" s="195"/>
      <c r="AY513" s="105"/>
      <c r="AZ513" s="220"/>
      <c r="BA513" s="241"/>
      <c r="BE513" s="107"/>
      <c r="BF513" s="220"/>
    </row>
    <row r="514" spans="49:58">
      <c r="AW514" s="107"/>
      <c r="AX514" s="195"/>
      <c r="AY514" s="105"/>
      <c r="AZ514" s="220"/>
      <c r="BA514" s="241"/>
      <c r="BE514" s="107"/>
      <c r="BF514" s="220"/>
    </row>
    <row r="515" spans="49:58">
      <c r="AW515" s="107"/>
      <c r="AX515" s="195"/>
      <c r="AY515" s="105"/>
      <c r="AZ515" s="220"/>
      <c r="BA515" s="241"/>
      <c r="BE515" s="107"/>
      <c r="BF515" s="220"/>
    </row>
    <row r="516" spans="49:58">
      <c r="AW516" s="107"/>
      <c r="AX516" s="195"/>
      <c r="AY516" s="105"/>
      <c r="AZ516" s="220"/>
      <c r="BA516" s="241"/>
      <c r="BE516" s="107"/>
      <c r="BF516" s="220"/>
    </row>
    <row r="517" spans="49:58">
      <c r="AW517" s="107"/>
      <c r="AX517" s="195"/>
      <c r="AY517" s="105"/>
      <c r="AZ517" s="220"/>
      <c r="BA517" s="241"/>
      <c r="BE517" s="107"/>
      <c r="BF517" s="220"/>
    </row>
    <row r="518" spans="49:58">
      <c r="AW518" s="107"/>
      <c r="AX518" s="195"/>
      <c r="AY518" s="105"/>
      <c r="AZ518" s="220"/>
      <c r="BA518" s="241"/>
      <c r="BE518" s="107"/>
      <c r="BF518" s="220"/>
    </row>
    <row r="519" spans="49:58">
      <c r="AW519" s="107"/>
      <c r="AX519" s="195"/>
      <c r="AY519" s="105"/>
      <c r="AZ519" s="220"/>
      <c r="BA519" s="241"/>
      <c r="BE519" s="107"/>
      <c r="BF519" s="220"/>
    </row>
    <row r="520" spans="49:58">
      <c r="AW520" s="107"/>
      <c r="AX520" s="195"/>
      <c r="AY520" s="105"/>
      <c r="AZ520" s="220"/>
      <c r="BA520" s="241"/>
      <c r="BE520" s="107"/>
      <c r="BF520" s="220"/>
    </row>
    <row r="521" spans="49:58">
      <c r="AW521" s="107"/>
      <c r="AX521" s="195"/>
      <c r="AY521" s="105"/>
      <c r="AZ521" s="220"/>
      <c r="BA521" s="241"/>
      <c r="BE521" s="107"/>
      <c r="BF521" s="220"/>
    </row>
    <row r="522" spans="49:58">
      <c r="AW522" s="107"/>
      <c r="AX522" s="195"/>
      <c r="AY522" s="105"/>
      <c r="AZ522" s="220"/>
      <c r="BA522" s="241"/>
      <c r="BE522" s="107"/>
      <c r="BF522" s="220"/>
    </row>
    <row r="523" spans="49:58">
      <c r="AW523" s="107"/>
      <c r="AX523" s="195"/>
      <c r="AY523" s="105"/>
      <c r="AZ523" s="220"/>
      <c r="BA523" s="241"/>
      <c r="BE523" s="107"/>
      <c r="BF523" s="220"/>
    </row>
    <row r="524" spans="49:58">
      <c r="AW524" s="107"/>
      <c r="AX524" s="195"/>
      <c r="AY524" s="105"/>
      <c r="AZ524" s="220"/>
      <c r="BA524" s="241"/>
      <c r="BE524" s="107"/>
      <c r="BF524" s="220"/>
    </row>
    <row r="525" spans="49:58">
      <c r="AW525" s="107"/>
      <c r="AX525" s="195"/>
      <c r="AY525" s="105"/>
      <c r="AZ525" s="220"/>
      <c r="BA525" s="241"/>
      <c r="BE525" s="107"/>
      <c r="BF525" s="220"/>
    </row>
    <row r="526" spans="49:58">
      <c r="AW526" s="107"/>
      <c r="AX526" s="195"/>
      <c r="AY526" s="105"/>
      <c r="AZ526" s="220"/>
      <c r="BA526" s="241"/>
      <c r="BE526" s="107"/>
      <c r="BF526" s="220"/>
    </row>
    <row r="527" spans="49:58">
      <c r="AW527" s="107"/>
      <c r="AX527" s="195"/>
      <c r="AY527" s="105"/>
      <c r="AZ527" s="220"/>
      <c r="BA527" s="241"/>
      <c r="BE527" s="107"/>
      <c r="BF527" s="220"/>
    </row>
    <row r="528" spans="49:58">
      <c r="AW528" s="107"/>
      <c r="AX528" s="195"/>
      <c r="AY528" s="105"/>
      <c r="AZ528" s="220"/>
      <c r="BA528" s="241"/>
      <c r="BE528" s="107"/>
      <c r="BF528" s="220"/>
    </row>
    <row r="529" spans="49:58">
      <c r="AW529" s="107"/>
      <c r="AX529" s="195"/>
      <c r="AY529" s="105"/>
      <c r="AZ529" s="220"/>
      <c r="BA529" s="241"/>
      <c r="BE529" s="107"/>
      <c r="BF529" s="220"/>
    </row>
    <row r="530" spans="49:58">
      <c r="AW530" s="107"/>
      <c r="AX530" s="195"/>
      <c r="AY530" s="105"/>
      <c r="AZ530" s="220"/>
      <c r="BA530" s="241"/>
      <c r="BE530" s="107"/>
      <c r="BF530" s="220"/>
    </row>
    <row r="531" spans="49:58">
      <c r="AW531" s="107"/>
      <c r="AX531" s="195"/>
      <c r="AY531" s="105"/>
      <c r="AZ531" s="220"/>
      <c r="BA531" s="241"/>
      <c r="BE531" s="107"/>
      <c r="BF531" s="220"/>
    </row>
    <row r="532" spans="49:58">
      <c r="AW532" s="107"/>
      <c r="AX532" s="195"/>
      <c r="AY532" s="105"/>
      <c r="AZ532" s="220"/>
      <c r="BA532" s="241"/>
      <c r="BE532" s="107"/>
      <c r="BF532" s="220"/>
    </row>
    <row r="533" spans="49:58">
      <c r="AW533" s="107"/>
      <c r="AX533" s="195"/>
      <c r="AY533" s="105"/>
      <c r="AZ533" s="220"/>
      <c r="BA533" s="241"/>
      <c r="BE533" s="107"/>
      <c r="BF533" s="220"/>
    </row>
    <row r="534" spans="49:58">
      <c r="AW534" s="107"/>
      <c r="AX534" s="195"/>
      <c r="AY534" s="105"/>
      <c r="AZ534" s="220"/>
      <c r="BA534" s="241"/>
      <c r="BE534" s="107"/>
      <c r="BF534" s="220"/>
    </row>
    <row r="535" spans="49:58">
      <c r="AW535" s="107"/>
      <c r="AX535" s="195"/>
      <c r="AY535" s="105"/>
      <c r="AZ535" s="220"/>
      <c r="BA535" s="241"/>
      <c r="BE535" s="107"/>
      <c r="BF535" s="220"/>
    </row>
    <row r="536" spans="49:58">
      <c r="AW536" s="107"/>
      <c r="AX536" s="195"/>
      <c r="AY536" s="105"/>
      <c r="AZ536" s="220"/>
      <c r="BA536" s="241"/>
      <c r="BE536" s="107"/>
      <c r="BF536" s="220"/>
    </row>
    <row r="537" spans="49:58">
      <c r="AW537" s="107"/>
      <c r="AX537" s="195"/>
      <c r="AY537" s="105"/>
      <c r="AZ537" s="220"/>
      <c r="BA537" s="241"/>
      <c r="BE537" s="107"/>
      <c r="BF537" s="220"/>
    </row>
    <row r="538" spans="49:58">
      <c r="AW538" s="107"/>
      <c r="AX538" s="195"/>
      <c r="AY538" s="105"/>
      <c r="AZ538" s="220"/>
      <c r="BA538" s="241"/>
      <c r="BE538" s="107"/>
      <c r="BF538" s="220"/>
    </row>
    <row r="539" spans="49:58">
      <c r="AW539" s="107"/>
      <c r="AX539" s="195"/>
      <c r="AY539" s="105"/>
      <c r="AZ539" s="220"/>
      <c r="BA539" s="241"/>
      <c r="BE539" s="107"/>
      <c r="BF539" s="220"/>
    </row>
    <row r="540" spans="49:58">
      <c r="AW540" s="107"/>
      <c r="AX540" s="195"/>
      <c r="AY540" s="105"/>
      <c r="AZ540" s="220"/>
      <c r="BA540" s="241"/>
      <c r="BE540" s="107"/>
      <c r="BF540" s="220"/>
    </row>
    <row r="541" spans="49:58">
      <c r="AW541" s="107"/>
      <c r="AX541" s="195"/>
      <c r="AY541" s="105"/>
      <c r="AZ541" s="220"/>
      <c r="BA541" s="241"/>
      <c r="BE541" s="107"/>
      <c r="BF541" s="220"/>
    </row>
    <row r="542" spans="49:58">
      <c r="AW542" s="107"/>
      <c r="AX542" s="195"/>
      <c r="AY542" s="105"/>
      <c r="AZ542" s="220"/>
      <c r="BA542" s="241"/>
      <c r="BE542" s="107"/>
      <c r="BF542" s="220"/>
    </row>
    <row r="543" spans="49:58">
      <c r="AW543" s="107"/>
      <c r="AX543" s="195"/>
      <c r="AY543" s="105"/>
      <c r="AZ543" s="220"/>
      <c r="BA543" s="241"/>
      <c r="BE543" s="107"/>
      <c r="BF543" s="220"/>
    </row>
    <row r="544" spans="49:58">
      <c r="AW544" s="107"/>
      <c r="AX544" s="195"/>
      <c r="AY544" s="105"/>
      <c r="AZ544" s="220"/>
      <c r="BA544" s="241"/>
      <c r="BE544" s="107"/>
      <c r="BF544" s="220"/>
    </row>
    <row r="545" spans="49:58">
      <c r="AW545" s="107"/>
      <c r="AX545" s="195"/>
      <c r="AY545" s="105"/>
      <c r="AZ545" s="220"/>
      <c r="BA545" s="241"/>
      <c r="BE545" s="107"/>
      <c r="BF545" s="220"/>
    </row>
    <row r="546" spans="49:58">
      <c r="AW546" s="107"/>
      <c r="AX546" s="195"/>
      <c r="AY546" s="105"/>
      <c r="AZ546" s="220"/>
      <c r="BA546" s="241"/>
      <c r="BE546" s="107"/>
      <c r="BF546" s="220"/>
    </row>
    <row r="547" spans="49:58">
      <c r="AW547" s="107"/>
      <c r="AX547" s="195"/>
      <c r="AY547" s="105"/>
      <c r="AZ547" s="220"/>
      <c r="BA547" s="241"/>
      <c r="BE547" s="107"/>
      <c r="BF547" s="220"/>
    </row>
    <row r="548" spans="49:58">
      <c r="AW548" s="107"/>
      <c r="AX548" s="195"/>
      <c r="AY548" s="105"/>
      <c r="AZ548" s="220"/>
      <c r="BA548" s="241"/>
      <c r="BE548" s="107"/>
      <c r="BF548" s="220"/>
    </row>
    <row r="549" spans="49:58">
      <c r="AW549" s="107"/>
      <c r="AX549" s="195"/>
      <c r="AY549" s="105"/>
      <c r="AZ549" s="220"/>
      <c r="BA549" s="241"/>
      <c r="BE549" s="107"/>
      <c r="BF549" s="220"/>
    </row>
    <row r="550" spans="49:58">
      <c r="AW550" s="107"/>
      <c r="AX550" s="195"/>
      <c r="AY550" s="105"/>
      <c r="AZ550" s="220"/>
      <c r="BA550" s="241"/>
      <c r="BE550" s="107"/>
      <c r="BF550" s="220"/>
    </row>
    <row r="551" spans="49:58">
      <c r="AW551" s="107"/>
      <c r="AX551" s="195"/>
      <c r="AY551" s="105"/>
      <c r="AZ551" s="220"/>
      <c r="BA551" s="241"/>
      <c r="BE551" s="107"/>
      <c r="BF551" s="220"/>
    </row>
    <row r="552" spans="49:58">
      <c r="AW552" s="107"/>
      <c r="AX552" s="195"/>
      <c r="AY552" s="105"/>
      <c r="AZ552" s="220"/>
      <c r="BA552" s="241"/>
      <c r="BE552" s="107"/>
      <c r="BF552" s="220"/>
    </row>
    <row r="553" spans="49:58">
      <c r="AW553" s="107"/>
      <c r="AX553" s="195"/>
      <c r="AY553" s="105"/>
      <c r="AZ553" s="220"/>
      <c r="BA553" s="241"/>
      <c r="BE553" s="107"/>
      <c r="BF553" s="220"/>
    </row>
    <row r="554" spans="49:58">
      <c r="AW554" s="107"/>
      <c r="AX554" s="195"/>
      <c r="AY554" s="105"/>
      <c r="AZ554" s="220"/>
      <c r="BA554" s="241"/>
      <c r="BE554" s="107"/>
      <c r="BF554" s="220"/>
    </row>
    <row r="555" spans="49:58">
      <c r="AW555" s="107"/>
      <c r="AX555" s="195"/>
      <c r="AY555" s="105"/>
      <c r="AZ555" s="220"/>
      <c r="BA555" s="241"/>
      <c r="BE555" s="107"/>
      <c r="BF555" s="220"/>
    </row>
    <row r="556" spans="49:58">
      <c r="AW556" s="107"/>
      <c r="AX556" s="195"/>
      <c r="AY556" s="105"/>
      <c r="AZ556" s="220"/>
      <c r="BA556" s="241"/>
      <c r="BE556" s="107"/>
      <c r="BF556" s="220"/>
    </row>
    <row r="557" spans="49:58">
      <c r="AW557" s="107"/>
      <c r="AX557" s="195"/>
      <c r="AY557" s="105"/>
      <c r="AZ557" s="220"/>
      <c r="BA557" s="241"/>
      <c r="BE557" s="107"/>
      <c r="BF557" s="220"/>
    </row>
    <row r="558" spans="49:58">
      <c r="AW558" s="107"/>
      <c r="AX558" s="195"/>
      <c r="AY558" s="105"/>
      <c r="AZ558" s="220"/>
      <c r="BA558" s="241"/>
      <c r="BE558" s="107"/>
      <c r="BF558" s="220"/>
    </row>
    <row r="559" spans="49:58">
      <c r="AW559" s="107"/>
      <c r="AX559" s="195"/>
      <c r="AY559" s="105"/>
      <c r="AZ559" s="220"/>
      <c r="BA559" s="241"/>
      <c r="BE559" s="107"/>
      <c r="BF559" s="220"/>
    </row>
    <row r="560" spans="49:58">
      <c r="AW560" s="107"/>
      <c r="AX560" s="195"/>
      <c r="AY560" s="105"/>
      <c r="AZ560" s="220"/>
      <c r="BA560" s="241"/>
      <c r="BE560" s="107"/>
      <c r="BF560" s="220"/>
    </row>
    <row r="561" spans="49:58">
      <c r="AW561" s="107"/>
      <c r="AX561" s="195"/>
      <c r="AY561" s="105"/>
      <c r="AZ561" s="220"/>
      <c r="BA561" s="241"/>
      <c r="BE561" s="107"/>
      <c r="BF561" s="220"/>
    </row>
    <row r="562" spans="49:58">
      <c r="AW562" s="107"/>
      <c r="AX562" s="195"/>
      <c r="AY562" s="105"/>
      <c r="AZ562" s="220"/>
      <c r="BA562" s="241"/>
      <c r="BE562" s="107"/>
      <c r="BF562" s="220"/>
    </row>
    <row r="563" spans="49:58">
      <c r="AW563" s="107"/>
      <c r="AX563" s="195"/>
      <c r="AY563" s="105"/>
      <c r="AZ563" s="220"/>
      <c r="BA563" s="241"/>
      <c r="BE563" s="107"/>
      <c r="BF563" s="220"/>
    </row>
    <row r="564" spans="49:58">
      <c r="AW564" s="107"/>
      <c r="AX564" s="195"/>
      <c r="AY564" s="105"/>
      <c r="AZ564" s="220"/>
      <c r="BA564" s="241"/>
      <c r="BE564" s="107"/>
      <c r="BF564" s="220"/>
    </row>
    <row r="565" spans="49:58">
      <c r="AW565" s="107"/>
      <c r="AX565" s="195"/>
      <c r="AY565" s="105"/>
      <c r="AZ565" s="220"/>
      <c r="BA565" s="241"/>
      <c r="BE565" s="107"/>
      <c r="BF565" s="220"/>
    </row>
    <row r="566" spans="49:58">
      <c r="AW566" s="107"/>
      <c r="AX566" s="195"/>
      <c r="AY566" s="105"/>
      <c r="AZ566" s="220"/>
      <c r="BA566" s="241"/>
      <c r="BE566" s="107"/>
      <c r="BF566" s="220"/>
    </row>
    <row r="567" spans="49:58">
      <c r="AW567" s="107"/>
      <c r="AX567" s="195"/>
      <c r="AY567" s="105"/>
      <c r="AZ567" s="220"/>
      <c r="BA567" s="241"/>
      <c r="BE567" s="107"/>
      <c r="BF567" s="220"/>
    </row>
    <row r="568" spans="49:58">
      <c r="AW568" s="107"/>
      <c r="AX568" s="195"/>
      <c r="AY568" s="105"/>
      <c r="AZ568" s="220"/>
      <c r="BA568" s="241"/>
      <c r="BE568" s="107"/>
      <c r="BF568" s="220"/>
    </row>
    <row r="569" spans="49:58">
      <c r="AW569" s="107"/>
      <c r="AX569" s="195"/>
      <c r="AY569" s="105"/>
      <c r="AZ569" s="220"/>
      <c r="BA569" s="241"/>
      <c r="BE569" s="107"/>
      <c r="BF569" s="220"/>
    </row>
    <row r="570" spans="49:58">
      <c r="AW570" s="107"/>
      <c r="AX570" s="195"/>
      <c r="AY570" s="105"/>
      <c r="AZ570" s="220"/>
      <c r="BA570" s="241"/>
      <c r="BE570" s="107"/>
      <c r="BF570" s="220"/>
    </row>
    <row r="571" spans="49:58">
      <c r="AW571" s="107"/>
      <c r="AX571" s="195"/>
      <c r="AY571" s="105"/>
      <c r="AZ571" s="220"/>
      <c r="BA571" s="241"/>
      <c r="BE571" s="107"/>
      <c r="BF571" s="220"/>
    </row>
    <row r="572" spans="49:58">
      <c r="AW572" s="107"/>
      <c r="AX572" s="195"/>
      <c r="AY572" s="105"/>
      <c r="AZ572" s="220"/>
      <c r="BA572" s="241"/>
      <c r="BE572" s="107"/>
      <c r="BF572" s="220"/>
    </row>
    <row r="573" spans="49:58">
      <c r="AW573" s="107"/>
      <c r="AX573" s="195"/>
      <c r="AY573" s="105"/>
      <c r="AZ573" s="220"/>
      <c r="BA573" s="241"/>
      <c r="BE573" s="107"/>
      <c r="BF573" s="220"/>
    </row>
    <row r="574" spans="49:58">
      <c r="AW574" s="107"/>
      <c r="AX574" s="195"/>
      <c r="AY574" s="105"/>
      <c r="AZ574" s="220"/>
      <c r="BA574" s="241"/>
      <c r="BE574" s="107"/>
      <c r="BF574" s="220"/>
    </row>
    <row r="575" spans="49:58">
      <c r="AW575" s="107"/>
      <c r="AX575" s="195"/>
      <c r="AY575" s="105"/>
      <c r="AZ575" s="220"/>
      <c r="BA575" s="241"/>
      <c r="BE575" s="107"/>
      <c r="BF575" s="220"/>
    </row>
    <row r="576" spans="49:58">
      <c r="AW576" s="107"/>
      <c r="AX576" s="195"/>
      <c r="AY576" s="105"/>
      <c r="AZ576" s="220"/>
      <c r="BA576" s="241"/>
      <c r="BE576" s="107"/>
      <c r="BF576" s="220"/>
    </row>
    <row r="577" spans="49:58">
      <c r="AW577" s="107"/>
      <c r="AX577" s="195"/>
      <c r="AY577" s="105"/>
      <c r="AZ577" s="220"/>
      <c r="BA577" s="241"/>
      <c r="BE577" s="107"/>
      <c r="BF577" s="220"/>
    </row>
    <row r="578" spans="49:58">
      <c r="AW578" s="107"/>
      <c r="AX578" s="195"/>
      <c r="AY578" s="105"/>
      <c r="AZ578" s="220"/>
      <c r="BA578" s="241"/>
      <c r="BE578" s="107"/>
      <c r="BF578" s="220"/>
    </row>
    <row r="579" spans="49:58">
      <c r="AW579" s="107"/>
      <c r="AX579" s="195"/>
      <c r="AY579" s="105"/>
      <c r="AZ579" s="220"/>
      <c r="BA579" s="241"/>
      <c r="BE579" s="107"/>
      <c r="BF579" s="220"/>
    </row>
    <row r="580" spans="49:58">
      <c r="AW580" s="107"/>
      <c r="AX580" s="195"/>
      <c r="AY580" s="105"/>
      <c r="AZ580" s="220"/>
      <c r="BA580" s="241"/>
      <c r="BE580" s="107"/>
      <c r="BF580" s="220"/>
    </row>
    <row r="581" spans="49:58">
      <c r="AW581" s="107"/>
      <c r="AX581" s="195"/>
      <c r="AY581" s="105"/>
      <c r="AZ581" s="220"/>
      <c r="BA581" s="241"/>
      <c r="BE581" s="107"/>
      <c r="BF581" s="220"/>
    </row>
    <row r="582" spans="49:58">
      <c r="AW582" s="107"/>
      <c r="AX582" s="195"/>
      <c r="AY582" s="105"/>
      <c r="AZ582" s="220"/>
      <c r="BA582" s="241"/>
      <c r="BE582" s="107"/>
      <c r="BF582" s="220"/>
    </row>
    <row r="583" spans="49:58">
      <c r="AW583" s="107"/>
      <c r="AX583" s="195"/>
      <c r="AY583" s="105"/>
      <c r="AZ583" s="220"/>
      <c r="BA583" s="241"/>
      <c r="BE583" s="107"/>
      <c r="BF583" s="220"/>
    </row>
    <row r="584" spans="49:58">
      <c r="AW584" s="107"/>
      <c r="AX584" s="195"/>
      <c r="AY584" s="105"/>
      <c r="AZ584" s="220"/>
      <c r="BA584" s="241"/>
      <c r="BE584" s="107"/>
      <c r="BF584" s="220"/>
    </row>
    <row r="585" spans="49:58">
      <c r="AW585" s="107"/>
      <c r="AX585" s="195"/>
      <c r="AY585" s="105"/>
      <c r="AZ585" s="220"/>
      <c r="BA585" s="241"/>
      <c r="BE585" s="107"/>
      <c r="BF585" s="220"/>
    </row>
    <row r="586" spans="49:58">
      <c r="AW586" s="107"/>
      <c r="AX586" s="195"/>
      <c r="AY586" s="105"/>
      <c r="AZ586" s="220"/>
      <c r="BA586" s="241"/>
      <c r="BE586" s="107"/>
      <c r="BF586" s="220"/>
    </row>
    <row r="587" spans="49:58">
      <c r="AW587" s="107"/>
      <c r="AX587" s="195"/>
      <c r="AY587" s="105"/>
      <c r="AZ587" s="220"/>
      <c r="BA587" s="241"/>
      <c r="BE587" s="107"/>
      <c r="BF587" s="220"/>
    </row>
    <row r="588" spans="49:58">
      <c r="AW588" s="107"/>
      <c r="AX588" s="195"/>
      <c r="AY588" s="105"/>
      <c r="AZ588" s="220"/>
      <c r="BA588" s="241"/>
      <c r="BE588" s="107"/>
      <c r="BF588" s="220"/>
    </row>
    <row r="589" spans="49:58">
      <c r="AW589" s="107"/>
      <c r="AX589" s="195"/>
      <c r="AY589" s="105"/>
      <c r="AZ589" s="220"/>
      <c r="BA589" s="241"/>
      <c r="BE589" s="107"/>
      <c r="BF589" s="220"/>
    </row>
    <row r="590" spans="49:58">
      <c r="AW590" s="107"/>
      <c r="AX590" s="195"/>
      <c r="AY590" s="105"/>
      <c r="AZ590" s="220"/>
      <c r="BA590" s="241"/>
      <c r="BE590" s="107"/>
      <c r="BF590" s="220"/>
    </row>
    <row r="591" spans="49:58">
      <c r="AW591" s="107"/>
      <c r="AX591" s="195"/>
      <c r="AY591" s="105"/>
      <c r="AZ591" s="220"/>
      <c r="BA591" s="241"/>
      <c r="BE591" s="107"/>
      <c r="BF591" s="220"/>
    </row>
    <row r="592" spans="49:58">
      <c r="AW592" s="107"/>
      <c r="AX592" s="195"/>
      <c r="AY592" s="105"/>
      <c r="AZ592" s="220"/>
      <c r="BA592" s="241"/>
      <c r="BE592" s="107"/>
      <c r="BF592" s="220"/>
    </row>
    <row r="593" spans="49:58">
      <c r="AW593" s="107"/>
      <c r="AX593" s="195"/>
      <c r="AY593" s="105"/>
      <c r="AZ593" s="220"/>
      <c r="BA593" s="241"/>
      <c r="BE593" s="107"/>
      <c r="BF593" s="220"/>
    </row>
    <row r="594" spans="49:58">
      <c r="AW594" s="107"/>
      <c r="AX594" s="195"/>
      <c r="AY594" s="105"/>
      <c r="AZ594" s="220"/>
      <c r="BA594" s="241"/>
      <c r="BE594" s="107"/>
      <c r="BF594" s="220"/>
    </row>
    <row r="595" spans="49:58">
      <c r="AW595" s="107"/>
      <c r="AX595" s="195"/>
      <c r="AY595" s="105"/>
      <c r="AZ595" s="220"/>
      <c r="BA595" s="241"/>
      <c r="BE595" s="107"/>
      <c r="BF595" s="220"/>
    </row>
    <row r="596" spans="49:58">
      <c r="AW596" s="107"/>
      <c r="AX596" s="195"/>
      <c r="AY596" s="105"/>
      <c r="AZ596" s="220"/>
      <c r="BA596" s="241"/>
      <c r="BE596" s="107"/>
      <c r="BF596" s="220"/>
    </row>
    <row r="597" spans="49:58">
      <c r="AW597" s="107"/>
      <c r="AX597" s="195"/>
      <c r="AY597" s="105"/>
      <c r="AZ597" s="220"/>
      <c r="BA597" s="241"/>
      <c r="BE597" s="107"/>
      <c r="BF597" s="220"/>
    </row>
    <row r="598" spans="49:58">
      <c r="AW598" s="107"/>
      <c r="AX598" s="195"/>
      <c r="AY598" s="105"/>
      <c r="AZ598" s="220"/>
      <c r="BA598" s="241"/>
      <c r="BE598" s="107"/>
      <c r="BF598" s="220"/>
    </row>
    <row r="599" spans="49:58">
      <c r="AW599" s="107"/>
      <c r="AX599" s="195"/>
      <c r="AY599" s="105"/>
      <c r="AZ599" s="220"/>
      <c r="BA599" s="241"/>
      <c r="BE599" s="107"/>
      <c r="BF599" s="220"/>
    </row>
    <row r="600" spans="49:58">
      <c r="AW600" s="107"/>
      <c r="AX600" s="195"/>
      <c r="AY600" s="105"/>
      <c r="AZ600" s="220"/>
      <c r="BA600" s="241"/>
      <c r="BE600" s="107"/>
      <c r="BF600" s="220"/>
    </row>
    <row r="601" spans="49:58">
      <c r="AW601" s="107"/>
      <c r="AX601" s="195"/>
      <c r="AY601" s="105"/>
      <c r="AZ601" s="220"/>
      <c r="BA601" s="241"/>
      <c r="BE601" s="107"/>
      <c r="BF601" s="220"/>
    </row>
    <row r="602" spans="49:58">
      <c r="AW602" s="107"/>
      <c r="AX602" s="195"/>
      <c r="AY602" s="105"/>
      <c r="AZ602" s="220"/>
      <c r="BA602" s="241"/>
      <c r="BE602" s="107"/>
      <c r="BF602" s="220"/>
    </row>
    <row r="603" spans="49:58">
      <c r="AW603" s="107"/>
      <c r="AX603" s="195"/>
      <c r="AY603" s="105"/>
      <c r="AZ603" s="220"/>
      <c r="BA603" s="241"/>
      <c r="BE603" s="107"/>
      <c r="BF603" s="220"/>
    </row>
    <row r="604" spans="49:58">
      <c r="AW604" s="107"/>
      <c r="AX604" s="195"/>
      <c r="AY604" s="105"/>
      <c r="AZ604" s="220"/>
      <c r="BA604" s="241"/>
      <c r="BE604" s="107"/>
      <c r="BF604" s="220"/>
    </row>
    <row r="605" spans="49:58">
      <c r="AW605" s="107"/>
      <c r="AX605" s="195"/>
      <c r="AY605" s="105"/>
      <c r="AZ605" s="220"/>
      <c r="BA605" s="241"/>
      <c r="BE605" s="107"/>
      <c r="BF605" s="220"/>
    </row>
    <row r="606" spans="49:58">
      <c r="AW606" s="107"/>
      <c r="AX606" s="195"/>
      <c r="AY606" s="105"/>
      <c r="AZ606" s="220"/>
      <c r="BA606" s="241"/>
      <c r="BE606" s="107"/>
      <c r="BF606" s="220"/>
    </row>
    <row r="607" spans="49:58">
      <c r="AW607" s="107"/>
      <c r="AX607" s="195"/>
      <c r="AY607" s="105"/>
      <c r="AZ607" s="220"/>
      <c r="BA607" s="241"/>
      <c r="BE607" s="107"/>
      <c r="BF607" s="220"/>
    </row>
    <row r="608" spans="49:58">
      <c r="AW608" s="107"/>
      <c r="AX608" s="195"/>
      <c r="AY608" s="105"/>
      <c r="AZ608" s="220"/>
      <c r="BA608" s="241"/>
      <c r="BE608" s="107"/>
      <c r="BF608" s="220"/>
    </row>
    <row r="609" spans="49:58">
      <c r="AW609" s="107"/>
      <c r="AX609" s="195"/>
      <c r="AY609" s="105"/>
      <c r="AZ609" s="220"/>
      <c r="BA609" s="241"/>
      <c r="BE609" s="107"/>
      <c r="BF609" s="220"/>
    </row>
    <row r="610" spans="49:58">
      <c r="AW610" s="107"/>
      <c r="AX610" s="195"/>
      <c r="AY610" s="105"/>
      <c r="AZ610" s="220"/>
      <c r="BA610" s="241"/>
      <c r="BE610" s="107"/>
      <c r="BF610" s="220"/>
    </row>
    <row r="611" spans="49:58">
      <c r="AW611" s="107"/>
      <c r="AX611" s="195"/>
      <c r="AY611" s="105"/>
      <c r="AZ611" s="220"/>
      <c r="BA611" s="241"/>
      <c r="BE611" s="107"/>
      <c r="BF611" s="220"/>
    </row>
    <row r="612" spans="49:58">
      <c r="AW612" s="107"/>
      <c r="AX612" s="195"/>
      <c r="AY612" s="105"/>
      <c r="AZ612" s="220"/>
      <c r="BA612" s="241"/>
      <c r="BE612" s="107"/>
      <c r="BF612" s="220"/>
    </row>
    <row r="613" spans="49:58">
      <c r="AW613" s="107"/>
      <c r="AX613" s="195"/>
      <c r="AY613" s="105"/>
      <c r="AZ613" s="220"/>
      <c r="BA613" s="241"/>
      <c r="BE613" s="107"/>
      <c r="BF613" s="220"/>
    </row>
    <row r="614" spans="49:58">
      <c r="AW614" s="107"/>
      <c r="AX614" s="195"/>
      <c r="AY614" s="105"/>
      <c r="AZ614" s="220"/>
      <c r="BA614" s="241"/>
      <c r="BE614" s="107"/>
      <c r="BF614" s="220"/>
    </row>
    <row r="615" spans="49:58">
      <c r="AW615" s="107"/>
      <c r="AX615" s="195"/>
      <c r="AY615" s="105"/>
      <c r="AZ615" s="220"/>
      <c r="BA615" s="241"/>
      <c r="BE615" s="107"/>
      <c r="BF615" s="220"/>
    </row>
    <row r="616" spans="49:58">
      <c r="AW616" s="107"/>
      <c r="AX616" s="195"/>
      <c r="AY616" s="105"/>
      <c r="AZ616" s="220"/>
      <c r="BA616" s="241"/>
      <c r="BE616" s="107"/>
      <c r="BF616" s="220"/>
    </row>
    <row r="617" spans="49:58">
      <c r="AW617" s="107"/>
      <c r="AX617" s="195"/>
      <c r="AY617" s="105"/>
      <c r="AZ617" s="220"/>
      <c r="BA617" s="241"/>
      <c r="BE617" s="107"/>
      <c r="BF617" s="220"/>
    </row>
    <row r="618" spans="49:58">
      <c r="AW618" s="107"/>
      <c r="AX618" s="195"/>
      <c r="AY618" s="105"/>
      <c r="AZ618" s="220"/>
      <c r="BA618" s="241"/>
      <c r="BE618" s="107"/>
      <c r="BF618" s="220"/>
    </row>
    <row r="619" spans="49:58">
      <c r="AW619" s="107"/>
      <c r="AX619" s="195"/>
      <c r="AY619" s="105"/>
      <c r="AZ619" s="220"/>
      <c r="BA619" s="241"/>
      <c r="BE619" s="107"/>
      <c r="BF619" s="220"/>
    </row>
    <row r="620" spans="49:58">
      <c r="AW620" s="107"/>
      <c r="AX620" s="195"/>
      <c r="AY620" s="105"/>
      <c r="AZ620" s="220"/>
      <c r="BA620" s="241"/>
      <c r="BE620" s="107"/>
      <c r="BF620" s="220"/>
    </row>
    <row r="621" spans="49:58">
      <c r="AW621" s="107"/>
      <c r="AX621" s="195"/>
      <c r="AY621" s="105"/>
      <c r="AZ621" s="220"/>
      <c r="BA621" s="241"/>
      <c r="BE621" s="107"/>
      <c r="BF621" s="220"/>
    </row>
    <row r="622" spans="49:58">
      <c r="AW622" s="107"/>
      <c r="AX622" s="195"/>
      <c r="AY622" s="105"/>
      <c r="AZ622" s="220"/>
      <c r="BA622" s="241"/>
      <c r="BE622" s="107"/>
      <c r="BF622" s="220"/>
    </row>
    <row r="623" spans="49:58">
      <c r="AW623" s="107"/>
      <c r="AX623" s="195"/>
      <c r="AY623" s="105"/>
      <c r="AZ623" s="220"/>
      <c r="BA623" s="241"/>
      <c r="BE623" s="107"/>
      <c r="BF623" s="220"/>
    </row>
    <row r="624" spans="49:58">
      <c r="AW624" s="107"/>
      <c r="AX624" s="195"/>
      <c r="AY624" s="105"/>
      <c r="AZ624" s="220"/>
      <c r="BA624" s="241"/>
      <c r="BE624" s="107"/>
      <c r="BF624" s="220"/>
    </row>
    <row r="625" spans="49:58">
      <c r="AW625" s="107"/>
      <c r="AX625" s="195"/>
      <c r="AY625" s="105"/>
      <c r="AZ625" s="220"/>
      <c r="BA625" s="241"/>
      <c r="BE625" s="107"/>
      <c r="BF625" s="220"/>
    </row>
    <row r="626" spans="49:58">
      <c r="AW626" s="107"/>
      <c r="AX626" s="195"/>
      <c r="AY626" s="105"/>
      <c r="AZ626" s="220"/>
      <c r="BA626" s="241"/>
      <c r="BE626" s="107"/>
      <c r="BF626" s="220"/>
    </row>
    <row r="627" spans="49:58">
      <c r="AW627" s="107"/>
      <c r="AX627" s="195"/>
      <c r="AY627" s="105"/>
      <c r="AZ627" s="220"/>
      <c r="BA627" s="241"/>
      <c r="BE627" s="107"/>
      <c r="BF627" s="220"/>
    </row>
    <row r="628" spans="49:58">
      <c r="AW628" s="107"/>
      <c r="AX628" s="195"/>
      <c r="AY628" s="105"/>
      <c r="AZ628" s="220"/>
      <c r="BA628" s="241"/>
      <c r="BE628" s="107"/>
      <c r="BF628" s="220"/>
    </row>
    <row r="629" spans="49:58">
      <c r="AW629" s="107"/>
      <c r="AX629" s="195"/>
      <c r="AY629" s="105"/>
      <c r="AZ629" s="220"/>
      <c r="BA629" s="241"/>
      <c r="BE629" s="107"/>
      <c r="BF629" s="220"/>
    </row>
    <row r="630" spans="49:58">
      <c r="AW630" s="107"/>
      <c r="AX630" s="195"/>
      <c r="AY630" s="105"/>
      <c r="AZ630" s="220"/>
      <c r="BA630" s="241"/>
      <c r="BE630" s="107"/>
      <c r="BF630" s="220"/>
    </row>
    <row r="631" spans="49:58">
      <c r="AW631" s="107"/>
      <c r="AX631" s="195"/>
      <c r="AY631" s="105"/>
      <c r="AZ631" s="220"/>
      <c r="BA631" s="241"/>
      <c r="BE631" s="107"/>
      <c r="BF631" s="220"/>
    </row>
    <row r="632" spans="49:58">
      <c r="AW632" s="107"/>
      <c r="AX632" s="195"/>
      <c r="AY632" s="105"/>
      <c r="AZ632" s="220"/>
      <c r="BA632" s="241"/>
      <c r="BE632" s="107"/>
      <c r="BF632" s="220"/>
    </row>
    <row r="633" spans="49:58">
      <c r="AW633" s="107"/>
      <c r="AX633" s="195"/>
      <c r="AY633" s="105"/>
      <c r="AZ633" s="220"/>
      <c r="BA633" s="241"/>
      <c r="BE633" s="107"/>
      <c r="BF633" s="220"/>
    </row>
    <row r="634" spans="49:58">
      <c r="AW634" s="107"/>
      <c r="AX634" s="195"/>
      <c r="AY634" s="105"/>
      <c r="AZ634" s="220"/>
      <c r="BA634" s="241"/>
      <c r="BE634" s="107"/>
      <c r="BF634" s="220"/>
    </row>
    <row r="635" spans="49:58">
      <c r="AW635" s="107"/>
      <c r="AX635" s="195"/>
      <c r="AY635" s="105"/>
      <c r="AZ635" s="220"/>
      <c r="BA635" s="241"/>
      <c r="BE635" s="107"/>
      <c r="BF635" s="220"/>
    </row>
    <row r="636" spans="49:58">
      <c r="AW636" s="107"/>
      <c r="AX636" s="195"/>
      <c r="AY636" s="105"/>
      <c r="AZ636" s="220"/>
      <c r="BA636" s="241"/>
      <c r="BE636" s="107"/>
      <c r="BF636" s="220"/>
    </row>
    <row r="637" spans="49:58">
      <c r="AW637" s="107"/>
      <c r="AX637" s="195"/>
      <c r="AY637" s="105"/>
      <c r="AZ637" s="220"/>
      <c r="BA637" s="241"/>
      <c r="BE637" s="107"/>
      <c r="BF637" s="220"/>
    </row>
    <row r="638" spans="49:58">
      <c r="AW638" s="107"/>
      <c r="AX638" s="195"/>
      <c r="AY638" s="105"/>
      <c r="AZ638" s="220"/>
      <c r="BA638" s="241"/>
      <c r="BE638" s="107"/>
      <c r="BF638" s="220"/>
    </row>
    <row r="639" spans="49:58">
      <c r="AW639" s="107"/>
      <c r="AX639" s="195"/>
      <c r="AY639" s="105"/>
      <c r="AZ639" s="220"/>
      <c r="BA639" s="241"/>
      <c r="BE639" s="107"/>
      <c r="BF639" s="220"/>
    </row>
    <row r="640" spans="49:58">
      <c r="AW640" s="107"/>
      <c r="AX640" s="195"/>
      <c r="AY640" s="105"/>
      <c r="AZ640" s="220"/>
      <c r="BA640" s="241"/>
      <c r="BE640" s="107"/>
      <c r="BF640" s="220"/>
    </row>
    <row r="641" spans="49:58">
      <c r="AW641" s="107"/>
      <c r="AX641" s="195"/>
      <c r="AY641" s="105"/>
      <c r="AZ641" s="220"/>
      <c r="BA641" s="241"/>
      <c r="BE641" s="107"/>
      <c r="BF641" s="220"/>
    </row>
    <row r="642" spans="49:58">
      <c r="AW642" s="107"/>
      <c r="AX642" s="195"/>
      <c r="AY642" s="105"/>
      <c r="AZ642" s="220"/>
      <c r="BA642" s="241"/>
      <c r="BE642" s="107"/>
      <c r="BF642" s="220"/>
    </row>
    <row r="643" spans="49:58">
      <c r="AW643" s="107"/>
      <c r="AX643" s="195"/>
      <c r="AY643" s="105"/>
      <c r="AZ643" s="220"/>
      <c r="BA643" s="241"/>
      <c r="BE643" s="107"/>
      <c r="BF643" s="220"/>
    </row>
    <row r="644" spans="49:58">
      <c r="AW644" s="107"/>
      <c r="AX644" s="195"/>
      <c r="AY644" s="105"/>
      <c r="AZ644" s="220"/>
      <c r="BA644" s="241"/>
      <c r="BE644" s="107"/>
      <c r="BF644" s="220"/>
    </row>
    <row r="645" spans="49:58">
      <c r="AW645" s="107"/>
      <c r="AX645" s="195"/>
      <c r="AY645" s="105"/>
      <c r="AZ645" s="220"/>
      <c r="BA645" s="241"/>
      <c r="BE645" s="107"/>
      <c r="BF645" s="220"/>
    </row>
    <row r="646" spans="49:58">
      <c r="AW646" s="107"/>
      <c r="AX646" s="195"/>
      <c r="AY646" s="105"/>
      <c r="AZ646" s="220"/>
      <c r="BA646" s="241"/>
      <c r="BE646" s="107"/>
      <c r="BF646" s="220"/>
    </row>
    <row r="647" spans="49:58">
      <c r="AW647" s="107"/>
      <c r="AX647" s="195"/>
      <c r="AY647" s="105"/>
      <c r="AZ647" s="220"/>
      <c r="BA647" s="241"/>
      <c r="BE647" s="107"/>
      <c r="BF647" s="220"/>
    </row>
    <row r="648" spans="49:58">
      <c r="AW648" s="107"/>
      <c r="AX648" s="195"/>
      <c r="AY648" s="105"/>
      <c r="AZ648" s="220"/>
      <c r="BA648" s="241"/>
      <c r="BE648" s="107"/>
      <c r="BF648" s="220"/>
    </row>
    <row r="649" spans="49:58">
      <c r="AW649" s="107"/>
      <c r="AX649" s="195"/>
      <c r="AY649" s="105"/>
      <c r="AZ649" s="220"/>
      <c r="BA649" s="241"/>
      <c r="BE649" s="107"/>
      <c r="BF649" s="220"/>
    </row>
    <row r="650" spans="49:58">
      <c r="AW650" s="107"/>
      <c r="AX650" s="195"/>
      <c r="AY650" s="105"/>
      <c r="AZ650" s="220"/>
      <c r="BA650" s="241"/>
      <c r="BE650" s="107"/>
      <c r="BF650" s="220"/>
    </row>
    <row r="651" spans="49:58">
      <c r="AW651" s="107"/>
      <c r="AX651" s="195"/>
      <c r="AY651" s="105"/>
      <c r="AZ651" s="220"/>
      <c r="BA651" s="241"/>
      <c r="BE651" s="107"/>
      <c r="BF651" s="220"/>
    </row>
    <row r="652" spans="49:58">
      <c r="AW652" s="107"/>
      <c r="AX652" s="195"/>
      <c r="AY652" s="105"/>
      <c r="AZ652" s="220"/>
      <c r="BA652" s="241"/>
      <c r="BE652" s="107"/>
      <c r="BF652" s="220"/>
    </row>
    <row r="653" spans="49:58">
      <c r="AW653" s="107"/>
      <c r="AX653" s="195"/>
      <c r="AY653" s="105"/>
      <c r="AZ653" s="220"/>
      <c r="BA653" s="241"/>
      <c r="BE653" s="107"/>
      <c r="BF653" s="220"/>
    </row>
    <row r="654" spans="49:58">
      <c r="AW654" s="107"/>
      <c r="AX654" s="195"/>
      <c r="AY654" s="105"/>
      <c r="AZ654" s="220"/>
      <c r="BA654" s="241"/>
      <c r="BE654" s="107"/>
      <c r="BF654" s="220"/>
    </row>
    <row r="655" spans="49:58">
      <c r="AW655" s="107"/>
      <c r="AX655" s="195"/>
      <c r="AY655" s="105"/>
      <c r="AZ655" s="220"/>
      <c r="BA655" s="241"/>
      <c r="BE655" s="107"/>
      <c r="BF655" s="220"/>
    </row>
    <row r="656" spans="49:58">
      <c r="AW656" s="107"/>
      <c r="AX656" s="195"/>
      <c r="AY656" s="105"/>
      <c r="AZ656" s="220"/>
      <c r="BA656" s="241"/>
      <c r="BE656" s="107"/>
      <c r="BF656" s="220"/>
    </row>
    <row r="657" spans="49:58">
      <c r="AW657" s="107"/>
      <c r="AX657" s="195"/>
      <c r="AY657" s="105"/>
      <c r="AZ657" s="220"/>
      <c r="BA657" s="241"/>
      <c r="BE657" s="107"/>
      <c r="BF657" s="220"/>
    </row>
    <row r="658" spans="49:58">
      <c r="AW658" s="107"/>
      <c r="AX658" s="195"/>
      <c r="AY658" s="105"/>
      <c r="AZ658" s="220"/>
      <c r="BA658" s="241"/>
      <c r="BE658" s="107"/>
      <c r="BF658" s="220"/>
    </row>
    <row r="659" spans="49:58">
      <c r="AW659" s="107"/>
      <c r="AX659" s="195"/>
      <c r="AY659" s="105"/>
      <c r="AZ659" s="220"/>
      <c r="BA659" s="241"/>
      <c r="BE659" s="107"/>
      <c r="BF659" s="220"/>
    </row>
    <row r="660" spans="49:58">
      <c r="AW660" s="107"/>
      <c r="AX660" s="195"/>
      <c r="AY660" s="105"/>
      <c r="AZ660" s="220"/>
      <c r="BA660" s="241"/>
      <c r="BE660" s="107"/>
      <c r="BF660" s="220"/>
    </row>
    <row r="661" spans="49:58">
      <c r="AW661" s="107"/>
      <c r="AX661" s="195"/>
      <c r="AY661" s="105"/>
      <c r="AZ661" s="220"/>
      <c r="BA661" s="241"/>
      <c r="BE661" s="107"/>
      <c r="BF661" s="220"/>
    </row>
    <row r="662" spans="49:58">
      <c r="AW662" s="107"/>
      <c r="AX662" s="195"/>
      <c r="AY662" s="105"/>
      <c r="AZ662" s="220"/>
      <c r="BA662" s="241"/>
      <c r="BE662" s="107"/>
      <c r="BF662" s="220"/>
    </row>
    <row r="663" spans="49:58">
      <c r="AW663" s="107"/>
      <c r="AX663" s="195"/>
      <c r="AY663" s="105"/>
      <c r="AZ663" s="220"/>
      <c r="BA663" s="241"/>
      <c r="BE663" s="107"/>
      <c r="BF663" s="220"/>
    </row>
    <row r="664" spans="49:58">
      <c r="AW664" s="107"/>
      <c r="AX664" s="195"/>
      <c r="AY664" s="105"/>
      <c r="AZ664" s="220"/>
      <c r="BA664" s="241"/>
      <c r="BE664" s="107"/>
      <c r="BF664" s="220"/>
    </row>
    <row r="665" spans="49:58">
      <c r="AW665" s="107"/>
      <c r="AX665" s="195"/>
      <c r="AY665" s="105"/>
      <c r="AZ665" s="220"/>
      <c r="BA665" s="241"/>
      <c r="BE665" s="107"/>
      <c r="BF665" s="220"/>
    </row>
    <row r="666" spans="49:58">
      <c r="AW666" s="107"/>
      <c r="AX666" s="195"/>
      <c r="AY666" s="105"/>
      <c r="AZ666" s="220"/>
      <c r="BA666" s="241"/>
      <c r="BE666" s="107"/>
      <c r="BF666" s="220"/>
    </row>
    <row r="667" spans="49:58">
      <c r="AW667" s="107"/>
      <c r="AX667" s="195"/>
      <c r="AY667" s="105"/>
      <c r="AZ667" s="220"/>
      <c r="BA667" s="241"/>
      <c r="BE667" s="107"/>
      <c r="BF667" s="220"/>
    </row>
    <row r="668" spans="49:58">
      <c r="AW668" s="107"/>
      <c r="AX668" s="195"/>
      <c r="AY668" s="105"/>
      <c r="AZ668" s="220"/>
      <c r="BA668" s="241"/>
      <c r="BE668" s="107"/>
      <c r="BF668" s="220"/>
    </row>
    <row r="669" spans="49:58">
      <c r="AW669" s="107"/>
      <c r="AX669" s="195"/>
      <c r="AY669" s="105"/>
      <c r="AZ669" s="220"/>
      <c r="BA669" s="241"/>
      <c r="BE669" s="107"/>
      <c r="BF669" s="220"/>
    </row>
    <row r="670" spans="49:58">
      <c r="AW670" s="107"/>
      <c r="AX670" s="195"/>
      <c r="AY670" s="105"/>
      <c r="AZ670" s="220"/>
      <c r="BA670" s="241"/>
      <c r="BE670" s="107"/>
      <c r="BF670" s="220"/>
    </row>
    <row r="671" spans="49:58">
      <c r="AW671" s="107"/>
      <c r="AX671" s="195"/>
      <c r="AY671" s="105"/>
      <c r="AZ671" s="220"/>
      <c r="BA671" s="241"/>
      <c r="BE671" s="107"/>
      <c r="BF671" s="220"/>
    </row>
    <row r="672" spans="49:58">
      <c r="AW672" s="107"/>
      <c r="AX672" s="195"/>
      <c r="AY672" s="105"/>
      <c r="AZ672" s="220"/>
      <c r="BA672" s="241"/>
      <c r="BE672" s="107"/>
      <c r="BF672" s="220"/>
    </row>
    <row r="673" spans="49:58">
      <c r="AW673" s="107"/>
      <c r="AX673" s="195"/>
      <c r="AY673" s="105"/>
      <c r="AZ673" s="220"/>
      <c r="BA673" s="241"/>
      <c r="BE673" s="107"/>
      <c r="BF673" s="220"/>
    </row>
    <row r="674" spans="49:58">
      <c r="AW674" s="107"/>
      <c r="AX674" s="195"/>
      <c r="AY674" s="105"/>
      <c r="AZ674" s="220"/>
      <c r="BA674" s="241"/>
      <c r="BE674" s="107"/>
      <c r="BF674" s="220"/>
    </row>
    <row r="675" spans="49:58">
      <c r="AW675" s="107"/>
      <c r="AX675" s="195"/>
      <c r="AY675" s="105"/>
      <c r="AZ675" s="220"/>
      <c r="BA675" s="241"/>
      <c r="BE675" s="107"/>
      <c r="BF675" s="220"/>
    </row>
    <row r="676" spans="49:58">
      <c r="AW676" s="107"/>
      <c r="AX676" s="195"/>
      <c r="AY676" s="105"/>
      <c r="AZ676" s="220"/>
      <c r="BA676" s="241"/>
      <c r="BE676" s="107"/>
      <c r="BF676" s="220"/>
    </row>
    <row r="677" spans="49:58">
      <c r="AW677" s="107"/>
      <c r="AX677" s="195"/>
      <c r="AY677" s="105"/>
      <c r="AZ677" s="220"/>
      <c r="BA677" s="241"/>
      <c r="BE677" s="107"/>
      <c r="BF677" s="220"/>
    </row>
    <row r="678" spans="49:58">
      <c r="AW678" s="107"/>
      <c r="AX678" s="195"/>
      <c r="AY678" s="105"/>
      <c r="AZ678" s="220"/>
      <c r="BA678" s="241"/>
      <c r="BE678" s="107"/>
      <c r="BF678" s="220"/>
    </row>
    <row r="679" spans="49:58">
      <c r="AW679" s="107"/>
      <c r="AX679" s="195"/>
      <c r="AY679" s="105"/>
      <c r="AZ679" s="220"/>
      <c r="BA679" s="241"/>
      <c r="BE679" s="107"/>
      <c r="BF679" s="220"/>
    </row>
    <row r="680" spans="49:58">
      <c r="AW680" s="107"/>
      <c r="AX680" s="195"/>
      <c r="AY680" s="105"/>
      <c r="AZ680" s="220"/>
      <c r="BA680" s="241"/>
      <c r="BE680" s="107"/>
      <c r="BF680" s="220"/>
    </row>
    <row r="681" spans="49:58">
      <c r="AW681" s="107"/>
      <c r="AX681" s="195"/>
      <c r="AY681" s="105"/>
      <c r="AZ681" s="220"/>
      <c r="BA681" s="241"/>
      <c r="BE681" s="107"/>
      <c r="BF681" s="220"/>
    </row>
    <row r="682" spans="49:58">
      <c r="AW682" s="107"/>
      <c r="AX682" s="195"/>
      <c r="AY682" s="105"/>
      <c r="AZ682" s="220"/>
      <c r="BA682" s="241"/>
      <c r="BE682" s="107"/>
      <c r="BF682" s="220"/>
    </row>
    <row r="683" spans="49:58">
      <c r="AW683" s="107"/>
      <c r="AX683" s="195"/>
      <c r="AY683" s="105"/>
      <c r="AZ683" s="220"/>
      <c r="BA683" s="241"/>
      <c r="BE683" s="107"/>
      <c r="BF683" s="220"/>
    </row>
    <row r="684" spans="49:58">
      <c r="AW684" s="107"/>
      <c r="AX684" s="195"/>
      <c r="AY684" s="105"/>
      <c r="AZ684" s="220"/>
      <c r="BA684" s="241"/>
      <c r="BE684" s="107"/>
      <c r="BF684" s="220"/>
    </row>
    <row r="685" spans="49:58">
      <c r="AW685" s="107"/>
      <c r="AX685" s="195"/>
      <c r="AY685" s="105"/>
      <c r="AZ685" s="220"/>
      <c r="BA685" s="241"/>
      <c r="BE685" s="107"/>
      <c r="BF685" s="220"/>
    </row>
    <row r="686" spans="49:58">
      <c r="AW686" s="107"/>
      <c r="AX686" s="195"/>
      <c r="AY686" s="105"/>
      <c r="AZ686" s="220"/>
      <c r="BA686" s="241"/>
      <c r="BE686" s="107"/>
      <c r="BF686" s="220"/>
    </row>
    <row r="687" spans="49:58">
      <c r="AW687" s="107"/>
      <c r="AX687" s="195"/>
      <c r="AY687" s="105"/>
      <c r="AZ687" s="220"/>
      <c r="BA687" s="241"/>
      <c r="BE687" s="107"/>
      <c r="BF687" s="220"/>
    </row>
    <row r="688" spans="49:58">
      <c r="AW688" s="107"/>
      <c r="AX688" s="195"/>
      <c r="AY688" s="105"/>
      <c r="AZ688" s="220"/>
      <c r="BA688" s="241"/>
      <c r="BE688" s="107"/>
      <c r="BF688" s="220"/>
    </row>
    <row r="689" spans="49:58">
      <c r="AW689" s="107"/>
      <c r="AX689" s="195"/>
      <c r="AY689" s="105"/>
      <c r="AZ689" s="220"/>
      <c r="BA689" s="241"/>
      <c r="BE689" s="107"/>
      <c r="BF689" s="220"/>
    </row>
    <row r="690" spans="49:58">
      <c r="AW690" s="107"/>
      <c r="AX690" s="195"/>
      <c r="AY690" s="105"/>
      <c r="AZ690" s="220"/>
      <c r="BA690" s="241"/>
      <c r="BE690" s="107"/>
      <c r="BF690" s="220"/>
    </row>
    <row r="691" spans="49:58">
      <c r="AW691" s="107"/>
      <c r="AX691" s="195"/>
      <c r="AY691" s="105"/>
      <c r="AZ691" s="220"/>
      <c r="BA691" s="241"/>
      <c r="BE691" s="107"/>
      <c r="BF691" s="220"/>
    </row>
    <row r="692" spans="49:58">
      <c r="AW692" s="107"/>
      <c r="AX692" s="195"/>
      <c r="AY692" s="105"/>
      <c r="AZ692" s="220"/>
      <c r="BA692" s="241"/>
      <c r="BE692" s="107"/>
      <c r="BF692" s="220"/>
    </row>
    <row r="693" spans="49:58">
      <c r="AW693" s="107"/>
      <c r="AX693" s="195"/>
      <c r="AY693" s="105"/>
      <c r="AZ693" s="220"/>
      <c r="BA693" s="241"/>
      <c r="BE693" s="107"/>
      <c r="BF693" s="220"/>
    </row>
    <row r="694" spans="49:58">
      <c r="AW694" s="107"/>
      <c r="AX694" s="195"/>
      <c r="AY694" s="105"/>
      <c r="AZ694" s="220"/>
      <c r="BA694" s="241"/>
      <c r="BE694" s="107"/>
      <c r="BF694" s="220"/>
    </row>
    <row r="695" spans="49:58">
      <c r="AW695" s="107"/>
      <c r="AX695" s="195"/>
      <c r="AY695" s="105"/>
      <c r="AZ695" s="220"/>
      <c r="BA695" s="241"/>
      <c r="BE695" s="107"/>
      <c r="BF695" s="220"/>
    </row>
    <row r="696" spans="49:58">
      <c r="AW696" s="107"/>
      <c r="AX696" s="195"/>
      <c r="AY696" s="105"/>
      <c r="AZ696" s="220"/>
      <c r="BA696" s="241"/>
      <c r="BE696" s="107"/>
      <c r="BF696" s="220"/>
    </row>
    <row r="697" spans="49:58">
      <c r="AW697" s="107"/>
      <c r="AX697" s="195"/>
      <c r="AY697" s="105"/>
      <c r="AZ697" s="220"/>
      <c r="BA697" s="241"/>
      <c r="BE697" s="107"/>
      <c r="BF697" s="220"/>
    </row>
    <row r="698" spans="49:58">
      <c r="AW698" s="107"/>
      <c r="AX698" s="195"/>
      <c r="AY698" s="105"/>
      <c r="AZ698" s="220"/>
      <c r="BA698" s="241"/>
      <c r="BE698" s="107"/>
      <c r="BF698" s="220"/>
    </row>
    <row r="699" spans="49:58">
      <c r="AW699" s="107"/>
      <c r="AX699" s="195"/>
      <c r="AY699" s="105"/>
      <c r="AZ699" s="220"/>
      <c r="BA699" s="241"/>
      <c r="BE699" s="107"/>
      <c r="BF699" s="220"/>
    </row>
    <row r="700" spans="49:58">
      <c r="AW700" s="107"/>
      <c r="AX700" s="195"/>
      <c r="AY700" s="105"/>
      <c r="AZ700" s="220"/>
      <c r="BA700" s="241"/>
      <c r="BE700" s="107"/>
      <c r="BF700" s="220"/>
    </row>
    <row r="701" spans="49:58">
      <c r="AW701" s="107"/>
      <c r="AX701" s="195"/>
      <c r="AY701" s="105"/>
      <c r="AZ701" s="220"/>
      <c r="BA701" s="241"/>
      <c r="BE701" s="107"/>
      <c r="BF701" s="220"/>
    </row>
    <row r="702" spans="49:58">
      <c r="AW702" s="107"/>
      <c r="AX702" s="195"/>
      <c r="AY702" s="105"/>
      <c r="AZ702" s="220"/>
      <c r="BA702" s="241"/>
      <c r="BE702" s="107"/>
      <c r="BF702" s="220"/>
    </row>
    <row r="703" spans="49:58">
      <c r="AW703" s="107"/>
      <c r="AX703" s="195"/>
      <c r="AY703" s="105"/>
      <c r="AZ703" s="220"/>
      <c r="BA703" s="241"/>
      <c r="BE703" s="107"/>
      <c r="BF703" s="220"/>
    </row>
    <row r="704" spans="49:58">
      <c r="AW704" s="107"/>
      <c r="AX704" s="195"/>
      <c r="AY704" s="105"/>
      <c r="AZ704" s="220"/>
      <c r="BA704" s="241"/>
      <c r="BE704" s="107"/>
      <c r="BF704" s="220"/>
    </row>
    <row r="705" spans="49:58">
      <c r="AW705" s="107"/>
      <c r="AX705" s="195"/>
      <c r="AY705" s="105"/>
      <c r="AZ705" s="220"/>
      <c r="BA705" s="241"/>
      <c r="BE705" s="107"/>
      <c r="BF705" s="220"/>
    </row>
    <row r="706" spans="49:58">
      <c r="AW706" s="107"/>
      <c r="AX706" s="195"/>
      <c r="AY706" s="105"/>
      <c r="AZ706" s="220"/>
      <c r="BA706" s="241"/>
      <c r="BE706" s="107"/>
      <c r="BF706" s="220"/>
    </row>
    <row r="707" spans="49:58">
      <c r="AW707" s="107"/>
      <c r="AX707" s="195"/>
      <c r="AY707" s="105"/>
      <c r="AZ707" s="220"/>
      <c r="BA707" s="241"/>
      <c r="BE707" s="107"/>
      <c r="BF707" s="220"/>
    </row>
    <row r="708" spans="49:58">
      <c r="AW708" s="107"/>
      <c r="AX708" s="195"/>
      <c r="AY708" s="105"/>
      <c r="AZ708" s="220"/>
      <c r="BA708" s="241"/>
      <c r="BE708" s="107"/>
      <c r="BF708" s="220"/>
    </row>
    <row r="709" spans="49:58">
      <c r="AW709" s="107"/>
      <c r="AX709" s="195"/>
      <c r="AY709" s="105"/>
      <c r="AZ709" s="220"/>
      <c r="BA709" s="241"/>
      <c r="BE709" s="107"/>
      <c r="BF709" s="220"/>
    </row>
    <row r="710" spans="49:58">
      <c r="AW710" s="107"/>
      <c r="AX710" s="195"/>
      <c r="AY710" s="105"/>
      <c r="AZ710" s="220"/>
      <c r="BA710" s="241"/>
      <c r="BE710" s="107"/>
      <c r="BF710" s="220"/>
    </row>
    <row r="711" spans="49:58">
      <c r="AW711" s="107"/>
      <c r="AX711" s="195"/>
      <c r="AY711" s="105"/>
      <c r="AZ711" s="220"/>
      <c r="BA711" s="241"/>
      <c r="BE711" s="107"/>
      <c r="BF711" s="220"/>
    </row>
    <row r="712" spans="49:58">
      <c r="AW712" s="107"/>
      <c r="AX712" s="195"/>
      <c r="AY712" s="105"/>
      <c r="AZ712" s="220"/>
      <c r="BA712" s="241"/>
      <c r="BE712" s="107"/>
      <c r="BF712" s="220"/>
    </row>
    <row r="713" spans="49:58">
      <c r="AW713" s="107"/>
      <c r="AX713" s="195"/>
      <c r="AY713" s="105"/>
      <c r="AZ713" s="220"/>
      <c r="BA713" s="241"/>
      <c r="BE713" s="107"/>
      <c r="BF713" s="220"/>
    </row>
    <row r="714" spans="49:58">
      <c r="AW714" s="107"/>
      <c r="AX714" s="195"/>
      <c r="AY714" s="105"/>
      <c r="AZ714" s="220"/>
      <c r="BA714" s="241"/>
      <c r="BE714" s="107"/>
      <c r="BF714" s="220"/>
    </row>
    <row r="715" spans="49:58">
      <c r="AW715" s="107"/>
      <c r="AX715" s="195"/>
      <c r="AY715" s="105"/>
      <c r="AZ715" s="220"/>
      <c r="BA715" s="241"/>
      <c r="BE715" s="107"/>
      <c r="BF715" s="220"/>
    </row>
    <row r="716" spans="49:58">
      <c r="AW716" s="107"/>
      <c r="AX716" s="195"/>
      <c r="AY716" s="105"/>
      <c r="AZ716" s="220"/>
      <c r="BA716" s="241"/>
      <c r="BE716" s="107"/>
      <c r="BF716" s="220"/>
    </row>
    <row r="717" spans="49:58">
      <c r="AW717" s="107"/>
      <c r="AX717" s="195"/>
      <c r="AY717" s="105"/>
      <c r="AZ717" s="220"/>
      <c r="BA717" s="241"/>
      <c r="BE717" s="107"/>
      <c r="BF717" s="220"/>
    </row>
    <row r="718" spans="49:58">
      <c r="AW718" s="107"/>
      <c r="AX718" s="195"/>
      <c r="AY718" s="105"/>
      <c r="AZ718" s="220"/>
      <c r="BA718" s="241"/>
      <c r="BE718" s="107"/>
      <c r="BF718" s="220"/>
    </row>
    <row r="719" spans="49:58">
      <c r="AW719" s="107"/>
      <c r="AX719" s="195"/>
      <c r="AY719" s="105"/>
      <c r="AZ719" s="220"/>
      <c r="BA719" s="241"/>
      <c r="BE719" s="107"/>
      <c r="BF719" s="220"/>
    </row>
    <row r="720" spans="49:58">
      <c r="AW720" s="107"/>
      <c r="AX720" s="195"/>
      <c r="AY720" s="105"/>
      <c r="AZ720" s="220"/>
      <c r="BA720" s="241"/>
      <c r="BE720" s="107"/>
      <c r="BF720" s="220"/>
    </row>
    <row r="721" spans="49:58">
      <c r="AW721" s="107"/>
      <c r="AX721" s="195"/>
      <c r="AY721" s="105"/>
      <c r="AZ721" s="220"/>
      <c r="BA721" s="241"/>
      <c r="BE721" s="107"/>
      <c r="BF721" s="220"/>
    </row>
    <row r="722" spans="49:58">
      <c r="AW722" s="107"/>
      <c r="AX722" s="195"/>
      <c r="AY722" s="105"/>
      <c r="AZ722" s="220"/>
      <c r="BA722" s="241"/>
      <c r="BE722" s="107"/>
      <c r="BF722" s="220"/>
    </row>
    <row r="723" spans="49:58">
      <c r="AW723" s="107"/>
      <c r="AX723" s="195"/>
      <c r="AY723" s="105"/>
      <c r="AZ723" s="220"/>
      <c r="BA723" s="241"/>
      <c r="BE723" s="107"/>
      <c r="BF723" s="220"/>
    </row>
    <row r="724" spans="49:58">
      <c r="AW724" s="107"/>
      <c r="AX724" s="195"/>
      <c r="AY724" s="105"/>
      <c r="AZ724" s="220"/>
      <c r="BA724" s="241"/>
      <c r="BE724" s="107"/>
      <c r="BF724" s="220"/>
    </row>
    <row r="725" spans="49:58">
      <c r="AW725" s="107"/>
      <c r="AX725" s="195"/>
      <c r="AY725" s="105"/>
      <c r="AZ725" s="220"/>
      <c r="BA725" s="241"/>
      <c r="BE725" s="107"/>
      <c r="BF725" s="220"/>
    </row>
    <row r="726" spans="49:58">
      <c r="AW726" s="107"/>
      <c r="AX726" s="195"/>
      <c r="AY726" s="105"/>
      <c r="AZ726" s="220"/>
      <c r="BA726" s="241"/>
      <c r="BE726" s="107"/>
      <c r="BF726" s="220"/>
    </row>
    <row r="727" spans="49:58">
      <c r="AW727" s="107"/>
      <c r="AX727" s="195"/>
      <c r="AY727" s="105"/>
      <c r="AZ727" s="220"/>
      <c r="BA727" s="241"/>
      <c r="BE727" s="107"/>
      <c r="BF727" s="220"/>
    </row>
    <row r="728" spans="49:58">
      <c r="AW728" s="107"/>
      <c r="AX728" s="195"/>
      <c r="AY728" s="105"/>
      <c r="AZ728" s="220"/>
      <c r="BA728" s="241"/>
      <c r="BE728" s="107"/>
      <c r="BF728" s="220"/>
    </row>
    <row r="729" spans="49:58">
      <c r="AW729" s="107"/>
      <c r="AX729" s="195"/>
      <c r="AY729" s="105"/>
      <c r="AZ729" s="220"/>
      <c r="BA729" s="241"/>
      <c r="BE729" s="107"/>
      <c r="BF729" s="220"/>
    </row>
    <row r="730" spans="49:58">
      <c r="AW730" s="107"/>
      <c r="AX730" s="195"/>
      <c r="AY730" s="105"/>
      <c r="AZ730" s="220"/>
      <c r="BA730" s="241"/>
      <c r="BE730" s="107"/>
      <c r="BF730" s="220"/>
    </row>
    <row r="731" spans="49:58">
      <c r="AW731" s="107"/>
      <c r="AX731" s="195"/>
      <c r="AY731" s="105"/>
      <c r="AZ731" s="220"/>
      <c r="BA731" s="241"/>
      <c r="BE731" s="107"/>
      <c r="BF731" s="220"/>
    </row>
    <row r="732" spans="49:58">
      <c r="AW732" s="107"/>
      <c r="AX732" s="195"/>
      <c r="AY732" s="105"/>
      <c r="AZ732" s="220"/>
      <c r="BA732" s="241"/>
      <c r="BE732" s="107"/>
      <c r="BF732" s="220"/>
    </row>
    <row r="733" spans="49:58">
      <c r="AW733" s="107"/>
      <c r="AX733" s="195"/>
      <c r="AY733" s="105"/>
      <c r="AZ733" s="220"/>
      <c r="BA733" s="241"/>
      <c r="BE733" s="107"/>
      <c r="BF733" s="220"/>
    </row>
    <row r="734" spans="49:58">
      <c r="AW734" s="107"/>
      <c r="AX734" s="195"/>
      <c r="AY734" s="105"/>
      <c r="AZ734" s="220"/>
      <c r="BA734" s="241"/>
      <c r="BE734" s="107"/>
      <c r="BF734" s="220"/>
    </row>
    <row r="735" spans="49:58">
      <c r="AW735" s="107"/>
      <c r="AX735" s="195"/>
      <c r="AY735" s="105"/>
      <c r="AZ735" s="220"/>
      <c r="BA735" s="241"/>
      <c r="BE735" s="107"/>
      <c r="BF735" s="220"/>
    </row>
    <row r="736" spans="49:58">
      <c r="AW736" s="107"/>
      <c r="AX736" s="195"/>
      <c r="AY736" s="105"/>
      <c r="AZ736" s="220"/>
      <c r="BA736" s="241"/>
      <c r="BE736" s="107"/>
      <c r="BF736" s="220"/>
    </row>
    <row r="737" spans="49:58">
      <c r="AW737" s="107"/>
      <c r="AX737" s="195"/>
      <c r="AY737" s="105"/>
      <c r="AZ737" s="220"/>
      <c r="BA737" s="241"/>
      <c r="BE737" s="107"/>
      <c r="BF737" s="220"/>
    </row>
    <row r="738" spans="49:58">
      <c r="AW738" s="107"/>
      <c r="AX738" s="195"/>
      <c r="AY738" s="105"/>
      <c r="AZ738" s="220"/>
      <c r="BA738" s="241"/>
      <c r="BE738" s="107"/>
      <c r="BF738" s="220"/>
    </row>
    <row r="739" spans="49:58">
      <c r="AW739" s="107"/>
      <c r="AX739" s="195"/>
      <c r="AY739" s="105"/>
      <c r="AZ739" s="220"/>
      <c r="BA739" s="241"/>
      <c r="BE739" s="107"/>
      <c r="BF739" s="220"/>
    </row>
    <row r="740" spans="49:58">
      <c r="AW740" s="107"/>
      <c r="AX740" s="195"/>
      <c r="AY740" s="105"/>
      <c r="AZ740" s="220"/>
      <c r="BA740" s="241"/>
      <c r="BE740" s="107"/>
      <c r="BF740" s="220"/>
    </row>
    <row r="741" spans="49:58">
      <c r="AW741" s="107"/>
      <c r="AX741" s="195"/>
      <c r="AY741" s="105"/>
      <c r="AZ741" s="220"/>
      <c r="BA741" s="241"/>
      <c r="BE741" s="107"/>
      <c r="BF741" s="220"/>
    </row>
    <row r="742" spans="49:58">
      <c r="AW742" s="107"/>
      <c r="AX742" s="195"/>
      <c r="AY742" s="105"/>
      <c r="AZ742" s="220"/>
      <c r="BA742" s="241"/>
      <c r="BE742" s="107"/>
      <c r="BF742" s="220"/>
    </row>
    <row r="743" spans="49:58">
      <c r="AW743" s="107"/>
      <c r="AX743" s="195"/>
      <c r="AY743" s="105"/>
      <c r="AZ743" s="220"/>
      <c r="BA743" s="241"/>
      <c r="BE743" s="107"/>
      <c r="BF743" s="220"/>
    </row>
    <row r="744" spans="49:58">
      <c r="AW744" s="107"/>
      <c r="AX744" s="195"/>
      <c r="AY744" s="105"/>
      <c r="AZ744" s="220"/>
      <c r="BA744" s="241"/>
      <c r="BE744" s="107"/>
      <c r="BF744" s="220"/>
    </row>
    <row r="745" spans="49:58">
      <c r="AW745" s="107"/>
      <c r="AX745" s="195"/>
      <c r="AY745" s="105"/>
      <c r="AZ745" s="220"/>
      <c r="BA745" s="241"/>
      <c r="BE745" s="107"/>
      <c r="BF745" s="220"/>
    </row>
    <row r="746" spans="49:58">
      <c r="AW746" s="107"/>
      <c r="AX746" s="195"/>
      <c r="AY746" s="105"/>
      <c r="AZ746" s="220"/>
      <c r="BA746" s="241"/>
      <c r="BE746" s="107"/>
      <c r="BF746" s="220"/>
    </row>
    <row r="747" spans="49:58">
      <c r="AW747" s="107"/>
      <c r="AX747" s="195"/>
      <c r="AY747" s="105"/>
      <c r="AZ747" s="220"/>
      <c r="BA747" s="241"/>
      <c r="BE747" s="107"/>
      <c r="BF747" s="220"/>
    </row>
    <row r="748" spans="49:58">
      <c r="AW748" s="107"/>
      <c r="AX748" s="195"/>
      <c r="AY748" s="105"/>
      <c r="AZ748" s="220"/>
      <c r="BA748" s="241"/>
      <c r="BE748" s="107"/>
      <c r="BF748" s="220"/>
    </row>
    <row r="749" spans="49:58">
      <c r="AW749" s="107"/>
      <c r="AX749" s="195"/>
      <c r="AY749" s="105"/>
      <c r="AZ749" s="220"/>
      <c r="BA749" s="241"/>
      <c r="BE749" s="107"/>
      <c r="BF749" s="220"/>
    </row>
    <row r="750" spans="49:58">
      <c r="AW750" s="107"/>
      <c r="AX750" s="195"/>
      <c r="AY750" s="105"/>
      <c r="AZ750" s="220"/>
      <c r="BA750" s="241"/>
      <c r="BE750" s="107"/>
      <c r="BF750" s="220"/>
    </row>
    <row r="751" spans="49:58">
      <c r="AW751" s="107"/>
      <c r="AX751" s="195"/>
      <c r="AY751" s="105"/>
      <c r="AZ751" s="220"/>
      <c r="BA751" s="241"/>
      <c r="BE751" s="107"/>
      <c r="BF751" s="220"/>
    </row>
    <row r="752" spans="49:58">
      <c r="AW752" s="107"/>
      <c r="AX752" s="195"/>
      <c r="AY752" s="105"/>
      <c r="AZ752" s="220"/>
      <c r="BA752" s="241"/>
      <c r="BE752" s="107"/>
      <c r="BF752" s="220"/>
    </row>
    <row r="753" spans="49:58">
      <c r="AW753" s="107"/>
      <c r="AX753" s="195"/>
      <c r="AY753" s="105"/>
      <c r="AZ753" s="220"/>
      <c r="BA753" s="241"/>
      <c r="BE753" s="107"/>
      <c r="BF753" s="220"/>
    </row>
    <row r="754" spans="49:58">
      <c r="AW754" s="107"/>
      <c r="AX754" s="195"/>
      <c r="AY754" s="105"/>
      <c r="AZ754" s="220"/>
      <c r="BA754" s="241"/>
      <c r="BE754" s="107"/>
      <c r="BF754" s="220"/>
    </row>
    <row r="755" spans="49:58">
      <c r="AW755" s="107"/>
      <c r="AX755" s="195"/>
      <c r="AY755" s="105"/>
      <c r="AZ755" s="220"/>
      <c r="BA755" s="241"/>
      <c r="BE755" s="107"/>
      <c r="BF755" s="220"/>
    </row>
    <row r="756" spans="49:58">
      <c r="AW756" s="107"/>
      <c r="AX756" s="195"/>
      <c r="AY756" s="105"/>
      <c r="AZ756" s="220"/>
      <c r="BA756" s="241"/>
      <c r="BE756" s="107"/>
      <c r="BF756" s="220"/>
    </row>
    <row r="757" spans="49:58">
      <c r="AW757" s="107"/>
      <c r="AX757" s="195"/>
      <c r="AY757" s="105"/>
      <c r="AZ757" s="220"/>
      <c r="BA757" s="241"/>
      <c r="BE757" s="107"/>
      <c r="BF757" s="220"/>
    </row>
    <row r="758" spans="49:58">
      <c r="AW758" s="107"/>
      <c r="AX758" s="195"/>
      <c r="AY758" s="105"/>
      <c r="AZ758" s="220"/>
      <c r="BA758" s="241"/>
      <c r="BE758" s="107"/>
      <c r="BF758" s="220"/>
    </row>
    <row r="759" spans="49:58">
      <c r="AW759" s="107"/>
      <c r="AX759" s="195"/>
      <c r="AY759" s="105"/>
      <c r="AZ759" s="220"/>
      <c r="BA759" s="241"/>
      <c r="BE759" s="107"/>
      <c r="BF759" s="220"/>
    </row>
    <row r="760" spans="49:58">
      <c r="AW760" s="107"/>
      <c r="AX760" s="195"/>
      <c r="AY760" s="105"/>
      <c r="AZ760" s="220"/>
      <c r="BA760" s="241"/>
      <c r="BE760" s="107"/>
      <c r="BF760" s="220"/>
    </row>
    <row r="761" spans="49:58">
      <c r="AW761" s="107"/>
      <c r="AX761" s="195"/>
      <c r="AY761" s="105"/>
      <c r="AZ761" s="220"/>
      <c r="BA761" s="241"/>
      <c r="BE761" s="107"/>
      <c r="BF761" s="220"/>
    </row>
    <row r="762" spans="49:58">
      <c r="AW762" s="107"/>
      <c r="AX762" s="195"/>
      <c r="AY762" s="105"/>
      <c r="AZ762" s="220"/>
      <c r="BA762" s="241"/>
      <c r="BE762" s="107"/>
      <c r="BF762" s="220"/>
    </row>
    <row r="763" spans="49:58">
      <c r="AW763" s="107"/>
      <c r="AX763" s="195"/>
      <c r="AY763" s="105"/>
      <c r="AZ763" s="220"/>
      <c r="BA763" s="241"/>
      <c r="BE763" s="107"/>
      <c r="BF763" s="220"/>
    </row>
    <row r="764" spans="49:58">
      <c r="AW764" s="107"/>
      <c r="AX764" s="195"/>
      <c r="AY764" s="105"/>
      <c r="AZ764" s="220"/>
      <c r="BA764" s="241"/>
      <c r="BE764" s="107"/>
      <c r="BF764" s="220"/>
    </row>
    <row r="765" spans="49:58">
      <c r="AW765" s="107"/>
      <c r="AX765" s="195"/>
      <c r="AY765" s="105"/>
      <c r="AZ765" s="220"/>
      <c r="BA765" s="241"/>
      <c r="BE765" s="107"/>
      <c r="BF765" s="220"/>
    </row>
    <row r="766" spans="49:58">
      <c r="AW766" s="107"/>
      <c r="AX766" s="195"/>
      <c r="AY766" s="105"/>
      <c r="AZ766" s="220"/>
      <c r="BA766" s="241"/>
      <c r="BE766" s="107"/>
      <c r="BF766" s="220"/>
    </row>
    <row r="767" spans="49:58">
      <c r="AW767" s="107"/>
      <c r="AX767" s="195"/>
      <c r="AY767" s="105"/>
      <c r="AZ767" s="220"/>
      <c r="BA767" s="241"/>
      <c r="BE767" s="107"/>
      <c r="BF767" s="220"/>
    </row>
    <row r="768" spans="49:58">
      <c r="AW768" s="107"/>
      <c r="AX768" s="195"/>
      <c r="AY768" s="105"/>
      <c r="AZ768" s="220"/>
      <c r="BA768" s="241"/>
      <c r="BE768" s="107"/>
      <c r="BF768" s="220"/>
    </row>
    <row r="769" spans="49:58">
      <c r="AW769" s="107"/>
      <c r="AX769" s="195"/>
      <c r="AY769" s="105"/>
      <c r="AZ769" s="220"/>
      <c r="BA769" s="241"/>
      <c r="BE769" s="107"/>
      <c r="BF769" s="220"/>
    </row>
    <row r="770" spans="49:58">
      <c r="AW770" s="107"/>
      <c r="AX770" s="195"/>
      <c r="AY770" s="105"/>
      <c r="AZ770" s="220"/>
      <c r="BA770" s="241"/>
      <c r="BE770" s="107"/>
      <c r="BF770" s="220"/>
    </row>
    <row r="771" spans="49:58">
      <c r="AW771" s="107"/>
      <c r="AX771" s="195"/>
      <c r="AY771" s="105"/>
      <c r="AZ771" s="220"/>
      <c r="BA771" s="241"/>
      <c r="BE771" s="107"/>
      <c r="BF771" s="220"/>
    </row>
    <row r="772" spans="49:58">
      <c r="AW772" s="107"/>
      <c r="AX772" s="195"/>
      <c r="AY772" s="105"/>
      <c r="AZ772" s="220"/>
      <c r="BA772" s="241"/>
      <c r="BE772" s="107"/>
      <c r="BF772" s="220"/>
    </row>
    <row r="773" spans="49:58">
      <c r="AW773" s="107"/>
      <c r="AX773" s="195"/>
      <c r="AY773" s="105"/>
      <c r="AZ773" s="220"/>
      <c r="BA773" s="241"/>
      <c r="BE773" s="107"/>
      <c r="BF773" s="220"/>
    </row>
    <row r="774" spans="49:58">
      <c r="AW774" s="107"/>
      <c r="AX774" s="195"/>
      <c r="AY774" s="105"/>
      <c r="AZ774" s="220"/>
      <c r="BA774" s="241"/>
      <c r="BE774" s="107"/>
      <c r="BF774" s="220"/>
    </row>
    <row r="775" spans="49:58">
      <c r="AW775" s="107"/>
      <c r="AX775" s="195"/>
      <c r="AY775" s="105"/>
      <c r="AZ775" s="220"/>
      <c r="BA775" s="241"/>
      <c r="BE775" s="107"/>
      <c r="BF775" s="220"/>
    </row>
    <row r="776" spans="49:58">
      <c r="AW776" s="107"/>
      <c r="AX776" s="195"/>
      <c r="AY776" s="105"/>
      <c r="AZ776" s="220"/>
      <c r="BA776" s="241"/>
      <c r="BE776" s="107"/>
      <c r="BF776" s="220"/>
    </row>
    <row r="777" spans="49:58">
      <c r="AW777" s="107"/>
      <c r="AX777" s="195"/>
      <c r="AY777" s="105"/>
      <c r="AZ777" s="220"/>
      <c r="BA777" s="241"/>
      <c r="BE777" s="107"/>
      <c r="BF777" s="220"/>
    </row>
    <row r="778" spans="49:58">
      <c r="AW778" s="107"/>
      <c r="AX778" s="195"/>
      <c r="AY778" s="105"/>
      <c r="AZ778" s="220"/>
      <c r="BA778" s="241"/>
      <c r="BE778" s="107"/>
      <c r="BF778" s="220"/>
    </row>
    <row r="779" spans="49:58">
      <c r="AW779" s="107"/>
      <c r="AX779" s="195"/>
      <c r="AY779" s="105"/>
      <c r="AZ779" s="220"/>
      <c r="BA779" s="241"/>
      <c r="BE779" s="107"/>
      <c r="BF779" s="220"/>
    </row>
    <row r="780" spans="49:58">
      <c r="AW780" s="107"/>
      <c r="AX780" s="195"/>
      <c r="AY780" s="105"/>
      <c r="AZ780" s="220"/>
      <c r="BA780" s="241"/>
      <c r="BE780" s="107"/>
      <c r="BF780" s="220"/>
    </row>
    <row r="781" spans="49:58">
      <c r="AW781" s="107"/>
      <c r="AX781" s="195"/>
      <c r="AY781" s="105"/>
      <c r="AZ781" s="220"/>
      <c r="BA781" s="241"/>
      <c r="BE781" s="107"/>
      <c r="BF781" s="220"/>
    </row>
    <row r="782" spans="49:58">
      <c r="AW782" s="107"/>
      <c r="AX782" s="195"/>
      <c r="AY782" s="105"/>
      <c r="AZ782" s="220"/>
      <c r="BA782" s="241"/>
      <c r="BE782" s="107"/>
      <c r="BF782" s="220"/>
    </row>
    <row r="783" spans="49:58">
      <c r="AW783" s="107"/>
      <c r="AX783" s="195"/>
      <c r="AY783" s="105"/>
      <c r="AZ783" s="220"/>
      <c r="BA783" s="241"/>
      <c r="BE783" s="107"/>
      <c r="BF783" s="220"/>
    </row>
    <row r="784" spans="49:58">
      <c r="AW784" s="107"/>
      <c r="AX784" s="195"/>
      <c r="AY784" s="105"/>
      <c r="AZ784" s="220"/>
      <c r="BA784" s="241"/>
      <c r="BE784" s="107"/>
      <c r="BF784" s="220"/>
    </row>
    <row r="785" spans="49:58">
      <c r="AW785" s="107"/>
      <c r="AX785" s="195"/>
      <c r="AY785" s="105"/>
      <c r="AZ785" s="220"/>
      <c r="BA785" s="241"/>
      <c r="BE785" s="107"/>
      <c r="BF785" s="220"/>
    </row>
    <row r="786" spans="49:58">
      <c r="AW786" s="107"/>
      <c r="AX786" s="195"/>
      <c r="AY786" s="105"/>
      <c r="AZ786" s="220"/>
      <c r="BA786" s="241"/>
      <c r="BE786" s="107"/>
      <c r="BF786" s="220"/>
    </row>
    <row r="787" spans="49:58">
      <c r="AW787" s="107"/>
      <c r="AX787" s="195"/>
      <c r="AY787" s="105"/>
      <c r="AZ787" s="220"/>
      <c r="BA787" s="241"/>
      <c r="BE787" s="107"/>
      <c r="BF787" s="220"/>
    </row>
    <row r="788" spans="49:58">
      <c r="AW788" s="107"/>
      <c r="AX788" s="195"/>
      <c r="AY788" s="105"/>
      <c r="AZ788" s="220"/>
      <c r="BA788" s="241"/>
      <c r="BE788" s="107"/>
      <c r="BF788" s="220"/>
    </row>
    <row r="789" spans="49:58">
      <c r="AW789" s="107"/>
      <c r="AX789" s="195"/>
      <c r="AY789" s="105"/>
      <c r="AZ789" s="220"/>
      <c r="BA789" s="241"/>
      <c r="BE789" s="107"/>
      <c r="BF789" s="220"/>
    </row>
    <row r="790" spans="49:58">
      <c r="AW790" s="107"/>
      <c r="AX790" s="195"/>
      <c r="AY790" s="105"/>
      <c r="AZ790" s="220"/>
      <c r="BA790" s="241"/>
      <c r="BE790" s="107"/>
      <c r="BF790" s="220"/>
    </row>
    <row r="791" spans="49:58">
      <c r="AW791" s="107"/>
      <c r="AX791" s="195"/>
      <c r="AY791" s="105"/>
      <c r="AZ791" s="220"/>
      <c r="BA791" s="241"/>
      <c r="BE791" s="107"/>
      <c r="BF791" s="220"/>
    </row>
    <row r="792" spans="49:58">
      <c r="AW792" s="107"/>
      <c r="AX792" s="195"/>
      <c r="AY792" s="105"/>
      <c r="AZ792" s="220"/>
      <c r="BA792" s="241"/>
      <c r="BE792" s="107"/>
      <c r="BF792" s="220"/>
    </row>
    <row r="793" spans="49:58">
      <c r="AW793" s="107"/>
      <c r="AX793" s="195"/>
      <c r="AY793" s="105"/>
      <c r="AZ793" s="220"/>
      <c r="BA793" s="241"/>
      <c r="BE793" s="107"/>
      <c r="BF793" s="220"/>
    </row>
    <row r="794" spans="49:58">
      <c r="AW794" s="107"/>
      <c r="AX794" s="195"/>
      <c r="AY794" s="105"/>
      <c r="AZ794" s="220"/>
      <c r="BA794" s="241"/>
      <c r="BE794" s="107"/>
      <c r="BF794" s="220"/>
    </row>
    <row r="795" spans="49:58">
      <c r="AW795" s="107"/>
      <c r="AX795" s="195"/>
      <c r="AY795" s="105"/>
      <c r="AZ795" s="220"/>
      <c r="BA795" s="241"/>
      <c r="BE795" s="107"/>
      <c r="BF795" s="220"/>
    </row>
    <row r="796" spans="49:58">
      <c r="AW796" s="107"/>
      <c r="AX796" s="195"/>
      <c r="AY796" s="105"/>
      <c r="AZ796" s="220"/>
      <c r="BA796" s="241"/>
      <c r="BE796" s="107"/>
      <c r="BF796" s="220"/>
    </row>
    <row r="797" spans="49:58">
      <c r="AW797" s="107"/>
      <c r="AX797" s="195"/>
      <c r="AY797" s="105"/>
      <c r="AZ797" s="220"/>
      <c r="BA797" s="241"/>
      <c r="BE797" s="107"/>
      <c r="BF797" s="220"/>
    </row>
    <row r="798" spans="49:58">
      <c r="AW798" s="107"/>
      <c r="AX798" s="195"/>
      <c r="AY798" s="105"/>
      <c r="AZ798" s="220"/>
      <c r="BA798" s="241"/>
      <c r="BE798" s="107"/>
      <c r="BF798" s="220"/>
    </row>
    <row r="799" spans="49:58">
      <c r="AW799" s="107"/>
      <c r="AX799" s="195"/>
      <c r="AY799" s="105"/>
      <c r="AZ799" s="220"/>
      <c r="BA799" s="241"/>
      <c r="BE799" s="107"/>
      <c r="BF799" s="220"/>
    </row>
    <row r="800" spans="49:58">
      <c r="AW800" s="107"/>
      <c r="AX800" s="195"/>
      <c r="AY800" s="105"/>
      <c r="AZ800" s="220"/>
      <c r="BA800" s="241"/>
      <c r="BE800" s="107"/>
      <c r="BF800" s="220"/>
    </row>
    <row r="801" spans="49:58">
      <c r="AW801" s="107"/>
      <c r="AX801" s="195"/>
      <c r="AY801" s="105"/>
      <c r="AZ801" s="220"/>
      <c r="BA801" s="241"/>
      <c r="BE801" s="107"/>
      <c r="BF801" s="220"/>
    </row>
    <row r="802" spans="49:58">
      <c r="AW802" s="107"/>
      <c r="AX802" s="195"/>
      <c r="AY802" s="105"/>
      <c r="AZ802" s="220"/>
      <c r="BA802" s="241"/>
      <c r="BE802" s="107"/>
      <c r="BF802" s="220"/>
    </row>
    <row r="803" spans="49:58">
      <c r="AW803" s="107"/>
      <c r="AX803" s="195"/>
      <c r="AY803" s="105"/>
      <c r="AZ803" s="220"/>
      <c r="BA803" s="241"/>
      <c r="BE803" s="107"/>
      <c r="BF803" s="220"/>
    </row>
    <row r="804" spans="49:58">
      <c r="AW804" s="107"/>
      <c r="AX804" s="195"/>
      <c r="AY804" s="105"/>
      <c r="AZ804" s="220"/>
      <c r="BA804" s="241"/>
      <c r="BE804" s="107"/>
      <c r="BF804" s="220"/>
    </row>
    <row r="805" spans="49:58">
      <c r="AW805" s="107"/>
      <c r="AX805" s="195"/>
      <c r="AY805" s="105"/>
      <c r="AZ805" s="220"/>
      <c r="BA805" s="241"/>
      <c r="BE805" s="107"/>
      <c r="BF805" s="220"/>
    </row>
    <row r="806" spans="49:58">
      <c r="AW806" s="107"/>
      <c r="AX806" s="195"/>
      <c r="AY806" s="105"/>
      <c r="AZ806" s="220"/>
      <c r="BA806" s="241"/>
      <c r="BE806" s="107"/>
      <c r="BF806" s="220"/>
    </row>
    <row r="807" spans="49:58">
      <c r="AW807" s="107"/>
      <c r="AX807" s="195"/>
      <c r="AY807" s="105"/>
      <c r="AZ807" s="220"/>
      <c r="BA807" s="241"/>
      <c r="BE807" s="107"/>
      <c r="BF807" s="220"/>
    </row>
    <row r="808" spans="49:58">
      <c r="AW808" s="107"/>
      <c r="AX808" s="195"/>
      <c r="AY808" s="105"/>
      <c r="AZ808" s="220"/>
      <c r="BA808" s="241"/>
      <c r="BE808" s="107"/>
      <c r="BF808" s="220"/>
    </row>
    <row r="809" spans="49:58">
      <c r="AW809" s="107"/>
      <c r="AX809" s="195"/>
      <c r="AY809" s="105"/>
      <c r="AZ809" s="220"/>
      <c r="BA809" s="241"/>
      <c r="BE809" s="107"/>
      <c r="BF809" s="220"/>
    </row>
    <row r="810" spans="49:58">
      <c r="AW810" s="107"/>
      <c r="AX810" s="195"/>
      <c r="AY810" s="105"/>
      <c r="AZ810" s="220"/>
      <c r="BA810" s="241"/>
      <c r="BE810" s="107"/>
      <c r="BF810" s="220"/>
    </row>
    <row r="811" spans="49:58">
      <c r="AW811" s="107"/>
      <c r="AX811" s="195"/>
      <c r="AY811" s="105"/>
      <c r="AZ811" s="220"/>
      <c r="BA811" s="241"/>
      <c r="BE811" s="107"/>
      <c r="BF811" s="220"/>
    </row>
    <row r="812" spans="49:58">
      <c r="AW812" s="107"/>
      <c r="AX812" s="195"/>
      <c r="AY812" s="105"/>
      <c r="AZ812" s="220"/>
      <c r="BA812" s="241"/>
      <c r="BE812" s="107"/>
      <c r="BF812" s="220"/>
    </row>
    <row r="813" spans="49:58">
      <c r="AW813" s="107"/>
      <c r="AX813" s="195"/>
      <c r="AY813" s="105"/>
      <c r="AZ813" s="220"/>
      <c r="BA813" s="241"/>
      <c r="BE813" s="107"/>
      <c r="BF813" s="220"/>
    </row>
    <row r="814" spans="49:58">
      <c r="AW814" s="107"/>
      <c r="AX814" s="195"/>
      <c r="AY814" s="105"/>
      <c r="AZ814" s="220"/>
      <c r="BA814" s="241"/>
      <c r="BE814" s="107"/>
      <c r="BF814" s="220"/>
    </row>
    <row r="815" spans="49:58">
      <c r="AW815" s="107"/>
      <c r="AX815" s="195"/>
      <c r="AY815" s="105"/>
      <c r="AZ815" s="220"/>
      <c r="BA815" s="241"/>
      <c r="BE815" s="107"/>
      <c r="BF815" s="220"/>
    </row>
    <row r="816" spans="49:58">
      <c r="AW816" s="107"/>
      <c r="AX816" s="195"/>
      <c r="AY816" s="105"/>
      <c r="AZ816" s="220"/>
      <c r="BA816" s="241"/>
      <c r="BE816" s="107"/>
      <c r="BF816" s="220"/>
    </row>
    <row r="817" spans="49:58">
      <c r="AW817" s="107"/>
      <c r="AX817" s="195"/>
      <c r="AY817" s="105"/>
      <c r="AZ817" s="220"/>
      <c r="BA817" s="241"/>
      <c r="BE817" s="107"/>
      <c r="BF817" s="220"/>
    </row>
    <row r="818" spans="49:58">
      <c r="AW818" s="107"/>
      <c r="AX818" s="195"/>
      <c r="AY818" s="105"/>
      <c r="AZ818" s="220"/>
      <c r="BA818" s="241"/>
      <c r="BE818" s="107"/>
      <c r="BF818" s="220"/>
    </row>
    <row r="819" spans="49:58">
      <c r="AW819" s="107"/>
      <c r="AX819" s="195"/>
      <c r="AY819" s="105"/>
      <c r="AZ819" s="220"/>
      <c r="BA819" s="241"/>
      <c r="BE819" s="107"/>
      <c r="BF819" s="220"/>
    </row>
    <row r="820" spans="49:58">
      <c r="AW820" s="107"/>
      <c r="AX820" s="195"/>
      <c r="AY820" s="105"/>
      <c r="AZ820" s="220"/>
      <c r="BA820" s="241"/>
      <c r="BE820" s="107"/>
      <c r="BF820" s="220"/>
    </row>
    <row r="821" spans="49:58">
      <c r="AW821" s="107"/>
      <c r="AX821" s="195"/>
      <c r="AY821" s="105"/>
      <c r="AZ821" s="220"/>
      <c r="BA821" s="241"/>
      <c r="BE821" s="107"/>
      <c r="BF821" s="220"/>
    </row>
    <row r="822" spans="49:58">
      <c r="AW822" s="107"/>
      <c r="AX822" s="195"/>
      <c r="AY822" s="105"/>
      <c r="AZ822" s="220"/>
      <c r="BA822" s="241"/>
      <c r="BE822" s="107"/>
      <c r="BF822" s="220"/>
    </row>
    <row r="823" spans="49:58">
      <c r="AW823" s="107"/>
      <c r="AX823" s="195"/>
      <c r="AY823" s="105"/>
      <c r="AZ823" s="220"/>
      <c r="BA823" s="241"/>
      <c r="BE823" s="107"/>
      <c r="BF823" s="220"/>
    </row>
    <row r="824" spans="49:58">
      <c r="AW824" s="107"/>
      <c r="AX824" s="195"/>
      <c r="AY824" s="105"/>
      <c r="AZ824" s="220"/>
      <c r="BA824" s="241"/>
      <c r="BE824" s="107"/>
      <c r="BF824" s="220"/>
    </row>
    <row r="825" spans="49:58">
      <c r="AW825" s="107"/>
      <c r="AX825" s="195"/>
      <c r="AY825" s="105"/>
      <c r="AZ825" s="220"/>
      <c r="BA825" s="241"/>
      <c r="BE825" s="107"/>
      <c r="BF825" s="220"/>
    </row>
    <row r="826" spans="49:58">
      <c r="AW826" s="107"/>
      <c r="AX826" s="195"/>
      <c r="AY826" s="105"/>
      <c r="AZ826" s="220"/>
      <c r="BA826" s="241"/>
      <c r="BE826" s="107"/>
      <c r="BF826" s="220"/>
    </row>
    <row r="827" spans="49:58">
      <c r="AW827" s="107"/>
      <c r="AX827" s="195"/>
      <c r="AY827" s="105"/>
      <c r="AZ827" s="220"/>
      <c r="BA827" s="241"/>
      <c r="BE827" s="107"/>
      <c r="BF827" s="220"/>
    </row>
    <row r="828" spans="49:58">
      <c r="AW828" s="107"/>
      <c r="AX828" s="195"/>
      <c r="AY828" s="105"/>
      <c r="AZ828" s="220"/>
      <c r="BA828" s="241"/>
      <c r="BE828" s="107"/>
      <c r="BF828" s="220"/>
    </row>
    <row r="829" spans="49:58">
      <c r="AW829" s="107"/>
      <c r="AX829" s="195"/>
      <c r="AY829" s="105"/>
      <c r="AZ829" s="220"/>
      <c r="BA829" s="241"/>
      <c r="BE829" s="107"/>
      <c r="BF829" s="220"/>
    </row>
    <row r="830" spans="49:58">
      <c r="AW830" s="107"/>
      <c r="AX830" s="195"/>
      <c r="AY830" s="105"/>
      <c r="AZ830" s="220"/>
      <c r="BA830" s="241"/>
      <c r="BE830" s="107"/>
      <c r="BF830" s="220"/>
    </row>
    <row r="831" spans="49:58">
      <c r="AW831" s="107"/>
      <c r="AX831" s="195"/>
      <c r="AY831" s="105"/>
      <c r="AZ831" s="220"/>
      <c r="BA831" s="241"/>
      <c r="BE831" s="107"/>
      <c r="BF831" s="220"/>
    </row>
    <row r="832" spans="49:58">
      <c r="AW832" s="107"/>
      <c r="AX832" s="195"/>
      <c r="AY832" s="105"/>
      <c r="AZ832" s="220"/>
      <c r="BA832" s="241"/>
      <c r="BE832" s="107"/>
      <c r="BF832" s="220"/>
    </row>
    <row r="833" spans="49:58">
      <c r="AW833" s="107"/>
      <c r="AX833" s="195"/>
      <c r="AY833" s="105"/>
      <c r="AZ833" s="220"/>
      <c r="BA833" s="241"/>
      <c r="BE833" s="107"/>
      <c r="BF833" s="220"/>
    </row>
    <row r="834" spans="49:58">
      <c r="AW834" s="107"/>
      <c r="AX834" s="195"/>
      <c r="AY834" s="105"/>
      <c r="AZ834" s="220"/>
      <c r="BA834" s="241"/>
      <c r="BE834" s="107"/>
      <c r="BF834" s="220"/>
    </row>
    <row r="835" spans="49:58">
      <c r="AW835" s="107"/>
      <c r="AX835" s="195"/>
      <c r="AY835" s="105"/>
      <c r="AZ835" s="220"/>
      <c r="BA835" s="241"/>
      <c r="BE835" s="107"/>
      <c r="BF835" s="220"/>
    </row>
    <row r="836" spans="49:58">
      <c r="AW836" s="107"/>
      <c r="AX836" s="195"/>
      <c r="AY836" s="105"/>
      <c r="AZ836" s="220"/>
      <c r="BA836" s="241"/>
      <c r="BE836" s="107"/>
      <c r="BF836" s="220"/>
    </row>
    <row r="837" spans="49:58">
      <c r="AW837" s="107"/>
      <c r="AX837" s="195"/>
      <c r="AY837" s="105"/>
      <c r="AZ837" s="220"/>
      <c r="BA837" s="241"/>
      <c r="BE837" s="107"/>
      <c r="BF837" s="220"/>
    </row>
    <row r="838" spans="49:58">
      <c r="AW838" s="107"/>
      <c r="AX838" s="195"/>
      <c r="AY838" s="105"/>
      <c r="AZ838" s="220"/>
      <c r="BA838" s="241"/>
      <c r="BE838" s="107"/>
      <c r="BF838" s="220"/>
    </row>
    <row r="839" spans="49:58">
      <c r="AW839" s="107"/>
      <c r="AX839" s="195"/>
      <c r="AY839" s="105"/>
      <c r="AZ839" s="220"/>
      <c r="BA839" s="241"/>
      <c r="BE839" s="107"/>
      <c r="BF839" s="220"/>
    </row>
    <row r="840" spans="49:58">
      <c r="AW840" s="107"/>
      <c r="AX840" s="195"/>
      <c r="AY840" s="105"/>
      <c r="AZ840" s="220"/>
      <c r="BA840" s="241"/>
      <c r="BE840" s="107"/>
      <c r="BF840" s="220"/>
    </row>
    <row r="841" spans="49:58">
      <c r="AW841" s="107"/>
      <c r="AX841" s="195"/>
      <c r="AY841" s="105"/>
      <c r="AZ841" s="220"/>
      <c r="BA841" s="241"/>
      <c r="BE841" s="107"/>
      <c r="BF841" s="220"/>
    </row>
    <row r="842" spans="49:58">
      <c r="AW842" s="107"/>
      <c r="AX842" s="195"/>
      <c r="AY842" s="105"/>
      <c r="AZ842" s="220"/>
      <c r="BA842" s="241"/>
      <c r="BE842" s="107"/>
      <c r="BF842" s="220"/>
    </row>
    <row r="843" spans="49:58">
      <c r="AW843" s="107"/>
      <c r="AX843" s="195"/>
      <c r="AY843" s="105"/>
      <c r="AZ843" s="220"/>
      <c r="BA843" s="241"/>
      <c r="BE843" s="107"/>
      <c r="BF843" s="220"/>
    </row>
    <row r="844" spans="49:58">
      <c r="AW844" s="107"/>
      <c r="AX844" s="195"/>
      <c r="AY844" s="105"/>
      <c r="AZ844" s="220"/>
      <c r="BA844" s="241"/>
      <c r="BE844" s="107"/>
      <c r="BF844" s="220"/>
    </row>
    <row r="845" spans="49:58">
      <c r="AW845" s="107"/>
      <c r="AX845" s="195"/>
      <c r="AY845" s="105"/>
      <c r="AZ845" s="220"/>
      <c r="BA845" s="241"/>
      <c r="BE845" s="107"/>
      <c r="BF845" s="220"/>
    </row>
    <row r="846" spans="49:58">
      <c r="AW846" s="107"/>
      <c r="AX846" s="195"/>
      <c r="AY846" s="105"/>
      <c r="AZ846" s="220"/>
      <c r="BA846" s="241"/>
      <c r="BE846" s="107"/>
      <c r="BF846" s="220"/>
    </row>
    <row r="847" spans="49:58">
      <c r="AW847" s="107"/>
      <c r="AX847" s="195"/>
      <c r="AY847" s="105"/>
      <c r="AZ847" s="220"/>
      <c r="BA847" s="241"/>
      <c r="BE847" s="107"/>
      <c r="BF847" s="220"/>
    </row>
    <row r="848" spans="49:58">
      <c r="AW848" s="107"/>
      <c r="AX848" s="195"/>
      <c r="AY848" s="105"/>
      <c r="AZ848" s="220"/>
      <c r="BA848" s="241"/>
      <c r="BE848" s="107"/>
      <c r="BF848" s="220"/>
    </row>
    <row r="849" spans="49:58">
      <c r="AW849" s="107"/>
      <c r="AX849" s="195"/>
      <c r="AY849" s="105"/>
      <c r="AZ849" s="220"/>
      <c r="BA849" s="241"/>
      <c r="BE849" s="107"/>
      <c r="BF849" s="220"/>
    </row>
    <row r="850" spans="49:58">
      <c r="AW850" s="107"/>
      <c r="AX850" s="195"/>
      <c r="AY850" s="105"/>
      <c r="AZ850" s="220"/>
      <c r="BA850" s="241"/>
      <c r="BE850" s="107"/>
      <c r="BF850" s="220"/>
    </row>
    <row r="851" spans="49:58">
      <c r="AW851" s="107"/>
      <c r="AX851" s="195"/>
      <c r="AY851" s="105"/>
      <c r="AZ851" s="220"/>
      <c r="BA851" s="241"/>
      <c r="BE851" s="107"/>
      <c r="BF851" s="220"/>
    </row>
    <row r="852" spans="49:58">
      <c r="AW852" s="107"/>
      <c r="AX852" s="195"/>
      <c r="AY852" s="105"/>
      <c r="AZ852" s="220"/>
      <c r="BA852" s="241"/>
      <c r="BE852" s="107"/>
      <c r="BF852" s="220"/>
    </row>
    <row r="853" spans="49:58">
      <c r="AW853" s="107"/>
      <c r="AX853" s="195"/>
      <c r="AY853" s="105"/>
      <c r="AZ853" s="220"/>
      <c r="BA853" s="241"/>
      <c r="BE853" s="107"/>
      <c r="BF853" s="220"/>
    </row>
    <row r="854" spans="49:58">
      <c r="AW854" s="107"/>
      <c r="AX854" s="195"/>
      <c r="AY854" s="105"/>
      <c r="AZ854" s="220"/>
      <c r="BA854" s="241"/>
      <c r="BE854" s="107"/>
      <c r="BF854" s="220"/>
    </row>
    <row r="855" spans="49:58">
      <c r="AW855" s="107"/>
      <c r="AX855" s="195"/>
      <c r="AY855" s="105"/>
      <c r="AZ855" s="220"/>
      <c r="BA855" s="241"/>
      <c r="BE855" s="107"/>
      <c r="BF855" s="220"/>
    </row>
    <row r="856" spans="49:58">
      <c r="AW856" s="107"/>
      <c r="AX856" s="195"/>
      <c r="AY856" s="105"/>
      <c r="AZ856" s="220"/>
      <c r="BA856" s="241"/>
      <c r="BE856" s="107"/>
      <c r="BF856" s="220"/>
    </row>
    <row r="857" spans="49:58">
      <c r="AW857" s="107"/>
      <c r="AX857" s="195"/>
      <c r="AY857" s="105"/>
      <c r="AZ857" s="220"/>
      <c r="BA857" s="241"/>
      <c r="BE857" s="107"/>
      <c r="BF857" s="220"/>
    </row>
    <row r="858" spans="49:58">
      <c r="AW858" s="107"/>
      <c r="AX858" s="195"/>
      <c r="AY858" s="105"/>
      <c r="AZ858" s="220"/>
      <c r="BA858" s="241"/>
      <c r="BE858" s="107"/>
      <c r="BF858" s="220"/>
    </row>
    <row r="859" spans="49:58">
      <c r="AW859" s="107"/>
      <c r="AX859" s="195"/>
      <c r="AY859" s="105"/>
      <c r="AZ859" s="220"/>
      <c r="BA859" s="241"/>
      <c r="BE859" s="107"/>
      <c r="BF859" s="220"/>
    </row>
    <row r="860" spans="49:58">
      <c r="AW860" s="107"/>
      <c r="AX860" s="195"/>
      <c r="AY860" s="105"/>
      <c r="AZ860" s="220"/>
      <c r="BA860" s="241"/>
      <c r="BE860" s="107"/>
      <c r="BF860" s="220"/>
    </row>
    <row r="861" spans="49:58">
      <c r="AW861" s="107"/>
      <c r="AX861" s="195"/>
      <c r="AY861" s="105"/>
      <c r="AZ861" s="220"/>
      <c r="BA861" s="241"/>
      <c r="BE861" s="107"/>
      <c r="BF861" s="220"/>
    </row>
    <row r="862" spans="49:58">
      <c r="AW862" s="107"/>
      <c r="AX862" s="195"/>
      <c r="AY862" s="105"/>
      <c r="AZ862" s="220"/>
      <c r="BA862" s="241"/>
      <c r="BE862" s="107"/>
      <c r="BF862" s="220"/>
    </row>
    <row r="863" spans="49:58">
      <c r="AW863" s="107"/>
      <c r="AX863" s="195"/>
      <c r="AY863" s="105"/>
      <c r="AZ863" s="220"/>
      <c r="BA863" s="241"/>
      <c r="BE863" s="107"/>
      <c r="BF863" s="220"/>
    </row>
    <row r="864" spans="49:58">
      <c r="AW864" s="107"/>
      <c r="AX864" s="195"/>
      <c r="AY864" s="105"/>
      <c r="AZ864" s="220"/>
      <c r="BA864" s="241"/>
      <c r="BE864" s="107"/>
      <c r="BF864" s="220"/>
    </row>
    <row r="865" spans="49:58">
      <c r="AW865" s="107"/>
      <c r="AX865" s="195"/>
      <c r="AY865" s="105"/>
      <c r="AZ865" s="220"/>
      <c r="BA865" s="241"/>
      <c r="BE865" s="107"/>
      <c r="BF865" s="220"/>
    </row>
    <row r="866" spans="49:58">
      <c r="AW866" s="107"/>
      <c r="AX866" s="195"/>
      <c r="AY866" s="105"/>
      <c r="AZ866" s="220"/>
      <c r="BA866" s="241"/>
      <c r="BE866" s="107"/>
      <c r="BF866" s="220"/>
    </row>
    <row r="867" spans="49:58">
      <c r="AW867" s="107"/>
      <c r="AX867" s="195"/>
      <c r="AY867" s="105"/>
      <c r="AZ867" s="220"/>
      <c r="BA867" s="241"/>
      <c r="BE867" s="107"/>
      <c r="BF867" s="220"/>
    </row>
    <row r="868" spans="49:58">
      <c r="AW868" s="107"/>
      <c r="AX868" s="195"/>
      <c r="AY868" s="105"/>
      <c r="AZ868" s="220"/>
      <c r="BA868" s="241"/>
      <c r="BE868" s="107"/>
      <c r="BF868" s="220"/>
    </row>
    <row r="869" spans="49:58">
      <c r="AW869" s="107"/>
      <c r="AX869" s="195"/>
      <c r="AY869" s="105"/>
      <c r="AZ869" s="220"/>
      <c r="BA869" s="241"/>
      <c r="BE869" s="107"/>
      <c r="BF869" s="220"/>
    </row>
    <row r="870" spans="49:58">
      <c r="AW870" s="107"/>
      <c r="AX870" s="195"/>
      <c r="AY870" s="105"/>
      <c r="AZ870" s="220"/>
      <c r="BA870" s="241"/>
      <c r="BE870" s="107"/>
      <c r="BF870" s="220"/>
    </row>
    <row r="871" spans="49:58">
      <c r="AW871" s="107"/>
      <c r="AX871" s="195"/>
      <c r="AY871" s="105"/>
      <c r="AZ871" s="220"/>
      <c r="BA871" s="241"/>
      <c r="BE871" s="107"/>
      <c r="BF871" s="220"/>
    </row>
    <row r="872" spans="49:58">
      <c r="AW872" s="107"/>
      <c r="AX872" s="195"/>
      <c r="AY872" s="105"/>
      <c r="AZ872" s="220"/>
      <c r="BA872" s="241"/>
      <c r="BE872" s="107"/>
      <c r="BF872" s="220"/>
    </row>
    <row r="873" spans="49:58">
      <c r="AW873" s="107"/>
      <c r="AX873" s="195"/>
      <c r="AY873" s="105"/>
      <c r="AZ873" s="220"/>
      <c r="BA873" s="241"/>
      <c r="BE873" s="107"/>
      <c r="BF873" s="220"/>
    </row>
    <row r="874" spans="49:58">
      <c r="AW874" s="107"/>
      <c r="AX874" s="195"/>
      <c r="AY874" s="105"/>
      <c r="AZ874" s="220"/>
      <c r="BA874" s="241"/>
      <c r="BE874" s="107"/>
      <c r="BF874" s="220"/>
    </row>
    <row r="875" spans="49:58">
      <c r="AW875" s="107"/>
      <c r="AX875" s="195"/>
      <c r="AY875" s="105"/>
      <c r="AZ875" s="220"/>
      <c r="BA875" s="241"/>
      <c r="BE875" s="107"/>
      <c r="BF875" s="220"/>
    </row>
    <row r="876" spans="49:58">
      <c r="AW876" s="107"/>
      <c r="AX876" s="195"/>
      <c r="AY876" s="105"/>
      <c r="AZ876" s="220"/>
      <c r="BA876" s="241"/>
      <c r="BE876" s="107"/>
      <c r="BF876" s="220"/>
    </row>
    <row r="877" spans="49:58">
      <c r="AW877" s="107"/>
      <c r="AX877" s="195"/>
      <c r="AY877" s="105"/>
      <c r="AZ877" s="220"/>
      <c r="BA877" s="241"/>
      <c r="BE877" s="107"/>
      <c r="BF877" s="220"/>
    </row>
    <row r="878" spans="49:58">
      <c r="AW878" s="107"/>
      <c r="AX878" s="195"/>
      <c r="AY878" s="105"/>
      <c r="AZ878" s="220"/>
      <c r="BA878" s="241"/>
      <c r="BE878" s="107"/>
      <c r="BF878" s="220"/>
    </row>
    <row r="879" spans="49:58">
      <c r="AW879" s="107"/>
      <c r="AX879" s="195"/>
      <c r="AY879" s="105"/>
      <c r="AZ879" s="220"/>
      <c r="BA879" s="241"/>
      <c r="BE879" s="107"/>
      <c r="BF879" s="220"/>
    </row>
    <row r="880" spans="49:58">
      <c r="AW880" s="107"/>
      <c r="AX880" s="195"/>
      <c r="AY880" s="105"/>
      <c r="AZ880" s="220"/>
      <c r="BA880" s="241"/>
      <c r="BE880" s="107"/>
      <c r="BF880" s="220"/>
    </row>
    <row r="881" spans="49:58">
      <c r="AW881" s="107"/>
      <c r="AX881" s="195"/>
      <c r="AY881" s="105"/>
      <c r="AZ881" s="220"/>
      <c r="BA881" s="241"/>
      <c r="BE881" s="107"/>
      <c r="BF881" s="220"/>
    </row>
    <row r="882" spans="49:58">
      <c r="AW882" s="107"/>
      <c r="AX882" s="195"/>
      <c r="AY882" s="105"/>
      <c r="AZ882" s="220"/>
      <c r="BA882" s="241"/>
      <c r="BE882" s="107"/>
      <c r="BF882" s="220"/>
    </row>
    <row r="883" spans="49:58">
      <c r="AW883" s="107"/>
      <c r="AX883" s="195"/>
      <c r="AY883" s="105"/>
      <c r="AZ883" s="220"/>
      <c r="BA883" s="241"/>
      <c r="BE883" s="107"/>
      <c r="BF883" s="220"/>
    </row>
    <row r="884" spans="49:58">
      <c r="AW884" s="107"/>
      <c r="AX884" s="195"/>
      <c r="AY884" s="105"/>
      <c r="AZ884" s="220"/>
      <c r="BA884" s="241"/>
      <c r="BE884" s="107"/>
      <c r="BF884" s="220"/>
    </row>
    <row r="885" spans="49:58">
      <c r="AW885" s="107"/>
      <c r="AX885" s="195"/>
      <c r="AY885" s="105"/>
      <c r="AZ885" s="220"/>
      <c r="BA885" s="241"/>
      <c r="BE885" s="107"/>
      <c r="BF885" s="220"/>
    </row>
    <row r="886" spans="49:58">
      <c r="AW886" s="107"/>
      <c r="AX886" s="195"/>
      <c r="AY886" s="105"/>
      <c r="AZ886" s="220"/>
      <c r="BA886" s="241"/>
      <c r="BE886" s="107"/>
      <c r="BF886" s="220"/>
    </row>
    <row r="887" spans="49:58">
      <c r="AW887" s="107"/>
      <c r="AX887" s="195"/>
      <c r="AY887" s="105"/>
      <c r="AZ887" s="220"/>
      <c r="BA887" s="241"/>
      <c r="BE887" s="107"/>
      <c r="BF887" s="220"/>
    </row>
    <row r="888" spans="49:58">
      <c r="AW888" s="107"/>
      <c r="AX888" s="195"/>
      <c r="AY888" s="105"/>
      <c r="AZ888" s="220"/>
      <c r="BA888" s="241"/>
      <c r="BE888" s="107"/>
      <c r="BF888" s="220"/>
    </row>
    <row r="889" spans="49:58">
      <c r="AW889" s="107"/>
      <c r="AX889" s="195"/>
      <c r="AY889" s="105"/>
      <c r="AZ889" s="220"/>
      <c r="BA889" s="241"/>
      <c r="BE889" s="107"/>
      <c r="BF889" s="220"/>
    </row>
    <row r="890" spans="49:58">
      <c r="AW890" s="107"/>
      <c r="AX890" s="195"/>
      <c r="AY890" s="105"/>
      <c r="AZ890" s="220"/>
      <c r="BA890" s="241"/>
      <c r="BE890" s="107"/>
      <c r="BF890" s="220"/>
    </row>
    <row r="891" spans="49:58">
      <c r="AW891" s="107"/>
      <c r="AX891" s="195"/>
      <c r="AY891" s="105"/>
      <c r="AZ891" s="220"/>
      <c r="BA891" s="241"/>
      <c r="BE891" s="107"/>
      <c r="BF891" s="220"/>
    </row>
    <row r="892" spans="49:58">
      <c r="AW892" s="107"/>
      <c r="AX892" s="195"/>
      <c r="AY892" s="105"/>
      <c r="AZ892" s="220"/>
      <c r="BA892" s="241"/>
      <c r="BE892" s="107"/>
      <c r="BF892" s="220"/>
    </row>
    <row r="893" spans="49:58">
      <c r="AW893" s="107"/>
      <c r="AX893" s="195"/>
      <c r="AY893" s="105"/>
      <c r="AZ893" s="220"/>
      <c r="BA893" s="241"/>
      <c r="BE893" s="107"/>
      <c r="BF893" s="220"/>
    </row>
    <row r="894" spans="49:58">
      <c r="AW894" s="107"/>
      <c r="AX894" s="195"/>
      <c r="AY894" s="105"/>
      <c r="AZ894" s="220"/>
      <c r="BA894" s="241"/>
      <c r="BE894" s="107"/>
      <c r="BF894" s="220"/>
    </row>
    <row r="895" spans="49:58">
      <c r="AW895" s="107"/>
      <c r="AX895" s="195"/>
      <c r="AY895" s="105"/>
      <c r="AZ895" s="220"/>
      <c r="BA895" s="241"/>
      <c r="BE895" s="107"/>
      <c r="BF895" s="220"/>
    </row>
    <row r="896" spans="49:58">
      <c r="AW896" s="107"/>
      <c r="AX896" s="195"/>
      <c r="AY896" s="105"/>
      <c r="AZ896" s="220"/>
      <c r="BA896" s="241"/>
      <c r="BE896" s="107"/>
      <c r="BF896" s="220"/>
    </row>
    <row r="897" spans="49:58">
      <c r="AW897" s="107"/>
      <c r="AX897" s="195"/>
      <c r="AY897" s="105"/>
      <c r="AZ897" s="220"/>
      <c r="BA897" s="241"/>
      <c r="BE897" s="107"/>
      <c r="BF897" s="220"/>
    </row>
    <row r="898" spans="49:58">
      <c r="AW898" s="107"/>
      <c r="AX898" s="195"/>
      <c r="AY898" s="105"/>
      <c r="AZ898" s="220"/>
      <c r="BA898" s="241"/>
      <c r="BE898" s="107"/>
      <c r="BF898" s="220"/>
    </row>
    <row r="899" spans="49:58">
      <c r="AW899" s="107"/>
      <c r="AX899" s="195"/>
      <c r="AY899" s="105"/>
      <c r="AZ899" s="220"/>
      <c r="BA899" s="241"/>
      <c r="BE899" s="107"/>
      <c r="BF899" s="220"/>
    </row>
    <row r="900" spans="49:58">
      <c r="AW900" s="107"/>
      <c r="AX900" s="195"/>
      <c r="AY900" s="105"/>
      <c r="AZ900" s="220"/>
      <c r="BA900" s="241"/>
      <c r="BE900" s="107"/>
      <c r="BF900" s="220"/>
    </row>
    <row r="901" spans="49:58">
      <c r="AW901" s="107"/>
      <c r="AX901" s="195"/>
      <c r="AY901" s="105"/>
      <c r="AZ901" s="220"/>
      <c r="BA901" s="241"/>
      <c r="BE901" s="107"/>
      <c r="BF901" s="220"/>
    </row>
    <row r="902" spans="49:58">
      <c r="AW902" s="107"/>
      <c r="AX902" s="195"/>
      <c r="AY902" s="105"/>
      <c r="AZ902" s="220"/>
      <c r="BA902" s="241"/>
      <c r="BE902" s="107"/>
      <c r="BF902" s="220"/>
    </row>
    <row r="903" spans="49:58">
      <c r="AW903" s="107"/>
      <c r="AX903" s="195"/>
      <c r="AY903" s="105"/>
      <c r="AZ903" s="220"/>
      <c r="BA903" s="241"/>
      <c r="BE903" s="107"/>
      <c r="BF903" s="220"/>
    </row>
    <row r="904" spans="49:58">
      <c r="AW904" s="107"/>
      <c r="AX904" s="195"/>
      <c r="AY904" s="105"/>
      <c r="AZ904" s="220"/>
      <c r="BA904" s="241"/>
      <c r="BE904" s="107"/>
      <c r="BF904" s="220"/>
    </row>
    <row r="905" spans="49:58">
      <c r="AW905" s="107"/>
      <c r="AX905" s="195"/>
      <c r="AY905" s="105"/>
      <c r="AZ905" s="220"/>
      <c r="BA905" s="241"/>
      <c r="BE905" s="107"/>
      <c r="BF905" s="220"/>
    </row>
    <row r="906" spans="49:58">
      <c r="AW906" s="107"/>
      <c r="AX906" s="195"/>
      <c r="AY906" s="105"/>
      <c r="AZ906" s="220"/>
      <c r="BA906" s="241"/>
      <c r="BE906" s="107"/>
      <c r="BF906" s="220"/>
    </row>
    <row r="907" spans="49:58">
      <c r="AW907" s="107"/>
      <c r="AX907" s="195"/>
      <c r="AY907" s="105"/>
      <c r="AZ907" s="220"/>
      <c r="BA907" s="241"/>
      <c r="BE907" s="107"/>
      <c r="BF907" s="220"/>
    </row>
    <row r="908" spans="49:58">
      <c r="AW908" s="107"/>
      <c r="AX908" s="195"/>
      <c r="AY908" s="105"/>
      <c r="AZ908" s="220"/>
      <c r="BA908" s="241"/>
      <c r="BE908" s="107"/>
      <c r="BF908" s="220"/>
    </row>
    <row r="909" spans="49:58">
      <c r="AW909" s="107"/>
      <c r="AX909" s="195"/>
      <c r="AY909" s="105"/>
      <c r="AZ909" s="220"/>
      <c r="BA909" s="241"/>
      <c r="BE909" s="107"/>
      <c r="BF909" s="220"/>
    </row>
    <row r="910" spans="49:58">
      <c r="AW910" s="107"/>
      <c r="AX910" s="195"/>
      <c r="AY910" s="105"/>
      <c r="AZ910" s="220"/>
      <c r="BA910" s="241"/>
      <c r="BE910" s="107"/>
      <c r="BF910" s="220"/>
    </row>
    <row r="911" spans="49:58">
      <c r="AW911" s="107"/>
      <c r="AX911" s="195"/>
      <c r="AY911" s="105"/>
      <c r="AZ911" s="220"/>
      <c r="BA911" s="241"/>
      <c r="BE911" s="107"/>
      <c r="BF911" s="220"/>
    </row>
    <row r="912" spans="49:58">
      <c r="AW912" s="107"/>
      <c r="AX912" s="195"/>
      <c r="AY912" s="105"/>
      <c r="AZ912" s="220"/>
      <c r="BA912" s="241"/>
      <c r="BE912" s="107"/>
      <c r="BF912" s="220"/>
    </row>
    <row r="913" spans="49:58">
      <c r="AW913" s="107"/>
      <c r="AX913" s="195"/>
      <c r="AY913" s="105"/>
      <c r="AZ913" s="220"/>
      <c r="BA913" s="241"/>
      <c r="BE913" s="107"/>
      <c r="BF913" s="220"/>
    </row>
    <row r="914" spans="49:58">
      <c r="AW914" s="107"/>
      <c r="AX914" s="195"/>
      <c r="AY914" s="105"/>
      <c r="AZ914" s="220"/>
      <c r="BA914" s="241"/>
      <c r="BE914" s="107"/>
      <c r="BF914" s="220"/>
    </row>
    <row r="915" spans="49:58">
      <c r="AW915" s="107"/>
      <c r="AX915" s="195"/>
      <c r="AY915" s="105"/>
      <c r="AZ915" s="220"/>
      <c r="BA915" s="241"/>
      <c r="BE915" s="107"/>
      <c r="BF915" s="220"/>
    </row>
    <row r="916" spans="49:58">
      <c r="AW916" s="107"/>
      <c r="AX916" s="195"/>
      <c r="AY916" s="105"/>
      <c r="AZ916" s="220"/>
      <c r="BA916" s="241"/>
      <c r="BE916" s="107"/>
      <c r="BF916" s="220"/>
    </row>
    <row r="917" spans="49:58">
      <c r="AW917" s="107"/>
      <c r="AX917" s="195"/>
      <c r="AY917" s="105"/>
      <c r="AZ917" s="220"/>
      <c r="BA917" s="241"/>
      <c r="BE917" s="107"/>
      <c r="BF917" s="220"/>
    </row>
    <row r="918" spans="49:58">
      <c r="AW918" s="107"/>
      <c r="AX918" s="195"/>
      <c r="AY918" s="105"/>
      <c r="AZ918" s="220"/>
      <c r="BA918" s="241"/>
      <c r="BE918" s="107"/>
      <c r="BF918" s="220"/>
    </row>
    <row r="919" spans="49:58">
      <c r="AW919" s="107"/>
      <c r="AX919" s="195"/>
      <c r="AY919" s="105"/>
      <c r="AZ919" s="220"/>
      <c r="BA919" s="241"/>
      <c r="BE919" s="107"/>
      <c r="BF919" s="220"/>
    </row>
    <row r="920" spans="49:58">
      <c r="AW920" s="107"/>
      <c r="AX920" s="195"/>
      <c r="AY920" s="105"/>
      <c r="AZ920" s="220"/>
      <c r="BA920" s="241"/>
      <c r="BE920" s="107"/>
      <c r="BF920" s="220"/>
    </row>
    <row r="921" spans="49:58">
      <c r="AW921" s="107"/>
      <c r="AX921" s="195"/>
      <c r="AY921" s="105"/>
      <c r="AZ921" s="220"/>
      <c r="BA921" s="241"/>
      <c r="BE921" s="107"/>
      <c r="BF921" s="220"/>
    </row>
    <row r="922" spans="49:58">
      <c r="AW922" s="107"/>
      <c r="AX922" s="195"/>
      <c r="AY922" s="105"/>
      <c r="AZ922" s="220"/>
      <c r="BA922" s="241"/>
      <c r="BE922" s="107"/>
      <c r="BF922" s="220"/>
    </row>
    <row r="923" spans="49:58">
      <c r="AW923" s="107"/>
      <c r="AX923" s="195"/>
      <c r="AY923" s="105"/>
      <c r="AZ923" s="220"/>
      <c r="BA923" s="241"/>
      <c r="BE923" s="107"/>
      <c r="BF923" s="220"/>
    </row>
    <row r="924" spans="49:58">
      <c r="AW924" s="107"/>
      <c r="AX924" s="195"/>
      <c r="AY924" s="105"/>
      <c r="AZ924" s="220"/>
      <c r="BA924" s="241"/>
      <c r="BE924" s="107"/>
      <c r="BF924" s="220"/>
    </row>
    <row r="925" spans="49:58">
      <c r="AW925" s="107"/>
      <c r="AX925" s="195"/>
      <c r="AY925" s="105"/>
      <c r="AZ925" s="220"/>
      <c r="BA925" s="241"/>
      <c r="BE925" s="107"/>
      <c r="BF925" s="220"/>
    </row>
    <row r="926" spans="49:58">
      <c r="AW926" s="107"/>
      <c r="AX926" s="195"/>
      <c r="AY926" s="105"/>
      <c r="AZ926" s="220"/>
      <c r="BA926" s="241"/>
      <c r="BE926" s="107"/>
      <c r="BF926" s="220"/>
    </row>
    <row r="927" spans="49:58">
      <c r="AW927" s="107"/>
      <c r="AX927" s="195"/>
      <c r="AY927" s="105"/>
      <c r="AZ927" s="220"/>
      <c r="BA927" s="241"/>
      <c r="BE927" s="107"/>
      <c r="BF927" s="220"/>
    </row>
    <row r="928" spans="49:58">
      <c r="AW928" s="107"/>
      <c r="AX928" s="195"/>
      <c r="AY928" s="105"/>
      <c r="AZ928" s="220"/>
      <c r="BA928" s="241"/>
      <c r="BE928" s="107"/>
      <c r="BF928" s="220"/>
    </row>
    <row r="929" spans="49:58">
      <c r="AW929" s="107"/>
      <c r="AX929" s="195"/>
      <c r="AY929" s="105"/>
      <c r="AZ929" s="220"/>
      <c r="BA929" s="241"/>
      <c r="BE929" s="107"/>
      <c r="BF929" s="220"/>
    </row>
    <row r="930" spans="49:58">
      <c r="AW930" s="107"/>
      <c r="AX930" s="195"/>
      <c r="AY930" s="105"/>
      <c r="AZ930" s="220"/>
      <c r="BA930" s="241"/>
      <c r="BE930" s="107"/>
      <c r="BF930" s="220"/>
    </row>
    <row r="931" spans="49:58">
      <c r="AW931" s="107"/>
      <c r="AX931" s="195"/>
      <c r="AY931" s="105"/>
      <c r="AZ931" s="220"/>
      <c r="BA931" s="241"/>
      <c r="BE931" s="107"/>
      <c r="BF931" s="220"/>
    </row>
    <row r="932" spans="49:58">
      <c r="AW932" s="107"/>
      <c r="AX932" s="195"/>
      <c r="AY932" s="105"/>
      <c r="AZ932" s="220"/>
      <c r="BA932" s="241"/>
      <c r="BE932" s="107"/>
      <c r="BF932" s="220"/>
    </row>
    <row r="933" spans="49:58">
      <c r="AW933" s="107"/>
      <c r="AX933" s="195"/>
      <c r="AY933" s="105"/>
      <c r="AZ933" s="220"/>
      <c r="BA933" s="241"/>
      <c r="BE933" s="107"/>
      <c r="BF933" s="220"/>
    </row>
    <row r="934" spans="49:58">
      <c r="AW934" s="107"/>
      <c r="AX934" s="195"/>
      <c r="AY934" s="105"/>
      <c r="AZ934" s="220"/>
      <c r="BA934" s="241"/>
      <c r="BE934" s="107"/>
      <c r="BF934" s="220"/>
    </row>
    <row r="935" spans="49:58">
      <c r="AW935" s="107"/>
      <c r="AX935" s="195"/>
      <c r="AY935" s="105"/>
      <c r="AZ935" s="220"/>
      <c r="BA935" s="241"/>
      <c r="BE935" s="107"/>
      <c r="BF935" s="220"/>
    </row>
    <row r="936" spans="49:58">
      <c r="AW936" s="107"/>
      <c r="AX936" s="195"/>
      <c r="AY936" s="105"/>
      <c r="AZ936" s="220"/>
      <c r="BA936" s="241"/>
      <c r="BE936" s="107"/>
      <c r="BF936" s="220"/>
    </row>
    <row r="937" spans="49:58">
      <c r="AW937" s="107"/>
      <c r="AX937" s="195"/>
      <c r="AY937" s="105"/>
      <c r="AZ937" s="220"/>
      <c r="BA937" s="241"/>
      <c r="BE937" s="107"/>
      <c r="BF937" s="220"/>
    </row>
    <row r="938" spans="49:58">
      <c r="AW938" s="107"/>
      <c r="AX938" s="195"/>
      <c r="AY938" s="105"/>
      <c r="AZ938" s="220"/>
      <c r="BA938" s="241"/>
      <c r="BE938" s="107"/>
      <c r="BF938" s="220"/>
    </row>
    <row r="939" spans="49:58">
      <c r="AW939" s="107"/>
      <c r="AX939" s="195"/>
      <c r="AY939" s="105"/>
      <c r="AZ939" s="220"/>
      <c r="BA939" s="241"/>
      <c r="BE939" s="107"/>
      <c r="BF939" s="220"/>
    </row>
    <row r="940" spans="49:58">
      <c r="AW940" s="107"/>
      <c r="AX940" s="195"/>
      <c r="AY940" s="105"/>
      <c r="AZ940" s="220"/>
      <c r="BA940" s="241"/>
      <c r="BE940" s="107"/>
      <c r="BF940" s="220"/>
    </row>
    <row r="941" spans="49:58">
      <c r="AW941" s="107"/>
      <c r="AX941" s="195"/>
      <c r="AY941" s="105"/>
      <c r="AZ941" s="220"/>
      <c r="BA941" s="241"/>
      <c r="BE941" s="107"/>
      <c r="BF941" s="220"/>
    </row>
    <row r="942" spans="49:58">
      <c r="AW942" s="107"/>
      <c r="AX942" s="195"/>
      <c r="AY942" s="105"/>
      <c r="AZ942" s="220"/>
      <c r="BA942" s="241"/>
      <c r="BE942" s="107"/>
      <c r="BF942" s="220"/>
    </row>
    <row r="943" spans="49:58">
      <c r="AW943" s="107"/>
      <c r="AX943" s="195"/>
      <c r="AY943" s="105"/>
      <c r="AZ943" s="220"/>
      <c r="BA943" s="241"/>
      <c r="BE943" s="107"/>
      <c r="BF943" s="220"/>
    </row>
    <row r="944" spans="49:58">
      <c r="AW944" s="107"/>
      <c r="AX944" s="195"/>
      <c r="AY944" s="105"/>
      <c r="AZ944" s="220"/>
      <c r="BA944" s="241"/>
      <c r="BE944" s="107"/>
      <c r="BF944" s="220"/>
    </row>
    <row r="945" spans="49:58">
      <c r="AW945" s="107"/>
      <c r="AX945" s="195"/>
      <c r="AY945" s="105"/>
      <c r="AZ945" s="220"/>
      <c r="BA945" s="241"/>
      <c r="BE945" s="107"/>
      <c r="BF945" s="220"/>
    </row>
    <row r="946" spans="49:58">
      <c r="AW946" s="107"/>
      <c r="AX946" s="195"/>
      <c r="AY946" s="105"/>
      <c r="AZ946" s="220"/>
      <c r="BA946" s="241"/>
      <c r="BE946" s="107"/>
      <c r="BF946" s="220"/>
    </row>
    <row r="947" spans="49:58">
      <c r="AW947" s="107"/>
      <c r="AX947" s="195"/>
      <c r="AY947" s="105"/>
      <c r="AZ947" s="220"/>
      <c r="BA947" s="241"/>
      <c r="BE947" s="107"/>
      <c r="BF947" s="220"/>
    </row>
    <row r="948" spans="49:58">
      <c r="AW948" s="107"/>
      <c r="AX948" s="195"/>
      <c r="AY948" s="105"/>
      <c r="AZ948" s="220"/>
      <c r="BA948" s="241"/>
      <c r="BE948" s="107"/>
      <c r="BF948" s="220"/>
    </row>
    <row r="949" spans="49:58">
      <c r="AW949" s="107"/>
      <c r="AX949" s="195"/>
      <c r="AY949" s="105"/>
      <c r="AZ949" s="220"/>
      <c r="BA949" s="241"/>
      <c r="BE949" s="107"/>
      <c r="BF949" s="220"/>
    </row>
    <row r="950" spans="49:58">
      <c r="AW950" s="107"/>
      <c r="AX950" s="195"/>
      <c r="AY950" s="105"/>
      <c r="AZ950" s="220"/>
      <c r="BA950" s="241"/>
      <c r="BE950" s="107"/>
      <c r="BF950" s="220"/>
    </row>
    <row r="951" spans="49:58">
      <c r="AW951" s="107"/>
      <c r="AX951" s="195"/>
      <c r="AY951" s="105"/>
      <c r="AZ951" s="220"/>
      <c r="BA951" s="241"/>
      <c r="BE951" s="107"/>
      <c r="BF951" s="220"/>
    </row>
    <row r="952" spans="49:58">
      <c r="AW952" s="107"/>
      <c r="AX952" s="195"/>
      <c r="AY952" s="105"/>
      <c r="AZ952" s="220"/>
      <c r="BA952" s="241"/>
      <c r="BE952" s="107"/>
      <c r="BF952" s="220"/>
    </row>
    <row r="953" spans="49:58">
      <c r="AW953" s="107"/>
      <c r="AX953" s="195"/>
      <c r="AY953" s="105"/>
      <c r="AZ953" s="220"/>
      <c r="BA953" s="241"/>
      <c r="BE953" s="107"/>
      <c r="BF953" s="220"/>
    </row>
    <row r="954" spans="49:58">
      <c r="AW954" s="107"/>
      <c r="AX954" s="195"/>
      <c r="AY954" s="105"/>
      <c r="AZ954" s="220"/>
      <c r="BA954" s="241"/>
      <c r="BE954" s="107"/>
      <c r="BF954" s="220"/>
    </row>
    <row r="955" spans="49:58">
      <c r="AW955" s="107"/>
      <c r="AX955" s="195"/>
      <c r="AY955" s="105"/>
      <c r="AZ955" s="220"/>
      <c r="BA955" s="241"/>
      <c r="BE955" s="107"/>
      <c r="BF955" s="220"/>
    </row>
    <row r="956" spans="49:58">
      <c r="AW956" s="107"/>
      <c r="AX956" s="195"/>
      <c r="AY956" s="105"/>
      <c r="AZ956" s="220"/>
      <c r="BA956" s="241"/>
      <c r="BE956" s="107"/>
      <c r="BF956" s="220"/>
    </row>
    <row r="957" spans="49:58">
      <c r="AW957" s="107"/>
      <c r="AX957" s="195"/>
      <c r="AY957" s="105"/>
      <c r="AZ957" s="220"/>
      <c r="BA957" s="241"/>
      <c r="BE957" s="107"/>
      <c r="BF957" s="220"/>
    </row>
    <row r="958" spans="49:58">
      <c r="AW958" s="107"/>
      <c r="AX958" s="195"/>
      <c r="AY958" s="105"/>
      <c r="AZ958" s="220"/>
      <c r="BA958" s="241"/>
      <c r="BE958" s="107"/>
      <c r="BF958" s="220"/>
    </row>
    <row r="959" spans="49:58">
      <c r="AW959" s="107"/>
      <c r="AX959" s="195"/>
      <c r="AY959" s="105"/>
      <c r="AZ959" s="220"/>
      <c r="BA959" s="241"/>
      <c r="BE959" s="107"/>
      <c r="BF959" s="220"/>
    </row>
    <row r="960" spans="49:58">
      <c r="AW960" s="107"/>
      <c r="AX960" s="195"/>
      <c r="AY960" s="105"/>
      <c r="AZ960" s="220"/>
      <c r="BA960" s="241"/>
      <c r="BE960" s="107"/>
      <c r="BF960" s="220"/>
    </row>
    <row r="961" spans="49:58">
      <c r="AW961" s="107"/>
      <c r="AX961" s="195"/>
      <c r="AY961" s="105"/>
      <c r="AZ961" s="220"/>
      <c r="BA961" s="241"/>
      <c r="BE961" s="107"/>
      <c r="BF961" s="220"/>
    </row>
    <row r="962" spans="49:58">
      <c r="AW962" s="107"/>
      <c r="AX962" s="195"/>
      <c r="AY962" s="105"/>
      <c r="AZ962" s="220"/>
      <c r="BA962" s="241"/>
      <c r="BE962" s="107"/>
      <c r="BF962" s="220"/>
    </row>
    <row r="963" spans="49:58">
      <c r="AW963" s="107"/>
      <c r="AX963" s="195"/>
      <c r="AY963" s="105"/>
      <c r="AZ963" s="220"/>
      <c r="BA963" s="241"/>
      <c r="BE963" s="107"/>
      <c r="BF963" s="220"/>
    </row>
    <row r="964" spans="49:58">
      <c r="AW964" s="107"/>
      <c r="AX964" s="195"/>
      <c r="AY964" s="105"/>
      <c r="AZ964" s="220"/>
      <c r="BA964" s="241"/>
      <c r="BE964" s="107"/>
      <c r="BF964" s="220"/>
    </row>
    <row r="965" spans="49:58">
      <c r="AW965" s="107"/>
      <c r="AX965" s="195"/>
      <c r="AY965" s="105"/>
      <c r="AZ965" s="220"/>
      <c r="BA965" s="241"/>
      <c r="BE965" s="107"/>
      <c r="BF965" s="220"/>
    </row>
    <row r="966" spans="49:58">
      <c r="AW966" s="107"/>
      <c r="AX966" s="195"/>
      <c r="AY966" s="105"/>
      <c r="AZ966" s="220"/>
      <c r="BA966" s="241"/>
      <c r="BE966" s="107"/>
      <c r="BF966" s="220"/>
    </row>
    <row r="967" spans="49:58">
      <c r="AW967" s="107"/>
      <c r="AX967" s="195"/>
      <c r="AY967" s="105"/>
      <c r="AZ967" s="220"/>
      <c r="BA967" s="241"/>
      <c r="BE967" s="107"/>
      <c r="BF967" s="220"/>
    </row>
    <row r="968" spans="49:58">
      <c r="AW968" s="107"/>
      <c r="AX968" s="195"/>
      <c r="AY968" s="105"/>
      <c r="AZ968" s="220"/>
      <c r="BA968" s="241"/>
      <c r="BE968" s="107"/>
      <c r="BF968" s="220"/>
    </row>
    <row r="969" spans="49:58">
      <c r="AW969" s="107"/>
      <c r="AX969" s="195"/>
      <c r="AY969" s="105"/>
      <c r="AZ969" s="220"/>
      <c r="BA969" s="241"/>
      <c r="BE969" s="107"/>
      <c r="BF969" s="220"/>
    </row>
    <row r="970" spans="49:58">
      <c r="AW970" s="107"/>
      <c r="AX970" s="195"/>
      <c r="AY970" s="105"/>
      <c r="AZ970" s="220"/>
      <c r="BA970" s="241"/>
      <c r="BE970" s="107"/>
      <c r="BF970" s="220"/>
    </row>
    <row r="971" spans="49:58">
      <c r="AW971" s="107"/>
      <c r="AX971" s="195"/>
      <c r="AY971" s="105"/>
      <c r="AZ971" s="220"/>
      <c r="BA971" s="241"/>
      <c r="BE971" s="107"/>
      <c r="BF971" s="220"/>
    </row>
    <row r="972" spans="49:58">
      <c r="AW972" s="107"/>
      <c r="AX972" s="195"/>
      <c r="AY972" s="105"/>
      <c r="AZ972" s="220"/>
      <c r="BA972" s="241"/>
      <c r="BE972" s="107"/>
      <c r="BF972" s="220"/>
    </row>
    <row r="973" spans="49:58">
      <c r="AW973" s="107"/>
      <c r="AX973" s="195"/>
      <c r="AY973" s="105"/>
      <c r="AZ973" s="220"/>
      <c r="BA973" s="241"/>
      <c r="BE973" s="107"/>
      <c r="BF973" s="220"/>
    </row>
    <row r="974" spans="49:58">
      <c r="AW974" s="107"/>
      <c r="AX974" s="195"/>
      <c r="AY974" s="105"/>
      <c r="AZ974" s="220"/>
      <c r="BA974" s="241"/>
      <c r="BE974" s="107"/>
      <c r="BF974" s="220"/>
    </row>
    <row r="975" spans="49:58">
      <c r="AW975" s="107"/>
      <c r="AX975" s="195"/>
      <c r="AY975" s="105"/>
      <c r="AZ975" s="220"/>
      <c r="BA975" s="241"/>
      <c r="BE975" s="107"/>
      <c r="BF975" s="220"/>
    </row>
    <row r="976" spans="49:58">
      <c r="AW976" s="107"/>
      <c r="AX976" s="195"/>
      <c r="AY976" s="105"/>
      <c r="AZ976" s="220"/>
      <c r="BA976" s="241"/>
      <c r="BE976" s="107"/>
      <c r="BF976" s="220"/>
    </row>
    <row r="977" spans="49:58">
      <c r="AW977" s="107"/>
      <c r="AX977" s="195"/>
      <c r="AY977" s="105"/>
      <c r="AZ977" s="220"/>
      <c r="BA977" s="241"/>
      <c r="BE977" s="107"/>
      <c r="BF977" s="220"/>
    </row>
    <row r="978" spans="49:58">
      <c r="AW978" s="107"/>
      <c r="AX978" s="195"/>
      <c r="AY978" s="105"/>
      <c r="AZ978" s="220"/>
      <c r="BA978" s="241"/>
      <c r="BE978" s="107"/>
      <c r="BF978" s="220"/>
    </row>
    <row r="979" spans="49:58">
      <c r="AW979" s="107"/>
      <c r="AX979" s="195"/>
      <c r="AY979" s="105"/>
      <c r="AZ979" s="220"/>
      <c r="BA979" s="241"/>
      <c r="BE979" s="107"/>
      <c r="BF979" s="220"/>
    </row>
    <row r="980" spans="49:58">
      <c r="AW980" s="107"/>
      <c r="AX980" s="195"/>
      <c r="AY980" s="105"/>
      <c r="AZ980" s="220"/>
      <c r="BA980" s="241"/>
      <c r="BE980" s="107"/>
      <c r="BF980" s="220"/>
    </row>
    <row r="981" spans="49:58">
      <c r="AW981" s="107"/>
      <c r="AX981" s="195"/>
      <c r="AY981" s="105"/>
      <c r="AZ981" s="220"/>
      <c r="BA981" s="241"/>
      <c r="BE981" s="107"/>
      <c r="BF981" s="220"/>
    </row>
    <row r="982" spans="49:58">
      <c r="AW982" s="107"/>
      <c r="AX982" s="195"/>
      <c r="AY982" s="105"/>
      <c r="AZ982" s="220"/>
      <c r="BA982" s="241"/>
      <c r="BE982" s="107"/>
      <c r="BF982" s="220"/>
    </row>
    <row r="983" spans="49:58">
      <c r="AW983" s="107"/>
      <c r="AX983" s="195"/>
      <c r="AY983" s="105"/>
      <c r="AZ983" s="220"/>
      <c r="BA983" s="241"/>
      <c r="BE983" s="107"/>
      <c r="BF983" s="220"/>
    </row>
    <row r="984" spans="49:58">
      <c r="AW984" s="107"/>
      <c r="AX984" s="195"/>
      <c r="AY984" s="105"/>
      <c r="AZ984" s="220"/>
      <c r="BA984" s="241"/>
      <c r="BE984" s="107"/>
      <c r="BF984" s="220"/>
    </row>
    <row r="985" spans="49:58">
      <c r="AW985" s="107"/>
      <c r="AX985" s="195"/>
      <c r="AY985" s="105"/>
      <c r="AZ985" s="220"/>
      <c r="BA985" s="241"/>
      <c r="BE985" s="107"/>
      <c r="BF985" s="220"/>
    </row>
    <row r="986" spans="49:58">
      <c r="AW986" s="107"/>
      <c r="AX986" s="195"/>
      <c r="AY986" s="105"/>
      <c r="AZ986" s="220"/>
      <c r="BA986" s="241"/>
      <c r="BE986" s="107"/>
      <c r="BF986" s="220"/>
    </row>
    <row r="987" spans="49:58">
      <c r="AW987" s="107"/>
      <c r="AX987" s="195"/>
      <c r="AY987" s="105"/>
      <c r="AZ987" s="220"/>
      <c r="BA987" s="241"/>
      <c r="BE987" s="107"/>
      <c r="BF987" s="220"/>
    </row>
    <row r="988" spans="49:58">
      <c r="AW988" s="107"/>
      <c r="AX988" s="195"/>
      <c r="AY988" s="105"/>
      <c r="AZ988" s="220"/>
      <c r="BA988" s="241"/>
      <c r="BE988" s="107"/>
      <c r="BF988" s="220"/>
    </row>
    <row r="989" spans="49:58">
      <c r="AW989" s="107"/>
      <c r="AX989" s="195"/>
      <c r="AY989" s="105"/>
      <c r="AZ989" s="220"/>
      <c r="BA989" s="241"/>
      <c r="BE989" s="107"/>
      <c r="BF989" s="220"/>
    </row>
    <row r="990" spans="49:58">
      <c r="AW990" s="107"/>
      <c r="AX990" s="195"/>
      <c r="AY990" s="105"/>
      <c r="AZ990" s="220"/>
      <c r="BA990" s="241"/>
      <c r="BE990" s="107"/>
      <c r="BF990" s="220"/>
    </row>
    <row r="991" spans="49:58">
      <c r="AW991" s="107"/>
      <c r="AX991" s="195"/>
      <c r="AY991" s="105"/>
      <c r="AZ991" s="220"/>
      <c r="BA991" s="241"/>
      <c r="BE991" s="107"/>
      <c r="BF991" s="220"/>
    </row>
    <row r="992" spans="49:58">
      <c r="AW992" s="107"/>
      <c r="AX992" s="195"/>
      <c r="AY992" s="105"/>
      <c r="AZ992" s="220"/>
      <c r="BA992" s="241"/>
      <c r="BE992" s="107"/>
      <c r="BF992" s="220"/>
    </row>
    <row r="993" spans="49:58">
      <c r="AW993" s="107"/>
      <c r="AX993" s="195"/>
      <c r="AY993" s="105"/>
      <c r="AZ993" s="220"/>
      <c r="BA993" s="241"/>
      <c r="BE993" s="107"/>
      <c r="BF993" s="220"/>
    </row>
    <row r="994" spans="49:58">
      <c r="AW994" s="107"/>
      <c r="AX994" s="195"/>
      <c r="AY994" s="105"/>
      <c r="AZ994" s="220"/>
      <c r="BA994" s="241"/>
      <c r="BE994" s="107"/>
      <c r="BF994" s="220"/>
    </row>
    <row r="995" spans="49:58">
      <c r="AW995" s="107"/>
      <c r="AX995" s="195"/>
      <c r="AY995" s="105"/>
      <c r="AZ995" s="220"/>
      <c r="BA995" s="241"/>
      <c r="BE995" s="107"/>
      <c r="BF995" s="220"/>
    </row>
    <row r="996" spans="49:58">
      <c r="AW996" s="107"/>
      <c r="AX996" s="195"/>
      <c r="AY996" s="105"/>
      <c r="AZ996" s="220"/>
      <c r="BA996" s="241"/>
      <c r="BE996" s="107"/>
      <c r="BF996" s="220"/>
    </row>
    <row r="997" spans="49:58">
      <c r="AW997" s="107"/>
      <c r="AX997" s="195"/>
      <c r="AY997" s="105"/>
      <c r="AZ997" s="220"/>
      <c r="BA997" s="241"/>
      <c r="BE997" s="107"/>
      <c r="BF997" s="220"/>
    </row>
    <row r="998" spans="49:58">
      <c r="AW998" s="107"/>
      <c r="AX998" s="195"/>
      <c r="AY998" s="105"/>
      <c r="AZ998" s="220"/>
      <c r="BA998" s="241"/>
      <c r="BE998" s="107"/>
      <c r="BF998" s="220"/>
    </row>
    <row r="999" spans="49:58">
      <c r="AW999" s="107"/>
      <c r="AX999" s="195"/>
      <c r="AY999" s="105"/>
      <c r="AZ999" s="220"/>
      <c r="BA999" s="241"/>
      <c r="BE999" s="107"/>
      <c r="BF999" s="220"/>
    </row>
    <row r="1000" spans="49:58">
      <c r="AW1000" s="107"/>
      <c r="AX1000" s="195"/>
      <c r="AY1000" s="105"/>
      <c r="AZ1000" s="220"/>
      <c r="BA1000" s="241"/>
      <c r="BE1000" s="107"/>
      <c r="BF1000" s="220"/>
    </row>
    <row r="1001" spans="49:58">
      <c r="AW1001" s="107"/>
      <c r="AX1001" s="195"/>
      <c r="AY1001" s="105"/>
      <c r="AZ1001" s="220"/>
      <c r="BA1001" s="241"/>
      <c r="BE1001" s="107"/>
      <c r="BF1001" s="220"/>
    </row>
    <row r="1002" spans="49:58">
      <c r="AW1002" s="107"/>
      <c r="AX1002" s="195"/>
      <c r="AY1002" s="105"/>
      <c r="AZ1002" s="220"/>
      <c r="BA1002" s="241"/>
      <c r="BE1002" s="107"/>
      <c r="BF1002" s="220"/>
    </row>
    <row r="1003" spans="49:58">
      <c r="AW1003" s="107"/>
      <c r="AX1003" s="195"/>
      <c r="AY1003" s="105"/>
      <c r="AZ1003" s="220"/>
      <c r="BA1003" s="241"/>
      <c r="BE1003" s="107"/>
      <c r="BF1003" s="220"/>
    </row>
    <row r="1004" spans="49:58">
      <c r="AW1004" s="107"/>
      <c r="AX1004" s="195"/>
      <c r="AY1004" s="105"/>
      <c r="AZ1004" s="220"/>
      <c r="BA1004" s="241"/>
      <c r="BE1004" s="107"/>
      <c r="BF1004" s="220"/>
    </row>
    <row r="1005" spans="49:58">
      <c r="AW1005" s="107"/>
      <c r="AX1005" s="195"/>
      <c r="AY1005" s="105"/>
      <c r="AZ1005" s="220"/>
      <c r="BA1005" s="241"/>
      <c r="BE1005" s="107"/>
      <c r="BF1005" s="220"/>
    </row>
    <row r="1006" spans="49:58">
      <c r="AW1006" s="107"/>
      <c r="AX1006" s="195"/>
      <c r="AY1006" s="105"/>
      <c r="AZ1006" s="220"/>
      <c r="BA1006" s="241"/>
      <c r="BE1006" s="107"/>
      <c r="BF1006" s="220"/>
    </row>
    <row r="1007" spans="49:58">
      <c r="AW1007" s="107"/>
      <c r="AX1007" s="195"/>
      <c r="AY1007" s="105"/>
      <c r="AZ1007" s="220"/>
      <c r="BA1007" s="241"/>
      <c r="BE1007" s="107"/>
      <c r="BF1007" s="220"/>
    </row>
    <row r="1008" spans="49:58">
      <c r="AW1008" s="107"/>
      <c r="AX1008" s="195"/>
      <c r="AY1008" s="105"/>
      <c r="AZ1008" s="220"/>
      <c r="BA1008" s="241"/>
      <c r="BE1008" s="107"/>
      <c r="BF1008" s="220"/>
    </row>
    <row r="1009" spans="49:58">
      <c r="AW1009" s="107"/>
      <c r="AX1009" s="195"/>
      <c r="AY1009" s="105"/>
      <c r="AZ1009" s="220"/>
      <c r="BA1009" s="241"/>
      <c r="BE1009" s="107"/>
      <c r="BF1009" s="220"/>
    </row>
    <row r="1010" spans="49:58">
      <c r="AW1010" s="107"/>
      <c r="AX1010" s="195"/>
      <c r="AY1010" s="105"/>
      <c r="AZ1010" s="220"/>
      <c r="BA1010" s="241"/>
      <c r="BE1010" s="107"/>
      <c r="BF1010" s="220"/>
    </row>
    <row r="1011" spans="49:58">
      <c r="AW1011" s="107"/>
      <c r="AX1011" s="195"/>
      <c r="AY1011" s="105"/>
      <c r="AZ1011" s="220"/>
      <c r="BA1011" s="241"/>
      <c r="BE1011" s="107"/>
      <c r="BF1011" s="220"/>
    </row>
    <row r="1012" spans="49:58">
      <c r="AW1012" s="107"/>
      <c r="AX1012" s="195"/>
      <c r="AY1012" s="105"/>
      <c r="AZ1012" s="220"/>
      <c r="BA1012" s="241"/>
      <c r="BE1012" s="107"/>
      <c r="BF1012" s="220"/>
    </row>
    <row r="1013" spans="49:58">
      <c r="AW1013" s="107"/>
      <c r="AX1013" s="195"/>
      <c r="AY1013" s="105"/>
      <c r="AZ1013" s="220"/>
      <c r="BA1013" s="241"/>
      <c r="BE1013" s="107"/>
      <c r="BF1013" s="220"/>
    </row>
    <row r="1014" spans="49:58">
      <c r="AW1014" s="107"/>
      <c r="AX1014" s="195"/>
      <c r="AY1014" s="105"/>
      <c r="AZ1014" s="220"/>
      <c r="BA1014" s="241"/>
      <c r="BE1014" s="107"/>
      <c r="BF1014" s="220"/>
    </row>
    <row r="1015" spans="49:58">
      <c r="AW1015" s="107"/>
      <c r="AX1015" s="195"/>
      <c r="AY1015" s="105"/>
      <c r="AZ1015" s="220"/>
      <c r="BA1015" s="241"/>
      <c r="BE1015" s="107"/>
      <c r="BF1015" s="220"/>
    </row>
    <row r="1016" spans="49:58">
      <c r="AW1016" s="107"/>
      <c r="AX1016" s="195"/>
      <c r="AY1016" s="105"/>
      <c r="AZ1016" s="220"/>
      <c r="BA1016" s="241"/>
      <c r="BE1016" s="107"/>
      <c r="BF1016" s="220"/>
    </row>
    <row r="1017" spans="49:58">
      <c r="AW1017" s="107"/>
      <c r="AX1017" s="195"/>
      <c r="AY1017" s="105"/>
      <c r="AZ1017" s="220"/>
      <c r="BA1017" s="241"/>
      <c r="BE1017" s="107"/>
      <c r="BF1017" s="220"/>
    </row>
    <row r="1018" spans="49:58">
      <c r="AW1018" s="107"/>
      <c r="AX1018" s="195"/>
      <c r="AY1018" s="105"/>
      <c r="AZ1018" s="220"/>
      <c r="BA1018" s="241"/>
      <c r="BE1018" s="107"/>
      <c r="BF1018" s="220"/>
    </row>
    <row r="1019" spans="49:58">
      <c r="AW1019" s="107"/>
      <c r="AX1019" s="195"/>
      <c r="AY1019" s="105"/>
      <c r="AZ1019" s="220"/>
      <c r="BA1019" s="241"/>
      <c r="BE1019" s="107"/>
      <c r="BF1019" s="220"/>
    </row>
    <row r="1020" spans="49:58">
      <c r="AW1020" s="107"/>
      <c r="AX1020" s="195"/>
      <c r="AY1020" s="105"/>
      <c r="AZ1020" s="220"/>
      <c r="BA1020" s="241"/>
      <c r="BE1020" s="107"/>
      <c r="BF1020" s="220"/>
    </row>
    <row r="1021" spans="49:58">
      <c r="AW1021" s="107"/>
      <c r="AX1021" s="195"/>
      <c r="AY1021" s="105"/>
      <c r="AZ1021" s="220"/>
      <c r="BA1021" s="241"/>
      <c r="BE1021" s="107"/>
      <c r="BF1021" s="220"/>
    </row>
    <row r="1022" spans="49:58">
      <c r="AW1022" s="107"/>
      <c r="AX1022" s="195"/>
      <c r="AY1022" s="105"/>
      <c r="AZ1022" s="220"/>
      <c r="BA1022" s="241"/>
      <c r="BE1022" s="107"/>
      <c r="BF1022" s="220"/>
    </row>
    <row r="1023" spans="49:58">
      <c r="AW1023" s="107"/>
      <c r="AX1023" s="195"/>
      <c r="AY1023" s="105"/>
      <c r="AZ1023" s="220"/>
      <c r="BA1023" s="241"/>
      <c r="BE1023" s="107"/>
      <c r="BF1023" s="220"/>
    </row>
    <row r="1024" spans="49:58">
      <c r="AW1024" s="107"/>
      <c r="AX1024" s="195"/>
      <c r="AY1024" s="105"/>
      <c r="AZ1024" s="220"/>
      <c r="BA1024" s="241"/>
      <c r="BE1024" s="107"/>
      <c r="BF1024" s="220"/>
    </row>
    <row r="1025" spans="49:58">
      <c r="AW1025" s="107"/>
      <c r="AX1025" s="195"/>
      <c r="AY1025" s="105"/>
      <c r="AZ1025" s="220"/>
      <c r="BA1025" s="241"/>
      <c r="BE1025" s="107"/>
      <c r="BF1025" s="220"/>
    </row>
    <row r="1026" spans="49:58">
      <c r="AW1026" s="107"/>
      <c r="AX1026" s="195"/>
      <c r="AY1026" s="105"/>
      <c r="AZ1026" s="220"/>
      <c r="BA1026" s="241"/>
      <c r="BE1026" s="107"/>
      <c r="BF1026" s="220"/>
    </row>
    <row r="1027" spans="49:58">
      <c r="AW1027" s="107"/>
      <c r="AX1027" s="195"/>
      <c r="AY1027" s="105"/>
      <c r="AZ1027" s="220"/>
      <c r="BA1027" s="241"/>
      <c r="BE1027" s="107"/>
      <c r="BF1027" s="220"/>
    </row>
    <row r="1028" spans="49:58">
      <c r="AW1028" s="107"/>
      <c r="AX1028" s="195"/>
      <c r="AY1028" s="105"/>
      <c r="AZ1028" s="220"/>
      <c r="BA1028" s="241"/>
      <c r="BE1028" s="107"/>
      <c r="BF1028" s="220"/>
    </row>
    <row r="1029" spans="49:58">
      <c r="AW1029" s="107"/>
      <c r="AX1029" s="195"/>
      <c r="AY1029" s="105"/>
      <c r="AZ1029" s="220"/>
      <c r="BA1029" s="241"/>
      <c r="BE1029" s="107"/>
      <c r="BF1029" s="220"/>
    </row>
    <row r="1030" spans="49:58">
      <c r="AW1030" s="107"/>
      <c r="AX1030" s="195"/>
      <c r="AY1030" s="105"/>
      <c r="AZ1030" s="220"/>
      <c r="BA1030" s="241"/>
      <c r="BE1030" s="107"/>
      <c r="BF1030" s="220"/>
    </row>
    <row r="1031" spans="49:58">
      <c r="AW1031" s="107"/>
      <c r="AX1031" s="195"/>
      <c r="AY1031" s="105"/>
      <c r="AZ1031" s="220"/>
      <c r="BA1031" s="241"/>
      <c r="BE1031" s="107"/>
      <c r="BF1031" s="220"/>
    </row>
    <row r="1032" spans="49:58">
      <c r="AW1032" s="107"/>
      <c r="AX1032" s="195"/>
      <c r="AY1032" s="105"/>
      <c r="AZ1032" s="220"/>
      <c r="BA1032" s="241"/>
      <c r="BE1032" s="107"/>
      <c r="BF1032" s="220"/>
    </row>
    <row r="1033" spans="49:58">
      <c r="AW1033" s="107"/>
      <c r="AX1033" s="195"/>
      <c r="AY1033" s="105"/>
      <c r="AZ1033" s="220"/>
      <c r="BA1033" s="241"/>
      <c r="BE1033" s="107"/>
      <c r="BF1033" s="220"/>
    </row>
    <row r="1034" spans="49:58">
      <c r="AW1034" s="107"/>
      <c r="AX1034" s="195"/>
      <c r="AY1034" s="105"/>
      <c r="AZ1034" s="220"/>
      <c r="BA1034" s="241"/>
      <c r="BE1034" s="107"/>
      <c r="BF1034" s="220"/>
    </row>
    <row r="1035" spans="49:58">
      <c r="AW1035" s="107"/>
      <c r="AX1035" s="195"/>
      <c r="AY1035" s="105"/>
      <c r="AZ1035" s="220"/>
      <c r="BA1035" s="241"/>
      <c r="BE1035" s="107"/>
      <c r="BF1035" s="220"/>
    </row>
    <row r="1036" spans="49:58">
      <c r="AW1036" s="107"/>
      <c r="AX1036" s="195"/>
      <c r="AY1036" s="105"/>
      <c r="AZ1036" s="220"/>
      <c r="BA1036" s="241"/>
      <c r="BE1036" s="107"/>
      <c r="BF1036" s="220"/>
    </row>
    <row r="1037" spans="49:58">
      <c r="AW1037" s="107"/>
      <c r="AX1037" s="195"/>
      <c r="AY1037" s="105"/>
      <c r="AZ1037" s="220"/>
      <c r="BA1037" s="241"/>
      <c r="BE1037" s="107"/>
      <c r="BF1037" s="220"/>
    </row>
    <row r="1038" spans="49:58">
      <c r="AW1038" s="107"/>
      <c r="AX1038" s="195"/>
      <c r="AY1038" s="105"/>
      <c r="AZ1038" s="220"/>
      <c r="BA1038" s="241"/>
      <c r="BE1038" s="107"/>
      <c r="BF1038" s="220"/>
    </row>
    <row r="1039" spans="49:58">
      <c r="AW1039" s="107"/>
      <c r="AX1039" s="195"/>
      <c r="AY1039" s="105"/>
      <c r="AZ1039" s="220"/>
      <c r="BA1039" s="241"/>
      <c r="BE1039" s="107"/>
      <c r="BF1039" s="220"/>
    </row>
    <row r="1040" spans="49:58">
      <c r="AW1040" s="107"/>
      <c r="AX1040" s="195"/>
      <c r="AY1040" s="105"/>
      <c r="AZ1040" s="220"/>
      <c r="BA1040" s="241"/>
      <c r="BE1040" s="107"/>
      <c r="BF1040" s="220"/>
    </row>
    <row r="1041" spans="49:58">
      <c r="AW1041" s="107"/>
      <c r="AX1041" s="195"/>
      <c r="AY1041" s="105"/>
      <c r="AZ1041" s="220"/>
      <c r="BA1041" s="241"/>
      <c r="BE1041" s="107"/>
      <c r="BF1041" s="220"/>
    </row>
    <row r="1042" spans="49:58">
      <c r="AW1042" s="107"/>
      <c r="AX1042" s="195"/>
      <c r="AY1042" s="105"/>
      <c r="AZ1042" s="220"/>
      <c r="BA1042" s="241"/>
      <c r="BE1042" s="107"/>
      <c r="BF1042" s="220"/>
    </row>
    <row r="1043" spans="49:58">
      <c r="AW1043" s="107"/>
      <c r="AX1043" s="195"/>
      <c r="AY1043" s="105"/>
      <c r="AZ1043" s="220"/>
      <c r="BA1043" s="241"/>
      <c r="BE1043" s="107"/>
      <c r="BF1043" s="220"/>
    </row>
    <row r="1044" spans="49:58">
      <c r="AW1044" s="107"/>
      <c r="AX1044" s="195"/>
      <c r="AY1044" s="105"/>
      <c r="AZ1044" s="220"/>
      <c r="BA1044" s="241"/>
      <c r="BE1044" s="107"/>
      <c r="BF1044" s="220"/>
    </row>
    <row r="1045" spans="49:58">
      <c r="AW1045" s="107"/>
      <c r="AX1045" s="195"/>
      <c r="AY1045" s="105"/>
      <c r="AZ1045" s="220"/>
      <c r="BA1045" s="241"/>
      <c r="BE1045" s="107"/>
      <c r="BF1045" s="220"/>
    </row>
    <row r="1046" spans="49:58">
      <c r="AW1046" s="107"/>
      <c r="AX1046" s="195"/>
      <c r="AY1046" s="105"/>
      <c r="AZ1046" s="220"/>
      <c r="BA1046" s="241"/>
      <c r="BE1046" s="107"/>
      <c r="BF1046" s="220"/>
    </row>
    <row r="1047" spans="49:58">
      <c r="AW1047" s="107"/>
      <c r="AX1047" s="195"/>
      <c r="AY1047" s="105"/>
      <c r="AZ1047" s="220"/>
      <c r="BA1047" s="241"/>
      <c r="BE1047" s="107"/>
      <c r="BF1047" s="220"/>
    </row>
    <row r="1048" spans="49:58">
      <c r="AW1048" s="107"/>
      <c r="AX1048" s="195"/>
      <c r="AY1048" s="105"/>
      <c r="AZ1048" s="220"/>
      <c r="BA1048" s="241"/>
      <c r="BE1048" s="107"/>
      <c r="BF1048" s="220"/>
    </row>
    <row r="1049" spans="49:58">
      <c r="AW1049" s="107"/>
      <c r="AX1049" s="195"/>
      <c r="AY1049" s="105"/>
      <c r="AZ1049" s="220"/>
      <c r="BA1049" s="241"/>
      <c r="BE1049" s="107"/>
      <c r="BF1049" s="220"/>
    </row>
    <row r="1050" spans="49:58">
      <c r="AW1050" s="107"/>
      <c r="AX1050" s="195"/>
      <c r="AY1050" s="105"/>
      <c r="AZ1050" s="220"/>
      <c r="BA1050" s="241"/>
      <c r="BE1050" s="107"/>
      <c r="BF1050" s="220"/>
    </row>
    <row r="1051" spans="49:58">
      <c r="AW1051" s="107"/>
      <c r="AX1051" s="195"/>
      <c r="AY1051" s="105"/>
      <c r="AZ1051" s="220"/>
      <c r="BA1051" s="241"/>
      <c r="BE1051" s="107"/>
      <c r="BF1051" s="220"/>
    </row>
    <row r="1052" spans="49:58">
      <c r="AW1052" s="107"/>
      <c r="AX1052" s="195"/>
      <c r="AY1052" s="105"/>
      <c r="AZ1052" s="220"/>
      <c r="BA1052" s="241"/>
      <c r="BE1052" s="107"/>
      <c r="BF1052" s="220"/>
    </row>
    <row r="1053" spans="49:58">
      <c r="AW1053" s="107"/>
      <c r="AX1053" s="195"/>
      <c r="AY1053" s="105"/>
      <c r="AZ1053" s="220"/>
      <c r="BA1053" s="241"/>
      <c r="BE1053" s="107"/>
      <c r="BF1053" s="220"/>
    </row>
    <row r="1054" spans="49:58">
      <c r="AW1054" s="107"/>
      <c r="AX1054" s="195"/>
      <c r="AY1054" s="105"/>
      <c r="AZ1054" s="220"/>
      <c r="BA1054" s="241"/>
      <c r="BE1054" s="107"/>
      <c r="BF1054" s="220"/>
    </row>
    <row r="1055" spans="49:58">
      <c r="AW1055" s="107"/>
      <c r="AX1055" s="195"/>
      <c r="AY1055" s="105"/>
      <c r="AZ1055" s="220"/>
      <c r="BA1055" s="241"/>
      <c r="BE1055" s="107"/>
      <c r="BF1055" s="220"/>
    </row>
    <row r="1056" spans="49:58">
      <c r="AW1056" s="107"/>
      <c r="AX1056" s="195"/>
      <c r="AY1056" s="105"/>
      <c r="AZ1056" s="220"/>
      <c r="BA1056" s="241"/>
      <c r="BE1056" s="107"/>
      <c r="BF1056" s="220"/>
    </row>
    <row r="1057" spans="49:58">
      <c r="AW1057" s="107"/>
      <c r="AX1057" s="195"/>
      <c r="AY1057" s="105"/>
      <c r="AZ1057" s="220"/>
      <c r="BA1057" s="241"/>
      <c r="BE1057" s="107"/>
      <c r="BF1057" s="220"/>
    </row>
    <row r="1058" spans="49:58">
      <c r="AW1058" s="107"/>
      <c r="AX1058" s="195"/>
      <c r="AY1058" s="105"/>
      <c r="AZ1058" s="220"/>
      <c r="BA1058" s="241"/>
      <c r="BE1058" s="107"/>
      <c r="BF1058" s="220"/>
    </row>
    <row r="1059" spans="49:58">
      <c r="AW1059" s="107"/>
      <c r="AX1059" s="195"/>
      <c r="AY1059" s="105"/>
      <c r="AZ1059" s="220"/>
      <c r="BA1059" s="241"/>
      <c r="BE1059" s="107"/>
      <c r="BF1059" s="220"/>
    </row>
    <row r="1060" spans="49:58">
      <c r="AW1060" s="107"/>
      <c r="AX1060" s="195"/>
      <c r="AY1060" s="105"/>
      <c r="AZ1060" s="220"/>
      <c r="BA1060" s="241"/>
      <c r="BE1060" s="107"/>
      <c r="BF1060" s="220"/>
    </row>
    <row r="1061" spans="49:58">
      <c r="AW1061" s="107"/>
      <c r="AX1061" s="195"/>
      <c r="AY1061" s="105"/>
      <c r="AZ1061" s="220"/>
      <c r="BA1061" s="241"/>
      <c r="BE1061" s="107"/>
      <c r="BF1061" s="220"/>
    </row>
    <row r="1062" spans="49:58">
      <c r="AW1062" s="107"/>
      <c r="AX1062" s="195"/>
      <c r="AY1062" s="105"/>
      <c r="AZ1062" s="220"/>
      <c r="BA1062" s="241"/>
      <c r="BE1062" s="107"/>
      <c r="BF1062" s="220"/>
    </row>
    <row r="1063" spans="49:58">
      <c r="AW1063" s="107"/>
      <c r="AX1063" s="195"/>
      <c r="AY1063" s="105"/>
      <c r="AZ1063" s="220"/>
      <c r="BA1063" s="241"/>
      <c r="BE1063" s="107"/>
      <c r="BF1063" s="220"/>
    </row>
    <row r="1064" spans="49:58">
      <c r="AW1064" s="107"/>
      <c r="AX1064" s="195"/>
      <c r="AY1064" s="105"/>
      <c r="AZ1064" s="220"/>
      <c r="BA1064" s="241"/>
      <c r="BE1064" s="107"/>
      <c r="BF1064" s="220"/>
    </row>
    <row r="1065" spans="49:58">
      <c r="AW1065" s="107"/>
      <c r="AX1065" s="195"/>
      <c r="AY1065" s="105"/>
      <c r="AZ1065" s="220"/>
      <c r="BA1065" s="241"/>
      <c r="BE1065" s="107"/>
      <c r="BF1065" s="220"/>
    </row>
    <row r="1066" spans="49:58">
      <c r="AW1066" s="107"/>
      <c r="AX1066" s="195"/>
      <c r="AY1066" s="105"/>
      <c r="AZ1066" s="220"/>
      <c r="BA1066" s="241"/>
      <c r="BE1066" s="107"/>
      <c r="BF1066" s="220"/>
    </row>
    <row r="1067" spans="49:58">
      <c r="AW1067" s="107"/>
      <c r="AX1067" s="195"/>
      <c r="AY1067" s="105"/>
      <c r="AZ1067" s="220"/>
      <c r="BA1067" s="241"/>
      <c r="BE1067" s="107"/>
      <c r="BF1067" s="220"/>
    </row>
    <row r="1068" spans="49:58">
      <c r="AW1068" s="107"/>
      <c r="AX1068" s="195"/>
      <c r="AY1068" s="105"/>
      <c r="AZ1068" s="220"/>
      <c r="BA1068" s="241"/>
      <c r="BE1068" s="107"/>
      <c r="BF1068" s="220"/>
    </row>
    <row r="1069" spans="49:58">
      <c r="AW1069" s="107"/>
      <c r="AX1069" s="195"/>
      <c r="AY1069" s="105"/>
      <c r="AZ1069" s="220"/>
      <c r="BA1069" s="241"/>
      <c r="BE1069" s="107"/>
      <c r="BF1069" s="220"/>
    </row>
    <row r="1070" spans="49:58">
      <c r="AW1070" s="107"/>
      <c r="AX1070" s="195"/>
      <c r="AY1070" s="105"/>
      <c r="AZ1070" s="220"/>
      <c r="BA1070" s="241"/>
      <c r="BE1070" s="107"/>
      <c r="BF1070" s="220"/>
    </row>
    <row r="1071" spans="49:58">
      <c r="AW1071" s="107"/>
      <c r="AX1071" s="195"/>
      <c r="AY1071" s="105"/>
      <c r="AZ1071" s="220"/>
      <c r="BA1071" s="241"/>
      <c r="BE1071" s="107"/>
      <c r="BF1071" s="220"/>
    </row>
    <row r="1072" spans="49:58">
      <c r="AW1072" s="107"/>
      <c r="AX1072" s="195"/>
      <c r="AY1072" s="105"/>
      <c r="AZ1072" s="220"/>
      <c r="BA1072" s="241"/>
      <c r="BE1072" s="107"/>
      <c r="BF1072" s="220"/>
    </row>
    <row r="1073" spans="49:58">
      <c r="AW1073" s="107"/>
      <c r="AX1073" s="195"/>
      <c r="AY1073" s="105"/>
      <c r="AZ1073" s="220"/>
      <c r="BA1073" s="241"/>
      <c r="BE1073" s="107"/>
      <c r="BF1073" s="220"/>
    </row>
    <row r="1074" spans="49:58">
      <c r="AW1074" s="107"/>
      <c r="AX1074" s="195"/>
      <c r="AY1074" s="105"/>
      <c r="AZ1074" s="220"/>
      <c r="BA1074" s="241"/>
      <c r="BE1074" s="107"/>
      <c r="BF1074" s="220"/>
    </row>
    <row r="1075" spans="49:58">
      <c r="AW1075" s="107"/>
      <c r="AX1075" s="195"/>
      <c r="AY1075" s="105"/>
      <c r="AZ1075" s="220"/>
      <c r="BA1075" s="241"/>
      <c r="BE1075" s="107"/>
      <c r="BF1075" s="220"/>
    </row>
    <row r="1076" spans="49:58">
      <c r="AW1076" s="107"/>
      <c r="AX1076" s="195"/>
      <c r="AY1076" s="105"/>
      <c r="AZ1076" s="220"/>
      <c r="BA1076" s="241"/>
      <c r="BE1076" s="107"/>
      <c r="BF1076" s="220"/>
    </row>
    <row r="1077" spans="49:58">
      <c r="AW1077" s="107"/>
      <c r="AX1077" s="195"/>
      <c r="AY1077" s="105"/>
      <c r="AZ1077" s="220"/>
      <c r="BA1077" s="241"/>
      <c r="BE1077" s="107"/>
      <c r="BF1077" s="220"/>
    </row>
    <row r="1078" spans="49:58">
      <c r="AW1078" s="107"/>
      <c r="AX1078" s="195"/>
      <c r="AY1078" s="105"/>
      <c r="AZ1078" s="220"/>
      <c r="BA1078" s="241"/>
      <c r="BE1078" s="107"/>
      <c r="BF1078" s="220"/>
    </row>
    <row r="1079" spans="49:58">
      <c r="AW1079" s="107"/>
      <c r="AX1079" s="195"/>
      <c r="AY1079" s="105"/>
      <c r="AZ1079" s="220"/>
      <c r="BA1079" s="241"/>
      <c r="BE1079" s="107"/>
      <c r="BF1079" s="220"/>
    </row>
    <row r="1080" spans="49:58">
      <c r="AW1080" s="107"/>
      <c r="AX1080" s="195"/>
      <c r="AY1080" s="105"/>
      <c r="AZ1080" s="220"/>
      <c r="BA1080" s="241"/>
      <c r="BE1080" s="107"/>
      <c r="BF1080" s="220"/>
    </row>
    <row r="1081" spans="49:58">
      <c r="AW1081" s="107"/>
      <c r="AX1081" s="195"/>
      <c r="AY1081" s="105"/>
      <c r="AZ1081" s="220"/>
      <c r="BA1081" s="241"/>
      <c r="BE1081" s="107"/>
      <c r="BF1081" s="220"/>
    </row>
    <row r="1082" spans="49:58">
      <c r="AW1082" s="107"/>
      <c r="AX1082" s="195"/>
      <c r="AY1082" s="105"/>
      <c r="AZ1082" s="220"/>
      <c r="BA1082" s="241"/>
      <c r="BE1082" s="107"/>
      <c r="BF1082" s="220"/>
    </row>
    <row r="1083" spans="49:58">
      <c r="AW1083" s="107"/>
      <c r="AX1083" s="195"/>
      <c r="AY1083" s="105"/>
      <c r="AZ1083" s="220"/>
      <c r="BA1083" s="241"/>
      <c r="BE1083" s="107"/>
      <c r="BF1083" s="220"/>
    </row>
    <row r="1084" spans="49:58">
      <c r="AW1084" s="107"/>
      <c r="AX1084" s="195"/>
      <c r="AY1084" s="105"/>
      <c r="AZ1084" s="220"/>
      <c r="BA1084" s="241"/>
      <c r="BE1084" s="107"/>
      <c r="BF1084" s="220"/>
    </row>
    <row r="1085" spans="49:58">
      <c r="AW1085" s="107"/>
      <c r="AX1085" s="195"/>
      <c r="AY1085" s="105"/>
      <c r="AZ1085" s="220"/>
      <c r="BA1085" s="241"/>
      <c r="BE1085" s="107"/>
      <c r="BF1085" s="220"/>
    </row>
    <row r="1086" spans="49:58">
      <c r="AW1086" s="107"/>
      <c r="AX1086" s="195"/>
      <c r="AY1086" s="105"/>
      <c r="AZ1086" s="220"/>
      <c r="BA1086" s="241"/>
      <c r="BE1086" s="107"/>
      <c r="BF1086" s="220"/>
    </row>
    <row r="1087" spans="49:58">
      <c r="AW1087" s="107"/>
      <c r="AX1087" s="195"/>
      <c r="AY1087" s="105"/>
      <c r="AZ1087" s="220"/>
      <c r="BA1087" s="241"/>
      <c r="BE1087" s="107"/>
      <c r="BF1087" s="220"/>
    </row>
    <row r="1088" spans="49:58">
      <c r="AW1088" s="107"/>
      <c r="AX1088" s="195"/>
      <c r="AY1088" s="105"/>
      <c r="AZ1088" s="220"/>
      <c r="BA1088" s="241"/>
      <c r="BE1088" s="107"/>
      <c r="BF1088" s="220"/>
    </row>
    <row r="1089" spans="49:58">
      <c r="AW1089" s="107"/>
      <c r="AX1089" s="195"/>
      <c r="AY1089" s="105"/>
      <c r="AZ1089" s="220"/>
      <c r="BA1089" s="241"/>
      <c r="BE1089" s="107"/>
      <c r="BF1089" s="220"/>
    </row>
    <row r="1090" spans="49:58">
      <c r="AW1090" s="107"/>
      <c r="AX1090" s="195"/>
      <c r="AY1090" s="105"/>
      <c r="AZ1090" s="220"/>
      <c r="BA1090" s="241"/>
      <c r="BE1090" s="107"/>
      <c r="BF1090" s="220"/>
    </row>
    <row r="1091" spans="49:58">
      <c r="AW1091" s="107"/>
      <c r="AX1091" s="195"/>
      <c r="AY1091" s="105"/>
      <c r="AZ1091" s="220"/>
      <c r="BA1091" s="241"/>
      <c r="BE1091" s="107"/>
      <c r="BF1091" s="220"/>
    </row>
    <row r="1092" spans="49:58">
      <c r="AW1092" s="107"/>
      <c r="AX1092" s="195"/>
      <c r="AY1092" s="105"/>
      <c r="AZ1092" s="220"/>
      <c r="BA1092" s="241"/>
      <c r="BE1092" s="107"/>
      <c r="BF1092" s="220"/>
    </row>
    <row r="1093" spans="49:58">
      <c r="AW1093" s="107"/>
      <c r="AX1093" s="195"/>
      <c r="AY1093" s="105"/>
      <c r="AZ1093" s="220"/>
      <c r="BA1093" s="241"/>
      <c r="BE1093" s="107"/>
      <c r="BF1093" s="220"/>
    </row>
    <row r="1094" spans="49:58">
      <c r="AW1094" s="107"/>
      <c r="AX1094" s="195"/>
      <c r="AY1094" s="105"/>
      <c r="AZ1094" s="220"/>
      <c r="BA1094" s="241"/>
      <c r="BE1094" s="107"/>
      <c r="BF1094" s="220"/>
    </row>
    <row r="1095" spans="49:58">
      <c r="AW1095" s="107"/>
      <c r="AX1095" s="195"/>
      <c r="AY1095" s="105"/>
      <c r="AZ1095" s="220"/>
      <c r="BA1095" s="241"/>
      <c r="BE1095" s="107"/>
      <c r="BF1095" s="220"/>
    </row>
    <row r="1096" spans="49:58">
      <c r="AW1096" s="107"/>
      <c r="AX1096" s="195"/>
      <c r="AY1096" s="105"/>
      <c r="AZ1096" s="220"/>
      <c r="BA1096" s="241"/>
      <c r="BE1096" s="107"/>
      <c r="BF1096" s="220"/>
    </row>
    <row r="1097" spans="49:58">
      <c r="AW1097" s="107"/>
      <c r="AX1097" s="195"/>
      <c r="AY1097" s="105"/>
      <c r="AZ1097" s="220"/>
      <c r="BA1097" s="241"/>
      <c r="BE1097" s="107"/>
      <c r="BF1097" s="220"/>
    </row>
    <row r="1098" spans="49:58">
      <c r="AW1098" s="107"/>
      <c r="AX1098" s="195"/>
      <c r="AY1098" s="105"/>
      <c r="AZ1098" s="220"/>
      <c r="BA1098" s="241"/>
      <c r="BE1098" s="107"/>
      <c r="BF1098" s="220"/>
    </row>
    <row r="1099" spans="49:58">
      <c r="AW1099" s="107"/>
      <c r="AX1099" s="195"/>
      <c r="AY1099" s="105"/>
      <c r="AZ1099" s="220"/>
      <c r="BA1099" s="241"/>
      <c r="BE1099" s="107"/>
      <c r="BF1099" s="220"/>
    </row>
    <row r="1100" spans="49:58">
      <c r="AW1100" s="107"/>
      <c r="AX1100" s="195"/>
      <c r="AY1100" s="105"/>
      <c r="AZ1100" s="220"/>
      <c r="BA1100" s="241"/>
      <c r="BE1100" s="107"/>
      <c r="BF1100" s="220"/>
    </row>
    <row r="1101" spans="49:58">
      <c r="AW1101" s="107"/>
      <c r="AX1101" s="195"/>
      <c r="AY1101" s="105"/>
      <c r="AZ1101" s="220"/>
      <c r="BA1101" s="241"/>
      <c r="BE1101" s="107"/>
      <c r="BF1101" s="220"/>
    </row>
    <row r="1102" spans="49:58">
      <c r="AW1102" s="107"/>
      <c r="AX1102" s="195"/>
      <c r="AY1102" s="105"/>
      <c r="AZ1102" s="220"/>
      <c r="BA1102" s="241"/>
      <c r="BE1102" s="107"/>
      <c r="BF1102" s="220"/>
    </row>
    <row r="1103" spans="49:58">
      <c r="AW1103" s="107"/>
      <c r="AX1103" s="195"/>
      <c r="AY1103" s="105"/>
      <c r="AZ1103" s="220"/>
      <c r="BA1103" s="241"/>
      <c r="BE1103" s="107"/>
      <c r="BF1103" s="220"/>
    </row>
    <row r="1104" spans="49:58">
      <c r="AW1104" s="107"/>
      <c r="AX1104" s="195"/>
      <c r="AY1104" s="105"/>
      <c r="AZ1104" s="220"/>
      <c r="BA1104" s="241"/>
      <c r="BE1104" s="107"/>
      <c r="BF1104" s="220"/>
    </row>
    <row r="1105" spans="49:58">
      <c r="AW1105" s="107"/>
      <c r="AX1105" s="195"/>
      <c r="AY1105" s="105"/>
      <c r="AZ1105" s="220"/>
      <c r="BA1105" s="241"/>
      <c r="BE1105" s="107"/>
      <c r="BF1105" s="220"/>
    </row>
    <row r="1106" spans="49:58">
      <c r="AW1106" s="107"/>
      <c r="AX1106" s="195"/>
      <c r="AY1106" s="105"/>
      <c r="AZ1106" s="220"/>
      <c r="BA1106" s="241"/>
      <c r="BE1106" s="107"/>
      <c r="BF1106" s="220"/>
    </row>
    <row r="1107" spans="49:58">
      <c r="AW1107" s="107"/>
      <c r="AX1107" s="195"/>
      <c r="AY1107" s="105"/>
      <c r="AZ1107" s="220"/>
      <c r="BA1107" s="241"/>
      <c r="BE1107" s="107"/>
      <c r="BF1107" s="220"/>
    </row>
    <row r="1108" spans="49:58">
      <c r="AW1108" s="107"/>
      <c r="AX1108" s="195"/>
      <c r="AY1108" s="105"/>
      <c r="AZ1108" s="220"/>
      <c r="BA1108" s="241"/>
      <c r="BE1108" s="107"/>
      <c r="BF1108" s="220"/>
    </row>
    <row r="1109" spans="49:58">
      <c r="AW1109" s="107"/>
      <c r="AX1109" s="195"/>
      <c r="AY1109" s="105"/>
      <c r="AZ1109" s="220"/>
      <c r="BA1109" s="241"/>
      <c r="BE1109" s="107"/>
      <c r="BF1109" s="220"/>
    </row>
    <row r="1110" spans="49:58">
      <c r="AW1110" s="107"/>
      <c r="AX1110" s="195"/>
      <c r="AY1110" s="105"/>
      <c r="AZ1110" s="220"/>
      <c r="BA1110" s="241"/>
      <c r="BE1110" s="107"/>
      <c r="BF1110" s="220"/>
    </row>
    <row r="1111" spans="49:58">
      <c r="AW1111" s="107"/>
      <c r="AX1111" s="195"/>
      <c r="AY1111" s="105"/>
      <c r="AZ1111" s="220"/>
      <c r="BA1111" s="241"/>
      <c r="BE1111" s="107"/>
      <c r="BF1111" s="220"/>
    </row>
    <row r="1112" spans="49:58">
      <c r="AW1112" s="107"/>
      <c r="AX1112" s="195"/>
      <c r="AY1112" s="105"/>
      <c r="AZ1112" s="220"/>
      <c r="BA1112" s="241"/>
      <c r="BE1112" s="107"/>
      <c r="BF1112" s="220"/>
    </row>
    <row r="1113" spans="49:58">
      <c r="AW1113" s="107"/>
      <c r="AX1113" s="195"/>
      <c r="AY1113" s="105"/>
      <c r="AZ1113" s="220"/>
      <c r="BA1113" s="241"/>
      <c r="BE1113" s="107"/>
      <c r="BF1113" s="220"/>
    </row>
    <row r="1114" spans="49:58">
      <c r="AW1114" s="107"/>
      <c r="AX1114" s="195"/>
      <c r="AY1114" s="105"/>
      <c r="AZ1114" s="220"/>
      <c r="BA1114" s="241"/>
      <c r="BE1114" s="107"/>
      <c r="BF1114" s="220"/>
    </row>
    <row r="1115" spans="49:58">
      <c r="AW1115" s="107"/>
      <c r="AX1115" s="195"/>
      <c r="AY1115" s="105"/>
      <c r="AZ1115" s="220"/>
      <c r="BA1115" s="241"/>
      <c r="BE1115" s="107"/>
      <c r="BF1115" s="220"/>
    </row>
    <row r="1116" spans="49:58">
      <c r="AW1116" s="107"/>
      <c r="AX1116" s="195"/>
      <c r="AY1116" s="105"/>
      <c r="AZ1116" s="220"/>
      <c r="BA1116" s="241"/>
      <c r="BE1116" s="107"/>
      <c r="BF1116" s="220"/>
    </row>
    <row r="1117" spans="49:58">
      <c r="AW1117" s="107"/>
      <c r="AX1117" s="195"/>
      <c r="AY1117" s="105"/>
      <c r="AZ1117" s="220"/>
      <c r="BA1117" s="241"/>
      <c r="BE1117" s="107"/>
      <c r="BF1117" s="220"/>
    </row>
    <row r="1118" spans="49:58">
      <c r="AW1118" s="107"/>
      <c r="AX1118" s="195"/>
      <c r="AY1118" s="105"/>
      <c r="AZ1118" s="220"/>
      <c r="BA1118" s="241"/>
      <c r="BE1118" s="107"/>
      <c r="BF1118" s="220"/>
    </row>
    <row r="1119" spans="49:58">
      <c r="AW1119" s="107"/>
      <c r="AX1119" s="195"/>
      <c r="AY1119" s="105"/>
      <c r="AZ1119" s="220"/>
      <c r="BA1119" s="241"/>
      <c r="BE1119" s="107"/>
      <c r="BF1119" s="220"/>
    </row>
    <row r="1120" spans="49:58">
      <c r="AW1120" s="107"/>
      <c r="AX1120" s="195"/>
      <c r="AY1120" s="105"/>
      <c r="AZ1120" s="220"/>
      <c r="BA1120" s="241"/>
      <c r="BE1120" s="107"/>
      <c r="BF1120" s="220"/>
    </row>
    <row r="1121" spans="49:58">
      <c r="AW1121" s="107"/>
      <c r="AX1121" s="195"/>
      <c r="AY1121" s="105"/>
      <c r="AZ1121" s="220"/>
      <c r="BA1121" s="241"/>
      <c r="BE1121" s="107"/>
      <c r="BF1121" s="220"/>
    </row>
    <row r="1122" spans="49:58">
      <c r="AW1122" s="107"/>
      <c r="AX1122" s="195"/>
      <c r="AY1122" s="105"/>
      <c r="AZ1122" s="220"/>
      <c r="BA1122" s="241"/>
      <c r="BE1122" s="107"/>
      <c r="BF1122" s="220"/>
    </row>
    <row r="1123" spans="49:58">
      <c r="AW1123" s="107"/>
      <c r="AX1123" s="195"/>
      <c r="AY1123" s="105"/>
      <c r="AZ1123" s="220"/>
      <c r="BA1123" s="241"/>
      <c r="BE1123" s="107"/>
      <c r="BF1123" s="220"/>
    </row>
    <row r="1124" spans="49:58">
      <c r="AW1124" s="107"/>
      <c r="AX1124" s="195"/>
      <c r="AY1124" s="105"/>
      <c r="AZ1124" s="220"/>
      <c r="BA1124" s="241"/>
      <c r="BE1124" s="107"/>
      <c r="BF1124" s="220"/>
    </row>
    <row r="1125" spans="49:58">
      <c r="AW1125" s="107"/>
      <c r="AX1125" s="195"/>
      <c r="AY1125" s="105"/>
      <c r="AZ1125" s="220"/>
      <c r="BA1125" s="241"/>
      <c r="BE1125" s="107"/>
      <c r="BF1125" s="220"/>
    </row>
    <row r="1126" spans="49:58">
      <c r="AW1126" s="107"/>
      <c r="AX1126" s="195"/>
      <c r="AY1126" s="105"/>
      <c r="AZ1126" s="220"/>
      <c r="BA1126" s="241"/>
      <c r="BE1126" s="107"/>
      <c r="BF1126" s="220"/>
    </row>
    <row r="1127" spans="49:58">
      <c r="AW1127" s="107"/>
      <c r="AX1127" s="195"/>
      <c r="AY1127" s="105"/>
      <c r="AZ1127" s="220"/>
      <c r="BA1127" s="241"/>
      <c r="BE1127" s="107"/>
      <c r="BF1127" s="220"/>
    </row>
    <row r="1128" spans="49:58">
      <c r="AW1128" s="107"/>
      <c r="AX1128" s="195"/>
      <c r="AY1128" s="105"/>
      <c r="AZ1128" s="220"/>
      <c r="BA1128" s="241"/>
      <c r="BE1128" s="107"/>
      <c r="BF1128" s="220"/>
    </row>
    <row r="1129" spans="49:58">
      <c r="AW1129" s="107"/>
      <c r="AX1129" s="195"/>
      <c r="AY1129" s="105"/>
      <c r="AZ1129" s="220"/>
      <c r="BA1129" s="241"/>
      <c r="BE1129" s="107"/>
      <c r="BF1129" s="220"/>
    </row>
    <row r="1130" spans="49:58">
      <c r="AW1130" s="107"/>
      <c r="AX1130" s="195"/>
      <c r="AY1130" s="105"/>
      <c r="AZ1130" s="220"/>
      <c r="BA1130" s="241"/>
      <c r="BE1130" s="107"/>
      <c r="BF1130" s="220"/>
    </row>
    <row r="1131" spans="49:58">
      <c r="AW1131" s="107"/>
      <c r="AX1131" s="195"/>
      <c r="AY1131" s="105"/>
      <c r="AZ1131" s="220"/>
      <c r="BA1131" s="241"/>
      <c r="BE1131" s="107"/>
      <c r="BF1131" s="220"/>
    </row>
    <row r="1132" spans="49:58">
      <c r="AW1132" s="107"/>
      <c r="AX1132" s="195"/>
      <c r="AY1132" s="105"/>
      <c r="AZ1132" s="220"/>
      <c r="BA1132" s="241"/>
      <c r="BE1132" s="107"/>
      <c r="BF1132" s="220"/>
    </row>
    <row r="1133" spans="49:58">
      <c r="AW1133" s="107"/>
      <c r="AX1133" s="195"/>
      <c r="AY1133" s="105"/>
      <c r="AZ1133" s="220"/>
      <c r="BA1133" s="241"/>
      <c r="BE1133" s="107"/>
      <c r="BF1133" s="220"/>
    </row>
    <row r="1134" spans="49:58">
      <c r="AW1134" s="107"/>
      <c r="AX1134" s="195"/>
      <c r="AY1134" s="105"/>
      <c r="AZ1134" s="220"/>
      <c r="BA1134" s="241"/>
      <c r="BE1134" s="107"/>
      <c r="BF1134" s="220"/>
    </row>
    <row r="1135" spans="49:58">
      <c r="AW1135" s="107"/>
      <c r="AX1135" s="195"/>
      <c r="AY1135" s="105"/>
      <c r="AZ1135" s="220"/>
      <c r="BA1135" s="241"/>
      <c r="BE1135" s="107"/>
      <c r="BF1135" s="220"/>
    </row>
    <row r="1136" spans="49:58">
      <c r="AW1136" s="107"/>
      <c r="AX1136" s="195"/>
      <c r="AY1136" s="105"/>
      <c r="AZ1136" s="220"/>
      <c r="BA1136" s="241"/>
      <c r="BE1136" s="107"/>
      <c r="BF1136" s="220"/>
    </row>
    <row r="1137" spans="49:58">
      <c r="AW1137" s="107"/>
      <c r="AX1137" s="195"/>
      <c r="AY1137" s="105"/>
      <c r="AZ1137" s="220"/>
      <c r="BA1137" s="241"/>
      <c r="BE1137" s="107"/>
      <c r="BF1137" s="220"/>
    </row>
    <row r="1138" spans="49:58">
      <c r="AW1138" s="107"/>
      <c r="AX1138" s="195"/>
      <c r="AY1138" s="105"/>
      <c r="AZ1138" s="220"/>
      <c r="BA1138" s="241"/>
      <c r="BE1138" s="107"/>
      <c r="BF1138" s="220"/>
    </row>
    <row r="1139" spans="49:58">
      <c r="AW1139" s="107"/>
      <c r="AX1139" s="195"/>
      <c r="AY1139" s="105"/>
      <c r="AZ1139" s="220"/>
      <c r="BA1139" s="241"/>
      <c r="BE1139" s="107"/>
      <c r="BF1139" s="220"/>
    </row>
    <row r="1140" spans="49:58">
      <c r="AW1140" s="107"/>
      <c r="AX1140" s="195"/>
      <c r="AY1140" s="105"/>
      <c r="AZ1140" s="220"/>
      <c r="BA1140" s="241"/>
      <c r="BE1140" s="107"/>
      <c r="BF1140" s="220"/>
    </row>
    <row r="1141" spans="49:58">
      <c r="AW1141" s="107"/>
      <c r="AX1141" s="195"/>
      <c r="AY1141" s="105"/>
      <c r="AZ1141" s="220"/>
      <c r="BA1141" s="241"/>
      <c r="BE1141" s="107"/>
      <c r="BF1141" s="220"/>
    </row>
    <row r="1142" spans="49:58">
      <c r="AW1142" s="107"/>
      <c r="AX1142" s="195"/>
      <c r="AY1142" s="105"/>
      <c r="AZ1142" s="220"/>
      <c r="BA1142" s="241"/>
      <c r="BE1142" s="107"/>
      <c r="BF1142" s="220"/>
    </row>
    <row r="1143" spans="49:58">
      <c r="AW1143" s="107"/>
      <c r="AX1143" s="195"/>
      <c r="AY1143" s="105"/>
      <c r="AZ1143" s="220"/>
      <c r="BA1143" s="241"/>
      <c r="BE1143" s="107"/>
      <c r="BF1143" s="220"/>
    </row>
    <row r="1144" spans="49:58">
      <c r="AW1144" s="107"/>
      <c r="AX1144" s="195"/>
      <c r="AY1144" s="105"/>
      <c r="AZ1144" s="220"/>
      <c r="BA1144" s="241"/>
      <c r="BE1144" s="107"/>
      <c r="BF1144" s="220"/>
    </row>
    <row r="1145" spans="49:58">
      <c r="AW1145" s="107"/>
      <c r="AX1145" s="195"/>
      <c r="AY1145" s="105"/>
      <c r="AZ1145" s="220"/>
      <c r="BA1145" s="241"/>
      <c r="BE1145" s="107"/>
      <c r="BF1145" s="220"/>
    </row>
    <row r="1146" spans="49:58">
      <c r="AW1146" s="107"/>
      <c r="AX1146" s="195"/>
      <c r="AY1146" s="105"/>
      <c r="AZ1146" s="220"/>
      <c r="BA1146" s="241"/>
      <c r="BE1146" s="107"/>
      <c r="BF1146" s="220"/>
    </row>
    <row r="1147" spans="49:58">
      <c r="AW1147" s="107"/>
      <c r="AX1147" s="195"/>
      <c r="AY1147" s="105"/>
      <c r="AZ1147" s="220"/>
      <c r="BA1147" s="241"/>
      <c r="BE1147" s="107"/>
      <c r="BF1147" s="220"/>
    </row>
    <row r="1148" spans="49:58">
      <c r="AW1148" s="107"/>
      <c r="AX1148" s="195"/>
      <c r="AY1148" s="105"/>
      <c r="AZ1148" s="220"/>
      <c r="BA1148" s="241"/>
      <c r="BE1148" s="107"/>
      <c r="BF1148" s="220"/>
    </row>
    <row r="1149" spans="49:58">
      <c r="AW1149" s="107"/>
      <c r="AX1149" s="195"/>
      <c r="AY1149" s="105"/>
      <c r="AZ1149" s="220"/>
      <c r="BA1149" s="241"/>
      <c r="BE1149" s="107"/>
      <c r="BF1149" s="220"/>
    </row>
    <row r="1150" spans="49:58">
      <c r="AW1150" s="107"/>
      <c r="AX1150" s="195"/>
      <c r="AY1150" s="105"/>
      <c r="AZ1150" s="220"/>
      <c r="BA1150" s="241"/>
      <c r="BE1150" s="107"/>
      <c r="BF1150" s="220"/>
    </row>
    <row r="1151" spans="49:58">
      <c r="AW1151" s="107"/>
      <c r="AX1151" s="195"/>
      <c r="AY1151" s="105"/>
      <c r="AZ1151" s="220"/>
      <c r="BA1151" s="241"/>
      <c r="BE1151" s="107"/>
      <c r="BF1151" s="220"/>
    </row>
    <row r="1152" spans="49:58">
      <c r="AW1152" s="107"/>
      <c r="AX1152" s="195"/>
      <c r="AY1152" s="105"/>
      <c r="AZ1152" s="220"/>
      <c r="BA1152" s="241"/>
      <c r="BE1152" s="107"/>
      <c r="BF1152" s="220"/>
    </row>
    <row r="1153" spans="49:58">
      <c r="AW1153" s="107"/>
      <c r="AX1153" s="195"/>
      <c r="AY1153" s="105"/>
      <c r="AZ1153" s="220"/>
      <c r="BA1153" s="241"/>
      <c r="BE1153" s="107"/>
      <c r="BF1153" s="220"/>
    </row>
    <row r="1154" spans="49:58">
      <c r="AW1154" s="107"/>
      <c r="AX1154" s="195"/>
      <c r="AY1154" s="105"/>
      <c r="AZ1154" s="220"/>
      <c r="BA1154" s="241"/>
      <c r="BE1154" s="107"/>
      <c r="BF1154" s="220"/>
    </row>
    <row r="1155" spans="49:58">
      <c r="AW1155" s="107"/>
      <c r="AX1155" s="195"/>
      <c r="AY1155" s="105"/>
      <c r="AZ1155" s="220"/>
      <c r="BA1155" s="241"/>
      <c r="BE1155" s="107"/>
      <c r="BF1155" s="220"/>
    </row>
    <row r="1156" spans="49:58">
      <c r="AW1156" s="107"/>
      <c r="AX1156" s="195"/>
      <c r="AY1156" s="105"/>
      <c r="AZ1156" s="220"/>
      <c r="BA1156" s="241"/>
      <c r="BE1156" s="107"/>
      <c r="BF1156" s="220"/>
    </row>
    <row r="1157" spans="49:58">
      <c r="AW1157" s="107"/>
      <c r="AX1157" s="195"/>
      <c r="AY1157" s="105"/>
      <c r="AZ1157" s="220"/>
      <c r="BA1157" s="241"/>
      <c r="BE1157" s="107"/>
      <c r="BF1157" s="220"/>
    </row>
    <row r="1158" spans="49:58">
      <c r="AW1158" s="107"/>
      <c r="AX1158" s="195"/>
      <c r="AY1158" s="105"/>
      <c r="AZ1158" s="220"/>
      <c r="BA1158" s="241"/>
      <c r="BE1158" s="107"/>
      <c r="BF1158" s="220"/>
    </row>
    <row r="1159" spans="49:58">
      <c r="AW1159" s="107"/>
      <c r="AX1159" s="195"/>
      <c r="AY1159" s="105"/>
      <c r="AZ1159" s="220"/>
      <c r="BA1159" s="241"/>
      <c r="BE1159" s="107"/>
      <c r="BF1159" s="220"/>
    </row>
    <row r="1160" spans="49:58">
      <c r="AW1160" s="107"/>
      <c r="AX1160" s="195"/>
      <c r="AY1160" s="105"/>
      <c r="AZ1160" s="220"/>
      <c r="BA1160" s="241"/>
      <c r="BE1160" s="107"/>
      <c r="BF1160" s="220"/>
    </row>
    <row r="1161" spans="49:58">
      <c r="AW1161" s="107"/>
      <c r="AX1161" s="195"/>
      <c r="AY1161" s="105"/>
      <c r="AZ1161" s="220"/>
      <c r="BA1161" s="241"/>
      <c r="BE1161" s="107"/>
      <c r="BF1161" s="220"/>
    </row>
    <row r="1162" spans="49:58">
      <c r="AW1162" s="107"/>
      <c r="AX1162" s="195"/>
      <c r="AY1162" s="105"/>
      <c r="AZ1162" s="220"/>
      <c r="BA1162" s="241"/>
      <c r="BE1162" s="107"/>
      <c r="BF1162" s="220"/>
    </row>
    <row r="1163" spans="49:58">
      <c r="AW1163" s="107"/>
      <c r="AX1163" s="195"/>
      <c r="AY1163" s="105"/>
      <c r="AZ1163" s="220"/>
      <c r="BA1163" s="241"/>
      <c r="BE1163" s="107"/>
      <c r="BF1163" s="220"/>
    </row>
    <row r="1164" spans="49:58">
      <c r="AW1164" s="107"/>
      <c r="AX1164" s="195"/>
      <c r="AY1164" s="105"/>
      <c r="AZ1164" s="220"/>
      <c r="BA1164" s="241"/>
      <c r="BE1164" s="107"/>
      <c r="BF1164" s="220"/>
    </row>
    <row r="1165" spans="49:58">
      <c r="AW1165" s="107"/>
      <c r="AX1165" s="195"/>
      <c r="AY1165" s="105"/>
      <c r="AZ1165" s="220"/>
      <c r="BA1165" s="241"/>
      <c r="BE1165" s="107"/>
      <c r="BF1165" s="220"/>
    </row>
    <row r="1166" spans="49:58">
      <c r="AW1166" s="107"/>
      <c r="AX1166" s="195"/>
      <c r="AY1166" s="105"/>
      <c r="AZ1166" s="220"/>
      <c r="BA1166" s="241"/>
      <c r="BE1166" s="107"/>
      <c r="BF1166" s="220"/>
    </row>
    <row r="1167" spans="49:58">
      <c r="AW1167" s="107"/>
      <c r="AX1167" s="195"/>
      <c r="AY1167" s="105"/>
      <c r="AZ1167" s="220"/>
      <c r="BA1167" s="241"/>
      <c r="BE1167" s="107"/>
      <c r="BF1167" s="220"/>
    </row>
    <row r="1168" spans="49:58">
      <c r="AW1168" s="107"/>
      <c r="AX1168" s="195"/>
      <c r="AY1168" s="105"/>
      <c r="AZ1168" s="220"/>
      <c r="BA1168" s="241"/>
      <c r="BE1168" s="107"/>
      <c r="BF1168" s="220"/>
    </row>
    <row r="1169" spans="49:58">
      <c r="AW1169" s="107"/>
      <c r="AX1169" s="195"/>
      <c r="AY1169" s="105"/>
      <c r="AZ1169" s="220"/>
      <c r="BA1169" s="241"/>
      <c r="BE1169" s="107"/>
      <c r="BF1169" s="220"/>
    </row>
    <row r="1170" spans="49:58">
      <c r="AW1170" s="107"/>
      <c r="AX1170" s="195"/>
      <c r="AY1170" s="105"/>
      <c r="AZ1170" s="220"/>
      <c r="BA1170" s="241"/>
      <c r="BE1170" s="107"/>
      <c r="BF1170" s="220"/>
    </row>
    <row r="1171" spans="49:58">
      <c r="AW1171" s="107"/>
      <c r="AX1171" s="195"/>
      <c r="AY1171" s="105"/>
      <c r="AZ1171" s="220"/>
      <c r="BA1171" s="241"/>
      <c r="BE1171" s="107"/>
      <c r="BF1171" s="220"/>
    </row>
    <row r="1172" spans="49:58">
      <c r="AW1172" s="107"/>
      <c r="AX1172" s="195"/>
      <c r="AY1172" s="105"/>
      <c r="AZ1172" s="220"/>
      <c r="BA1172" s="241"/>
      <c r="BE1172" s="107"/>
      <c r="BF1172" s="220"/>
    </row>
    <row r="1173" spans="49:58">
      <c r="AW1173" s="107"/>
      <c r="AX1173" s="195"/>
      <c r="AY1173" s="105"/>
      <c r="AZ1173" s="220"/>
      <c r="BA1173" s="241"/>
      <c r="BE1173" s="107"/>
      <c r="BF1173" s="220"/>
    </row>
    <row r="1174" spans="49:58">
      <c r="AW1174" s="107"/>
      <c r="AX1174" s="195"/>
      <c r="AY1174" s="105"/>
      <c r="AZ1174" s="220"/>
      <c r="BA1174" s="241"/>
      <c r="BE1174" s="107"/>
      <c r="BF1174" s="220"/>
    </row>
    <row r="1175" spans="49:58">
      <c r="AW1175" s="107"/>
      <c r="AX1175" s="195"/>
      <c r="AY1175" s="105"/>
      <c r="AZ1175" s="220"/>
      <c r="BA1175" s="241"/>
      <c r="BE1175" s="107"/>
      <c r="BF1175" s="220"/>
    </row>
    <row r="1176" spans="49:58">
      <c r="AW1176" s="107"/>
      <c r="AX1176" s="195"/>
      <c r="AY1176" s="105"/>
      <c r="AZ1176" s="220"/>
      <c r="BA1176" s="241"/>
      <c r="BE1176" s="107"/>
      <c r="BF1176" s="220"/>
    </row>
    <row r="1177" spans="49:58">
      <c r="AW1177" s="107"/>
      <c r="AX1177" s="195"/>
      <c r="AY1177" s="105"/>
      <c r="AZ1177" s="220"/>
      <c r="BA1177" s="241"/>
      <c r="BE1177" s="107"/>
      <c r="BF1177" s="220"/>
    </row>
    <row r="1178" spans="49:58">
      <c r="AW1178" s="107"/>
      <c r="AX1178" s="195"/>
      <c r="AY1178" s="105"/>
      <c r="AZ1178" s="220"/>
      <c r="BA1178" s="241"/>
      <c r="BE1178" s="107"/>
      <c r="BF1178" s="220"/>
    </row>
    <row r="1179" spans="49:58">
      <c r="AW1179" s="107"/>
      <c r="AX1179" s="195"/>
      <c r="AY1179" s="105"/>
      <c r="AZ1179" s="220"/>
      <c r="BA1179" s="241"/>
      <c r="BE1179" s="107"/>
      <c r="BF1179" s="220"/>
    </row>
    <row r="1180" spans="49:58">
      <c r="AW1180" s="107"/>
      <c r="AX1180" s="195"/>
      <c r="AY1180" s="105"/>
      <c r="AZ1180" s="220"/>
      <c r="BA1180" s="241"/>
      <c r="BE1180" s="107"/>
      <c r="BF1180" s="220"/>
    </row>
    <row r="1181" spans="49:58">
      <c r="AW1181" s="107"/>
      <c r="AX1181" s="195"/>
      <c r="AY1181" s="105"/>
      <c r="AZ1181" s="220"/>
      <c r="BA1181" s="241"/>
      <c r="BE1181" s="107"/>
      <c r="BF1181" s="220"/>
    </row>
    <row r="1182" spans="49:58">
      <c r="AW1182" s="107"/>
      <c r="AX1182" s="195"/>
      <c r="AY1182" s="105"/>
      <c r="AZ1182" s="220"/>
      <c r="BA1182" s="241"/>
      <c r="BE1182" s="107"/>
      <c r="BF1182" s="220"/>
    </row>
    <row r="1183" spans="49:58">
      <c r="AW1183" s="107"/>
      <c r="AX1183" s="195"/>
      <c r="AY1183" s="105"/>
      <c r="AZ1183" s="220"/>
      <c r="BA1183" s="241"/>
      <c r="BE1183" s="107"/>
      <c r="BF1183" s="220"/>
    </row>
    <row r="1184" spans="49:58">
      <c r="AW1184" s="107"/>
      <c r="AX1184" s="195"/>
      <c r="AY1184" s="105"/>
      <c r="AZ1184" s="220"/>
      <c r="BA1184" s="241"/>
      <c r="BE1184" s="107"/>
      <c r="BF1184" s="220"/>
    </row>
    <row r="1185" spans="49:58">
      <c r="AW1185" s="107"/>
      <c r="AX1185" s="195"/>
      <c r="AY1185" s="105"/>
      <c r="AZ1185" s="220"/>
      <c r="BA1185" s="241"/>
      <c r="BE1185" s="107"/>
      <c r="BF1185" s="220"/>
    </row>
    <row r="1186" spans="49:58">
      <c r="AW1186" s="107"/>
      <c r="AX1186" s="195"/>
      <c r="AY1186" s="105"/>
      <c r="AZ1186" s="220"/>
      <c r="BA1186" s="241"/>
      <c r="BE1186" s="107"/>
      <c r="BF1186" s="220"/>
    </row>
    <row r="1187" spans="49:58">
      <c r="AW1187" s="107"/>
      <c r="AX1187" s="195"/>
      <c r="AY1187" s="105"/>
      <c r="AZ1187" s="220"/>
      <c r="BA1187" s="241"/>
      <c r="BE1187" s="107"/>
      <c r="BF1187" s="220"/>
    </row>
    <row r="1188" spans="49:58">
      <c r="AW1188" s="107"/>
      <c r="AX1188" s="195"/>
      <c r="AY1188" s="105"/>
      <c r="AZ1188" s="220"/>
      <c r="BA1188" s="241"/>
      <c r="BE1188" s="107"/>
      <c r="BF1188" s="220"/>
    </row>
    <row r="1189" spans="49:58">
      <c r="AW1189" s="107"/>
      <c r="AX1189" s="195"/>
      <c r="AY1189" s="105"/>
      <c r="AZ1189" s="220"/>
      <c r="BA1189" s="241"/>
      <c r="BE1189" s="107"/>
      <c r="BF1189" s="220"/>
    </row>
    <row r="1190" spans="49:58">
      <c r="AW1190" s="107"/>
      <c r="AX1190" s="195"/>
      <c r="AY1190" s="105"/>
      <c r="AZ1190" s="220"/>
      <c r="BA1190" s="241"/>
      <c r="BE1190" s="107"/>
      <c r="BF1190" s="220"/>
    </row>
    <row r="1191" spans="49:58">
      <c r="AW1191" s="107"/>
      <c r="AX1191" s="195"/>
      <c r="AY1191" s="105"/>
      <c r="AZ1191" s="220"/>
      <c r="BA1191" s="241"/>
      <c r="BE1191" s="107"/>
      <c r="BF1191" s="220"/>
    </row>
    <row r="1192" spans="49:58">
      <c r="AW1192" s="107"/>
      <c r="AX1192" s="195"/>
      <c r="AY1192" s="105"/>
      <c r="AZ1192" s="220"/>
      <c r="BA1192" s="241"/>
      <c r="BE1192" s="107"/>
      <c r="BF1192" s="220"/>
    </row>
    <row r="1193" spans="49:58">
      <c r="AW1193" s="107"/>
      <c r="AX1193" s="195"/>
      <c r="AY1193" s="105"/>
      <c r="AZ1193" s="220"/>
      <c r="BA1193" s="241"/>
      <c r="BE1193" s="107"/>
      <c r="BF1193" s="220"/>
    </row>
    <row r="1194" spans="49:58">
      <c r="AW1194" s="107"/>
      <c r="AX1194" s="195"/>
      <c r="AY1194" s="105"/>
      <c r="AZ1194" s="220"/>
      <c r="BA1194" s="241"/>
      <c r="BE1194" s="107"/>
      <c r="BF1194" s="220"/>
    </row>
    <row r="1195" spans="49:58">
      <c r="AW1195" s="107"/>
      <c r="AX1195" s="195"/>
      <c r="AY1195" s="105"/>
      <c r="AZ1195" s="220"/>
      <c r="BA1195" s="241"/>
      <c r="BE1195" s="107"/>
      <c r="BF1195" s="220"/>
    </row>
    <row r="1196" spans="49:58">
      <c r="AW1196" s="107"/>
      <c r="AX1196" s="195"/>
      <c r="AY1196" s="105"/>
      <c r="AZ1196" s="220"/>
      <c r="BA1196" s="241"/>
      <c r="BE1196" s="107"/>
      <c r="BF1196" s="220"/>
    </row>
    <row r="1197" spans="49:58">
      <c r="AW1197" s="107"/>
      <c r="AX1197" s="195"/>
      <c r="AY1197" s="105"/>
      <c r="AZ1197" s="220"/>
      <c r="BA1197" s="241"/>
      <c r="BE1197" s="107"/>
      <c r="BF1197" s="220"/>
    </row>
    <row r="1198" spans="49:58">
      <c r="AW1198" s="107"/>
      <c r="AX1198" s="195"/>
      <c r="AY1198" s="105"/>
      <c r="AZ1198" s="220"/>
      <c r="BA1198" s="241"/>
      <c r="BE1198" s="107"/>
      <c r="BF1198" s="220"/>
    </row>
    <row r="1199" spans="49:58">
      <c r="AW1199" s="107"/>
      <c r="AX1199" s="195"/>
      <c r="AY1199" s="105"/>
      <c r="AZ1199" s="220"/>
      <c r="BA1199" s="241"/>
      <c r="BE1199" s="107"/>
      <c r="BF1199" s="220"/>
    </row>
    <row r="1200" spans="49:58">
      <c r="AW1200" s="107"/>
      <c r="AX1200" s="195"/>
      <c r="AY1200" s="105"/>
      <c r="AZ1200" s="220"/>
      <c r="BA1200" s="241"/>
      <c r="BE1200" s="107"/>
      <c r="BF1200" s="220"/>
    </row>
    <row r="1201" spans="49:58">
      <c r="AW1201" s="107"/>
      <c r="AX1201" s="195"/>
      <c r="AY1201" s="105"/>
      <c r="AZ1201" s="220"/>
      <c r="BA1201" s="241"/>
      <c r="BE1201" s="107"/>
      <c r="BF1201" s="220"/>
    </row>
    <row r="1202" spans="49:58">
      <c r="AW1202" s="107"/>
      <c r="AX1202" s="195"/>
      <c r="AY1202" s="105"/>
      <c r="AZ1202" s="220"/>
      <c r="BA1202" s="241"/>
      <c r="BE1202" s="107"/>
      <c r="BF1202" s="220"/>
    </row>
    <row r="1203" spans="49:58">
      <c r="AW1203" s="107"/>
      <c r="AX1203" s="195"/>
      <c r="AY1203" s="105"/>
      <c r="AZ1203" s="220"/>
      <c r="BA1203" s="241"/>
      <c r="BE1203" s="107"/>
      <c r="BF1203" s="220"/>
    </row>
    <row r="1204" spans="49:58">
      <c r="AW1204" s="107"/>
      <c r="AX1204" s="195"/>
      <c r="AY1204" s="105"/>
      <c r="AZ1204" s="220"/>
      <c r="BA1204" s="241"/>
      <c r="BE1204" s="107"/>
      <c r="BF1204" s="220"/>
    </row>
    <row r="1205" spans="49:58">
      <c r="AW1205" s="107"/>
      <c r="AX1205" s="195"/>
      <c r="AY1205" s="105"/>
      <c r="AZ1205" s="220"/>
      <c r="BA1205" s="241"/>
      <c r="BE1205" s="107"/>
      <c r="BF1205" s="220"/>
    </row>
    <row r="1206" spans="49:58">
      <c r="AW1206" s="107"/>
      <c r="AX1206" s="195"/>
      <c r="AY1206" s="105"/>
      <c r="AZ1206" s="220"/>
      <c r="BA1206" s="241"/>
      <c r="BE1206" s="107"/>
      <c r="BF1206" s="220"/>
    </row>
    <row r="1207" spans="49:58">
      <c r="AW1207" s="107"/>
      <c r="AX1207" s="195"/>
      <c r="AY1207" s="105"/>
      <c r="AZ1207" s="220"/>
      <c r="BA1207" s="241"/>
      <c r="BE1207" s="107"/>
      <c r="BF1207" s="220"/>
    </row>
    <row r="1208" spans="49:58">
      <c r="AW1208" s="107"/>
      <c r="AX1208" s="195"/>
      <c r="AY1208" s="105"/>
      <c r="AZ1208" s="220"/>
      <c r="BA1208" s="241"/>
      <c r="BE1208" s="107"/>
      <c r="BF1208" s="220"/>
    </row>
    <row r="1209" spans="49:58">
      <c r="AW1209" s="107"/>
      <c r="AX1209" s="195"/>
      <c r="AY1209" s="105"/>
      <c r="AZ1209" s="220"/>
      <c r="BA1209" s="241"/>
      <c r="BE1209" s="107"/>
      <c r="BF1209" s="220"/>
    </row>
    <row r="1210" spans="49:58">
      <c r="AW1210" s="107"/>
      <c r="AX1210" s="195"/>
      <c r="AY1210" s="105"/>
      <c r="AZ1210" s="220"/>
      <c r="BA1210" s="241"/>
      <c r="BE1210" s="107"/>
      <c r="BF1210" s="220"/>
    </row>
    <row r="1211" spans="49:58">
      <c r="AW1211" s="107"/>
      <c r="AX1211" s="195"/>
      <c r="AY1211" s="105"/>
      <c r="AZ1211" s="220"/>
      <c r="BA1211" s="241"/>
      <c r="BE1211" s="107"/>
      <c r="BF1211" s="220"/>
    </row>
    <row r="1212" spans="49:58">
      <c r="AW1212" s="107"/>
      <c r="AX1212" s="195"/>
      <c r="AY1212" s="105"/>
      <c r="AZ1212" s="220"/>
      <c r="BA1212" s="241"/>
      <c r="BE1212" s="107"/>
      <c r="BF1212" s="220"/>
    </row>
    <row r="1213" spans="49:58">
      <c r="AW1213" s="107"/>
      <c r="AX1213" s="195"/>
      <c r="AY1213" s="105"/>
      <c r="AZ1213" s="220"/>
      <c r="BA1213" s="241"/>
      <c r="BE1213" s="107"/>
      <c r="BF1213" s="220"/>
    </row>
    <row r="1214" spans="49:58">
      <c r="AW1214" s="107"/>
      <c r="AX1214" s="195"/>
      <c r="AY1214" s="105"/>
      <c r="AZ1214" s="220"/>
      <c r="BA1214" s="241"/>
      <c r="BE1214" s="107"/>
      <c r="BF1214" s="220"/>
    </row>
    <row r="1215" spans="49:58">
      <c r="AW1215" s="107"/>
      <c r="AX1215" s="195"/>
      <c r="AY1215" s="105"/>
      <c r="AZ1215" s="220"/>
      <c r="BA1215" s="241"/>
      <c r="BE1215" s="107"/>
      <c r="BF1215" s="220"/>
    </row>
    <row r="1216" spans="49:58">
      <c r="AW1216" s="107"/>
      <c r="AX1216" s="195"/>
      <c r="AY1216" s="105"/>
      <c r="AZ1216" s="220"/>
      <c r="BA1216" s="241"/>
      <c r="BE1216" s="107"/>
      <c r="BF1216" s="220"/>
    </row>
    <row r="1217" spans="49:58">
      <c r="AW1217" s="107"/>
      <c r="AX1217" s="195"/>
      <c r="AY1217" s="105"/>
      <c r="AZ1217" s="220"/>
      <c r="BA1217" s="241"/>
      <c r="BE1217" s="107"/>
      <c r="BF1217" s="220"/>
    </row>
    <row r="1218" spans="49:58">
      <c r="AW1218" s="107"/>
      <c r="AX1218" s="195"/>
      <c r="AY1218" s="105"/>
      <c r="AZ1218" s="220"/>
      <c r="BA1218" s="241"/>
      <c r="BE1218" s="107"/>
      <c r="BF1218" s="220"/>
    </row>
    <row r="1219" spans="49:58">
      <c r="AW1219" s="107"/>
      <c r="AX1219" s="195"/>
      <c r="AY1219" s="105"/>
      <c r="AZ1219" s="220"/>
      <c r="BA1219" s="241"/>
      <c r="BE1219" s="107"/>
      <c r="BF1219" s="220"/>
    </row>
    <row r="1220" spans="49:58">
      <c r="AW1220" s="107"/>
      <c r="AX1220" s="195"/>
      <c r="AY1220" s="105"/>
      <c r="AZ1220" s="220"/>
      <c r="BA1220" s="241"/>
      <c r="BE1220" s="107"/>
      <c r="BF1220" s="220"/>
    </row>
    <row r="1221" spans="49:58">
      <c r="AW1221" s="107"/>
      <c r="AX1221" s="195"/>
      <c r="AY1221" s="105"/>
      <c r="AZ1221" s="220"/>
      <c r="BA1221" s="241"/>
      <c r="BE1221" s="107"/>
      <c r="BF1221" s="220"/>
    </row>
    <row r="1222" spans="49:58">
      <c r="AW1222" s="107"/>
      <c r="AX1222" s="195"/>
      <c r="AY1222" s="105"/>
      <c r="AZ1222" s="220"/>
      <c r="BA1222" s="241"/>
      <c r="BE1222" s="107"/>
      <c r="BF1222" s="220"/>
    </row>
    <row r="1223" spans="49:58">
      <c r="AW1223" s="107"/>
      <c r="AX1223" s="195"/>
      <c r="AY1223" s="105"/>
      <c r="AZ1223" s="220"/>
      <c r="BA1223" s="241"/>
      <c r="BE1223" s="107"/>
      <c r="BF1223" s="220"/>
    </row>
    <row r="1224" spans="49:58">
      <c r="AW1224" s="107"/>
      <c r="AX1224" s="195"/>
      <c r="AY1224" s="105"/>
      <c r="AZ1224" s="220"/>
      <c r="BA1224" s="241"/>
      <c r="BE1224" s="107"/>
      <c r="BF1224" s="220"/>
    </row>
    <row r="1225" spans="49:58">
      <c r="AW1225" s="107"/>
      <c r="AX1225" s="195"/>
      <c r="AY1225" s="105"/>
      <c r="AZ1225" s="220"/>
      <c r="BA1225" s="241"/>
      <c r="BE1225" s="107"/>
      <c r="BF1225" s="220"/>
    </row>
    <row r="1226" spans="49:58">
      <c r="AW1226" s="107"/>
      <c r="AX1226" s="195"/>
      <c r="AY1226" s="105"/>
      <c r="AZ1226" s="220"/>
      <c r="BA1226" s="241"/>
      <c r="BE1226" s="107"/>
      <c r="BF1226" s="220"/>
    </row>
    <row r="1227" spans="49:58">
      <c r="AW1227" s="107"/>
      <c r="AX1227" s="195"/>
      <c r="AY1227" s="105"/>
      <c r="AZ1227" s="220"/>
      <c r="BA1227" s="241"/>
      <c r="BE1227" s="107"/>
      <c r="BF1227" s="220"/>
    </row>
    <row r="1228" spans="49:58">
      <c r="AW1228" s="107"/>
      <c r="AX1228" s="195"/>
      <c r="AY1228" s="105"/>
      <c r="AZ1228" s="220"/>
      <c r="BA1228" s="241"/>
      <c r="BE1228" s="107"/>
      <c r="BF1228" s="220"/>
    </row>
    <row r="1229" spans="49:58">
      <c r="AW1229" s="107"/>
      <c r="AX1229" s="195"/>
      <c r="AY1229" s="105"/>
      <c r="AZ1229" s="220"/>
      <c r="BA1229" s="241"/>
      <c r="BE1229" s="107"/>
      <c r="BF1229" s="220"/>
    </row>
    <row r="1230" spans="49:58">
      <c r="AW1230" s="107"/>
      <c r="AX1230" s="195"/>
      <c r="AY1230" s="105"/>
      <c r="AZ1230" s="220"/>
      <c r="BA1230" s="241"/>
      <c r="BE1230" s="107"/>
      <c r="BF1230" s="220"/>
    </row>
    <row r="1231" spans="49:58">
      <c r="AW1231" s="107"/>
      <c r="AX1231" s="195"/>
      <c r="AY1231" s="105"/>
      <c r="AZ1231" s="220"/>
      <c r="BA1231" s="241"/>
      <c r="BE1231" s="107"/>
      <c r="BF1231" s="220"/>
    </row>
    <row r="1232" spans="49:58">
      <c r="AW1232" s="107"/>
      <c r="AX1232" s="195"/>
      <c r="AY1232" s="105"/>
      <c r="AZ1232" s="220"/>
      <c r="BA1232" s="241"/>
      <c r="BE1232" s="107"/>
      <c r="BF1232" s="220"/>
    </row>
    <row r="1233" spans="49:58">
      <c r="AW1233" s="107"/>
      <c r="AX1233" s="195"/>
      <c r="AY1233" s="105"/>
      <c r="AZ1233" s="220"/>
      <c r="BA1233" s="241"/>
      <c r="BE1233" s="107"/>
      <c r="BF1233" s="220"/>
    </row>
    <row r="1234" spans="49:58">
      <c r="AW1234" s="107"/>
      <c r="AX1234" s="195"/>
      <c r="AY1234" s="105"/>
      <c r="AZ1234" s="220"/>
      <c r="BA1234" s="241"/>
      <c r="BE1234" s="107"/>
      <c r="BF1234" s="220"/>
    </row>
    <row r="1235" spans="49:58">
      <c r="AW1235" s="107"/>
      <c r="AX1235" s="195"/>
      <c r="AY1235" s="105"/>
      <c r="AZ1235" s="220"/>
      <c r="BA1235" s="241"/>
      <c r="BE1235" s="107"/>
      <c r="BF1235" s="220"/>
    </row>
    <row r="1236" spans="49:58">
      <c r="AW1236" s="107"/>
      <c r="AX1236" s="195"/>
      <c r="AY1236" s="105"/>
      <c r="AZ1236" s="220"/>
      <c r="BA1236" s="241"/>
      <c r="BE1236" s="107"/>
      <c r="BF1236" s="220"/>
    </row>
    <row r="1237" spans="49:58">
      <c r="AW1237" s="107"/>
      <c r="AX1237" s="195"/>
      <c r="AY1237" s="105"/>
      <c r="AZ1237" s="220"/>
      <c r="BA1237" s="241"/>
      <c r="BE1237" s="107"/>
      <c r="BF1237" s="220"/>
    </row>
    <row r="1238" spans="49:58">
      <c r="AW1238" s="107"/>
      <c r="AX1238" s="195"/>
      <c r="AY1238" s="105"/>
      <c r="AZ1238" s="220"/>
      <c r="BA1238" s="241"/>
      <c r="BE1238" s="107"/>
      <c r="BF1238" s="220"/>
    </row>
    <row r="1239" spans="49:58">
      <c r="AW1239" s="107"/>
      <c r="AX1239" s="195"/>
      <c r="AY1239" s="105"/>
      <c r="AZ1239" s="220"/>
      <c r="BA1239" s="241"/>
      <c r="BE1239" s="107"/>
      <c r="BF1239" s="220"/>
    </row>
    <row r="1240" spans="49:58">
      <c r="AW1240" s="107"/>
      <c r="AX1240" s="195"/>
      <c r="AY1240" s="105"/>
      <c r="AZ1240" s="220"/>
      <c r="BA1240" s="241"/>
      <c r="BE1240" s="107"/>
      <c r="BF1240" s="220"/>
    </row>
    <row r="1241" spans="49:58">
      <c r="AW1241" s="107"/>
      <c r="AX1241" s="195"/>
      <c r="AY1241" s="105"/>
      <c r="AZ1241" s="220"/>
      <c r="BA1241" s="241"/>
      <c r="BE1241" s="107"/>
      <c r="BF1241" s="220"/>
    </row>
    <row r="1242" spans="49:58">
      <c r="AW1242" s="107"/>
      <c r="AX1242" s="195"/>
      <c r="AY1242" s="105"/>
      <c r="AZ1242" s="220"/>
      <c r="BA1242" s="241"/>
      <c r="BE1242" s="107"/>
      <c r="BF1242" s="220"/>
    </row>
    <row r="1243" spans="49:58">
      <c r="AW1243" s="107"/>
      <c r="AX1243" s="195"/>
      <c r="AY1243" s="105"/>
      <c r="AZ1243" s="220"/>
      <c r="BA1243" s="241"/>
      <c r="BE1243" s="107"/>
      <c r="BF1243" s="220"/>
    </row>
    <row r="1244" spans="49:58">
      <c r="AW1244" s="107"/>
      <c r="AX1244" s="195"/>
      <c r="AY1244" s="105"/>
      <c r="AZ1244" s="220"/>
      <c r="BA1244" s="241"/>
      <c r="BE1244" s="107"/>
      <c r="BF1244" s="220"/>
    </row>
    <row r="1245" spans="49:58">
      <c r="AW1245" s="107"/>
      <c r="AX1245" s="195"/>
      <c r="AY1245" s="105"/>
      <c r="AZ1245" s="220"/>
      <c r="BA1245" s="241"/>
      <c r="BE1245" s="107"/>
      <c r="BF1245" s="220"/>
    </row>
    <row r="1246" spans="49:58">
      <c r="AW1246" s="107"/>
      <c r="AX1246" s="195"/>
      <c r="AY1246" s="105"/>
      <c r="AZ1246" s="220"/>
      <c r="BA1246" s="241"/>
      <c r="BE1246" s="107"/>
      <c r="BF1246" s="220"/>
    </row>
    <row r="1247" spans="49:58">
      <c r="AW1247" s="107"/>
      <c r="AX1247" s="195"/>
      <c r="AY1247" s="105"/>
      <c r="AZ1247" s="220"/>
      <c r="BA1247" s="241"/>
      <c r="BE1247" s="107"/>
      <c r="BF1247" s="220"/>
    </row>
    <row r="1248" spans="49:58">
      <c r="AW1248" s="107"/>
      <c r="AX1248" s="195"/>
      <c r="AY1248" s="105"/>
      <c r="AZ1248" s="220"/>
      <c r="BA1248" s="241"/>
      <c r="BE1248" s="107"/>
      <c r="BF1248" s="220"/>
    </row>
    <row r="1249" spans="49:58">
      <c r="AW1249" s="107"/>
      <c r="AX1249" s="195"/>
      <c r="AY1249" s="105"/>
      <c r="AZ1249" s="220"/>
      <c r="BA1249" s="241"/>
      <c r="BE1249" s="107"/>
      <c r="BF1249" s="220"/>
    </row>
    <row r="1250" spans="49:58">
      <c r="AW1250" s="107"/>
      <c r="AX1250" s="195"/>
      <c r="AY1250" s="105"/>
      <c r="AZ1250" s="220"/>
      <c r="BA1250" s="241"/>
      <c r="BE1250" s="107"/>
      <c r="BF1250" s="220"/>
    </row>
    <row r="1251" spans="49:58">
      <c r="AW1251" s="107"/>
      <c r="AX1251" s="195"/>
      <c r="AY1251" s="105"/>
      <c r="AZ1251" s="220"/>
      <c r="BA1251" s="241"/>
      <c r="BE1251" s="107"/>
      <c r="BF1251" s="220"/>
    </row>
    <row r="1252" spans="49:58">
      <c r="AW1252" s="107"/>
      <c r="AX1252" s="195"/>
      <c r="AY1252" s="105"/>
      <c r="AZ1252" s="220"/>
      <c r="BA1252" s="241"/>
      <c r="BE1252" s="107"/>
      <c r="BF1252" s="220"/>
    </row>
    <row r="1253" spans="49:58">
      <c r="AW1253" s="107"/>
      <c r="AX1253" s="195"/>
      <c r="AY1253" s="105"/>
      <c r="AZ1253" s="220"/>
      <c r="BA1253" s="241"/>
      <c r="BE1253" s="107"/>
      <c r="BF1253" s="220"/>
    </row>
    <row r="1254" spans="49:58">
      <c r="AW1254" s="107"/>
      <c r="AX1254" s="195"/>
      <c r="AY1254" s="105"/>
      <c r="AZ1254" s="220"/>
      <c r="BA1254" s="241"/>
      <c r="BE1254" s="107"/>
      <c r="BF1254" s="220"/>
    </row>
    <row r="1255" spans="49:58">
      <c r="AW1255" s="107"/>
      <c r="AX1255" s="195"/>
      <c r="AY1255" s="105"/>
      <c r="AZ1255" s="220"/>
      <c r="BA1255" s="241"/>
      <c r="BE1255" s="107"/>
      <c r="BF1255" s="220"/>
    </row>
    <row r="1256" spans="49:58">
      <c r="AW1256" s="107"/>
      <c r="AX1256" s="195"/>
      <c r="AY1256" s="105"/>
      <c r="AZ1256" s="220"/>
      <c r="BA1256" s="241"/>
      <c r="BE1256" s="107"/>
      <c r="BF1256" s="220"/>
    </row>
    <row r="1257" spans="49:58">
      <c r="AW1257" s="107"/>
      <c r="AX1257" s="195"/>
      <c r="AY1257" s="105"/>
      <c r="AZ1257" s="220"/>
      <c r="BA1257" s="241"/>
      <c r="BE1257" s="107"/>
      <c r="BF1257" s="220"/>
    </row>
    <row r="1258" spans="49:58">
      <c r="AW1258" s="107"/>
      <c r="AX1258" s="195"/>
      <c r="AY1258" s="105"/>
      <c r="AZ1258" s="220"/>
      <c r="BA1258" s="241"/>
      <c r="BE1258" s="107"/>
      <c r="BF1258" s="220"/>
    </row>
    <row r="1259" spans="49:58">
      <c r="AW1259" s="107"/>
      <c r="AX1259" s="195"/>
      <c r="AY1259" s="105"/>
      <c r="AZ1259" s="220"/>
      <c r="BA1259" s="241"/>
      <c r="BE1259" s="107"/>
      <c r="BF1259" s="220"/>
    </row>
    <row r="1260" spans="49:58">
      <c r="AW1260" s="107"/>
      <c r="AX1260" s="195"/>
      <c r="AY1260" s="105"/>
      <c r="AZ1260" s="220"/>
      <c r="BA1260" s="241"/>
      <c r="BE1260" s="107"/>
      <c r="BF1260" s="220"/>
    </row>
    <row r="1261" spans="49:58">
      <c r="AW1261" s="107"/>
      <c r="AX1261" s="195"/>
      <c r="AY1261" s="105"/>
      <c r="AZ1261" s="220"/>
      <c r="BA1261" s="241"/>
      <c r="BE1261" s="107"/>
      <c r="BF1261" s="220"/>
    </row>
    <row r="1262" spans="49:58">
      <c r="AW1262" s="107"/>
      <c r="AX1262" s="195"/>
      <c r="AY1262" s="105"/>
      <c r="AZ1262" s="220"/>
      <c r="BA1262" s="241"/>
      <c r="BE1262" s="107"/>
      <c r="BF1262" s="220"/>
    </row>
    <row r="1263" spans="49:58">
      <c r="AW1263" s="107"/>
      <c r="AX1263" s="195"/>
      <c r="AY1263" s="105"/>
      <c r="AZ1263" s="220"/>
      <c r="BA1263" s="241"/>
      <c r="BE1263" s="107"/>
      <c r="BF1263" s="220"/>
    </row>
    <row r="1264" spans="49:58">
      <c r="AW1264" s="107"/>
      <c r="AX1264" s="195"/>
      <c r="AY1264" s="105"/>
      <c r="AZ1264" s="220"/>
      <c r="BA1264" s="241"/>
      <c r="BE1264" s="107"/>
      <c r="BF1264" s="220"/>
    </row>
    <row r="1265" spans="49:58">
      <c r="AW1265" s="107"/>
      <c r="AX1265" s="195"/>
      <c r="AY1265" s="105"/>
      <c r="AZ1265" s="220"/>
      <c r="BA1265" s="241"/>
      <c r="BE1265" s="107"/>
      <c r="BF1265" s="220"/>
    </row>
    <row r="1266" spans="49:58">
      <c r="AW1266" s="107"/>
      <c r="AX1266" s="195"/>
      <c r="AY1266" s="105"/>
      <c r="AZ1266" s="220"/>
      <c r="BA1266" s="241"/>
      <c r="BE1266" s="107"/>
      <c r="BF1266" s="220"/>
    </row>
    <row r="1267" spans="49:58">
      <c r="AW1267" s="107"/>
      <c r="AX1267" s="195"/>
      <c r="AY1267" s="105"/>
      <c r="AZ1267" s="220"/>
      <c r="BA1267" s="241"/>
      <c r="BE1267" s="107"/>
      <c r="BF1267" s="220"/>
    </row>
    <row r="1268" spans="49:58">
      <c r="AW1268" s="107"/>
      <c r="AX1268" s="195"/>
      <c r="AY1268" s="105"/>
      <c r="AZ1268" s="220"/>
      <c r="BA1268" s="241"/>
      <c r="BE1268" s="107"/>
      <c r="BF1268" s="220"/>
    </row>
    <row r="1269" spans="49:58">
      <c r="AW1269" s="107"/>
      <c r="AX1269" s="195"/>
      <c r="AY1269" s="105"/>
      <c r="AZ1269" s="220"/>
      <c r="BA1269" s="241"/>
      <c r="BE1269" s="107"/>
      <c r="BF1269" s="220"/>
    </row>
    <row r="1270" spans="49:58">
      <c r="AW1270" s="107"/>
      <c r="AX1270" s="195"/>
      <c r="AY1270" s="105"/>
      <c r="AZ1270" s="220"/>
      <c r="BA1270" s="241"/>
      <c r="BE1270" s="107"/>
      <c r="BF1270" s="220"/>
    </row>
    <row r="1271" spans="49:58">
      <c r="AW1271" s="107"/>
      <c r="AX1271" s="195"/>
      <c r="AY1271" s="105"/>
      <c r="AZ1271" s="220"/>
      <c r="BA1271" s="241"/>
      <c r="BE1271" s="107"/>
      <c r="BF1271" s="220"/>
    </row>
    <row r="1272" spans="49:58">
      <c r="AW1272" s="107"/>
      <c r="AX1272" s="195"/>
      <c r="AY1272" s="105"/>
      <c r="AZ1272" s="220"/>
      <c r="BA1272" s="241"/>
      <c r="BE1272" s="107"/>
      <c r="BF1272" s="220"/>
    </row>
    <row r="1273" spans="49:58">
      <c r="AW1273" s="107"/>
      <c r="AX1273" s="195"/>
      <c r="AY1273" s="105"/>
      <c r="AZ1273" s="220"/>
      <c r="BA1273" s="241"/>
      <c r="BE1273" s="107"/>
      <c r="BF1273" s="220"/>
    </row>
    <row r="1274" spans="49:58">
      <c r="AW1274" s="107"/>
      <c r="AX1274" s="195"/>
      <c r="AY1274" s="105"/>
      <c r="AZ1274" s="220"/>
      <c r="BA1274" s="241"/>
      <c r="BE1274" s="107"/>
      <c r="BF1274" s="220"/>
    </row>
    <row r="1275" spans="49:58">
      <c r="AW1275" s="107"/>
      <c r="AX1275" s="195"/>
      <c r="AY1275" s="105"/>
      <c r="AZ1275" s="220"/>
      <c r="BA1275" s="241"/>
      <c r="BE1275" s="107"/>
      <c r="BF1275" s="220"/>
    </row>
    <row r="1276" spans="49:58">
      <c r="AW1276" s="107"/>
      <c r="AX1276" s="195"/>
      <c r="AY1276" s="105"/>
      <c r="AZ1276" s="220"/>
      <c r="BA1276" s="241"/>
      <c r="BE1276" s="107"/>
      <c r="BF1276" s="220"/>
    </row>
    <row r="1277" spans="49:58">
      <c r="AW1277" s="107"/>
      <c r="AX1277" s="195"/>
      <c r="AY1277" s="105"/>
      <c r="AZ1277" s="220"/>
      <c r="BA1277" s="241"/>
      <c r="BE1277" s="107"/>
      <c r="BF1277" s="220"/>
    </row>
    <row r="1278" spans="49:58">
      <c r="AW1278" s="107"/>
      <c r="AX1278" s="195"/>
      <c r="AY1278" s="105"/>
      <c r="AZ1278" s="220"/>
      <c r="BA1278" s="241"/>
      <c r="BE1278" s="107"/>
      <c r="BF1278" s="220"/>
    </row>
    <row r="1279" spans="49:58">
      <c r="AW1279" s="107"/>
      <c r="AX1279" s="195"/>
      <c r="AY1279" s="105"/>
      <c r="AZ1279" s="220"/>
      <c r="BA1279" s="241"/>
      <c r="BE1279" s="107"/>
      <c r="BF1279" s="220"/>
    </row>
    <row r="1280" spans="49:58">
      <c r="AW1280" s="107"/>
      <c r="AX1280" s="195"/>
      <c r="AY1280" s="105"/>
      <c r="AZ1280" s="220"/>
      <c r="BA1280" s="241"/>
      <c r="BE1280" s="107"/>
      <c r="BF1280" s="220"/>
    </row>
    <row r="1281" spans="49:58">
      <c r="AW1281" s="107"/>
      <c r="AX1281" s="195"/>
      <c r="AY1281" s="105"/>
      <c r="AZ1281" s="220"/>
      <c r="BA1281" s="241"/>
      <c r="BE1281" s="107"/>
      <c r="BF1281" s="220"/>
    </row>
    <row r="1282" spans="49:58">
      <c r="AW1282" s="107"/>
      <c r="AX1282" s="195"/>
      <c r="AY1282" s="105"/>
      <c r="AZ1282" s="220"/>
      <c r="BA1282" s="241"/>
      <c r="BE1282" s="107"/>
      <c r="BF1282" s="220"/>
    </row>
    <row r="1283" spans="49:58">
      <c r="AW1283" s="107"/>
      <c r="AX1283" s="195"/>
      <c r="AY1283" s="105"/>
      <c r="AZ1283" s="220"/>
      <c r="BA1283" s="241"/>
      <c r="BE1283" s="107"/>
      <c r="BF1283" s="220"/>
    </row>
    <row r="1284" spans="49:58">
      <c r="AW1284" s="107"/>
      <c r="AX1284" s="195"/>
      <c r="AY1284" s="105"/>
      <c r="AZ1284" s="220"/>
      <c r="BA1284" s="241"/>
      <c r="BE1284" s="107"/>
      <c r="BF1284" s="220"/>
    </row>
    <row r="1285" spans="49:58">
      <c r="AW1285" s="107"/>
      <c r="AX1285" s="195"/>
      <c r="AY1285" s="105"/>
      <c r="AZ1285" s="220"/>
      <c r="BA1285" s="241"/>
      <c r="BE1285" s="107"/>
      <c r="BF1285" s="220"/>
    </row>
    <row r="1286" spans="49:58">
      <c r="AW1286" s="107"/>
      <c r="AX1286" s="195"/>
      <c r="AY1286" s="105"/>
      <c r="AZ1286" s="220"/>
      <c r="BA1286" s="241"/>
      <c r="BE1286" s="107"/>
      <c r="BF1286" s="220"/>
    </row>
    <row r="1287" spans="49:58">
      <c r="AW1287" s="107"/>
      <c r="AX1287" s="195"/>
      <c r="AY1287" s="105"/>
      <c r="AZ1287" s="220"/>
      <c r="BA1287" s="241"/>
      <c r="BE1287" s="107"/>
      <c r="BF1287" s="220"/>
    </row>
    <row r="1288" spans="49:58">
      <c r="AW1288" s="107"/>
      <c r="AX1288" s="195"/>
      <c r="AY1288" s="105"/>
      <c r="AZ1288" s="220"/>
      <c r="BA1288" s="241"/>
      <c r="BE1288" s="107"/>
      <c r="BF1288" s="220"/>
    </row>
    <row r="1289" spans="49:58">
      <c r="AW1289" s="107"/>
      <c r="AX1289" s="195"/>
      <c r="AY1289" s="105"/>
      <c r="AZ1289" s="220"/>
      <c r="BA1289" s="241"/>
      <c r="BE1289" s="107"/>
      <c r="BF1289" s="220"/>
    </row>
    <row r="1290" spans="49:58">
      <c r="AW1290" s="107"/>
      <c r="AX1290" s="195"/>
      <c r="AY1290" s="105"/>
      <c r="AZ1290" s="220"/>
      <c r="BA1290" s="241"/>
      <c r="BE1290" s="107"/>
      <c r="BF1290" s="220"/>
    </row>
    <row r="1291" spans="49:58">
      <c r="AW1291" s="107"/>
      <c r="AX1291" s="195"/>
      <c r="AY1291" s="105"/>
      <c r="AZ1291" s="220"/>
      <c r="BA1291" s="241"/>
      <c r="BE1291" s="107"/>
      <c r="BF1291" s="220"/>
    </row>
    <row r="1292" spans="49:58">
      <c r="AW1292" s="107"/>
      <c r="AX1292" s="195"/>
      <c r="AY1292" s="105"/>
      <c r="AZ1292" s="220"/>
      <c r="BA1292" s="241"/>
      <c r="BE1292" s="107"/>
      <c r="BF1292" s="220"/>
    </row>
    <row r="1293" spans="49:58">
      <c r="AW1293" s="107"/>
      <c r="AX1293" s="195"/>
      <c r="AY1293" s="105"/>
      <c r="AZ1293" s="220"/>
      <c r="BA1293" s="241"/>
      <c r="BE1293" s="107"/>
      <c r="BF1293" s="220"/>
    </row>
    <row r="1294" spans="49:58">
      <c r="AW1294" s="107"/>
      <c r="AX1294" s="195"/>
      <c r="AY1294" s="105"/>
      <c r="AZ1294" s="220"/>
      <c r="BA1294" s="241"/>
      <c r="BE1294" s="107"/>
      <c r="BF1294" s="220"/>
    </row>
    <row r="1295" spans="49:58">
      <c r="AW1295" s="107"/>
      <c r="AX1295" s="195"/>
      <c r="AY1295" s="105"/>
      <c r="AZ1295" s="220"/>
      <c r="BA1295" s="241"/>
      <c r="BE1295" s="107"/>
      <c r="BF1295" s="220"/>
    </row>
    <row r="1296" spans="49:58">
      <c r="AW1296" s="107"/>
      <c r="AX1296" s="195"/>
      <c r="AY1296" s="105"/>
      <c r="AZ1296" s="220"/>
      <c r="BA1296" s="241"/>
      <c r="BE1296" s="107"/>
      <c r="BF1296" s="220"/>
    </row>
    <row r="1297" spans="49:58">
      <c r="AW1297" s="107"/>
      <c r="AX1297" s="195"/>
      <c r="AY1297" s="105"/>
      <c r="AZ1297" s="220"/>
      <c r="BA1297" s="241"/>
      <c r="BE1297" s="107"/>
      <c r="BF1297" s="220"/>
    </row>
    <row r="1298" spans="49:58">
      <c r="AW1298" s="107"/>
      <c r="AX1298" s="195"/>
      <c r="AY1298" s="105"/>
      <c r="AZ1298" s="220"/>
      <c r="BA1298" s="241"/>
      <c r="BE1298" s="107"/>
      <c r="BF1298" s="220"/>
    </row>
    <row r="1299" spans="49:58">
      <c r="AW1299" s="107"/>
      <c r="AX1299" s="195"/>
      <c r="AY1299" s="105"/>
      <c r="AZ1299" s="220"/>
      <c r="BA1299" s="241"/>
      <c r="BE1299" s="107"/>
      <c r="BF1299" s="220"/>
    </row>
    <row r="1300" spans="49:58">
      <c r="AW1300" s="107"/>
      <c r="AX1300" s="195"/>
      <c r="AY1300" s="105"/>
      <c r="AZ1300" s="220"/>
      <c r="BA1300" s="241"/>
      <c r="BE1300" s="107"/>
      <c r="BF1300" s="220"/>
    </row>
    <row r="1301" spans="49:58">
      <c r="AW1301" s="107"/>
      <c r="AX1301" s="195"/>
      <c r="AY1301" s="105"/>
      <c r="AZ1301" s="220"/>
      <c r="BA1301" s="241"/>
      <c r="BE1301" s="107"/>
      <c r="BF1301" s="220"/>
    </row>
    <row r="1302" spans="49:58">
      <c r="AW1302" s="107"/>
      <c r="AX1302" s="195"/>
      <c r="AY1302" s="105"/>
      <c r="AZ1302" s="220"/>
      <c r="BA1302" s="241"/>
      <c r="BE1302" s="107"/>
      <c r="BF1302" s="220"/>
    </row>
    <row r="1303" spans="49:58">
      <c r="AW1303" s="107"/>
      <c r="AX1303" s="195"/>
      <c r="AY1303" s="105"/>
      <c r="AZ1303" s="220"/>
      <c r="BA1303" s="241"/>
      <c r="BE1303" s="107"/>
      <c r="BF1303" s="220"/>
    </row>
    <row r="1304" spans="49:58">
      <c r="AW1304" s="107"/>
      <c r="AX1304" s="195"/>
      <c r="AY1304" s="105"/>
      <c r="AZ1304" s="220"/>
      <c r="BA1304" s="241"/>
      <c r="BE1304" s="107"/>
      <c r="BF1304" s="220"/>
    </row>
    <row r="1305" spans="49:58">
      <c r="AW1305" s="107"/>
      <c r="AX1305" s="195"/>
      <c r="AY1305" s="105"/>
      <c r="AZ1305" s="220"/>
      <c r="BA1305" s="241"/>
      <c r="BE1305" s="107"/>
      <c r="BF1305" s="220"/>
    </row>
    <row r="1306" spans="49:58">
      <c r="AW1306" s="107"/>
      <c r="AX1306" s="195"/>
      <c r="AY1306" s="105"/>
      <c r="AZ1306" s="220"/>
      <c r="BA1306" s="241"/>
      <c r="BE1306" s="107"/>
      <c r="BF1306" s="220"/>
    </row>
    <row r="1307" spans="49:58">
      <c r="AW1307" s="107"/>
      <c r="AX1307" s="195"/>
      <c r="AY1307" s="105"/>
      <c r="AZ1307" s="220"/>
      <c r="BA1307" s="241"/>
      <c r="BE1307" s="107"/>
      <c r="BF1307" s="220"/>
    </row>
    <row r="1308" spans="49:58">
      <c r="AW1308" s="107"/>
      <c r="AX1308" s="195"/>
      <c r="AY1308" s="105"/>
      <c r="AZ1308" s="220"/>
      <c r="BA1308" s="241"/>
      <c r="BE1308" s="107"/>
      <c r="BF1308" s="220"/>
    </row>
    <row r="1309" spans="49:58">
      <c r="AW1309" s="107"/>
      <c r="AX1309" s="195"/>
      <c r="AY1309" s="105"/>
      <c r="AZ1309" s="220"/>
      <c r="BA1309" s="241"/>
      <c r="BE1309" s="107"/>
      <c r="BF1309" s="220"/>
    </row>
    <row r="1310" spans="49:58">
      <c r="AW1310" s="107"/>
      <c r="AX1310" s="195"/>
      <c r="AY1310" s="105"/>
      <c r="AZ1310" s="220"/>
      <c r="BA1310" s="241"/>
      <c r="BE1310" s="107"/>
      <c r="BF1310" s="220"/>
    </row>
    <row r="1311" spans="49:58">
      <c r="AW1311" s="107"/>
      <c r="AX1311" s="195"/>
      <c r="AY1311" s="105"/>
      <c r="AZ1311" s="220"/>
      <c r="BA1311" s="241"/>
      <c r="BE1311" s="107"/>
      <c r="BF1311" s="220"/>
    </row>
    <row r="1312" spans="49:58">
      <c r="AW1312" s="107"/>
      <c r="AX1312" s="195"/>
      <c r="AY1312" s="105"/>
      <c r="AZ1312" s="220"/>
      <c r="BA1312" s="241"/>
      <c r="BE1312" s="107"/>
      <c r="BF1312" s="220"/>
    </row>
    <row r="1313" spans="49:58">
      <c r="AW1313" s="107"/>
      <c r="AX1313" s="195"/>
      <c r="AY1313" s="105"/>
      <c r="AZ1313" s="220"/>
      <c r="BA1313" s="241"/>
      <c r="BE1313" s="107"/>
      <c r="BF1313" s="220"/>
    </row>
    <row r="1314" spans="49:58">
      <c r="AW1314" s="107"/>
      <c r="AX1314" s="195"/>
      <c r="AY1314" s="105"/>
      <c r="AZ1314" s="220"/>
      <c r="BA1314" s="241"/>
      <c r="BE1314" s="107"/>
      <c r="BF1314" s="220"/>
    </row>
    <row r="1315" spans="49:58">
      <c r="AW1315" s="107"/>
      <c r="AX1315" s="195"/>
      <c r="AY1315" s="105"/>
      <c r="AZ1315" s="220"/>
      <c r="BA1315" s="241"/>
      <c r="BE1315" s="107"/>
      <c r="BF1315" s="220"/>
    </row>
    <row r="1316" spans="49:58">
      <c r="AW1316" s="107"/>
      <c r="AX1316" s="195"/>
      <c r="AY1316" s="105"/>
      <c r="AZ1316" s="220"/>
      <c r="BA1316" s="241"/>
      <c r="BE1316" s="107"/>
      <c r="BF1316" s="220"/>
    </row>
    <row r="1317" spans="49:58">
      <c r="AW1317" s="107"/>
      <c r="AX1317" s="195"/>
      <c r="AY1317" s="105"/>
      <c r="AZ1317" s="220"/>
      <c r="BA1317" s="241"/>
      <c r="BE1317" s="107"/>
      <c r="BF1317" s="220"/>
    </row>
    <row r="1318" spans="49:58">
      <c r="AW1318" s="107"/>
      <c r="AX1318" s="195"/>
      <c r="AY1318" s="105"/>
      <c r="AZ1318" s="220"/>
      <c r="BA1318" s="241"/>
      <c r="BE1318" s="107"/>
      <c r="BF1318" s="220"/>
    </row>
    <row r="1319" spans="49:58">
      <c r="AW1319" s="107"/>
      <c r="AX1319" s="195"/>
      <c r="AY1319" s="105"/>
      <c r="AZ1319" s="220"/>
      <c r="BA1319" s="241"/>
      <c r="BE1319" s="107"/>
      <c r="BF1319" s="220"/>
    </row>
    <row r="1320" spans="49:58">
      <c r="AW1320" s="107"/>
      <c r="AX1320" s="195"/>
      <c r="AY1320" s="105"/>
      <c r="AZ1320" s="220"/>
      <c r="BA1320" s="241"/>
      <c r="BE1320" s="107"/>
      <c r="BF1320" s="220"/>
    </row>
    <row r="1321" spans="49:58">
      <c r="AW1321" s="107"/>
      <c r="AX1321" s="195"/>
      <c r="AY1321" s="105"/>
      <c r="AZ1321" s="220"/>
      <c r="BA1321" s="241"/>
      <c r="BE1321" s="107"/>
      <c r="BF1321" s="220"/>
    </row>
    <row r="1322" spans="49:58">
      <c r="AW1322" s="107"/>
      <c r="AX1322" s="195"/>
      <c r="AY1322" s="105"/>
      <c r="AZ1322" s="220"/>
      <c r="BA1322" s="241"/>
      <c r="BE1322" s="107"/>
      <c r="BF1322" s="220"/>
    </row>
    <row r="1323" spans="49:58">
      <c r="AW1323" s="107"/>
      <c r="AX1323" s="195"/>
      <c r="AY1323" s="105"/>
      <c r="AZ1323" s="220"/>
      <c r="BA1323" s="241"/>
      <c r="BE1323" s="107"/>
      <c r="BF1323" s="220"/>
    </row>
    <row r="1324" spans="49:58">
      <c r="AW1324" s="107"/>
      <c r="AX1324" s="195"/>
      <c r="AY1324" s="105"/>
      <c r="AZ1324" s="220"/>
      <c r="BA1324" s="241"/>
      <c r="BE1324" s="107"/>
      <c r="BF1324" s="220"/>
    </row>
    <row r="1325" spans="49:58">
      <c r="AW1325" s="107"/>
      <c r="AX1325" s="195"/>
      <c r="AY1325" s="105"/>
      <c r="AZ1325" s="220"/>
      <c r="BA1325" s="241"/>
      <c r="BE1325" s="107"/>
      <c r="BF1325" s="220"/>
    </row>
    <row r="1326" spans="49:58">
      <c r="AW1326" s="107"/>
      <c r="AX1326" s="195"/>
      <c r="AY1326" s="105"/>
      <c r="AZ1326" s="220"/>
      <c r="BA1326" s="241"/>
      <c r="BE1326" s="107"/>
      <c r="BF1326" s="220"/>
    </row>
    <row r="1327" spans="49:58">
      <c r="AW1327" s="107"/>
      <c r="AX1327" s="195"/>
      <c r="AY1327" s="105"/>
      <c r="AZ1327" s="220"/>
      <c r="BA1327" s="241"/>
      <c r="BE1327" s="107"/>
      <c r="BF1327" s="220"/>
    </row>
    <row r="1328" spans="49:58">
      <c r="AW1328" s="107"/>
      <c r="AX1328" s="195"/>
      <c r="AY1328" s="105"/>
      <c r="AZ1328" s="220"/>
      <c r="BA1328" s="241"/>
      <c r="BE1328" s="107"/>
      <c r="BF1328" s="220"/>
    </row>
    <row r="1329" spans="49:58">
      <c r="AW1329" s="107"/>
      <c r="AX1329" s="195"/>
      <c r="AY1329" s="105"/>
      <c r="AZ1329" s="220"/>
      <c r="BA1329" s="241"/>
      <c r="BE1329" s="107"/>
      <c r="BF1329" s="220"/>
    </row>
    <row r="1330" spans="49:58">
      <c r="AW1330" s="107"/>
      <c r="AX1330" s="195"/>
      <c r="AY1330" s="105"/>
      <c r="AZ1330" s="220"/>
      <c r="BA1330" s="241"/>
      <c r="BE1330" s="107"/>
      <c r="BF1330" s="220"/>
    </row>
    <row r="1331" spans="49:58">
      <c r="AW1331" s="107"/>
      <c r="AX1331" s="195"/>
      <c r="AY1331" s="105"/>
      <c r="AZ1331" s="220"/>
      <c r="BA1331" s="241"/>
      <c r="BE1331" s="107"/>
      <c r="BF1331" s="220"/>
    </row>
    <row r="1332" spans="49:58">
      <c r="AW1332" s="107"/>
      <c r="AX1332" s="195"/>
      <c r="AY1332" s="105"/>
      <c r="AZ1332" s="220"/>
      <c r="BA1332" s="241"/>
      <c r="BE1332" s="107"/>
      <c r="BF1332" s="220"/>
    </row>
    <row r="1333" spans="49:58">
      <c r="AW1333" s="107"/>
      <c r="AX1333" s="195"/>
      <c r="AY1333" s="105"/>
      <c r="AZ1333" s="220"/>
      <c r="BA1333" s="241"/>
      <c r="BE1333" s="107"/>
      <c r="BF1333" s="220"/>
    </row>
    <row r="1334" spans="49:58">
      <c r="AW1334" s="107"/>
      <c r="AX1334" s="195"/>
      <c r="AY1334" s="105"/>
      <c r="AZ1334" s="220"/>
      <c r="BA1334" s="241"/>
      <c r="BE1334" s="107"/>
      <c r="BF1334" s="220"/>
    </row>
    <row r="1335" spans="49:58">
      <c r="AW1335" s="107"/>
      <c r="AX1335" s="195"/>
      <c r="AY1335" s="105"/>
      <c r="AZ1335" s="220"/>
      <c r="BA1335" s="241"/>
      <c r="BE1335" s="107"/>
      <c r="BF1335" s="220"/>
    </row>
    <row r="1336" spans="49:58">
      <c r="AW1336" s="107"/>
      <c r="AX1336" s="195"/>
      <c r="AY1336" s="105"/>
      <c r="AZ1336" s="220"/>
      <c r="BA1336" s="241"/>
      <c r="BE1336" s="107"/>
      <c r="BF1336" s="220"/>
    </row>
    <row r="1337" spans="49:58">
      <c r="AW1337" s="107"/>
      <c r="AX1337" s="195"/>
      <c r="AY1337" s="105"/>
      <c r="AZ1337" s="220"/>
      <c r="BA1337" s="241"/>
      <c r="BE1337" s="107"/>
      <c r="BF1337" s="220"/>
    </row>
    <row r="1338" spans="49:58">
      <c r="AW1338" s="107"/>
      <c r="AX1338" s="195"/>
      <c r="AY1338" s="105"/>
      <c r="AZ1338" s="220"/>
      <c r="BA1338" s="241"/>
      <c r="BE1338" s="107"/>
      <c r="BF1338" s="220"/>
    </row>
    <row r="1339" spans="49:58">
      <c r="AW1339" s="107"/>
      <c r="AX1339" s="195"/>
      <c r="AY1339" s="105"/>
      <c r="AZ1339" s="220"/>
      <c r="BA1339" s="241"/>
      <c r="BE1339" s="107"/>
      <c r="BF1339" s="220"/>
    </row>
    <row r="1340" spans="49:58">
      <c r="AW1340" s="107"/>
      <c r="AX1340" s="195"/>
      <c r="AY1340" s="105"/>
      <c r="AZ1340" s="220"/>
      <c r="BA1340" s="241"/>
      <c r="BE1340" s="107"/>
      <c r="BF1340" s="220"/>
    </row>
    <row r="1341" spans="49:58">
      <c r="AW1341" s="107"/>
      <c r="AX1341" s="195"/>
      <c r="AY1341" s="105"/>
      <c r="AZ1341" s="220"/>
      <c r="BA1341" s="241"/>
      <c r="BE1341" s="107"/>
      <c r="BF1341" s="220"/>
    </row>
    <row r="1342" spans="49:58">
      <c r="AW1342" s="107"/>
      <c r="AX1342" s="195"/>
      <c r="AY1342" s="105"/>
      <c r="AZ1342" s="220"/>
      <c r="BA1342" s="241"/>
      <c r="BE1342" s="107"/>
      <c r="BF1342" s="220"/>
    </row>
    <row r="1343" spans="49:58">
      <c r="AW1343" s="107"/>
      <c r="AX1343" s="195"/>
      <c r="AY1343" s="105"/>
      <c r="AZ1343" s="220"/>
      <c r="BA1343" s="241"/>
      <c r="BE1343" s="107"/>
      <c r="BF1343" s="220"/>
    </row>
    <row r="1344" spans="49:58">
      <c r="AW1344" s="107"/>
      <c r="AX1344" s="195"/>
      <c r="AY1344" s="105"/>
      <c r="AZ1344" s="220"/>
      <c r="BA1344" s="241"/>
      <c r="BE1344" s="107"/>
      <c r="BF1344" s="220"/>
    </row>
    <row r="1345" spans="49:58">
      <c r="AW1345" s="107"/>
      <c r="AX1345" s="195"/>
      <c r="AY1345" s="105"/>
      <c r="AZ1345" s="220"/>
      <c r="BA1345" s="241"/>
      <c r="BE1345" s="107"/>
      <c r="BF1345" s="220"/>
    </row>
    <row r="1346" spans="49:58">
      <c r="AW1346" s="107"/>
      <c r="AX1346" s="195"/>
      <c r="AY1346" s="105"/>
      <c r="AZ1346" s="220"/>
      <c r="BA1346" s="241"/>
      <c r="BE1346" s="107"/>
      <c r="BF1346" s="220"/>
    </row>
    <row r="1347" spans="49:58">
      <c r="AW1347" s="107"/>
      <c r="AX1347" s="195"/>
      <c r="AY1347" s="105"/>
      <c r="AZ1347" s="220"/>
      <c r="BA1347" s="241"/>
      <c r="BE1347" s="107"/>
      <c r="BF1347" s="220"/>
    </row>
    <row r="1348" spans="49:58">
      <c r="AW1348" s="107"/>
      <c r="AX1348" s="195"/>
      <c r="AY1348" s="105"/>
      <c r="AZ1348" s="220"/>
      <c r="BA1348" s="241"/>
      <c r="BE1348" s="107"/>
      <c r="BF1348" s="220"/>
    </row>
    <row r="1349" spans="49:58">
      <c r="AW1349" s="107"/>
      <c r="AX1349" s="195"/>
      <c r="AY1349" s="105"/>
      <c r="AZ1349" s="220"/>
      <c r="BA1349" s="241"/>
      <c r="BE1349" s="107"/>
      <c r="BF1349" s="220"/>
    </row>
    <row r="1350" spans="49:58">
      <c r="AW1350" s="107"/>
      <c r="AX1350" s="195"/>
      <c r="AY1350" s="105"/>
      <c r="AZ1350" s="220"/>
      <c r="BA1350" s="241"/>
      <c r="BE1350" s="107"/>
      <c r="BF1350" s="220"/>
    </row>
    <row r="1351" spans="49:58">
      <c r="AW1351" s="107"/>
      <c r="AX1351" s="195"/>
      <c r="AY1351" s="105"/>
      <c r="AZ1351" s="220"/>
      <c r="BA1351" s="241"/>
      <c r="BE1351" s="107"/>
      <c r="BF1351" s="220"/>
    </row>
    <row r="1352" spans="49:58">
      <c r="AW1352" s="107"/>
      <c r="AX1352" s="195"/>
      <c r="AY1352" s="105"/>
      <c r="AZ1352" s="220"/>
      <c r="BA1352" s="241"/>
      <c r="BE1352" s="107"/>
      <c r="BF1352" s="220"/>
    </row>
    <row r="1353" spans="49:58">
      <c r="AW1353" s="107"/>
      <c r="AX1353" s="195"/>
      <c r="AY1353" s="105"/>
      <c r="AZ1353" s="220"/>
      <c r="BA1353" s="241"/>
      <c r="BE1353" s="107"/>
      <c r="BF1353" s="220"/>
    </row>
    <row r="1354" spans="49:58">
      <c r="AW1354" s="107"/>
      <c r="AX1354" s="195"/>
      <c r="AY1354" s="105"/>
      <c r="AZ1354" s="220"/>
      <c r="BA1354" s="241"/>
      <c r="BE1354" s="107"/>
      <c r="BF1354" s="220"/>
    </row>
    <row r="1355" spans="49:58">
      <c r="AW1355" s="107"/>
      <c r="AX1355" s="195"/>
      <c r="AY1355" s="105"/>
      <c r="AZ1355" s="220"/>
      <c r="BA1355" s="241"/>
      <c r="BE1355" s="107"/>
      <c r="BF1355" s="220"/>
    </row>
    <row r="1356" spans="49:58">
      <c r="AW1356" s="107"/>
      <c r="AX1356" s="195"/>
      <c r="AY1356" s="105"/>
      <c r="AZ1356" s="220"/>
      <c r="BA1356" s="241"/>
      <c r="BE1356" s="107"/>
      <c r="BF1356" s="220"/>
    </row>
    <row r="1357" spans="49:58">
      <c r="AW1357" s="107"/>
      <c r="AX1357" s="195"/>
      <c r="AY1357" s="105"/>
      <c r="AZ1357" s="220"/>
      <c r="BA1357" s="241"/>
      <c r="BE1357" s="107"/>
      <c r="BF1357" s="220"/>
    </row>
    <row r="1358" spans="49:58">
      <c r="AW1358" s="107"/>
      <c r="AX1358" s="195"/>
      <c r="AY1358" s="105"/>
      <c r="AZ1358" s="220"/>
      <c r="BA1358" s="241"/>
      <c r="BE1358" s="107"/>
      <c r="BF1358" s="220"/>
    </row>
    <row r="1359" spans="49:58">
      <c r="AW1359" s="107"/>
      <c r="AX1359" s="195"/>
      <c r="AY1359" s="105"/>
      <c r="AZ1359" s="220"/>
      <c r="BA1359" s="241"/>
      <c r="BE1359" s="107"/>
      <c r="BF1359" s="220"/>
    </row>
    <row r="1360" spans="49:58">
      <c r="AW1360" s="107"/>
      <c r="AX1360" s="195"/>
      <c r="AY1360" s="105"/>
      <c r="AZ1360" s="220"/>
      <c r="BA1360" s="241"/>
      <c r="BE1360" s="107"/>
      <c r="BF1360" s="220"/>
    </row>
    <row r="1361" spans="49:58">
      <c r="AW1361" s="107"/>
      <c r="AX1361" s="195"/>
      <c r="AY1361" s="105"/>
      <c r="AZ1361" s="220"/>
      <c r="BA1361" s="241"/>
      <c r="BE1361" s="107"/>
      <c r="BF1361" s="220"/>
    </row>
    <row r="1362" spans="49:58">
      <c r="AW1362" s="107"/>
      <c r="AX1362" s="195"/>
      <c r="AY1362" s="105"/>
      <c r="AZ1362" s="220"/>
      <c r="BA1362" s="241"/>
      <c r="BE1362" s="107"/>
      <c r="BF1362" s="220"/>
    </row>
    <row r="1363" spans="49:58">
      <c r="AW1363" s="107"/>
      <c r="AX1363" s="195"/>
      <c r="AY1363" s="105"/>
      <c r="AZ1363" s="220"/>
      <c r="BA1363" s="241"/>
      <c r="BE1363" s="107"/>
      <c r="BF1363" s="220"/>
    </row>
    <row r="1364" spans="49:58">
      <c r="AW1364" s="107"/>
      <c r="AX1364" s="195"/>
      <c r="AY1364" s="105"/>
      <c r="AZ1364" s="220"/>
      <c r="BA1364" s="241"/>
      <c r="BE1364" s="107"/>
      <c r="BF1364" s="220"/>
    </row>
    <row r="1365" spans="49:58">
      <c r="AW1365" s="107"/>
      <c r="AX1365" s="195"/>
      <c r="AY1365" s="105"/>
      <c r="AZ1365" s="220"/>
      <c r="BA1365" s="241"/>
      <c r="BE1365" s="107"/>
      <c r="BF1365" s="220"/>
    </row>
    <row r="1366" spans="49:58">
      <c r="AW1366" s="107"/>
      <c r="AX1366" s="195"/>
      <c r="AY1366" s="105"/>
      <c r="AZ1366" s="220"/>
      <c r="BA1366" s="241"/>
      <c r="BE1366" s="107"/>
      <c r="BF1366" s="220"/>
    </row>
    <row r="1367" spans="49:58">
      <c r="AW1367" s="107"/>
      <c r="AX1367" s="195"/>
      <c r="AY1367" s="105"/>
      <c r="AZ1367" s="220"/>
      <c r="BA1367" s="241"/>
      <c r="BE1367" s="107"/>
      <c r="BF1367" s="220"/>
    </row>
    <row r="1368" spans="49:58">
      <c r="AW1368" s="107"/>
      <c r="AX1368" s="195"/>
      <c r="AY1368" s="105"/>
      <c r="AZ1368" s="220"/>
      <c r="BA1368" s="241"/>
      <c r="BE1368" s="107"/>
      <c r="BF1368" s="220"/>
    </row>
    <row r="1369" spans="49:58">
      <c r="AW1369" s="107"/>
      <c r="AX1369" s="195"/>
      <c r="AY1369" s="105"/>
      <c r="AZ1369" s="220"/>
      <c r="BA1369" s="241"/>
      <c r="BE1369" s="107"/>
      <c r="BF1369" s="220"/>
    </row>
    <row r="1370" spans="49:58">
      <c r="AW1370" s="107"/>
      <c r="AX1370" s="195"/>
      <c r="AY1370" s="105"/>
      <c r="AZ1370" s="220"/>
      <c r="BA1370" s="241"/>
      <c r="BE1370" s="107"/>
      <c r="BF1370" s="220"/>
    </row>
    <row r="1371" spans="49:58">
      <c r="AW1371" s="107"/>
      <c r="AX1371" s="195"/>
      <c r="AY1371" s="105"/>
      <c r="AZ1371" s="220"/>
      <c r="BA1371" s="241"/>
      <c r="BE1371" s="107"/>
      <c r="BF1371" s="220"/>
    </row>
    <row r="1372" spans="49:58">
      <c r="AW1372" s="107"/>
      <c r="AX1372" s="195"/>
      <c r="AY1372" s="105"/>
      <c r="AZ1372" s="220"/>
      <c r="BA1372" s="241"/>
      <c r="BE1372" s="107"/>
      <c r="BF1372" s="220"/>
    </row>
    <row r="1373" spans="49:58">
      <c r="AW1373" s="107"/>
      <c r="AX1373" s="195"/>
      <c r="AY1373" s="105"/>
      <c r="AZ1373" s="220"/>
      <c r="BA1373" s="241"/>
      <c r="BE1373" s="107"/>
      <c r="BF1373" s="220"/>
    </row>
    <row r="1374" spans="49:58">
      <c r="AW1374" s="107"/>
      <c r="AX1374" s="195"/>
      <c r="AY1374" s="105"/>
      <c r="AZ1374" s="220"/>
      <c r="BA1374" s="241"/>
      <c r="BE1374" s="107"/>
      <c r="BF1374" s="220"/>
    </row>
    <row r="1375" spans="49:58">
      <c r="AW1375" s="107"/>
      <c r="AX1375" s="195"/>
      <c r="AY1375" s="105"/>
      <c r="AZ1375" s="220"/>
      <c r="BA1375" s="241"/>
      <c r="BE1375" s="107"/>
      <c r="BF1375" s="220"/>
    </row>
    <row r="1376" spans="49:58">
      <c r="AW1376" s="107"/>
      <c r="AX1376" s="195"/>
      <c r="AY1376" s="105"/>
      <c r="AZ1376" s="220"/>
      <c r="BA1376" s="241"/>
      <c r="BE1376" s="107"/>
      <c r="BF1376" s="220"/>
    </row>
    <row r="1377" spans="49:58">
      <c r="AW1377" s="107"/>
      <c r="AX1377" s="195"/>
      <c r="AY1377" s="105"/>
      <c r="AZ1377" s="220"/>
      <c r="BA1377" s="241"/>
      <c r="BE1377" s="107"/>
      <c r="BF1377" s="220"/>
    </row>
    <row r="1378" spans="49:58">
      <c r="AW1378" s="107"/>
      <c r="AX1378" s="195"/>
      <c r="AY1378" s="105"/>
      <c r="AZ1378" s="220"/>
      <c r="BA1378" s="241"/>
      <c r="BE1378" s="107"/>
      <c r="BF1378" s="220"/>
    </row>
    <row r="1379" spans="49:58">
      <c r="AW1379" s="107"/>
      <c r="AX1379" s="195"/>
      <c r="AY1379" s="105"/>
      <c r="AZ1379" s="220"/>
      <c r="BA1379" s="241"/>
      <c r="BE1379" s="107"/>
      <c r="BF1379" s="220"/>
    </row>
    <row r="1380" spans="49:58">
      <c r="AW1380" s="107"/>
      <c r="AX1380" s="195"/>
      <c r="AY1380" s="105"/>
      <c r="AZ1380" s="220"/>
      <c r="BA1380" s="241"/>
      <c r="BE1380" s="107"/>
      <c r="BF1380" s="220"/>
    </row>
    <row r="1381" spans="49:58">
      <c r="AW1381" s="107"/>
      <c r="AX1381" s="195"/>
      <c r="AY1381" s="105"/>
      <c r="AZ1381" s="220"/>
      <c r="BA1381" s="241"/>
      <c r="BE1381" s="107"/>
      <c r="BF1381" s="220"/>
    </row>
    <row r="1382" spans="49:58">
      <c r="AW1382" s="107"/>
      <c r="AX1382" s="195"/>
      <c r="AY1382" s="105"/>
      <c r="AZ1382" s="220"/>
      <c r="BA1382" s="241"/>
      <c r="BE1382" s="107"/>
      <c r="BF1382" s="220"/>
    </row>
    <row r="1383" spans="49:58">
      <c r="AW1383" s="107"/>
      <c r="AX1383" s="195"/>
      <c r="AY1383" s="105"/>
      <c r="AZ1383" s="220"/>
      <c r="BA1383" s="241"/>
      <c r="BE1383" s="107"/>
      <c r="BF1383" s="220"/>
    </row>
    <row r="1384" spans="49:58">
      <c r="AW1384" s="107"/>
      <c r="AX1384" s="195"/>
      <c r="AY1384" s="105"/>
      <c r="AZ1384" s="220"/>
      <c r="BA1384" s="241"/>
      <c r="BE1384" s="107"/>
      <c r="BF1384" s="220"/>
    </row>
    <row r="1385" spans="49:58">
      <c r="AW1385" s="107"/>
      <c r="AX1385" s="195"/>
      <c r="AY1385" s="105"/>
      <c r="AZ1385" s="220"/>
      <c r="BA1385" s="241"/>
      <c r="BE1385" s="107"/>
      <c r="BF1385" s="220"/>
    </row>
    <row r="1386" spans="49:58">
      <c r="AW1386" s="107"/>
      <c r="AX1386" s="195"/>
      <c r="AY1386" s="105"/>
      <c r="AZ1386" s="220"/>
      <c r="BA1386" s="241"/>
      <c r="BE1386" s="107"/>
      <c r="BF1386" s="220"/>
    </row>
    <row r="1387" spans="49:58">
      <c r="AW1387" s="107"/>
      <c r="AX1387" s="195"/>
      <c r="AY1387" s="105"/>
      <c r="AZ1387" s="220"/>
      <c r="BA1387" s="241"/>
      <c r="BE1387" s="107"/>
      <c r="BF1387" s="220"/>
    </row>
    <row r="1388" spans="49:58">
      <c r="AW1388" s="107"/>
      <c r="AX1388" s="195"/>
      <c r="AY1388" s="105"/>
      <c r="AZ1388" s="220"/>
      <c r="BA1388" s="241"/>
      <c r="BE1388" s="107"/>
      <c r="BF1388" s="220"/>
    </row>
    <row r="1389" spans="49:58">
      <c r="AW1389" s="107"/>
      <c r="AX1389" s="195"/>
      <c r="AY1389" s="105"/>
      <c r="AZ1389" s="220"/>
      <c r="BA1389" s="241"/>
      <c r="BE1389" s="107"/>
      <c r="BF1389" s="220"/>
    </row>
    <row r="1390" spans="49:58">
      <c r="AW1390" s="107"/>
      <c r="AX1390" s="195"/>
      <c r="AY1390" s="105"/>
      <c r="AZ1390" s="220"/>
      <c r="BA1390" s="241"/>
      <c r="BE1390" s="107"/>
      <c r="BF1390" s="220"/>
    </row>
    <row r="1391" spans="49:58">
      <c r="AW1391" s="107"/>
      <c r="AX1391" s="195"/>
      <c r="AY1391" s="105"/>
      <c r="AZ1391" s="220"/>
      <c r="BA1391" s="241"/>
      <c r="BE1391" s="107"/>
      <c r="BF1391" s="220"/>
    </row>
    <row r="1392" spans="49:58">
      <c r="AW1392" s="107"/>
      <c r="AX1392" s="195"/>
      <c r="AY1392" s="105"/>
      <c r="AZ1392" s="220"/>
      <c r="BA1392" s="241"/>
      <c r="BE1392" s="107"/>
      <c r="BF1392" s="220"/>
    </row>
    <row r="1393" spans="49:58">
      <c r="AW1393" s="107"/>
      <c r="AX1393" s="195"/>
      <c r="AY1393" s="105"/>
      <c r="AZ1393" s="220"/>
      <c r="BA1393" s="241"/>
      <c r="BE1393" s="107"/>
      <c r="BF1393" s="220"/>
    </row>
    <row r="1394" spans="49:58">
      <c r="AW1394" s="107"/>
      <c r="AX1394" s="195"/>
      <c r="AY1394" s="105"/>
      <c r="AZ1394" s="220"/>
      <c r="BA1394" s="241"/>
      <c r="BE1394" s="107"/>
      <c r="BF1394" s="220"/>
    </row>
    <row r="1395" spans="49:58">
      <c r="AW1395" s="107"/>
      <c r="AX1395" s="195"/>
      <c r="AY1395" s="105"/>
      <c r="AZ1395" s="220"/>
      <c r="BA1395" s="241"/>
      <c r="BE1395" s="107"/>
      <c r="BF1395" s="220"/>
    </row>
    <row r="1396" spans="49:58">
      <c r="AW1396" s="107"/>
      <c r="AX1396" s="195"/>
      <c r="AY1396" s="105"/>
      <c r="AZ1396" s="220"/>
      <c r="BA1396" s="241"/>
      <c r="BE1396" s="107"/>
      <c r="BF1396" s="220"/>
    </row>
    <row r="1397" spans="49:58">
      <c r="AW1397" s="107"/>
      <c r="AX1397" s="195"/>
      <c r="AY1397" s="105"/>
      <c r="AZ1397" s="220"/>
      <c r="BA1397" s="241"/>
      <c r="BE1397" s="107"/>
      <c r="BF1397" s="220"/>
    </row>
    <row r="1398" spans="49:58">
      <c r="AW1398" s="107"/>
      <c r="AX1398" s="195"/>
      <c r="AY1398" s="105"/>
      <c r="AZ1398" s="220"/>
      <c r="BA1398" s="241"/>
      <c r="BE1398" s="107"/>
      <c r="BF1398" s="220"/>
    </row>
    <row r="1399" spans="49:58">
      <c r="AW1399" s="107"/>
      <c r="AX1399" s="195"/>
      <c r="AY1399" s="105"/>
      <c r="AZ1399" s="220"/>
      <c r="BA1399" s="241"/>
      <c r="BE1399" s="107"/>
      <c r="BF1399" s="220"/>
    </row>
    <row r="1400" spans="49:58">
      <c r="AW1400" s="107"/>
      <c r="AX1400" s="195"/>
      <c r="AY1400" s="105"/>
      <c r="AZ1400" s="220"/>
      <c r="BA1400" s="241"/>
      <c r="BE1400" s="107"/>
      <c r="BF1400" s="220"/>
    </row>
    <row r="1401" spans="49:58">
      <c r="AW1401" s="107"/>
      <c r="AX1401" s="195"/>
      <c r="AY1401" s="105"/>
      <c r="AZ1401" s="220"/>
      <c r="BA1401" s="241"/>
      <c r="BE1401" s="107"/>
      <c r="BF1401" s="220"/>
    </row>
    <row r="1402" spans="49:58">
      <c r="AW1402" s="107"/>
      <c r="AX1402" s="195"/>
      <c r="AY1402" s="105"/>
      <c r="AZ1402" s="220"/>
      <c r="BA1402" s="241"/>
      <c r="BE1402" s="107"/>
      <c r="BF1402" s="220"/>
    </row>
    <row r="1403" spans="49:58">
      <c r="AW1403" s="107"/>
      <c r="AX1403" s="195"/>
      <c r="AY1403" s="105"/>
      <c r="AZ1403" s="220"/>
      <c r="BA1403" s="241"/>
      <c r="BE1403" s="107"/>
      <c r="BF1403" s="220"/>
    </row>
    <row r="1404" spans="49:58">
      <c r="AW1404" s="107"/>
      <c r="AX1404" s="195"/>
      <c r="AY1404" s="105"/>
      <c r="AZ1404" s="220"/>
      <c r="BA1404" s="241"/>
      <c r="BE1404" s="107"/>
      <c r="BF1404" s="220"/>
    </row>
    <row r="1405" spans="49:58">
      <c r="AW1405" s="107"/>
      <c r="AX1405" s="195"/>
      <c r="AY1405" s="105"/>
      <c r="AZ1405" s="220"/>
      <c r="BA1405" s="241"/>
      <c r="BE1405" s="107"/>
      <c r="BF1405" s="220"/>
    </row>
    <row r="1406" spans="49:58">
      <c r="AW1406" s="107"/>
      <c r="AX1406" s="195"/>
      <c r="AY1406" s="105"/>
      <c r="AZ1406" s="220"/>
      <c r="BA1406" s="241"/>
      <c r="BE1406" s="107"/>
      <c r="BF1406" s="220"/>
    </row>
    <row r="1407" spans="49:58">
      <c r="AW1407" s="107"/>
      <c r="AX1407" s="195"/>
      <c r="AY1407" s="105"/>
      <c r="AZ1407" s="220"/>
      <c r="BA1407" s="241"/>
      <c r="BE1407" s="107"/>
      <c r="BF1407" s="220"/>
    </row>
    <row r="1408" spans="49:58">
      <c r="AW1408" s="107"/>
      <c r="AX1408" s="195"/>
      <c r="AY1408" s="105"/>
      <c r="AZ1408" s="220"/>
      <c r="BA1408" s="241"/>
      <c r="BE1408" s="107"/>
      <c r="BF1408" s="220"/>
    </row>
    <row r="1409" spans="49:58">
      <c r="AW1409" s="107"/>
      <c r="AX1409" s="195"/>
      <c r="AY1409" s="105"/>
      <c r="AZ1409" s="220"/>
      <c r="BA1409" s="241"/>
      <c r="BE1409" s="107"/>
      <c r="BF1409" s="220"/>
    </row>
    <row r="1410" spans="49:58">
      <c r="AW1410" s="107"/>
      <c r="AX1410" s="195"/>
      <c r="AY1410" s="105"/>
      <c r="AZ1410" s="220"/>
      <c r="BA1410" s="241"/>
      <c r="BE1410" s="107"/>
      <c r="BF1410" s="220"/>
    </row>
    <row r="1411" spans="49:58">
      <c r="AW1411" s="107"/>
      <c r="AX1411" s="195"/>
      <c r="AY1411" s="105"/>
      <c r="AZ1411" s="220"/>
      <c r="BA1411" s="241"/>
      <c r="BE1411" s="107"/>
      <c r="BF1411" s="220"/>
    </row>
    <row r="1412" spans="49:58">
      <c r="AW1412" s="107"/>
      <c r="AX1412" s="195"/>
      <c r="AY1412" s="105"/>
      <c r="AZ1412" s="220"/>
      <c r="BA1412" s="241"/>
      <c r="BE1412" s="107"/>
      <c r="BF1412" s="220"/>
    </row>
    <row r="1413" spans="49:58">
      <c r="AW1413" s="107"/>
      <c r="AX1413" s="195"/>
      <c r="AY1413" s="105"/>
      <c r="AZ1413" s="220"/>
      <c r="BA1413" s="241"/>
      <c r="BE1413" s="107"/>
      <c r="BF1413" s="220"/>
    </row>
    <row r="1414" spans="49:58">
      <c r="AW1414" s="107"/>
      <c r="AX1414" s="195"/>
      <c r="AY1414" s="105"/>
      <c r="AZ1414" s="220"/>
      <c r="BA1414" s="241"/>
      <c r="BE1414" s="107"/>
      <c r="BF1414" s="220"/>
    </row>
    <row r="1415" spans="49:58">
      <c r="AW1415" s="107"/>
      <c r="AX1415" s="195"/>
      <c r="AY1415" s="105"/>
      <c r="AZ1415" s="220"/>
      <c r="BA1415" s="241"/>
      <c r="BE1415" s="107"/>
      <c r="BF1415" s="220"/>
    </row>
    <row r="1416" spans="49:58">
      <c r="AW1416" s="107"/>
      <c r="AX1416" s="195"/>
      <c r="AY1416" s="105"/>
      <c r="AZ1416" s="220"/>
      <c r="BA1416" s="241"/>
      <c r="BE1416" s="107"/>
      <c r="BF1416" s="220"/>
    </row>
    <row r="1417" spans="49:58">
      <c r="AW1417" s="107"/>
      <c r="AX1417" s="195"/>
      <c r="AY1417" s="105"/>
      <c r="AZ1417" s="220"/>
      <c r="BA1417" s="241"/>
      <c r="BE1417" s="107"/>
      <c r="BF1417" s="220"/>
    </row>
    <row r="1418" spans="49:58">
      <c r="AW1418" s="107"/>
      <c r="AX1418" s="195"/>
      <c r="AY1418" s="105"/>
      <c r="AZ1418" s="220"/>
      <c r="BA1418" s="241"/>
      <c r="BE1418" s="107"/>
      <c r="BF1418" s="220"/>
    </row>
    <row r="1419" spans="49:58">
      <c r="AW1419" s="107"/>
      <c r="AX1419" s="195"/>
      <c r="AY1419" s="105"/>
      <c r="AZ1419" s="220"/>
      <c r="BA1419" s="241"/>
      <c r="BE1419" s="107"/>
      <c r="BF1419" s="220"/>
    </row>
    <row r="1420" spans="49:58">
      <c r="AW1420" s="107"/>
      <c r="AX1420" s="195"/>
      <c r="AY1420" s="105"/>
      <c r="AZ1420" s="220"/>
      <c r="BA1420" s="241"/>
      <c r="BE1420" s="107"/>
      <c r="BF1420" s="220"/>
    </row>
    <row r="1421" spans="49:58">
      <c r="AW1421" s="107"/>
      <c r="AX1421" s="195"/>
      <c r="AY1421" s="105"/>
      <c r="AZ1421" s="220"/>
      <c r="BA1421" s="241"/>
      <c r="BE1421" s="107"/>
      <c r="BF1421" s="220"/>
    </row>
    <row r="1422" spans="49:58">
      <c r="AW1422" s="107"/>
      <c r="AX1422" s="195"/>
      <c r="AY1422" s="105"/>
      <c r="AZ1422" s="220"/>
      <c r="BA1422" s="241"/>
      <c r="BE1422" s="107"/>
      <c r="BF1422" s="220"/>
    </row>
    <row r="1423" spans="49:58">
      <c r="AW1423" s="107"/>
      <c r="AX1423" s="195"/>
      <c r="AY1423" s="105"/>
      <c r="AZ1423" s="220"/>
      <c r="BA1423" s="241"/>
      <c r="BE1423" s="107"/>
      <c r="BF1423" s="220"/>
    </row>
    <row r="1424" spans="49:58">
      <c r="AW1424" s="107"/>
      <c r="AX1424" s="195"/>
      <c r="AY1424" s="105"/>
      <c r="AZ1424" s="220"/>
      <c r="BA1424" s="241"/>
      <c r="BE1424" s="107"/>
      <c r="BF1424" s="220"/>
    </row>
    <row r="1425" spans="49:58">
      <c r="AW1425" s="107"/>
      <c r="AX1425" s="195"/>
      <c r="AY1425" s="105"/>
      <c r="AZ1425" s="220"/>
      <c r="BA1425" s="241"/>
      <c r="BE1425" s="107"/>
      <c r="BF1425" s="220"/>
    </row>
    <row r="1426" spans="49:58">
      <c r="AW1426" s="107"/>
      <c r="AX1426" s="195"/>
      <c r="AY1426" s="105"/>
      <c r="AZ1426" s="220"/>
      <c r="BA1426" s="241"/>
      <c r="BE1426" s="107"/>
      <c r="BF1426" s="220"/>
    </row>
    <row r="1427" spans="49:58">
      <c r="AW1427" s="107"/>
      <c r="AX1427" s="195"/>
      <c r="AY1427" s="105"/>
      <c r="AZ1427" s="220"/>
      <c r="BA1427" s="241"/>
      <c r="BE1427" s="107"/>
      <c r="BF1427" s="220"/>
    </row>
    <row r="1428" spans="49:58">
      <c r="AW1428" s="107"/>
      <c r="AX1428" s="195"/>
      <c r="AY1428" s="105"/>
      <c r="AZ1428" s="220"/>
      <c r="BA1428" s="241"/>
      <c r="BE1428" s="107"/>
      <c r="BF1428" s="220"/>
    </row>
    <row r="1429" spans="49:58">
      <c r="AW1429" s="107"/>
      <c r="AX1429" s="195"/>
      <c r="AY1429" s="105"/>
      <c r="AZ1429" s="220"/>
      <c r="BA1429" s="241"/>
      <c r="BE1429" s="107"/>
      <c r="BF1429" s="220"/>
    </row>
    <row r="1430" spans="49:58">
      <c r="AW1430" s="107"/>
      <c r="AX1430" s="195"/>
      <c r="AY1430" s="105"/>
      <c r="AZ1430" s="220"/>
      <c r="BA1430" s="241"/>
      <c r="BE1430" s="107"/>
      <c r="BF1430" s="220"/>
    </row>
    <row r="1431" spans="49:58">
      <c r="AW1431" s="107"/>
      <c r="AX1431" s="195"/>
      <c r="AY1431" s="105"/>
      <c r="AZ1431" s="220"/>
      <c r="BA1431" s="241"/>
      <c r="BE1431" s="107"/>
      <c r="BF1431" s="220"/>
    </row>
    <row r="1432" spans="49:58">
      <c r="AW1432" s="107"/>
      <c r="AX1432" s="195"/>
      <c r="AY1432" s="105"/>
      <c r="AZ1432" s="220"/>
      <c r="BA1432" s="241"/>
      <c r="BE1432" s="107"/>
      <c r="BF1432" s="220"/>
    </row>
    <row r="1433" spans="49:58">
      <c r="AW1433" s="107"/>
      <c r="AX1433" s="195"/>
      <c r="AY1433" s="105"/>
      <c r="AZ1433" s="220"/>
      <c r="BA1433" s="241"/>
      <c r="BE1433" s="107"/>
      <c r="BF1433" s="220"/>
    </row>
    <row r="1434" spans="49:58">
      <c r="AW1434" s="107"/>
      <c r="AX1434" s="195"/>
      <c r="AY1434" s="105"/>
      <c r="AZ1434" s="220"/>
      <c r="BA1434" s="241"/>
      <c r="BE1434" s="107"/>
      <c r="BF1434" s="220"/>
    </row>
    <row r="1435" spans="49:58">
      <c r="AW1435" s="107"/>
      <c r="AX1435" s="195"/>
      <c r="AY1435" s="105"/>
      <c r="AZ1435" s="220"/>
      <c r="BA1435" s="241"/>
      <c r="BE1435" s="107"/>
      <c r="BF1435" s="220"/>
    </row>
    <row r="1436" spans="49:58">
      <c r="AW1436" s="107"/>
      <c r="AX1436" s="195"/>
      <c r="AY1436" s="105"/>
      <c r="AZ1436" s="220"/>
      <c r="BA1436" s="241"/>
      <c r="BE1436" s="107"/>
      <c r="BF1436" s="220"/>
    </row>
    <row r="1437" spans="49:58">
      <c r="AW1437" s="107"/>
      <c r="AX1437" s="195"/>
      <c r="AY1437" s="105"/>
      <c r="AZ1437" s="220"/>
      <c r="BA1437" s="241"/>
      <c r="BE1437" s="107"/>
      <c r="BF1437" s="220"/>
    </row>
    <row r="1438" spans="49:58">
      <c r="AW1438" s="107"/>
      <c r="AX1438" s="195"/>
      <c r="AY1438" s="105"/>
      <c r="AZ1438" s="220"/>
      <c r="BA1438" s="241"/>
      <c r="BE1438" s="107"/>
      <c r="BF1438" s="220"/>
    </row>
    <row r="1439" spans="49:58">
      <c r="AW1439" s="107"/>
      <c r="AX1439" s="195"/>
      <c r="AY1439" s="105"/>
      <c r="AZ1439" s="220"/>
      <c r="BA1439" s="241"/>
      <c r="BE1439" s="107"/>
      <c r="BF1439" s="220"/>
    </row>
    <row r="1440" spans="49:58">
      <c r="AW1440" s="107"/>
      <c r="AX1440" s="195"/>
      <c r="AY1440" s="105"/>
      <c r="AZ1440" s="220"/>
      <c r="BA1440" s="241"/>
      <c r="BE1440" s="107"/>
      <c r="BF1440" s="220"/>
    </row>
    <row r="1441" spans="49:58">
      <c r="AW1441" s="107"/>
      <c r="AX1441" s="195"/>
      <c r="AY1441" s="105"/>
      <c r="AZ1441" s="220"/>
      <c r="BA1441" s="241"/>
      <c r="BE1441" s="107"/>
      <c r="BF1441" s="220"/>
    </row>
    <row r="1442" spans="49:58">
      <c r="AW1442" s="107"/>
      <c r="AX1442" s="195"/>
      <c r="AY1442" s="105"/>
      <c r="AZ1442" s="220"/>
      <c r="BA1442" s="241"/>
      <c r="BE1442" s="107"/>
      <c r="BF1442" s="220"/>
    </row>
    <row r="1443" spans="49:58">
      <c r="AW1443" s="107"/>
      <c r="AX1443" s="195"/>
      <c r="AY1443" s="105"/>
      <c r="AZ1443" s="220"/>
      <c r="BA1443" s="241"/>
      <c r="BE1443" s="107"/>
      <c r="BF1443" s="220"/>
    </row>
    <row r="1444" spans="49:58">
      <c r="AW1444" s="107"/>
      <c r="AX1444" s="195"/>
      <c r="AY1444" s="105"/>
      <c r="AZ1444" s="220"/>
      <c r="BA1444" s="241"/>
      <c r="BE1444" s="107"/>
      <c r="BF1444" s="220"/>
    </row>
    <row r="1445" spans="49:58">
      <c r="AW1445" s="107"/>
      <c r="AX1445" s="195"/>
      <c r="AY1445" s="105"/>
      <c r="AZ1445" s="220"/>
      <c r="BA1445" s="241"/>
      <c r="BE1445" s="107"/>
      <c r="BF1445" s="220"/>
    </row>
    <row r="1446" spans="49:58">
      <c r="AW1446" s="107"/>
      <c r="AX1446" s="195"/>
      <c r="AY1446" s="105"/>
      <c r="AZ1446" s="220"/>
      <c r="BA1446" s="241"/>
      <c r="BE1446" s="107"/>
      <c r="BF1446" s="220"/>
    </row>
    <row r="1447" spans="49:58">
      <c r="AW1447" s="107"/>
      <c r="AX1447" s="195"/>
      <c r="AY1447" s="105"/>
      <c r="AZ1447" s="220"/>
      <c r="BA1447" s="241"/>
      <c r="BE1447" s="107"/>
      <c r="BF1447" s="220"/>
    </row>
    <row r="1448" spans="49:58">
      <c r="AW1448" s="107"/>
      <c r="AX1448" s="195"/>
      <c r="AY1448" s="105"/>
      <c r="AZ1448" s="220"/>
      <c r="BA1448" s="241"/>
      <c r="BE1448" s="107"/>
      <c r="BF1448" s="220"/>
    </row>
    <row r="1449" spans="49:58">
      <c r="AW1449" s="107"/>
      <c r="AX1449" s="195"/>
      <c r="AY1449" s="105"/>
      <c r="AZ1449" s="220"/>
      <c r="BA1449" s="241"/>
      <c r="BE1449" s="107"/>
      <c r="BF1449" s="220"/>
    </row>
    <row r="1450" spans="49:58">
      <c r="AW1450" s="107"/>
      <c r="AX1450" s="195"/>
      <c r="AY1450" s="105"/>
      <c r="AZ1450" s="220"/>
      <c r="BA1450" s="241"/>
      <c r="BE1450" s="107"/>
      <c r="BF1450" s="220"/>
    </row>
    <row r="1451" spans="49:58">
      <c r="AW1451" s="107"/>
      <c r="AX1451" s="195"/>
      <c r="AY1451" s="105"/>
      <c r="AZ1451" s="220"/>
      <c r="BA1451" s="241"/>
      <c r="BE1451" s="107"/>
      <c r="BF1451" s="220"/>
    </row>
    <row r="1452" spans="49:58">
      <c r="AW1452" s="107"/>
      <c r="AX1452" s="195"/>
      <c r="AY1452" s="105"/>
      <c r="AZ1452" s="220"/>
      <c r="BA1452" s="241"/>
      <c r="BE1452" s="107"/>
      <c r="BF1452" s="220"/>
    </row>
    <row r="1453" spans="49:58">
      <c r="AW1453" s="107"/>
      <c r="AX1453" s="195"/>
      <c r="AY1453" s="105"/>
      <c r="AZ1453" s="220"/>
      <c r="BA1453" s="241"/>
      <c r="BE1453" s="107"/>
      <c r="BF1453" s="220"/>
    </row>
    <row r="1454" spans="49:58">
      <c r="AW1454" s="107"/>
      <c r="AX1454" s="195"/>
      <c r="AY1454" s="105"/>
      <c r="AZ1454" s="220"/>
      <c r="BA1454" s="241"/>
      <c r="BE1454" s="107"/>
      <c r="BF1454" s="220"/>
    </row>
    <row r="1455" spans="49:58">
      <c r="AW1455" s="107"/>
      <c r="AX1455" s="195"/>
      <c r="AY1455" s="105"/>
      <c r="AZ1455" s="220"/>
      <c r="BA1455" s="241"/>
      <c r="BE1455" s="107"/>
      <c r="BF1455" s="220"/>
    </row>
    <row r="1456" spans="49:58">
      <c r="AW1456" s="107"/>
      <c r="AX1456" s="195"/>
      <c r="AY1456" s="105"/>
      <c r="AZ1456" s="220"/>
      <c r="BA1456" s="241"/>
      <c r="BE1456" s="107"/>
      <c r="BF1456" s="220"/>
    </row>
    <row r="1457" spans="49:58">
      <c r="AW1457" s="107"/>
      <c r="AX1457" s="195"/>
      <c r="AY1457" s="105"/>
      <c r="AZ1457" s="220"/>
      <c r="BA1457" s="241"/>
      <c r="BE1457" s="107"/>
      <c r="BF1457" s="220"/>
    </row>
    <row r="1458" spans="49:58">
      <c r="AW1458" s="107"/>
      <c r="AX1458" s="195"/>
      <c r="AY1458" s="105"/>
      <c r="AZ1458" s="220"/>
      <c r="BA1458" s="241"/>
      <c r="BE1458" s="107"/>
      <c r="BF1458" s="220"/>
    </row>
    <row r="1459" spans="49:58">
      <c r="AW1459" s="107"/>
      <c r="AX1459" s="195"/>
      <c r="AY1459" s="105"/>
      <c r="AZ1459" s="220"/>
      <c r="BA1459" s="241"/>
      <c r="BE1459" s="107"/>
      <c r="BF1459" s="220"/>
    </row>
    <row r="1460" spans="49:58">
      <c r="AW1460" s="107"/>
      <c r="AX1460" s="195"/>
      <c r="AY1460" s="105"/>
      <c r="AZ1460" s="220"/>
      <c r="BA1460" s="241"/>
      <c r="BE1460" s="107"/>
      <c r="BF1460" s="220"/>
    </row>
    <row r="1461" spans="49:58">
      <c r="AW1461" s="107"/>
      <c r="AX1461" s="195"/>
      <c r="AY1461" s="105"/>
      <c r="AZ1461" s="220"/>
      <c r="BA1461" s="241"/>
      <c r="BE1461" s="107"/>
      <c r="BF1461" s="220"/>
    </row>
    <row r="1462" spans="49:58">
      <c r="AW1462" s="107"/>
      <c r="AX1462" s="195"/>
      <c r="AY1462" s="105"/>
      <c r="AZ1462" s="220"/>
      <c r="BA1462" s="241"/>
      <c r="BE1462" s="107"/>
      <c r="BF1462" s="220"/>
    </row>
    <row r="1463" spans="49:58">
      <c r="AW1463" s="107"/>
      <c r="AX1463" s="195"/>
      <c r="AY1463" s="105"/>
      <c r="AZ1463" s="220"/>
      <c r="BA1463" s="241"/>
      <c r="BE1463" s="107"/>
      <c r="BF1463" s="220"/>
    </row>
    <row r="1464" spans="49:58">
      <c r="AW1464" s="107"/>
      <c r="AX1464" s="195"/>
      <c r="AY1464" s="105"/>
      <c r="AZ1464" s="220"/>
      <c r="BA1464" s="241"/>
      <c r="BE1464" s="107"/>
      <c r="BF1464" s="220"/>
    </row>
    <row r="1465" spans="49:58">
      <c r="AW1465" s="107"/>
      <c r="AX1465" s="195"/>
      <c r="AY1465" s="105"/>
      <c r="AZ1465" s="220"/>
      <c r="BA1465" s="241"/>
      <c r="BE1465" s="107"/>
      <c r="BF1465" s="220"/>
    </row>
    <row r="1466" spans="49:58">
      <c r="AW1466" s="107"/>
      <c r="AX1466" s="195"/>
      <c r="AY1466" s="105"/>
      <c r="AZ1466" s="220"/>
      <c r="BA1466" s="241"/>
      <c r="BE1466" s="107"/>
      <c r="BF1466" s="220"/>
    </row>
    <row r="1467" spans="49:58">
      <c r="AW1467" s="107"/>
      <c r="AX1467" s="195"/>
      <c r="AY1467" s="105"/>
      <c r="AZ1467" s="220"/>
      <c r="BA1467" s="241"/>
      <c r="BE1467" s="107"/>
      <c r="BF1467" s="220"/>
    </row>
    <row r="1468" spans="49:58">
      <c r="AW1468" s="107"/>
      <c r="AX1468" s="195"/>
      <c r="AY1468" s="105"/>
      <c r="AZ1468" s="220"/>
      <c r="BA1468" s="241"/>
      <c r="BE1468" s="107"/>
      <c r="BF1468" s="220"/>
    </row>
    <row r="1469" spans="49:58">
      <c r="AW1469" s="107"/>
      <c r="AX1469" s="195"/>
      <c r="AY1469" s="105"/>
      <c r="AZ1469" s="220"/>
      <c r="BA1469" s="241"/>
      <c r="BE1469" s="107"/>
      <c r="BF1469" s="220"/>
    </row>
    <row r="1470" spans="49:58">
      <c r="AW1470" s="107"/>
      <c r="AX1470" s="195"/>
      <c r="AY1470" s="105"/>
      <c r="AZ1470" s="220"/>
      <c r="BA1470" s="241"/>
      <c r="BE1470" s="107"/>
      <c r="BF1470" s="220"/>
    </row>
    <row r="1471" spans="49:58">
      <c r="AW1471" s="107"/>
      <c r="AX1471" s="195"/>
      <c r="AY1471" s="105"/>
      <c r="AZ1471" s="220"/>
      <c r="BA1471" s="241"/>
      <c r="BE1471" s="107"/>
      <c r="BF1471" s="220"/>
    </row>
    <row r="1472" spans="49:58">
      <c r="AW1472" s="107"/>
      <c r="AX1472" s="195"/>
      <c r="AY1472" s="105"/>
      <c r="AZ1472" s="220"/>
      <c r="BA1472" s="241"/>
      <c r="BE1472" s="107"/>
      <c r="BF1472" s="220"/>
    </row>
    <row r="1473" spans="49:58">
      <c r="AW1473" s="107"/>
      <c r="AX1473" s="195"/>
      <c r="AY1473" s="105"/>
      <c r="AZ1473" s="220"/>
      <c r="BA1473" s="241"/>
      <c r="BE1473" s="107"/>
      <c r="BF1473" s="220"/>
    </row>
    <row r="1474" spans="49:58">
      <c r="AW1474" s="107"/>
      <c r="AX1474" s="195"/>
      <c r="AY1474" s="105"/>
      <c r="AZ1474" s="220"/>
      <c r="BA1474" s="241"/>
      <c r="BE1474" s="107"/>
      <c r="BF1474" s="220"/>
    </row>
    <row r="1475" spans="49:58">
      <c r="AW1475" s="107"/>
      <c r="AX1475" s="195"/>
      <c r="AY1475" s="105"/>
      <c r="AZ1475" s="220"/>
      <c r="BA1475" s="241"/>
      <c r="BE1475" s="107"/>
      <c r="BF1475" s="220"/>
    </row>
    <row r="1476" spans="49:58">
      <c r="AW1476" s="107"/>
      <c r="AX1476" s="195"/>
      <c r="AY1476" s="105"/>
      <c r="AZ1476" s="220"/>
      <c r="BA1476" s="241"/>
      <c r="BE1476" s="107"/>
      <c r="BF1476" s="220"/>
    </row>
    <row r="1477" spans="49:58">
      <c r="AW1477" s="107"/>
      <c r="AX1477" s="195"/>
      <c r="AY1477" s="105"/>
      <c r="AZ1477" s="220"/>
      <c r="BA1477" s="241"/>
      <c r="BE1477" s="107"/>
      <c r="BF1477" s="220"/>
    </row>
    <row r="1478" spans="49:58">
      <c r="AW1478" s="107"/>
      <c r="AX1478" s="195"/>
      <c r="AY1478" s="105"/>
      <c r="AZ1478" s="220"/>
      <c r="BA1478" s="241"/>
      <c r="BE1478" s="107"/>
      <c r="BF1478" s="220"/>
    </row>
    <row r="1479" spans="49:58">
      <c r="AW1479" s="107"/>
      <c r="AX1479" s="195"/>
      <c r="AY1479" s="105"/>
      <c r="AZ1479" s="220"/>
      <c r="BA1479" s="241"/>
      <c r="BE1479" s="107"/>
      <c r="BF1479" s="220"/>
    </row>
    <row r="1480" spans="49:58">
      <c r="AW1480" s="107"/>
      <c r="AX1480" s="195"/>
      <c r="AY1480" s="105"/>
      <c r="AZ1480" s="220"/>
      <c r="BA1480" s="241"/>
      <c r="BE1480" s="107"/>
      <c r="BF1480" s="220"/>
    </row>
    <row r="1481" spans="49:58">
      <c r="AW1481" s="107"/>
      <c r="AX1481" s="195"/>
      <c r="AY1481" s="105"/>
      <c r="AZ1481" s="220"/>
      <c r="BA1481" s="241"/>
      <c r="BE1481" s="107"/>
      <c r="BF1481" s="220"/>
    </row>
    <row r="1482" spans="49:58">
      <c r="AW1482" s="107"/>
      <c r="AX1482" s="195"/>
      <c r="AY1482" s="105"/>
      <c r="AZ1482" s="220"/>
      <c r="BA1482" s="241"/>
      <c r="BE1482" s="107"/>
      <c r="BF1482" s="220"/>
    </row>
    <row r="1483" spans="49:58">
      <c r="AW1483" s="107"/>
      <c r="AX1483" s="195"/>
      <c r="AY1483" s="105"/>
      <c r="AZ1483" s="220"/>
      <c r="BA1483" s="241"/>
      <c r="BE1483" s="107"/>
      <c r="BF1483" s="220"/>
    </row>
    <row r="1484" spans="49:58">
      <c r="AW1484" s="107"/>
      <c r="AX1484" s="195"/>
      <c r="AY1484" s="105"/>
      <c r="AZ1484" s="220"/>
      <c r="BA1484" s="241"/>
      <c r="BE1484" s="107"/>
      <c r="BF1484" s="220"/>
    </row>
    <row r="1485" spans="49:58">
      <c r="AW1485" s="107"/>
      <c r="AX1485" s="195"/>
      <c r="AY1485" s="105"/>
      <c r="AZ1485" s="220"/>
      <c r="BA1485" s="241"/>
      <c r="BE1485" s="107"/>
      <c r="BF1485" s="220"/>
    </row>
    <row r="1486" spans="49:58">
      <c r="AW1486" s="107"/>
      <c r="AX1486" s="195"/>
      <c r="AY1486" s="105"/>
      <c r="AZ1486" s="220"/>
      <c r="BA1486" s="241"/>
      <c r="BE1486" s="107"/>
      <c r="BF1486" s="220"/>
    </row>
    <row r="1487" spans="49:58">
      <c r="AW1487" s="107"/>
      <c r="AX1487" s="195"/>
      <c r="AY1487" s="105"/>
      <c r="AZ1487" s="220"/>
      <c r="BA1487" s="241"/>
      <c r="BE1487" s="107"/>
      <c r="BF1487" s="220"/>
    </row>
    <row r="1488" spans="49:58">
      <c r="AW1488" s="107"/>
      <c r="AX1488" s="195"/>
      <c r="AY1488" s="105"/>
      <c r="AZ1488" s="220"/>
      <c r="BA1488" s="241"/>
      <c r="BE1488" s="107"/>
      <c r="BF1488" s="220"/>
    </row>
    <row r="1489" spans="49:58">
      <c r="AW1489" s="107"/>
      <c r="AX1489" s="195"/>
      <c r="AY1489" s="105"/>
      <c r="AZ1489" s="220"/>
      <c r="BA1489" s="241"/>
      <c r="BE1489" s="107"/>
      <c r="BF1489" s="220"/>
    </row>
    <row r="1490" spans="49:58">
      <c r="AW1490" s="107"/>
      <c r="AX1490" s="195"/>
      <c r="AY1490" s="105"/>
      <c r="AZ1490" s="220"/>
      <c r="BA1490" s="241"/>
      <c r="BE1490" s="107"/>
      <c r="BF1490" s="220"/>
    </row>
    <row r="1491" spans="49:58">
      <c r="AW1491" s="107"/>
      <c r="AX1491" s="195"/>
      <c r="AY1491" s="105"/>
      <c r="AZ1491" s="220"/>
      <c r="BA1491" s="241"/>
      <c r="BE1491" s="107"/>
      <c r="BF1491" s="220"/>
    </row>
    <row r="1492" spans="49:58">
      <c r="AW1492" s="107"/>
      <c r="AX1492" s="195"/>
      <c r="AY1492" s="105"/>
      <c r="AZ1492" s="220"/>
      <c r="BA1492" s="241"/>
      <c r="BE1492" s="107"/>
      <c r="BF1492" s="220"/>
    </row>
    <row r="1493" spans="49:58">
      <c r="AW1493" s="107"/>
      <c r="AX1493" s="195"/>
      <c r="AY1493" s="105"/>
      <c r="AZ1493" s="220"/>
      <c r="BA1493" s="241"/>
      <c r="BE1493" s="107"/>
      <c r="BF1493" s="220"/>
    </row>
    <row r="1494" spans="49:58">
      <c r="AW1494" s="107"/>
      <c r="AX1494" s="195"/>
      <c r="AY1494" s="105"/>
      <c r="AZ1494" s="220"/>
      <c r="BA1494" s="241"/>
      <c r="BE1494" s="107"/>
      <c r="BF1494" s="220"/>
    </row>
    <row r="1495" spans="49:58">
      <c r="AW1495" s="107"/>
      <c r="AX1495" s="195"/>
      <c r="AY1495" s="105"/>
      <c r="AZ1495" s="220"/>
      <c r="BA1495" s="241"/>
      <c r="BE1495" s="107"/>
      <c r="BF1495" s="220"/>
    </row>
    <row r="1496" spans="49:58">
      <c r="AW1496" s="107"/>
      <c r="AX1496" s="195"/>
      <c r="AY1496" s="105"/>
      <c r="AZ1496" s="220"/>
      <c r="BA1496" s="241"/>
      <c r="BE1496" s="107"/>
      <c r="BF1496" s="220"/>
    </row>
    <row r="1497" spans="49:58">
      <c r="AW1497" s="107"/>
      <c r="AX1497" s="195"/>
      <c r="AY1497" s="105"/>
      <c r="AZ1497" s="220"/>
      <c r="BA1497" s="241"/>
      <c r="BE1497" s="107"/>
      <c r="BF1497" s="220"/>
    </row>
    <row r="1498" spans="49:58">
      <c r="AW1498" s="107"/>
      <c r="AX1498" s="195"/>
      <c r="AY1498" s="105"/>
      <c r="AZ1498" s="220"/>
      <c r="BA1498" s="241"/>
      <c r="BE1498" s="107"/>
      <c r="BF1498" s="220"/>
    </row>
    <row r="1499" spans="49:58">
      <c r="AW1499" s="107"/>
      <c r="AX1499" s="195"/>
      <c r="AY1499" s="105"/>
      <c r="AZ1499" s="220"/>
      <c r="BA1499" s="241"/>
      <c r="BE1499" s="107"/>
      <c r="BF1499" s="220"/>
    </row>
    <row r="1500" spans="49:58">
      <c r="AW1500" s="107"/>
      <c r="AX1500" s="195"/>
      <c r="AY1500" s="105"/>
      <c r="AZ1500" s="220"/>
      <c r="BA1500" s="241"/>
      <c r="BE1500" s="107"/>
      <c r="BF1500" s="220"/>
    </row>
    <row r="1501" spans="49:58">
      <c r="AW1501" s="107"/>
      <c r="AX1501" s="195"/>
      <c r="AY1501" s="105"/>
      <c r="AZ1501" s="220"/>
      <c r="BA1501" s="241"/>
      <c r="BE1501" s="107"/>
      <c r="BF1501" s="220"/>
    </row>
    <row r="1502" spans="49:58">
      <c r="AW1502" s="107"/>
      <c r="AX1502" s="195"/>
      <c r="AY1502" s="105"/>
      <c r="AZ1502" s="220"/>
      <c r="BA1502" s="241"/>
      <c r="BE1502" s="107"/>
      <c r="BF1502" s="220"/>
    </row>
    <row r="1503" spans="49:58">
      <c r="AW1503" s="107"/>
      <c r="AX1503" s="195"/>
      <c r="AY1503" s="105"/>
      <c r="AZ1503" s="220"/>
      <c r="BA1503" s="241"/>
      <c r="BE1503" s="107"/>
      <c r="BF1503" s="220"/>
    </row>
    <row r="1504" spans="49:58">
      <c r="AW1504" s="107"/>
      <c r="AX1504" s="195"/>
      <c r="AY1504" s="105"/>
      <c r="AZ1504" s="220"/>
      <c r="BA1504" s="241"/>
      <c r="BE1504" s="107"/>
      <c r="BF1504" s="220"/>
    </row>
    <row r="1505" spans="49:58">
      <c r="AW1505" s="107"/>
      <c r="AX1505" s="195"/>
      <c r="AY1505" s="105"/>
      <c r="AZ1505" s="220"/>
      <c r="BA1505" s="241"/>
      <c r="BE1505" s="107"/>
      <c r="BF1505" s="220"/>
    </row>
    <row r="1506" spans="49:58">
      <c r="AW1506" s="107"/>
      <c r="AX1506" s="195"/>
      <c r="AY1506" s="105"/>
      <c r="AZ1506" s="220"/>
      <c r="BA1506" s="241"/>
      <c r="BE1506" s="107"/>
      <c r="BF1506" s="220"/>
    </row>
    <row r="1507" spans="49:58">
      <c r="AW1507" s="107"/>
      <c r="AX1507" s="195"/>
      <c r="AY1507" s="105"/>
      <c r="AZ1507" s="220"/>
      <c r="BA1507" s="241"/>
      <c r="BE1507" s="107"/>
      <c r="BF1507" s="220"/>
    </row>
    <row r="1508" spans="49:58">
      <c r="AW1508" s="107"/>
      <c r="AX1508" s="195"/>
      <c r="AY1508" s="105"/>
      <c r="AZ1508" s="220"/>
      <c r="BA1508" s="241"/>
      <c r="BE1508" s="107"/>
      <c r="BF1508" s="220"/>
    </row>
    <row r="1509" spans="49:58">
      <c r="AW1509" s="107"/>
      <c r="AX1509" s="195"/>
      <c r="AY1509" s="105"/>
      <c r="AZ1509" s="220"/>
      <c r="BA1509" s="241"/>
      <c r="BE1509" s="107"/>
      <c r="BF1509" s="220"/>
    </row>
    <row r="1510" spans="49:58">
      <c r="AW1510" s="107"/>
      <c r="AX1510" s="195"/>
      <c r="AY1510" s="105"/>
      <c r="AZ1510" s="220"/>
      <c r="BA1510" s="241"/>
      <c r="BE1510" s="107"/>
      <c r="BF1510" s="220"/>
    </row>
    <row r="1511" spans="49:58">
      <c r="AW1511" s="107"/>
      <c r="AX1511" s="195"/>
      <c r="AY1511" s="105"/>
      <c r="AZ1511" s="220"/>
      <c r="BA1511" s="241"/>
      <c r="BE1511" s="107"/>
      <c r="BF1511" s="220"/>
    </row>
    <row r="1512" spans="49:58">
      <c r="AW1512" s="107"/>
      <c r="AX1512" s="195"/>
      <c r="AY1512" s="105"/>
      <c r="AZ1512" s="220"/>
      <c r="BA1512" s="241"/>
      <c r="BE1512" s="107"/>
      <c r="BF1512" s="220"/>
    </row>
    <row r="1513" spans="49:58">
      <c r="AW1513" s="107"/>
      <c r="AX1513" s="195"/>
      <c r="AY1513" s="105"/>
      <c r="AZ1513" s="220"/>
      <c r="BA1513" s="241"/>
      <c r="BE1513" s="107"/>
      <c r="BF1513" s="220"/>
    </row>
    <row r="1514" spans="49:58">
      <c r="AW1514" s="107"/>
      <c r="AX1514" s="195"/>
      <c r="AY1514" s="105"/>
      <c r="AZ1514" s="220"/>
      <c r="BA1514" s="241"/>
      <c r="BE1514" s="107"/>
      <c r="BF1514" s="220"/>
    </row>
    <row r="1515" spans="49:58">
      <c r="AW1515" s="107"/>
      <c r="AX1515" s="195"/>
      <c r="AY1515" s="105"/>
      <c r="AZ1515" s="220"/>
      <c r="BA1515" s="241"/>
      <c r="BE1515" s="107"/>
      <c r="BF1515" s="220"/>
    </row>
    <row r="1516" spans="49:58">
      <c r="AW1516" s="107"/>
      <c r="AX1516" s="195"/>
      <c r="AY1516" s="105"/>
      <c r="AZ1516" s="220"/>
      <c r="BA1516" s="241"/>
      <c r="BE1516" s="107"/>
      <c r="BF1516" s="220"/>
    </row>
    <row r="1517" spans="49:58">
      <c r="AW1517" s="107"/>
      <c r="AX1517" s="195"/>
      <c r="AY1517" s="105"/>
      <c r="AZ1517" s="220"/>
      <c r="BA1517" s="241"/>
      <c r="BE1517" s="107"/>
      <c r="BF1517" s="220"/>
    </row>
    <row r="1518" spans="49:58">
      <c r="AW1518" s="107"/>
      <c r="AX1518" s="195"/>
      <c r="AY1518" s="105"/>
      <c r="AZ1518" s="220"/>
      <c r="BA1518" s="241"/>
      <c r="BE1518" s="107"/>
      <c r="BF1518" s="220"/>
    </row>
    <row r="1519" spans="49:58">
      <c r="AW1519" s="107"/>
      <c r="AX1519" s="195"/>
      <c r="AY1519" s="105"/>
      <c r="AZ1519" s="220"/>
      <c r="BA1519" s="241"/>
      <c r="BE1519" s="107"/>
      <c r="BF1519" s="220"/>
    </row>
    <row r="1520" spans="49:58">
      <c r="AW1520" s="107"/>
      <c r="AX1520" s="195"/>
      <c r="AY1520" s="105"/>
      <c r="AZ1520" s="220"/>
      <c r="BA1520" s="241"/>
      <c r="BE1520" s="107"/>
      <c r="BF1520" s="220"/>
    </row>
    <row r="1521" spans="49:58">
      <c r="AW1521" s="107"/>
      <c r="AX1521" s="195"/>
      <c r="AY1521" s="105"/>
      <c r="AZ1521" s="220"/>
      <c r="BA1521" s="241"/>
      <c r="BE1521" s="107"/>
      <c r="BF1521" s="220"/>
    </row>
    <row r="1522" spans="49:58">
      <c r="AW1522" s="107"/>
      <c r="AX1522" s="195"/>
      <c r="AY1522" s="105"/>
      <c r="AZ1522" s="220"/>
      <c r="BA1522" s="241"/>
      <c r="BE1522" s="107"/>
      <c r="BF1522" s="220"/>
    </row>
    <row r="1523" spans="49:58">
      <c r="AW1523" s="107"/>
      <c r="AX1523" s="195"/>
      <c r="AY1523" s="105"/>
      <c r="AZ1523" s="220"/>
      <c r="BA1523" s="241"/>
      <c r="BE1523" s="107"/>
      <c r="BF1523" s="220"/>
    </row>
    <row r="1524" spans="49:58">
      <c r="AW1524" s="107"/>
      <c r="AX1524" s="195"/>
      <c r="AY1524" s="105"/>
      <c r="AZ1524" s="220"/>
      <c r="BA1524" s="241"/>
      <c r="BE1524" s="107"/>
      <c r="BF1524" s="220"/>
    </row>
    <row r="1525" spans="49:58">
      <c r="AW1525" s="107"/>
      <c r="AX1525" s="195"/>
      <c r="AY1525" s="105"/>
      <c r="AZ1525" s="220"/>
      <c r="BA1525" s="241"/>
      <c r="BE1525" s="107"/>
      <c r="BF1525" s="220"/>
    </row>
    <row r="1526" spans="49:58">
      <c r="AW1526" s="107"/>
      <c r="AX1526" s="195"/>
      <c r="AY1526" s="105"/>
      <c r="AZ1526" s="220"/>
      <c r="BA1526" s="241"/>
      <c r="BE1526" s="107"/>
      <c r="BF1526" s="220"/>
    </row>
    <row r="1527" spans="49:58">
      <c r="AW1527" s="107"/>
      <c r="AX1527" s="195"/>
      <c r="AY1527" s="105"/>
      <c r="AZ1527" s="220"/>
      <c r="BA1527" s="241"/>
      <c r="BE1527" s="107"/>
      <c r="BF1527" s="220"/>
    </row>
    <row r="1528" spans="49:58">
      <c r="AW1528" s="107"/>
      <c r="AX1528" s="195"/>
      <c r="AY1528" s="105"/>
      <c r="AZ1528" s="220"/>
      <c r="BA1528" s="241"/>
      <c r="BE1528" s="107"/>
      <c r="BF1528" s="220"/>
    </row>
    <row r="1529" spans="49:58">
      <c r="AW1529" s="107"/>
      <c r="AX1529" s="195"/>
      <c r="AY1529" s="105"/>
      <c r="AZ1529" s="220"/>
      <c r="BA1529" s="241"/>
      <c r="BE1529" s="107"/>
      <c r="BF1529" s="220"/>
    </row>
    <row r="1530" spans="49:58">
      <c r="AW1530" s="107"/>
      <c r="AX1530" s="195"/>
      <c r="AY1530" s="105"/>
      <c r="AZ1530" s="220"/>
      <c r="BA1530" s="241"/>
      <c r="BE1530" s="107"/>
      <c r="BF1530" s="220"/>
    </row>
    <row r="1531" spans="49:58">
      <c r="AW1531" s="107"/>
      <c r="AX1531" s="195"/>
      <c r="AY1531" s="105"/>
      <c r="AZ1531" s="220"/>
      <c r="BA1531" s="241"/>
      <c r="BE1531" s="107"/>
      <c r="BF1531" s="220"/>
    </row>
    <row r="1532" spans="49:58">
      <c r="AW1532" s="107"/>
      <c r="AX1532" s="195"/>
      <c r="AY1532" s="105"/>
      <c r="AZ1532" s="220"/>
      <c r="BA1532" s="241"/>
      <c r="BE1532" s="107"/>
      <c r="BF1532" s="220"/>
    </row>
    <row r="1533" spans="49:58">
      <c r="AW1533" s="107"/>
      <c r="AX1533" s="195"/>
      <c r="AY1533" s="105"/>
      <c r="AZ1533" s="220"/>
      <c r="BA1533" s="241"/>
      <c r="BE1533" s="107"/>
      <c r="BF1533" s="220"/>
    </row>
    <row r="1534" spans="49:58">
      <c r="AW1534" s="107"/>
      <c r="AX1534" s="195"/>
      <c r="AY1534" s="105"/>
      <c r="AZ1534" s="220"/>
      <c r="BA1534" s="241"/>
      <c r="BE1534" s="107"/>
      <c r="BF1534" s="220"/>
    </row>
    <row r="1535" spans="49:58">
      <c r="AW1535" s="107"/>
      <c r="AX1535" s="195"/>
      <c r="AY1535" s="105"/>
      <c r="AZ1535" s="220"/>
      <c r="BA1535" s="241"/>
      <c r="BE1535" s="107"/>
      <c r="BF1535" s="220"/>
    </row>
    <row r="1536" spans="49:58">
      <c r="AW1536" s="107"/>
      <c r="AX1536" s="195"/>
      <c r="AY1536" s="105"/>
      <c r="AZ1536" s="220"/>
      <c r="BA1536" s="241"/>
      <c r="BE1536" s="107"/>
      <c r="BF1536" s="220"/>
    </row>
    <row r="1537" spans="49:58">
      <c r="AW1537" s="107"/>
      <c r="AX1537" s="195"/>
      <c r="AY1537" s="105"/>
      <c r="AZ1537" s="220"/>
      <c r="BA1537" s="241"/>
      <c r="BE1537" s="107"/>
      <c r="BF1537" s="220"/>
    </row>
    <row r="1538" spans="49:58">
      <c r="AW1538" s="107"/>
      <c r="AX1538" s="195"/>
      <c r="AY1538" s="105"/>
      <c r="AZ1538" s="220"/>
      <c r="BA1538" s="241"/>
      <c r="BE1538" s="107"/>
      <c r="BF1538" s="220"/>
    </row>
    <row r="1539" spans="49:58">
      <c r="AW1539" s="107"/>
      <c r="AX1539" s="195"/>
      <c r="AY1539" s="105"/>
      <c r="AZ1539" s="220"/>
      <c r="BA1539" s="241"/>
      <c r="BE1539" s="107"/>
      <c r="BF1539" s="220"/>
    </row>
    <row r="1540" spans="49:58">
      <c r="AW1540" s="107"/>
      <c r="AX1540" s="195"/>
      <c r="AY1540" s="105"/>
      <c r="AZ1540" s="220"/>
      <c r="BA1540" s="241"/>
      <c r="BE1540" s="107"/>
      <c r="BF1540" s="220"/>
    </row>
    <row r="1541" spans="49:58">
      <c r="AW1541" s="107"/>
      <c r="AX1541" s="195"/>
      <c r="AY1541" s="105"/>
      <c r="AZ1541" s="220"/>
      <c r="BA1541" s="241"/>
      <c r="BE1541" s="107"/>
      <c r="BF1541" s="220"/>
    </row>
    <row r="1542" spans="49:58">
      <c r="AW1542" s="107"/>
      <c r="AX1542" s="195"/>
      <c r="AY1542" s="105"/>
      <c r="AZ1542" s="220"/>
      <c r="BA1542" s="241"/>
      <c r="BE1542" s="107"/>
      <c r="BF1542" s="220"/>
    </row>
    <row r="1543" spans="49:58">
      <c r="AW1543" s="107"/>
      <c r="AX1543" s="195"/>
      <c r="AY1543" s="105"/>
      <c r="AZ1543" s="220"/>
      <c r="BA1543" s="241"/>
      <c r="BE1543" s="107"/>
      <c r="BF1543" s="220"/>
    </row>
    <row r="1544" spans="49:58">
      <c r="AW1544" s="107"/>
      <c r="AX1544" s="195"/>
      <c r="AY1544" s="105"/>
      <c r="AZ1544" s="220"/>
      <c r="BA1544" s="241"/>
      <c r="BE1544" s="107"/>
      <c r="BF1544" s="220"/>
    </row>
    <row r="1545" spans="49:58">
      <c r="AW1545" s="107"/>
      <c r="AX1545" s="195"/>
      <c r="AY1545" s="105"/>
      <c r="AZ1545" s="220"/>
      <c r="BA1545" s="241"/>
      <c r="BE1545" s="107"/>
      <c r="BF1545" s="220"/>
    </row>
    <row r="1546" spans="49:58">
      <c r="AW1546" s="107"/>
      <c r="AX1546" s="195"/>
      <c r="AY1546" s="105"/>
      <c r="AZ1546" s="220"/>
      <c r="BA1546" s="241"/>
      <c r="BE1546" s="107"/>
      <c r="BF1546" s="220"/>
    </row>
    <row r="1547" spans="49:58">
      <c r="AW1547" s="107"/>
      <c r="AX1547" s="195"/>
      <c r="AY1547" s="105"/>
      <c r="AZ1547" s="220"/>
      <c r="BA1547" s="241"/>
      <c r="BE1547" s="107"/>
      <c r="BF1547" s="220"/>
    </row>
    <row r="1548" spans="49:58">
      <c r="AW1548" s="107"/>
      <c r="AX1548" s="195"/>
      <c r="AY1548" s="105"/>
      <c r="AZ1548" s="220"/>
      <c r="BA1548" s="241"/>
      <c r="BE1548" s="107"/>
      <c r="BF1548" s="220"/>
    </row>
    <row r="1549" spans="49:58">
      <c r="AW1549" s="107"/>
      <c r="AX1549" s="195"/>
      <c r="AY1549" s="105"/>
      <c r="AZ1549" s="220"/>
      <c r="BA1549" s="241"/>
      <c r="BE1549" s="107"/>
      <c r="BF1549" s="220"/>
    </row>
    <row r="1550" spans="49:58">
      <c r="AW1550" s="107"/>
      <c r="AX1550" s="195"/>
      <c r="AY1550" s="105"/>
      <c r="AZ1550" s="220"/>
      <c r="BA1550" s="241"/>
      <c r="BE1550" s="107"/>
      <c r="BF1550" s="220"/>
    </row>
    <row r="1551" spans="49:58">
      <c r="AW1551" s="107"/>
      <c r="AX1551" s="195"/>
      <c r="AY1551" s="105"/>
      <c r="AZ1551" s="220"/>
      <c r="BA1551" s="241"/>
      <c r="BE1551" s="107"/>
      <c r="BF1551" s="220"/>
    </row>
    <row r="1552" spans="49:58">
      <c r="AW1552" s="107"/>
      <c r="AX1552" s="195"/>
      <c r="AY1552" s="105"/>
      <c r="AZ1552" s="220"/>
      <c r="BA1552" s="241"/>
      <c r="BE1552" s="107"/>
      <c r="BF1552" s="220"/>
    </row>
    <row r="1553" spans="49:58">
      <c r="AW1553" s="107"/>
      <c r="AX1553" s="195"/>
      <c r="AY1553" s="105"/>
      <c r="AZ1553" s="220"/>
      <c r="BA1553" s="241"/>
      <c r="BE1553" s="107"/>
      <c r="BF1553" s="220"/>
    </row>
    <row r="1554" spans="49:58">
      <c r="AW1554" s="107"/>
      <c r="AX1554" s="195"/>
      <c r="AY1554" s="105"/>
      <c r="AZ1554" s="220"/>
      <c r="BA1554" s="241"/>
      <c r="BE1554" s="107"/>
      <c r="BF1554" s="220"/>
    </row>
    <row r="1555" spans="49:58">
      <c r="AW1555" s="107"/>
      <c r="AX1555" s="195"/>
      <c r="AY1555" s="105"/>
      <c r="AZ1555" s="220"/>
      <c r="BA1555" s="241"/>
      <c r="BE1555" s="107"/>
      <c r="BF1555" s="220"/>
    </row>
    <row r="1556" spans="49:58">
      <c r="AW1556" s="107"/>
      <c r="AX1556" s="195"/>
      <c r="AY1556" s="105"/>
      <c r="AZ1556" s="220"/>
      <c r="BA1556" s="241"/>
      <c r="BE1556" s="107"/>
      <c r="BF1556" s="220"/>
    </row>
    <row r="1557" spans="49:58">
      <c r="AW1557" s="107"/>
      <c r="AX1557" s="195"/>
      <c r="AY1557" s="105"/>
      <c r="AZ1557" s="220"/>
      <c r="BA1557" s="241"/>
      <c r="BE1557" s="107"/>
      <c r="BF1557" s="220"/>
    </row>
    <row r="1558" spans="49:58">
      <c r="AW1558" s="107"/>
      <c r="AX1558" s="195"/>
      <c r="AY1558" s="105"/>
      <c r="AZ1558" s="220"/>
      <c r="BA1558" s="241"/>
      <c r="BE1558" s="107"/>
      <c r="BF1558" s="220"/>
    </row>
    <row r="1559" spans="49:58">
      <c r="AW1559" s="107"/>
      <c r="AX1559" s="195"/>
      <c r="AY1559" s="105"/>
      <c r="AZ1559" s="220"/>
      <c r="BA1559" s="241"/>
      <c r="BE1559" s="107"/>
      <c r="BF1559" s="220"/>
    </row>
    <row r="1560" spans="49:58">
      <c r="AW1560" s="107"/>
      <c r="AX1560" s="195"/>
      <c r="AY1560" s="105"/>
      <c r="AZ1560" s="220"/>
      <c r="BA1560" s="241"/>
      <c r="BE1560" s="107"/>
      <c r="BF1560" s="220"/>
    </row>
    <row r="1561" spans="49:58">
      <c r="AW1561" s="107"/>
      <c r="AX1561" s="195"/>
      <c r="AY1561" s="105"/>
      <c r="AZ1561" s="220"/>
      <c r="BA1561" s="241"/>
      <c r="BE1561" s="107"/>
      <c r="BF1561" s="220"/>
    </row>
    <row r="1562" spans="49:58">
      <c r="AW1562" s="107"/>
      <c r="AX1562" s="195"/>
      <c r="AY1562" s="105"/>
      <c r="AZ1562" s="220"/>
      <c r="BA1562" s="241"/>
      <c r="BE1562" s="107"/>
      <c r="BF1562" s="220"/>
    </row>
    <row r="1563" spans="49:58">
      <c r="AW1563" s="107"/>
      <c r="AX1563" s="195"/>
      <c r="AY1563" s="105"/>
      <c r="AZ1563" s="220"/>
      <c r="BA1563" s="241"/>
      <c r="BE1563" s="107"/>
      <c r="BF1563" s="220"/>
    </row>
    <row r="1564" spans="49:58">
      <c r="AW1564" s="107"/>
      <c r="AX1564" s="195"/>
      <c r="AY1564" s="105"/>
      <c r="AZ1564" s="220"/>
      <c r="BA1564" s="241"/>
      <c r="BE1564" s="107"/>
      <c r="BF1564" s="220"/>
    </row>
    <row r="1565" spans="49:58">
      <c r="AW1565" s="107"/>
      <c r="AX1565" s="195"/>
      <c r="AY1565" s="105"/>
      <c r="AZ1565" s="220"/>
      <c r="BA1565" s="241"/>
      <c r="BE1565" s="107"/>
      <c r="BF1565" s="220"/>
    </row>
    <row r="1566" spans="49:58">
      <c r="AW1566" s="107"/>
      <c r="AX1566" s="195"/>
      <c r="AY1566" s="105"/>
      <c r="AZ1566" s="220"/>
      <c r="BA1566" s="241"/>
      <c r="BE1566" s="107"/>
      <c r="BF1566" s="220"/>
    </row>
    <row r="1567" spans="49:58">
      <c r="AW1567" s="107"/>
      <c r="AX1567" s="195"/>
      <c r="AY1567" s="105"/>
      <c r="AZ1567" s="220"/>
      <c r="BA1567" s="241"/>
      <c r="BE1567" s="107"/>
      <c r="BF1567" s="220"/>
    </row>
    <row r="1568" spans="49:58">
      <c r="AW1568" s="107"/>
      <c r="AX1568" s="195"/>
      <c r="AY1568" s="105"/>
      <c r="AZ1568" s="220"/>
      <c r="BA1568" s="241"/>
      <c r="BE1568" s="107"/>
      <c r="BF1568" s="220"/>
    </row>
    <row r="1569" spans="49:58">
      <c r="AW1569" s="107"/>
      <c r="AX1569" s="195"/>
      <c r="AY1569" s="105"/>
      <c r="AZ1569" s="220"/>
      <c r="BA1569" s="241"/>
      <c r="BE1569" s="107"/>
      <c r="BF1569" s="220"/>
    </row>
    <row r="1570" spans="49:58">
      <c r="AW1570" s="107"/>
      <c r="AX1570" s="195"/>
      <c r="AY1570" s="105"/>
      <c r="AZ1570" s="220"/>
      <c r="BA1570" s="241"/>
      <c r="BE1570" s="107"/>
      <c r="BF1570" s="220"/>
    </row>
    <row r="1571" spans="49:58">
      <c r="AW1571" s="107"/>
      <c r="AX1571" s="195"/>
      <c r="AY1571" s="105"/>
      <c r="AZ1571" s="220"/>
      <c r="BA1571" s="241"/>
      <c r="BE1571" s="107"/>
      <c r="BF1571" s="220"/>
    </row>
    <row r="1572" spans="49:58">
      <c r="AW1572" s="107"/>
      <c r="AX1572" s="195"/>
      <c r="AY1572" s="105"/>
      <c r="AZ1572" s="220"/>
      <c r="BA1572" s="241"/>
      <c r="BE1572" s="107"/>
      <c r="BF1572" s="220"/>
    </row>
    <row r="1573" spans="49:58">
      <c r="AW1573" s="107"/>
      <c r="AX1573" s="195"/>
      <c r="AY1573" s="105"/>
      <c r="AZ1573" s="220"/>
      <c r="BA1573" s="241"/>
      <c r="BE1573" s="107"/>
      <c r="BF1573" s="220"/>
    </row>
    <row r="1574" spans="49:58">
      <c r="AW1574" s="107"/>
      <c r="AX1574" s="195"/>
      <c r="AY1574" s="105"/>
      <c r="AZ1574" s="220"/>
      <c r="BA1574" s="241"/>
      <c r="BE1574" s="107"/>
      <c r="BF1574" s="220"/>
    </row>
    <row r="1575" spans="49:58">
      <c r="AW1575" s="107"/>
      <c r="AX1575" s="195"/>
      <c r="AY1575" s="105"/>
      <c r="AZ1575" s="220"/>
      <c r="BA1575" s="241"/>
      <c r="BE1575" s="107"/>
      <c r="BF1575" s="220"/>
    </row>
    <row r="1576" spans="49:58">
      <c r="AW1576" s="107"/>
      <c r="AX1576" s="195"/>
      <c r="AY1576" s="105"/>
      <c r="AZ1576" s="220"/>
      <c r="BA1576" s="241"/>
      <c r="BE1576" s="107"/>
      <c r="BF1576" s="220"/>
    </row>
    <row r="1577" spans="49:58">
      <c r="AW1577" s="107"/>
      <c r="AX1577" s="195"/>
      <c r="AY1577" s="105"/>
      <c r="AZ1577" s="220"/>
      <c r="BA1577" s="241"/>
      <c r="BE1577" s="107"/>
      <c r="BF1577" s="220"/>
    </row>
    <row r="1578" spans="49:58">
      <c r="AW1578" s="107"/>
      <c r="AX1578" s="195"/>
      <c r="AY1578" s="105"/>
      <c r="AZ1578" s="220"/>
      <c r="BA1578" s="241"/>
      <c r="BE1578" s="107"/>
      <c r="BF1578" s="220"/>
    </row>
    <row r="1579" spans="49:58">
      <c r="AW1579" s="107"/>
      <c r="AX1579" s="195"/>
      <c r="AY1579" s="105"/>
      <c r="AZ1579" s="220"/>
      <c r="BA1579" s="241"/>
      <c r="BE1579" s="107"/>
      <c r="BF1579" s="220"/>
    </row>
    <row r="1580" spans="49:58">
      <c r="AW1580" s="107"/>
      <c r="AX1580" s="195"/>
      <c r="AY1580" s="105"/>
      <c r="AZ1580" s="220"/>
      <c r="BA1580" s="241"/>
      <c r="BE1580" s="107"/>
      <c r="BF1580" s="220"/>
    </row>
    <row r="1581" spans="49:58">
      <c r="AW1581" s="107"/>
      <c r="AX1581" s="195"/>
      <c r="AY1581" s="105"/>
      <c r="AZ1581" s="220"/>
      <c r="BA1581" s="241"/>
      <c r="BE1581" s="107"/>
      <c r="BF1581" s="220"/>
    </row>
    <row r="1582" spans="49:58">
      <c r="AW1582" s="107"/>
      <c r="AX1582" s="195"/>
      <c r="AY1582" s="105"/>
      <c r="AZ1582" s="220"/>
      <c r="BA1582" s="241"/>
      <c r="BE1582" s="107"/>
      <c r="BF1582" s="220"/>
    </row>
    <row r="1583" spans="49:58">
      <c r="AW1583" s="107"/>
      <c r="AX1583" s="195"/>
      <c r="AY1583" s="105"/>
      <c r="AZ1583" s="220"/>
      <c r="BA1583" s="241"/>
      <c r="BE1583" s="107"/>
      <c r="BF1583" s="220"/>
    </row>
    <row r="1584" spans="49:58">
      <c r="AW1584" s="107"/>
      <c r="AX1584" s="195"/>
      <c r="AY1584" s="105"/>
      <c r="AZ1584" s="220"/>
      <c r="BA1584" s="241"/>
      <c r="BE1584" s="107"/>
      <c r="BF1584" s="220"/>
    </row>
    <row r="1585" spans="49:58">
      <c r="AW1585" s="107"/>
      <c r="AX1585" s="195"/>
      <c r="AY1585" s="105"/>
      <c r="AZ1585" s="220"/>
      <c r="BA1585" s="241"/>
      <c r="BE1585" s="107"/>
      <c r="BF1585" s="220"/>
    </row>
    <row r="1586" spans="49:58">
      <c r="AW1586" s="107"/>
      <c r="AX1586" s="195"/>
      <c r="AY1586" s="105"/>
      <c r="AZ1586" s="220"/>
      <c r="BA1586" s="241"/>
      <c r="BE1586" s="107"/>
      <c r="BF1586" s="220"/>
    </row>
    <row r="1587" spans="49:58">
      <c r="AW1587" s="107"/>
      <c r="AX1587" s="195"/>
      <c r="AY1587" s="105"/>
      <c r="AZ1587" s="220"/>
      <c r="BA1587" s="241"/>
      <c r="BE1587" s="107"/>
      <c r="BF1587" s="220"/>
    </row>
    <row r="1588" spans="49:58">
      <c r="AW1588" s="107"/>
      <c r="AX1588" s="195"/>
      <c r="AY1588" s="105"/>
      <c r="AZ1588" s="220"/>
      <c r="BA1588" s="241"/>
      <c r="BE1588" s="107"/>
      <c r="BF1588" s="220"/>
    </row>
    <row r="1589" spans="49:58">
      <c r="AW1589" s="107"/>
      <c r="AX1589" s="195"/>
      <c r="AY1589" s="105"/>
      <c r="AZ1589" s="220"/>
      <c r="BA1589" s="241"/>
      <c r="BE1589" s="107"/>
      <c r="BF1589" s="220"/>
    </row>
    <row r="1590" spans="49:58">
      <c r="AW1590" s="107"/>
      <c r="AX1590" s="195"/>
      <c r="AY1590" s="105"/>
      <c r="AZ1590" s="220"/>
      <c r="BA1590" s="241"/>
      <c r="BE1590" s="107"/>
      <c r="BF1590" s="220"/>
    </row>
    <row r="1591" spans="49:58">
      <c r="AW1591" s="107"/>
      <c r="AX1591" s="195"/>
      <c r="AY1591" s="105"/>
      <c r="AZ1591" s="220"/>
      <c r="BA1591" s="241"/>
      <c r="BE1591" s="107"/>
      <c r="BF1591" s="220"/>
    </row>
    <row r="1592" spans="49:58">
      <c r="AW1592" s="107"/>
      <c r="AX1592" s="195"/>
      <c r="AY1592" s="105"/>
      <c r="AZ1592" s="220"/>
      <c r="BA1592" s="241"/>
      <c r="BE1592" s="107"/>
      <c r="BF1592" s="220"/>
    </row>
    <row r="1593" spans="49:58">
      <c r="AW1593" s="107"/>
      <c r="AX1593" s="195"/>
      <c r="AY1593" s="105"/>
      <c r="AZ1593" s="220"/>
      <c r="BA1593" s="241"/>
      <c r="BE1593" s="107"/>
      <c r="BF1593" s="220"/>
    </row>
    <row r="1594" spans="49:58">
      <c r="AW1594" s="107"/>
      <c r="AX1594" s="195"/>
      <c r="AY1594" s="105"/>
      <c r="AZ1594" s="220"/>
      <c r="BA1594" s="241"/>
      <c r="BE1594" s="107"/>
      <c r="BF1594" s="220"/>
    </row>
    <row r="1595" spans="49:58">
      <c r="AW1595" s="107"/>
      <c r="AX1595" s="195"/>
      <c r="AY1595" s="105"/>
      <c r="AZ1595" s="220"/>
      <c r="BA1595" s="241"/>
      <c r="BE1595" s="107"/>
      <c r="BF1595" s="220"/>
    </row>
    <row r="1596" spans="49:58">
      <c r="AW1596" s="107"/>
      <c r="AX1596" s="195"/>
      <c r="AY1596" s="105"/>
      <c r="AZ1596" s="220"/>
      <c r="BA1596" s="241"/>
      <c r="BE1596" s="107"/>
      <c r="BF1596" s="220"/>
    </row>
    <row r="1597" spans="49:58">
      <c r="AW1597" s="107"/>
      <c r="AX1597" s="195"/>
      <c r="AY1597" s="105"/>
      <c r="AZ1597" s="220"/>
      <c r="BA1597" s="241"/>
      <c r="BE1597" s="107"/>
      <c r="BF1597" s="220"/>
    </row>
    <row r="1598" spans="49:58">
      <c r="AW1598" s="107"/>
      <c r="AX1598" s="195"/>
      <c r="AY1598" s="105"/>
      <c r="AZ1598" s="220"/>
      <c r="BA1598" s="241"/>
      <c r="BE1598" s="107"/>
      <c r="BF1598" s="220"/>
    </row>
    <row r="1599" spans="49:58">
      <c r="AW1599" s="107"/>
      <c r="AX1599" s="195"/>
      <c r="AY1599" s="105"/>
      <c r="AZ1599" s="220"/>
      <c r="BA1599" s="241"/>
      <c r="BE1599" s="107"/>
      <c r="BF1599" s="220"/>
    </row>
    <row r="1600" spans="49:58">
      <c r="AW1600" s="107"/>
      <c r="AX1600" s="195"/>
      <c r="AY1600" s="105"/>
      <c r="AZ1600" s="220"/>
      <c r="BA1600" s="241"/>
      <c r="BE1600" s="107"/>
      <c r="BF1600" s="220"/>
    </row>
    <row r="1601" spans="49:58">
      <c r="AW1601" s="107"/>
      <c r="AX1601" s="195"/>
      <c r="AY1601" s="105"/>
      <c r="AZ1601" s="220"/>
      <c r="BA1601" s="241"/>
      <c r="BE1601" s="107"/>
      <c r="BF1601" s="220"/>
    </row>
    <row r="1602" spans="49:58">
      <c r="AW1602" s="107"/>
      <c r="AX1602" s="195"/>
      <c r="AY1602" s="105"/>
      <c r="AZ1602" s="220"/>
      <c r="BA1602" s="241"/>
      <c r="BE1602" s="107"/>
      <c r="BF1602" s="220"/>
    </row>
    <row r="1603" spans="49:58">
      <c r="AW1603" s="107"/>
      <c r="AX1603" s="195"/>
      <c r="AY1603" s="105"/>
      <c r="AZ1603" s="220"/>
      <c r="BA1603" s="241"/>
      <c r="BE1603" s="107"/>
      <c r="BF1603" s="220"/>
    </row>
    <row r="1604" spans="49:58">
      <c r="AW1604" s="107"/>
      <c r="AX1604" s="195"/>
      <c r="AY1604" s="105"/>
      <c r="AZ1604" s="220"/>
      <c r="BA1604" s="241"/>
      <c r="BE1604" s="107"/>
      <c r="BF1604" s="220"/>
    </row>
    <row r="1605" spans="49:58">
      <c r="AW1605" s="107"/>
      <c r="AX1605" s="195"/>
      <c r="AY1605" s="105"/>
      <c r="AZ1605" s="220"/>
      <c r="BA1605" s="241"/>
      <c r="BE1605" s="107"/>
      <c r="BF1605" s="220"/>
    </row>
    <row r="1606" spans="49:58">
      <c r="AW1606" s="107"/>
      <c r="AX1606" s="195"/>
      <c r="AY1606" s="105"/>
      <c r="AZ1606" s="220"/>
      <c r="BA1606" s="241"/>
      <c r="BE1606" s="107"/>
      <c r="BF1606" s="220"/>
    </row>
    <row r="1607" spans="49:58">
      <c r="AW1607" s="107"/>
      <c r="AX1607" s="195"/>
      <c r="AY1607" s="105"/>
      <c r="AZ1607" s="220"/>
      <c r="BA1607" s="241"/>
      <c r="BE1607" s="107"/>
      <c r="BF1607" s="220"/>
    </row>
    <row r="1608" spans="49:58">
      <c r="AW1608" s="107"/>
      <c r="AX1608" s="195"/>
      <c r="AY1608" s="105"/>
      <c r="AZ1608" s="220"/>
      <c r="BA1608" s="241"/>
      <c r="BE1608" s="107"/>
      <c r="BF1608" s="220"/>
    </row>
    <row r="1609" spans="49:58">
      <c r="AW1609" s="107"/>
      <c r="AX1609" s="195"/>
      <c r="AY1609" s="105"/>
      <c r="AZ1609" s="220"/>
      <c r="BA1609" s="241"/>
      <c r="BE1609" s="107"/>
      <c r="BF1609" s="220"/>
    </row>
    <row r="1610" spans="49:58">
      <c r="AW1610" s="107"/>
      <c r="AX1610" s="195"/>
      <c r="AY1610" s="105"/>
      <c r="AZ1610" s="220"/>
      <c r="BA1610" s="241"/>
      <c r="BE1610" s="107"/>
      <c r="BF1610" s="220"/>
    </row>
    <row r="1611" spans="49:58">
      <c r="AW1611" s="107"/>
      <c r="AX1611" s="195"/>
      <c r="AY1611" s="105"/>
      <c r="AZ1611" s="220"/>
      <c r="BA1611" s="241"/>
      <c r="BE1611" s="107"/>
      <c r="BF1611" s="220"/>
    </row>
    <row r="1612" spans="49:58">
      <c r="AW1612" s="107"/>
      <c r="AX1612" s="195"/>
      <c r="AY1612" s="105"/>
      <c r="AZ1612" s="220"/>
      <c r="BA1612" s="241"/>
      <c r="BE1612" s="107"/>
      <c r="BF1612" s="220"/>
    </row>
    <row r="1613" spans="49:58">
      <c r="AW1613" s="107"/>
      <c r="AX1613" s="195"/>
      <c r="AY1613" s="105"/>
      <c r="AZ1613" s="220"/>
      <c r="BA1613" s="241"/>
      <c r="BE1613" s="107"/>
      <c r="BF1613" s="220"/>
    </row>
    <row r="1614" spans="49:58">
      <c r="AW1614" s="107"/>
      <c r="AX1614" s="195"/>
      <c r="AY1614" s="105"/>
      <c r="AZ1614" s="220"/>
      <c r="BA1614" s="241"/>
      <c r="BE1614" s="107"/>
      <c r="BF1614" s="220"/>
    </row>
    <row r="1615" spans="49:58">
      <c r="AW1615" s="107"/>
      <c r="AX1615" s="195"/>
      <c r="AY1615" s="105"/>
      <c r="AZ1615" s="220"/>
      <c r="BA1615" s="241"/>
      <c r="BE1615" s="107"/>
      <c r="BF1615" s="220"/>
    </row>
    <row r="1616" spans="49:58">
      <c r="AW1616" s="107"/>
      <c r="AX1616" s="195"/>
      <c r="AY1616" s="105"/>
      <c r="AZ1616" s="220"/>
      <c r="BA1616" s="241"/>
      <c r="BE1616" s="107"/>
      <c r="BF1616" s="220"/>
    </row>
    <row r="1617" spans="49:58">
      <c r="AW1617" s="107"/>
      <c r="AX1617" s="195"/>
      <c r="AY1617" s="105"/>
      <c r="AZ1617" s="220"/>
      <c r="BA1617" s="241"/>
      <c r="BE1617" s="107"/>
      <c r="BF1617" s="220"/>
    </row>
    <row r="1618" spans="49:58">
      <c r="AW1618" s="107"/>
      <c r="AX1618" s="195"/>
      <c r="AY1618" s="105"/>
      <c r="AZ1618" s="220"/>
      <c r="BA1618" s="241"/>
      <c r="BE1618" s="107"/>
      <c r="BF1618" s="220"/>
    </row>
    <row r="1619" spans="49:58">
      <c r="AW1619" s="107"/>
      <c r="AX1619" s="195"/>
      <c r="AY1619" s="105"/>
      <c r="AZ1619" s="220"/>
      <c r="BA1619" s="241"/>
      <c r="BE1619" s="107"/>
      <c r="BF1619" s="220"/>
    </row>
    <row r="1620" spans="49:58">
      <c r="AW1620" s="107"/>
      <c r="AX1620" s="195"/>
      <c r="AY1620" s="105"/>
      <c r="AZ1620" s="220"/>
      <c r="BA1620" s="241"/>
      <c r="BE1620" s="107"/>
      <c r="BF1620" s="220"/>
    </row>
    <row r="1621" spans="49:58">
      <c r="AW1621" s="107"/>
      <c r="AX1621" s="195"/>
      <c r="AY1621" s="105"/>
      <c r="AZ1621" s="220"/>
      <c r="BA1621" s="241"/>
      <c r="BE1621" s="107"/>
      <c r="BF1621" s="220"/>
    </row>
    <row r="1622" spans="49:58">
      <c r="AW1622" s="107"/>
      <c r="AX1622" s="195"/>
      <c r="AY1622" s="105"/>
      <c r="AZ1622" s="220"/>
      <c r="BA1622" s="241"/>
      <c r="BE1622" s="107"/>
      <c r="BF1622" s="220"/>
    </row>
    <row r="1623" spans="49:58">
      <c r="AW1623" s="107"/>
      <c r="AX1623" s="195"/>
      <c r="AY1623" s="105"/>
      <c r="AZ1623" s="220"/>
      <c r="BA1623" s="241"/>
      <c r="BE1623" s="107"/>
      <c r="BF1623" s="220"/>
    </row>
    <row r="1624" spans="49:58">
      <c r="AW1624" s="107"/>
      <c r="AX1624" s="195"/>
      <c r="AY1624" s="105"/>
      <c r="AZ1624" s="220"/>
      <c r="BA1624" s="241"/>
      <c r="BE1624" s="107"/>
      <c r="BF1624" s="220"/>
    </row>
    <row r="1625" spans="49:58">
      <c r="AW1625" s="107"/>
      <c r="AX1625" s="195"/>
      <c r="AY1625" s="105"/>
      <c r="AZ1625" s="220"/>
      <c r="BA1625" s="241"/>
      <c r="BE1625" s="107"/>
      <c r="BF1625" s="220"/>
    </row>
    <row r="1626" spans="49:58">
      <c r="AW1626" s="107"/>
      <c r="AX1626" s="195"/>
      <c r="AY1626" s="105"/>
      <c r="AZ1626" s="220"/>
      <c r="BA1626" s="241"/>
      <c r="BE1626" s="107"/>
      <c r="BF1626" s="220"/>
    </row>
    <row r="1627" spans="49:58">
      <c r="AW1627" s="107"/>
      <c r="AX1627" s="195"/>
      <c r="AY1627" s="105"/>
      <c r="AZ1627" s="220"/>
      <c r="BA1627" s="241"/>
      <c r="BE1627" s="107"/>
      <c r="BF1627" s="220"/>
    </row>
    <row r="1628" spans="49:58">
      <c r="AW1628" s="107"/>
      <c r="AX1628" s="195"/>
      <c r="AY1628" s="105"/>
      <c r="AZ1628" s="220"/>
      <c r="BA1628" s="241"/>
      <c r="BE1628" s="107"/>
      <c r="BF1628" s="220"/>
    </row>
    <row r="1629" spans="49:58">
      <c r="AW1629" s="107"/>
      <c r="AX1629" s="195"/>
      <c r="AY1629" s="105"/>
      <c r="AZ1629" s="220"/>
      <c r="BA1629" s="241"/>
      <c r="BE1629" s="107"/>
      <c r="BF1629" s="220"/>
    </row>
    <row r="1630" spans="49:58">
      <c r="AW1630" s="107"/>
      <c r="AX1630" s="195"/>
      <c r="AY1630" s="105"/>
      <c r="AZ1630" s="220"/>
      <c r="BA1630" s="241"/>
      <c r="BE1630" s="107"/>
      <c r="BF1630" s="220"/>
    </row>
    <row r="1631" spans="49:58">
      <c r="AW1631" s="107"/>
      <c r="AX1631" s="195"/>
      <c r="AY1631" s="105"/>
      <c r="AZ1631" s="220"/>
      <c r="BA1631" s="241"/>
      <c r="BE1631" s="107"/>
      <c r="BF1631" s="220"/>
    </row>
    <row r="1632" spans="49:58">
      <c r="AW1632" s="107"/>
      <c r="AX1632" s="195"/>
      <c r="AY1632" s="105"/>
      <c r="AZ1632" s="220"/>
      <c r="BA1632" s="241"/>
      <c r="BE1632" s="107"/>
      <c r="BF1632" s="220"/>
    </row>
    <row r="1633" spans="49:58">
      <c r="AW1633" s="107"/>
      <c r="AX1633" s="195"/>
      <c r="AY1633" s="105"/>
      <c r="AZ1633" s="220"/>
      <c r="BA1633" s="241"/>
      <c r="BE1633" s="107"/>
      <c r="BF1633" s="220"/>
    </row>
    <row r="1634" spans="49:58">
      <c r="AW1634" s="107"/>
      <c r="AX1634" s="195"/>
      <c r="AY1634" s="105"/>
      <c r="AZ1634" s="220"/>
      <c r="BA1634" s="241"/>
      <c r="BE1634" s="107"/>
      <c r="BF1634" s="220"/>
    </row>
    <row r="1635" spans="49:58">
      <c r="AW1635" s="107"/>
      <c r="AX1635" s="195"/>
      <c r="AY1635" s="105"/>
      <c r="AZ1635" s="220"/>
      <c r="BA1635" s="241"/>
      <c r="BE1635" s="107"/>
      <c r="BF1635" s="220"/>
    </row>
    <row r="1636" spans="49:58">
      <c r="AW1636" s="107"/>
      <c r="AX1636" s="195"/>
      <c r="AY1636" s="105"/>
      <c r="AZ1636" s="220"/>
      <c r="BA1636" s="241"/>
      <c r="BE1636" s="107"/>
      <c r="BF1636" s="220"/>
    </row>
    <row r="1637" spans="49:58">
      <c r="AW1637" s="107"/>
      <c r="AX1637" s="195"/>
      <c r="AY1637" s="105"/>
      <c r="AZ1637" s="220"/>
      <c r="BA1637" s="241"/>
      <c r="BE1637" s="107"/>
      <c r="BF1637" s="220"/>
    </row>
    <row r="1638" spans="49:58">
      <c r="AW1638" s="107"/>
      <c r="AX1638" s="195"/>
      <c r="AY1638" s="105"/>
      <c r="AZ1638" s="220"/>
      <c r="BA1638" s="241"/>
      <c r="BE1638" s="107"/>
      <c r="BF1638" s="220"/>
    </row>
    <row r="1639" spans="49:58">
      <c r="AW1639" s="107"/>
      <c r="AX1639" s="195"/>
      <c r="AY1639" s="105"/>
      <c r="AZ1639" s="220"/>
      <c r="BA1639" s="241"/>
      <c r="BE1639" s="107"/>
      <c r="BF1639" s="220"/>
    </row>
    <row r="1640" spans="49:58">
      <c r="AW1640" s="107"/>
      <c r="AX1640" s="195"/>
      <c r="AY1640" s="105"/>
      <c r="AZ1640" s="220"/>
      <c r="BA1640" s="241"/>
      <c r="BE1640" s="107"/>
      <c r="BF1640" s="220"/>
    </row>
    <row r="1641" spans="49:58">
      <c r="AW1641" s="107"/>
      <c r="AX1641" s="195"/>
      <c r="AY1641" s="105"/>
      <c r="AZ1641" s="220"/>
      <c r="BA1641" s="241"/>
      <c r="BE1641" s="107"/>
      <c r="BF1641" s="220"/>
    </row>
    <row r="1642" spans="49:58">
      <c r="AW1642" s="107"/>
      <c r="AX1642" s="195"/>
      <c r="AY1642" s="105"/>
      <c r="AZ1642" s="220"/>
      <c r="BA1642" s="241"/>
      <c r="BE1642" s="107"/>
      <c r="BF1642" s="220"/>
    </row>
    <row r="1643" spans="49:58">
      <c r="AW1643" s="107"/>
      <c r="AX1643" s="195"/>
      <c r="AY1643" s="105"/>
      <c r="AZ1643" s="220"/>
      <c r="BA1643" s="241"/>
      <c r="BE1643" s="107"/>
      <c r="BF1643" s="220"/>
    </row>
    <row r="1644" spans="49:58">
      <c r="AW1644" s="107"/>
      <c r="AX1644" s="195"/>
      <c r="AY1644" s="105"/>
      <c r="AZ1644" s="220"/>
      <c r="BA1644" s="241"/>
      <c r="BE1644" s="107"/>
      <c r="BF1644" s="220"/>
    </row>
    <row r="1645" spans="49:58">
      <c r="AW1645" s="107"/>
      <c r="AX1645" s="195"/>
      <c r="AY1645" s="105"/>
      <c r="AZ1645" s="220"/>
      <c r="BA1645" s="241"/>
      <c r="BE1645" s="107"/>
      <c r="BF1645" s="220"/>
    </row>
    <row r="1646" spans="49:58">
      <c r="AW1646" s="107"/>
      <c r="AX1646" s="195"/>
      <c r="AY1646" s="105"/>
      <c r="AZ1646" s="220"/>
      <c r="BA1646" s="241"/>
      <c r="BE1646" s="107"/>
      <c r="BF1646" s="220"/>
    </row>
    <row r="1647" spans="49:58">
      <c r="AW1647" s="107"/>
      <c r="AX1647" s="195"/>
      <c r="AY1647" s="105"/>
      <c r="AZ1647" s="220"/>
      <c r="BA1647" s="241"/>
      <c r="BE1647" s="107"/>
      <c r="BF1647" s="220"/>
    </row>
    <row r="1648" spans="49:58">
      <c r="AW1648" s="107"/>
      <c r="AX1648" s="195"/>
      <c r="AY1648" s="105"/>
      <c r="AZ1648" s="220"/>
      <c r="BA1648" s="241"/>
      <c r="BE1648" s="107"/>
      <c r="BF1648" s="220"/>
    </row>
    <row r="1649" spans="49:58">
      <c r="AW1649" s="107"/>
      <c r="AX1649" s="195"/>
      <c r="AY1649" s="105"/>
      <c r="AZ1649" s="220"/>
      <c r="BA1649" s="241"/>
      <c r="BE1649" s="107"/>
      <c r="BF1649" s="220"/>
    </row>
    <row r="1650" spans="49:58">
      <c r="AW1650" s="107"/>
      <c r="AX1650" s="195"/>
      <c r="AY1650" s="105"/>
      <c r="AZ1650" s="220"/>
      <c r="BA1650" s="241"/>
      <c r="BE1650" s="107"/>
      <c r="BF1650" s="220"/>
    </row>
    <row r="1651" spans="49:58">
      <c r="AW1651" s="107"/>
      <c r="AX1651" s="195"/>
      <c r="AY1651" s="105"/>
      <c r="AZ1651" s="220"/>
      <c r="BA1651" s="241"/>
      <c r="BE1651" s="107"/>
      <c r="BF1651" s="220"/>
    </row>
    <row r="1652" spans="49:58">
      <c r="AW1652" s="107"/>
      <c r="AX1652" s="195"/>
      <c r="AY1652" s="105"/>
      <c r="AZ1652" s="220"/>
      <c r="BA1652" s="241"/>
      <c r="BE1652" s="107"/>
      <c r="BF1652" s="220"/>
    </row>
    <row r="1653" spans="49:58">
      <c r="AW1653" s="107"/>
      <c r="AX1653" s="195"/>
      <c r="AY1653" s="105"/>
      <c r="AZ1653" s="220"/>
      <c r="BA1653" s="241"/>
      <c r="BE1653" s="107"/>
      <c r="BF1653" s="220"/>
    </row>
    <row r="1654" spans="49:58">
      <c r="AW1654" s="107"/>
      <c r="AX1654" s="195"/>
      <c r="AY1654" s="105"/>
      <c r="AZ1654" s="220"/>
      <c r="BA1654" s="241"/>
      <c r="BE1654" s="107"/>
      <c r="BF1654" s="220"/>
    </row>
    <row r="1655" spans="49:58">
      <c r="AW1655" s="107"/>
      <c r="AX1655" s="195"/>
      <c r="AY1655" s="105"/>
      <c r="AZ1655" s="220"/>
      <c r="BA1655" s="241"/>
      <c r="BE1655" s="107"/>
      <c r="BF1655" s="220"/>
    </row>
    <row r="1656" spans="49:58">
      <c r="AW1656" s="107"/>
      <c r="AX1656" s="195"/>
      <c r="AY1656" s="105"/>
      <c r="AZ1656" s="220"/>
      <c r="BA1656" s="241"/>
      <c r="BE1656" s="107"/>
      <c r="BF1656" s="220"/>
    </row>
    <row r="1657" spans="49:58">
      <c r="AW1657" s="107"/>
      <c r="AX1657" s="195"/>
      <c r="AY1657" s="105"/>
      <c r="AZ1657" s="220"/>
      <c r="BA1657" s="241"/>
      <c r="BE1657" s="107"/>
      <c r="BF1657" s="220"/>
    </row>
    <row r="1658" spans="49:58">
      <c r="AW1658" s="107"/>
      <c r="AX1658" s="195"/>
      <c r="AY1658" s="105"/>
      <c r="AZ1658" s="220"/>
      <c r="BA1658" s="241"/>
      <c r="BE1658" s="107"/>
      <c r="BF1658" s="220"/>
    </row>
    <row r="1659" spans="49:58">
      <c r="AW1659" s="107"/>
      <c r="AX1659" s="195"/>
      <c r="AY1659" s="105"/>
      <c r="AZ1659" s="220"/>
      <c r="BA1659" s="241"/>
      <c r="BE1659" s="107"/>
      <c r="BF1659" s="220"/>
    </row>
    <row r="1660" spans="49:58">
      <c r="AW1660" s="107"/>
      <c r="AX1660" s="195"/>
      <c r="AY1660" s="105"/>
      <c r="AZ1660" s="220"/>
      <c r="BA1660" s="241"/>
      <c r="BE1660" s="107"/>
      <c r="BF1660" s="220"/>
    </row>
    <row r="1661" spans="49:58">
      <c r="AW1661" s="107"/>
      <c r="AX1661" s="195"/>
      <c r="AY1661" s="105"/>
      <c r="AZ1661" s="220"/>
      <c r="BA1661" s="241"/>
      <c r="BE1661" s="107"/>
      <c r="BF1661" s="220"/>
    </row>
    <row r="1662" spans="49:58">
      <c r="AW1662" s="107"/>
      <c r="AX1662" s="195"/>
      <c r="AY1662" s="105"/>
      <c r="AZ1662" s="220"/>
      <c r="BA1662" s="241"/>
      <c r="BE1662" s="107"/>
      <c r="BF1662" s="220"/>
    </row>
    <row r="1663" spans="49:58">
      <c r="AW1663" s="107"/>
      <c r="AX1663" s="195"/>
      <c r="AY1663" s="105"/>
      <c r="AZ1663" s="220"/>
      <c r="BA1663" s="241"/>
      <c r="BE1663" s="107"/>
      <c r="BF1663" s="220"/>
    </row>
    <row r="1664" spans="49:58">
      <c r="AW1664" s="107"/>
      <c r="AX1664" s="195"/>
      <c r="AY1664" s="105"/>
      <c r="AZ1664" s="220"/>
      <c r="BA1664" s="241"/>
      <c r="BE1664" s="107"/>
      <c r="BF1664" s="220"/>
    </row>
    <row r="1665" spans="49:58">
      <c r="AW1665" s="107"/>
      <c r="AX1665" s="195"/>
      <c r="AY1665" s="105"/>
      <c r="AZ1665" s="220"/>
      <c r="BA1665" s="241"/>
      <c r="BE1665" s="107"/>
      <c r="BF1665" s="220"/>
    </row>
    <row r="1666" spans="49:58">
      <c r="AW1666" s="107"/>
      <c r="AX1666" s="195"/>
      <c r="AY1666" s="105"/>
      <c r="AZ1666" s="220"/>
      <c r="BA1666" s="241"/>
      <c r="BE1666" s="107"/>
      <c r="BF1666" s="220"/>
    </row>
    <row r="1667" spans="49:58">
      <c r="AW1667" s="107"/>
      <c r="AX1667" s="195"/>
      <c r="AY1667" s="105"/>
      <c r="AZ1667" s="220"/>
      <c r="BA1667" s="241"/>
      <c r="BE1667" s="107"/>
      <c r="BF1667" s="220"/>
    </row>
    <row r="1668" spans="49:58">
      <c r="AW1668" s="107"/>
      <c r="AX1668" s="195"/>
      <c r="AY1668" s="105"/>
      <c r="AZ1668" s="220"/>
      <c r="BA1668" s="241"/>
      <c r="BE1668" s="107"/>
      <c r="BF1668" s="220"/>
    </row>
    <row r="1669" spans="49:58">
      <c r="AW1669" s="107"/>
      <c r="AX1669" s="195"/>
      <c r="AY1669" s="105"/>
      <c r="AZ1669" s="220"/>
      <c r="BA1669" s="241"/>
      <c r="BE1669" s="107"/>
      <c r="BF1669" s="220"/>
    </row>
    <row r="1670" spans="49:58">
      <c r="AW1670" s="107"/>
      <c r="AX1670" s="195"/>
      <c r="AY1670" s="105"/>
      <c r="AZ1670" s="220"/>
      <c r="BA1670" s="241"/>
      <c r="BE1670" s="107"/>
      <c r="BF1670" s="220"/>
    </row>
    <row r="1671" spans="49:58">
      <c r="AW1671" s="107"/>
      <c r="AX1671" s="195"/>
      <c r="AY1671" s="105"/>
      <c r="AZ1671" s="220"/>
      <c r="BA1671" s="241"/>
      <c r="BE1671" s="107"/>
      <c r="BF1671" s="220"/>
    </row>
    <row r="1672" spans="49:58">
      <c r="AW1672" s="107"/>
      <c r="AX1672" s="195"/>
      <c r="AY1672" s="105"/>
      <c r="AZ1672" s="220"/>
      <c r="BA1672" s="241"/>
      <c r="BE1672" s="107"/>
      <c r="BF1672" s="220"/>
    </row>
    <row r="1673" spans="49:58">
      <c r="AW1673" s="107"/>
      <c r="AX1673" s="195"/>
      <c r="AY1673" s="105"/>
      <c r="AZ1673" s="220"/>
      <c r="BA1673" s="241"/>
      <c r="BE1673" s="107"/>
      <c r="BF1673" s="220"/>
    </row>
    <row r="1674" spans="49:58">
      <c r="AW1674" s="107"/>
      <c r="AX1674" s="195"/>
      <c r="AY1674" s="105"/>
      <c r="AZ1674" s="220"/>
      <c r="BA1674" s="241"/>
      <c r="BE1674" s="107"/>
      <c r="BF1674" s="220"/>
    </row>
    <row r="1675" spans="49:58">
      <c r="AW1675" s="107"/>
      <c r="AX1675" s="195"/>
      <c r="AY1675" s="105"/>
      <c r="AZ1675" s="220"/>
      <c r="BA1675" s="241"/>
      <c r="BE1675" s="107"/>
      <c r="BF1675" s="220"/>
    </row>
    <row r="1676" spans="49:58">
      <c r="AW1676" s="107"/>
      <c r="AX1676" s="195"/>
      <c r="AY1676" s="105"/>
      <c r="AZ1676" s="220"/>
      <c r="BA1676" s="241"/>
      <c r="BE1676" s="107"/>
      <c r="BF1676" s="220"/>
    </row>
    <row r="1677" spans="49:58">
      <c r="AW1677" s="107"/>
      <c r="AX1677" s="195"/>
      <c r="AY1677" s="105"/>
      <c r="AZ1677" s="220"/>
      <c r="BA1677" s="241"/>
      <c r="BE1677" s="107"/>
      <c r="BF1677" s="220"/>
    </row>
    <row r="1678" spans="49:58">
      <c r="AW1678" s="107"/>
      <c r="AX1678" s="195"/>
      <c r="AY1678" s="105"/>
      <c r="AZ1678" s="220"/>
      <c r="BA1678" s="241"/>
      <c r="BE1678" s="107"/>
      <c r="BF1678" s="220"/>
    </row>
    <row r="1679" spans="49:58">
      <c r="AW1679" s="107"/>
      <c r="AX1679" s="195"/>
      <c r="AY1679" s="105"/>
      <c r="AZ1679" s="220"/>
      <c r="BA1679" s="241"/>
      <c r="BE1679" s="107"/>
      <c r="BF1679" s="220"/>
    </row>
    <row r="1680" spans="49:58">
      <c r="AW1680" s="107"/>
      <c r="AX1680" s="195"/>
      <c r="AY1680" s="105"/>
      <c r="AZ1680" s="220"/>
      <c r="BA1680" s="241"/>
      <c r="BE1680" s="107"/>
      <c r="BF1680" s="220"/>
    </row>
    <row r="1681" spans="49:58">
      <c r="AW1681" s="107"/>
      <c r="AX1681" s="195"/>
      <c r="AY1681" s="105"/>
      <c r="AZ1681" s="220"/>
      <c r="BA1681" s="241"/>
      <c r="BE1681" s="107"/>
      <c r="BF1681" s="220"/>
    </row>
    <row r="1682" spans="49:58">
      <c r="AW1682" s="107"/>
      <c r="AX1682" s="195"/>
      <c r="AY1682" s="105"/>
      <c r="AZ1682" s="220"/>
      <c r="BA1682" s="241"/>
      <c r="BE1682" s="107"/>
      <c r="BF1682" s="220"/>
    </row>
    <row r="1683" spans="49:58">
      <c r="AW1683" s="107"/>
      <c r="AX1683" s="195"/>
      <c r="AY1683" s="105"/>
      <c r="AZ1683" s="220"/>
      <c r="BA1683" s="241"/>
      <c r="BE1683" s="107"/>
      <c r="BF1683" s="220"/>
    </row>
    <row r="1684" spans="49:58">
      <c r="AW1684" s="107"/>
      <c r="AX1684" s="195"/>
      <c r="AY1684" s="105"/>
      <c r="AZ1684" s="220"/>
      <c r="BA1684" s="241"/>
      <c r="BE1684" s="107"/>
      <c r="BF1684" s="220"/>
    </row>
    <row r="1685" spans="49:58">
      <c r="AW1685" s="107"/>
      <c r="AX1685" s="195"/>
      <c r="AY1685" s="105"/>
      <c r="AZ1685" s="220"/>
      <c r="BA1685" s="241"/>
      <c r="BE1685" s="107"/>
      <c r="BF1685" s="220"/>
    </row>
    <row r="1686" spans="49:58">
      <c r="AW1686" s="107"/>
      <c r="AX1686" s="195"/>
      <c r="AY1686" s="105"/>
      <c r="AZ1686" s="220"/>
      <c r="BA1686" s="241"/>
      <c r="BE1686" s="107"/>
      <c r="BF1686" s="220"/>
    </row>
    <row r="1687" spans="49:58">
      <c r="AW1687" s="107"/>
      <c r="AX1687" s="195"/>
      <c r="AY1687" s="105"/>
      <c r="AZ1687" s="220"/>
      <c r="BA1687" s="241"/>
      <c r="BE1687" s="107"/>
      <c r="BF1687" s="220"/>
    </row>
    <row r="1688" spans="49:58">
      <c r="AW1688" s="107"/>
      <c r="AX1688" s="195"/>
      <c r="AY1688" s="105"/>
      <c r="AZ1688" s="220"/>
      <c r="BA1688" s="241"/>
      <c r="BE1688" s="107"/>
      <c r="BF1688" s="220"/>
    </row>
    <row r="1689" spans="49:58">
      <c r="AW1689" s="107"/>
      <c r="AX1689" s="195"/>
      <c r="AY1689" s="105"/>
      <c r="AZ1689" s="220"/>
      <c r="BA1689" s="241"/>
      <c r="BE1689" s="107"/>
      <c r="BF1689" s="220"/>
    </row>
    <row r="1690" spans="49:58">
      <c r="AW1690" s="107"/>
      <c r="AX1690" s="195"/>
      <c r="AY1690" s="105"/>
      <c r="AZ1690" s="220"/>
      <c r="BA1690" s="241"/>
      <c r="BE1690" s="107"/>
      <c r="BF1690" s="220"/>
    </row>
    <row r="1691" spans="49:58">
      <c r="AW1691" s="107"/>
      <c r="AX1691" s="195"/>
      <c r="AY1691" s="105"/>
      <c r="AZ1691" s="220"/>
      <c r="BA1691" s="241"/>
      <c r="BE1691" s="107"/>
      <c r="BF1691" s="220"/>
    </row>
    <row r="1692" spans="49:58">
      <c r="AW1692" s="107"/>
      <c r="AX1692" s="195"/>
      <c r="AY1692" s="105"/>
      <c r="AZ1692" s="220"/>
      <c r="BA1692" s="241"/>
      <c r="BE1692" s="107"/>
      <c r="BF1692" s="220"/>
    </row>
    <row r="1693" spans="49:58">
      <c r="AW1693" s="107"/>
      <c r="AX1693" s="195"/>
      <c r="AY1693" s="105"/>
      <c r="AZ1693" s="220"/>
      <c r="BA1693" s="241"/>
      <c r="BE1693" s="107"/>
      <c r="BF1693" s="220"/>
    </row>
    <row r="1694" spans="49:58">
      <c r="AW1694" s="107"/>
      <c r="AX1694" s="195"/>
      <c r="AY1694" s="105"/>
      <c r="AZ1694" s="220"/>
      <c r="BA1694" s="241"/>
      <c r="BE1694" s="107"/>
      <c r="BF1694" s="220"/>
    </row>
    <row r="1695" spans="49:58">
      <c r="AW1695" s="107"/>
      <c r="AX1695" s="195"/>
      <c r="AY1695" s="105"/>
      <c r="AZ1695" s="220"/>
      <c r="BA1695" s="241"/>
      <c r="BE1695" s="107"/>
      <c r="BF1695" s="220"/>
    </row>
    <row r="1696" spans="49:58">
      <c r="AW1696" s="107"/>
      <c r="AX1696" s="195"/>
      <c r="AY1696" s="105"/>
      <c r="AZ1696" s="220"/>
      <c r="BA1696" s="241"/>
      <c r="BE1696" s="107"/>
      <c r="BF1696" s="220"/>
    </row>
    <row r="1697" spans="49:58">
      <c r="AW1697" s="107"/>
      <c r="AX1697" s="195"/>
      <c r="AY1697" s="105"/>
      <c r="AZ1697" s="220"/>
      <c r="BA1697" s="241"/>
      <c r="BE1697" s="107"/>
      <c r="BF1697" s="220"/>
    </row>
    <row r="1698" spans="49:58">
      <c r="AW1698" s="107"/>
      <c r="AX1698" s="195"/>
      <c r="AY1698" s="105"/>
      <c r="AZ1698" s="220"/>
      <c r="BA1698" s="241"/>
      <c r="BE1698" s="107"/>
      <c r="BF1698" s="220"/>
    </row>
    <row r="1699" spans="49:58">
      <c r="AW1699" s="107"/>
      <c r="AX1699" s="195"/>
      <c r="AY1699" s="105"/>
      <c r="AZ1699" s="220"/>
      <c r="BA1699" s="241"/>
      <c r="BE1699" s="107"/>
      <c r="BF1699" s="220"/>
    </row>
    <row r="1700" spans="49:58">
      <c r="AW1700" s="107"/>
      <c r="AX1700" s="195"/>
      <c r="AY1700" s="105"/>
      <c r="AZ1700" s="220"/>
      <c r="BA1700" s="241"/>
      <c r="BE1700" s="107"/>
      <c r="BF1700" s="220"/>
    </row>
    <row r="1701" spans="49:58">
      <c r="AW1701" s="107"/>
      <c r="AX1701" s="195"/>
      <c r="AY1701" s="105"/>
      <c r="AZ1701" s="220"/>
      <c r="BA1701" s="241"/>
      <c r="BE1701" s="107"/>
      <c r="BF1701" s="220"/>
    </row>
    <row r="1702" spans="49:58">
      <c r="AW1702" s="107"/>
      <c r="AX1702" s="195"/>
      <c r="AY1702" s="105"/>
      <c r="AZ1702" s="220"/>
      <c r="BA1702" s="241"/>
      <c r="BE1702" s="107"/>
      <c r="BF1702" s="220"/>
    </row>
    <row r="1703" spans="49:58">
      <c r="AW1703" s="107"/>
      <c r="AX1703" s="195"/>
      <c r="AY1703" s="105"/>
      <c r="AZ1703" s="220"/>
      <c r="BA1703" s="241"/>
      <c r="BE1703" s="107"/>
      <c r="BF1703" s="220"/>
    </row>
    <row r="1704" spans="49:58">
      <c r="AW1704" s="107"/>
      <c r="AX1704" s="195"/>
      <c r="AY1704" s="105"/>
      <c r="AZ1704" s="220"/>
      <c r="BA1704" s="241"/>
      <c r="BE1704" s="107"/>
      <c r="BF1704" s="220"/>
    </row>
    <row r="1705" spans="49:58">
      <c r="AW1705" s="107"/>
      <c r="AX1705" s="195"/>
      <c r="AY1705" s="105"/>
      <c r="AZ1705" s="220"/>
      <c r="BA1705" s="241"/>
      <c r="BE1705" s="107"/>
      <c r="BF1705" s="220"/>
    </row>
    <row r="1706" spans="49:58">
      <c r="AW1706" s="107"/>
      <c r="AX1706" s="195"/>
      <c r="AY1706" s="105"/>
      <c r="AZ1706" s="220"/>
      <c r="BA1706" s="241"/>
      <c r="BE1706" s="107"/>
      <c r="BF1706" s="220"/>
    </row>
    <row r="1707" spans="49:58">
      <c r="AW1707" s="107"/>
      <c r="AX1707" s="195"/>
      <c r="AY1707" s="105"/>
      <c r="AZ1707" s="220"/>
      <c r="BA1707" s="241"/>
      <c r="BE1707" s="107"/>
      <c r="BF1707" s="220"/>
    </row>
    <row r="1708" spans="49:58">
      <c r="AW1708" s="107"/>
      <c r="AX1708" s="195"/>
      <c r="AY1708" s="105"/>
      <c r="AZ1708" s="220"/>
      <c r="BA1708" s="241"/>
      <c r="BE1708" s="107"/>
      <c r="BF1708" s="220"/>
    </row>
    <row r="1709" spans="49:58">
      <c r="AW1709" s="107"/>
      <c r="AX1709" s="195"/>
      <c r="AY1709" s="105"/>
      <c r="AZ1709" s="220"/>
      <c r="BA1709" s="241"/>
      <c r="BE1709" s="107"/>
      <c r="BF1709" s="220"/>
    </row>
    <row r="1710" spans="49:58">
      <c r="AW1710" s="107"/>
      <c r="AX1710" s="195"/>
      <c r="AY1710" s="105"/>
      <c r="AZ1710" s="220"/>
      <c r="BA1710" s="241"/>
      <c r="BE1710" s="107"/>
      <c r="BF1710" s="220"/>
    </row>
    <row r="1711" spans="49:58">
      <c r="AW1711" s="107"/>
      <c r="AX1711" s="195"/>
      <c r="AY1711" s="105"/>
      <c r="AZ1711" s="220"/>
      <c r="BA1711" s="241"/>
      <c r="BE1711" s="107"/>
      <c r="BF1711" s="220"/>
    </row>
    <row r="1712" spans="49:58">
      <c r="AW1712" s="107"/>
      <c r="AX1712" s="195"/>
      <c r="AY1712" s="105"/>
      <c r="AZ1712" s="220"/>
      <c r="BA1712" s="241"/>
      <c r="BE1712" s="107"/>
      <c r="BF1712" s="220"/>
    </row>
    <row r="1713" spans="49:58">
      <c r="AW1713" s="107"/>
      <c r="AX1713" s="195"/>
      <c r="AY1713" s="105"/>
      <c r="AZ1713" s="220"/>
      <c r="BA1713" s="241"/>
      <c r="BE1713" s="107"/>
      <c r="BF1713" s="220"/>
    </row>
    <row r="1714" spans="49:58">
      <c r="AW1714" s="107"/>
      <c r="AX1714" s="195"/>
      <c r="AY1714" s="105"/>
      <c r="AZ1714" s="220"/>
      <c r="BA1714" s="241"/>
      <c r="BE1714" s="107"/>
      <c r="BF1714" s="220"/>
    </row>
    <row r="1715" spans="49:58">
      <c r="AW1715" s="107"/>
      <c r="AX1715" s="195"/>
      <c r="AY1715" s="105"/>
      <c r="AZ1715" s="220"/>
      <c r="BA1715" s="241"/>
      <c r="BE1715" s="107"/>
      <c r="BF1715" s="220"/>
    </row>
    <row r="1716" spans="49:58">
      <c r="AW1716" s="107"/>
      <c r="AX1716" s="195"/>
      <c r="AY1716" s="105"/>
      <c r="AZ1716" s="220"/>
      <c r="BA1716" s="241"/>
      <c r="BE1716" s="107"/>
      <c r="BF1716" s="220"/>
    </row>
    <row r="1717" spans="49:58">
      <c r="AW1717" s="107"/>
      <c r="AX1717" s="195"/>
      <c r="AY1717" s="105"/>
      <c r="AZ1717" s="220"/>
      <c r="BA1717" s="241"/>
      <c r="BE1717" s="107"/>
      <c r="BF1717" s="220"/>
    </row>
    <row r="1718" spans="49:58">
      <c r="AW1718" s="107"/>
      <c r="AX1718" s="195"/>
      <c r="AY1718" s="105"/>
      <c r="AZ1718" s="220"/>
      <c r="BA1718" s="241"/>
      <c r="BE1718" s="107"/>
      <c r="BF1718" s="220"/>
    </row>
    <row r="1719" spans="49:58">
      <c r="AW1719" s="107"/>
      <c r="AX1719" s="195"/>
      <c r="AY1719" s="105"/>
      <c r="AZ1719" s="220"/>
      <c r="BA1719" s="241"/>
      <c r="BE1719" s="107"/>
      <c r="BF1719" s="220"/>
    </row>
    <row r="1720" spans="49:58">
      <c r="AW1720" s="107"/>
      <c r="AX1720" s="195"/>
      <c r="AY1720" s="105"/>
      <c r="AZ1720" s="220"/>
      <c r="BA1720" s="241"/>
      <c r="BE1720" s="107"/>
      <c r="BF1720" s="220"/>
    </row>
    <row r="1721" spans="49:58">
      <c r="AW1721" s="107"/>
      <c r="AX1721" s="195"/>
      <c r="AY1721" s="105"/>
      <c r="AZ1721" s="220"/>
      <c r="BA1721" s="241"/>
      <c r="BE1721" s="107"/>
      <c r="BF1721" s="220"/>
    </row>
    <row r="1722" spans="49:58">
      <c r="AW1722" s="107"/>
      <c r="AX1722" s="195"/>
      <c r="AY1722" s="105"/>
      <c r="AZ1722" s="220"/>
      <c r="BA1722" s="241"/>
      <c r="BE1722" s="107"/>
      <c r="BF1722" s="220"/>
    </row>
    <row r="1723" spans="49:58">
      <c r="AW1723" s="107"/>
      <c r="AX1723" s="195"/>
      <c r="AY1723" s="105"/>
      <c r="AZ1723" s="220"/>
      <c r="BA1723" s="241"/>
      <c r="BE1723" s="107"/>
      <c r="BF1723" s="220"/>
    </row>
    <row r="1724" spans="49:58">
      <c r="AW1724" s="107"/>
      <c r="AX1724" s="195"/>
      <c r="AY1724" s="105"/>
      <c r="AZ1724" s="220"/>
      <c r="BA1724" s="241"/>
      <c r="BE1724" s="107"/>
      <c r="BF1724" s="220"/>
    </row>
    <row r="1725" spans="49:58">
      <c r="AW1725" s="107"/>
      <c r="AX1725" s="195"/>
      <c r="AY1725" s="105"/>
      <c r="AZ1725" s="220"/>
      <c r="BA1725" s="241"/>
      <c r="BE1725" s="107"/>
      <c r="BF1725" s="220"/>
    </row>
    <row r="1726" spans="49:58">
      <c r="AW1726" s="107"/>
      <c r="AX1726" s="195"/>
      <c r="AY1726" s="105"/>
      <c r="AZ1726" s="220"/>
      <c r="BA1726" s="241"/>
      <c r="BE1726" s="107"/>
      <c r="BF1726" s="220"/>
    </row>
    <row r="1727" spans="49:58">
      <c r="AW1727" s="107"/>
      <c r="AX1727" s="195"/>
      <c r="AY1727" s="105"/>
      <c r="AZ1727" s="220"/>
      <c r="BA1727" s="241"/>
      <c r="BE1727" s="107"/>
      <c r="BF1727" s="220"/>
    </row>
    <row r="1728" spans="49:58">
      <c r="AW1728" s="107"/>
      <c r="AX1728" s="195"/>
      <c r="AY1728" s="105"/>
      <c r="AZ1728" s="220"/>
      <c r="BA1728" s="241"/>
      <c r="BE1728" s="107"/>
      <c r="BF1728" s="220"/>
    </row>
    <row r="1729" spans="49:58">
      <c r="AW1729" s="107"/>
      <c r="AX1729" s="195"/>
      <c r="AY1729" s="105"/>
      <c r="AZ1729" s="220"/>
      <c r="BA1729" s="241"/>
      <c r="BE1729" s="107"/>
      <c r="BF1729" s="220"/>
    </row>
    <row r="1730" spans="49:58">
      <c r="AW1730" s="107"/>
      <c r="AX1730" s="195"/>
      <c r="AY1730" s="105"/>
      <c r="AZ1730" s="220"/>
      <c r="BA1730" s="241"/>
      <c r="BE1730" s="107"/>
      <c r="BF1730" s="220"/>
    </row>
    <row r="1731" spans="49:58">
      <c r="AW1731" s="107"/>
      <c r="AX1731" s="195"/>
      <c r="AY1731" s="105"/>
      <c r="AZ1731" s="220"/>
      <c r="BA1731" s="241"/>
      <c r="BE1731" s="107"/>
      <c r="BF1731" s="220"/>
    </row>
    <row r="1732" spans="49:58">
      <c r="AW1732" s="107"/>
      <c r="AX1732" s="195"/>
      <c r="AY1732" s="105"/>
      <c r="AZ1732" s="220"/>
      <c r="BA1732" s="241"/>
      <c r="BE1732" s="107"/>
      <c r="BF1732" s="220"/>
    </row>
    <row r="1733" spans="49:58">
      <c r="AW1733" s="107"/>
      <c r="AX1733" s="195"/>
      <c r="AY1733" s="105"/>
      <c r="AZ1733" s="220"/>
      <c r="BA1733" s="241"/>
      <c r="BE1733" s="107"/>
      <c r="BF1733" s="220"/>
    </row>
    <row r="1734" spans="49:58">
      <c r="AW1734" s="107"/>
      <c r="AX1734" s="195"/>
      <c r="AY1734" s="105"/>
      <c r="AZ1734" s="220"/>
      <c r="BA1734" s="241"/>
      <c r="BE1734" s="107"/>
      <c r="BF1734" s="220"/>
    </row>
    <row r="1735" spans="49:58">
      <c r="AW1735" s="107"/>
      <c r="AX1735" s="195"/>
      <c r="AY1735" s="105"/>
      <c r="AZ1735" s="220"/>
      <c r="BA1735" s="241"/>
      <c r="BE1735" s="107"/>
      <c r="BF1735" s="220"/>
    </row>
    <row r="1736" spans="49:58">
      <c r="AW1736" s="107"/>
      <c r="AX1736" s="195"/>
      <c r="AY1736" s="105"/>
      <c r="AZ1736" s="220"/>
      <c r="BA1736" s="241"/>
      <c r="BE1736" s="107"/>
      <c r="BF1736" s="220"/>
    </row>
    <row r="1737" spans="49:58">
      <c r="AW1737" s="107"/>
      <c r="AX1737" s="195"/>
      <c r="AY1737" s="105"/>
      <c r="AZ1737" s="220"/>
      <c r="BA1737" s="241"/>
      <c r="BE1737" s="107"/>
      <c r="BF1737" s="220"/>
    </row>
    <row r="1738" spans="49:58">
      <c r="AW1738" s="107"/>
      <c r="AX1738" s="195"/>
      <c r="AY1738" s="105"/>
      <c r="AZ1738" s="220"/>
      <c r="BA1738" s="241"/>
      <c r="BE1738" s="107"/>
      <c r="BF1738" s="220"/>
    </row>
    <row r="1739" spans="49:58">
      <c r="AW1739" s="107"/>
      <c r="AX1739" s="195"/>
      <c r="AY1739" s="105"/>
      <c r="AZ1739" s="220"/>
      <c r="BA1739" s="241"/>
      <c r="BE1739" s="107"/>
      <c r="BF1739" s="220"/>
    </row>
    <row r="1740" spans="49:58">
      <c r="AW1740" s="107"/>
      <c r="AX1740" s="195"/>
      <c r="AY1740" s="105"/>
      <c r="AZ1740" s="220"/>
      <c r="BA1740" s="241"/>
      <c r="BE1740" s="107"/>
      <c r="BF1740" s="220"/>
    </row>
    <row r="1741" spans="49:58">
      <c r="AW1741" s="107"/>
      <c r="AX1741" s="195"/>
      <c r="AY1741" s="105"/>
      <c r="AZ1741" s="220"/>
      <c r="BA1741" s="241"/>
      <c r="BE1741" s="107"/>
      <c r="BF1741" s="220"/>
    </row>
    <row r="1742" spans="49:58">
      <c r="AW1742" s="107"/>
      <c r="AX1742" s="195"/>
      <c r="AY1742" s="105"/>
      <c r="AZ1742" s="220"/>
      <c r="BA1742" s="241"/>
      <c r="BE1742" s="107"/>
      <c r="BF1742" s="220"/>
    </row>
    <row r="1743" spans="49:58">
      <c r="AW1743" s="107"/>
      <c r="AX1743" s="195"/>
      <c r="AY1743" s="105"/>
      <c r="AZ1743" s="220"/>
      <c r="BA1743" s="241"/>
      <c r="BE1743" s="107"/>
      <c r="BF1743" s="220"/>
    </row>
    <row r="1744" spans="49:58">
      <c r="AW1744" s="107"/>
      <c r="AX1744" s="195"/>
      <c r="AY1744" s="105"/>
      <c r="AZ1744" s="220"/>
      <c r="BA1744" s="241"/>
      <c r="BE1744" s="107"/>
      <c r="BF1744" s="220"/>
    </row>
    <row r="1745" spans="49:58">
      <c r="AW1745" s="107"/>
      <c r="AX1745" s="195"/>
      <c r="AY1745" s="105"/>
      <c r="AZ1745" s="220"/>
      <c r="BA1745" s="241"/>
      <c r="BE1745" s="107"/>
      <c r="BF1745" s="220"/>
    </row>
    <row r="1746" spans="49:58">
      <c r="AW1746" s="107"/>
      <c r="AX1746" s="195"/>
      <c r="AY1746" s="105"/>
      <c r="AZ1746" s="220"/>
      <c r="BA1746" s="241"/>
      <c r="BE1746" s="107"/>
      <c r="BF1746" s="220"/>
    </row>
    <row r="1747" spans="49:58">
      <c r="AW1747" s="107"/>
      <c r="AX1747" s="195"/>
      <c r="AY1747" s="105"/>
      <c r="AZ1747" s="220"/>
      <c r="BA1747" s="241"/>
      <c r="BE1747" s="107"/>
      <c r="BF1747" s="220"/>
    </row>
    <row r="1748" spans="49:58">
      <c r="AW1748" s="107"/>
      <c r="AX1748" s="195"/>
      <c r="AY1748" s="105"/>
      <c r="AZ1748" s="220"/>
      <c r="BA1748" s="241"/>
      <c r="BE1748" s="107"/>
      <c r="BF1748" s="220"/>
    </row>
    <row r="1749" spans="49:58">
      <c r="AW1749" s="107"/>
      <c r="AX1749" s="195"/>
      <c r="AY1749" s="105"/>
      <c r="AZ1749" s="220"/>
      <c r="BA1749" s="241"/>
      <c r="BE1749" s="107"/>
      <c r="BF1749" s="220"/>
    </row>
    <row r="1750" spans="49:58">
      <c r="AW1750" s="107"/>
      <c r="AX1750" s="195"/>
      <c r="AY1750" s="105"/>
      <c r="AZ1750" s="220"/>
      <c r="BA1750" s="241"/>
      <c r="BE1750" s="107"/>
      <c r="BF1750" s="220"/>
    </row>
    <row r="1751" spans="49:58">
      <c r="AW1751" s="107"/>
      <c r="AX1751" s="195"/>
      <c r="AY1751" s="105"/>
      <c r="AZ1751" s="220"/>
      <c r="BA1751" s="241"/>
      <c r="BE1751" s="107"/>
      <c r="BF1751" s="220"/>
    </row>
    <row r="1752" spans="49:58">
      <c r="AW1752" s="107"/>
      <c r="AX1752" s="195"/>
      <c r="AY1752" s="105"/>
      <c r="AZ1752" s="220"/>
      <c r="BA1752" s="241"/>
      <c r="BE1752" s="107"/>
      <c r="BF1752" s="220"/>
    </row>
    <row r="1753" spans="49:58">
      <c r="AW1753" s="107"/>
      <c r="AX1753" s="195"/>
      <c r="AY1753" s="105"/>
      <c r="AZ1753" s="220"/>
      <c r="BA1753" s="241"/>
      <c r="BE1753" s="107"/>
      <c r="BF1753" s="220"/>
    </row>
    <row r="1754" spans="49:58">
      <c r="AW1754" s="107"/>
      <c r="AX1754" s="195"/>
      <c r="AY1754" s="105"/>
      <c r="AZ1754" s="220"/>
      <c r="BA1754" s="241"/>
      <c r="BE1754" s="107"/>
      <c r="BF1754" s="220"/>
    </row>
    <row r="1755" spans="49:58">
      <c r="AW1755" s="107"/>
      <c r="AX1755" s="195"/>
      <c r="AY1755" s="105"/>
      <c r="AZ1755" s="220"/>
      <c r="BA1755" s="241"/>
      <c r="BE1755" s="107"/>
      <c r="BF1755" s="220"/>
    </row>
    <row r="1756" spans="49:58">
      <c r="AW1756" s="107"/>
      <c r="AX1756" s="195"/>
      <c r="AY1756" s="105"/>
      <c r="AZ1756" s="220"/>
      <c r="BA1756" s="241"/>
      <c r="BE1756" s="107"/>
      <c r="BF1756" s="220"/>
    </row>
    <row r="1757" spans="49:58">
      <c r="AW1757" s="107"/>
      <c r="AX1757" s="195"/>
      <c r="AY1757" s="105"/>
      <c r="AZ1757" s="220"/>
      <c r="BA1757" s="241"/>
      <c r="BE1757" s="107"/>
      <c r="BF1757" s="220"/>
    </row>
    <row r="1758" spans="49:58">
      <c r="AW1758" s="107"/>
      <c r="AX1758" s="195"/>
      <c r="AY1758" s="105"/>
      <c r="AZ1758" s="220"/>
      <c r="BA1758" s="241"/>
      <c r="BE1758" s="107"/>
      <c r="BF1758" s="220"/>
    </row>
    <row r="1759" spans="49:58">
      <c r="AW1759" s="107"/>
      <c r="AX1759" s="195"/>
      <c r="AY1759" s="105"/>
      <c r="AZ1759" s="220"/>
      <c r="BA1759" s="241"/>
      <c r="BE1759" s="107"/>
      <c r="BF1759" s="220"/>
    </row>
    <row r="1760" spans="49:58">
      <c r="AW1760" s="107"/>
      <c r="AX1760" s="195"/>
      <c r="AY1760" s="105"/>
      <c r="AZ1760" s="220"/>
      <c r="BA1760" s="241"/>
      <c r="BE1760" s="107"/>
      <c r="BF1760" s="220"/>
    </row>
    <row r="1761" spans="49:58">
      <c r="AW1761" s="107"/>
      <c r="AX1761" s="195"/>
      <c r="AY1761" s="105"/>
      <c r="AZ1761" s="220"/>
      <c r="BA1761" s="241"/>
      <c r="BE1761" s="107"/>
      <c r="BF1761" s="220"/>
    </row>
    <row r="1762" spans="49:58">
      <c r="AW1762" s="107"/>
      <c r="AX1762" s="195"/>
      <c r="AY1762" s="105"/>
      <c r="AZ1762" s="220"/>
      <c r="BA1762" s="241"/>
      <c r="BE1762" s="107"/>
      <c r="BF1762" s="220"/>
    </row>
    <row r="1763" spans="49:58">
      <c r="AW1763" s="107"/>
      <c r="AX1763" s="195"/>
      <c r="AY1763" s="105"/>
      <c r="AZ1763" s="220"/>
      <c r="BA1763" s="241"/>
      <c r="BE1763" s="107"/>
      <c r="BF1763" s="220"/>
    </row>
    <row r="1764" spans="49:58">
      <c r="AW1764" s="107"/>
      <c r="AX1764" s="195"/>
      <c r="AY1764" s="105"/>
      <c r="AZ1764" s="220"/>
      <c r="BA1764" s="241"/>
      <c r="BE1764" s="107"/>
      <c r="BF1764" s="220"/>
    </row>
    <row r="1765" spans="49:58">
      <c r="AW1765" s="107"/>
      <c r="AX1765" s="195"/>
      <c r="AY1765" s="105"/>
      <c r="AZ1765" s="220"/>
      <c r="BA1765" s="241"/>
      <c r="BE1765" s="107"/>
      <c r="BF1765" s="220"/>
    </row>
    <row r="1766" spans="49:58">
      <c r="AW1766" s="107"/>
      <c r="AX1766" s="195"/>
      <c r="AY1766" s="105"/>
      <c r="AZ1766" s="220"/>
      <c r="BA1766" s="241"/>
      <c r="BE1766" s="107"/>
      <c r="BF1766" s="220"/>
    </row>
    <row r="1767" spans="49:58">
      <c r="AW1767" s="107"/>
      <c r="AX1767" s="195"/>
      <c r="AY1767" s="105"/>
      <c r="AZ1767" s="220"/>
      <c r="BA1767" s="241"/>
      <c r="BE1767" s="107"/>
      <c r="BF1767" s="220"/>
    </row>
    <row r="1768" spans="49:58">
      <c r="AW1768" s="107"/>
      <c r="AX1768" s="195"/>
      <c r="AY1768" s="105"/>
      <c r="AZ1768" s="220"/>
      <c r="BA1768" s="241"/>
      <c r="BE1768" s="107"/>
      <c r="BF1768" s="220"/>
    </row>
    <row r="1769" spans="49:58">
      <c r="AW1769" s="107"/>
      <c r="AX1769" s="195"/>
      <c r="AY1769" s="105"/>
      <c r="AZ1769" s="220"/>
      <c r="BA1769" s="241"/>
      <c r="BE1769" s="107"/>
      <c r="BF1769" s="220"/>
    </row>
    <row r="1770" spans="49:58">
      <c r="AW1770" s="107"/>
      <c r="AX1770" s="195"/>
      <c r="AY1770" s="105"/>
      <c r="AZ1770" s="220"/>
      <c r="BA1770" s="241"/>
      <c r="BE1770" s="107"/>
      <c r="BF1770" s="220"/>
    </row>
    <row r="1771" spans="49:58">
      <c r="AW1771" s="107"/>
      <c r="AX1771" s="195"/>
      <c r="AY1771" s="105"/>
      <c r="AZ1771" s="220"/>
      <c r="BA1771" s="241"/>
      <c r="BE1771" s="107"/>
      <c r="BF1771" s="220"/>
    </row>
    <row r="1772" spans="49:58">
      <c r="AW1772" s="107"/>
      <c r="AX1772" s="195"/>
      <c r="AY1772" s="105"/>
      <c r="AZ1772" s="220"/>
      <c r="BA1772" s="241"/>
      <c r="BE1772" s="107"/>
      <c r="BF1772" s="220"/>
    </row>
    <row r="1773" spans="49:58">
      <c r="AW1773" s="107"/>
      <c r="AX1773" s="195"/>
      <c r="AY1773" s="105"/>
      <c r="AZ1773" s="220"/>
      <c r="BA1773" s="241"/>
      <c r="BE1773" s="107"/>
      <c r="BF1773" s="220"/>
    </row>
    <row r="1774" spans="49:58">
      <c r="AW1774" s="107"/>
      <c r="AX1774" s="195"/>
      <c r="AY1774" s="105"/>
      <c r="AZ1774" s="220"/>
      <c r="BA1774" s="241"/>
      <c r="BE1774" s="107"/>
      <c r="BF1774" s="220"/>
    </row>
    <row r="1775" spans="49:58">
      <c r="AW1775" s="107"/>
      <c r="AX1775" s="195"/>
      <c r="AY1775" s="105"/>
      <c r="AZ1775" s="220"/>
      <c r="BA1775" s="241"/>
      <c r="BE1775" s="107"/>
      <c r="BF1775" s="220"/>
    </row>
    <row r="1776" spans="49:58">
      <c r="AW1776" s="107"/>
      <c r="AX1776" s="195"/>
      <c r="AY1776" s="105"/>
      <c r="AZ1776" s="220"/>
      <c r="BA1776" s="241"/>
      <c r="BE1776" s="107"/>
      <c r="BF1776" s="220"/>
    </row>
    <row r="1777" spans="49:58">
      <c r="AW1777" s="107"/>
      <c r="AX1777" s="195"/>
      <c r="AY1777" s="105"/>
      <c r="AZ1777" s="220"/>
      <c r="BA1777" s="241"/>
      <c r="BE1777" s="107"/>
      <c r="BF1777" s="220"/>
    </row>
    <row r="1778" spans="49:58">
      <c r="AW1778" s="107"/>
      <c r="AX1778" s="195"/>
      <c r="AY1778" s="105"/>
      <c r="AZ1778" s="220"/>
      <c r="BA1778" s="241"/>
      <c r="BE1778" s="107"/>
      <c r="BF1778" s="220"/>
    </row>
    <row r="1779" spans="49:58">
      <c r="AW1779" s="107"/>
      <c r="AX1779" s="195"/>
      <c r="AY1779" s="105"/>
      <c r="AZ1779" s="220"/>
      <c r="BA1779" s="241"/>
      <c r="BE1779" s="107"/>
      <c r="BF1779" s="220"/>
    </row>
    <row r="1780" spans="49:58">
      <c r="AW1780" s="107"/>
      <c r="AX1780" s="195"/>
      <c r="AY1780" s="105"/>
      <c r="AZ1780" s="220"/>
      <c r="BA1780" s="241"/>
      <c r="BE1780" s="107"/>
      <c r="BF1780" s="220"/>
    </row>
    <row r="1781" spans="49:58">
      <c r="AW1781" s="107"/>
      <c r="AX1781" s="195"/>
      <c r="AY1781" s="105"/>
      <c r="AZ1781" s="220"/>
      <c r="BA1781" s="241"/>
      <c r="BE1781" s="107"/>
      <c r="BF1781" s="220"/>
    </row>
    <row r="1782" spans="49:58">
      <c r="AW1782" s="107"/>
      <c r="AX1782" s="195"/>
      <c r="AY1782" s="105"/>
      <c r="AZ1782" s="220"/>
      <c r="BA1782" s="241"/>
      <c r="BE1782" s="107"/>
      <c r="BF1782" s="220"/>
    </row>
    <row r="1783" spans="49:58">
      <c r="AW1783" s="107"/>
      <c r="AX1783" s="195"/>
      <c r="AY1783" s="105"/>
      <c r="AZ1783" s="220"/>
      <c r="BA1783" s="241"/>
      <c r="BE1783" s="107"/>
      <c r="BF1783" s="220"/>
    </row>
    <row r="1784" spans="49:58">
      <c r="AW1784" s="107"/>
      <c r="AX1784" s="195"/>
      <c r="AY1784" s="105"/>
      <c r="AZ1784" s="220"/>
      <c r="BA1784" s="241"/>
      <c r="BE1784" s="107"/>
      <c r="BF1784" s="220"/>
    </row>
    <row r="1785" spans="49:58">
      <c r="AW1785" s="107"/>
      <c r="AX1785" s="195"/>
      <c r="AY1785" s="105"/>
      <c r="AZ1785" s="220"/>
      <c r="BA1785" s="241"/>
      <c r="BE1785" s="107"/>
      <c r="BF1785" s="220"/>
    </row>
    <row r="1786" spans="49:58">
      <c r="AW1786" s="107"/>
      <c r="AX1786" s="195"/>
      <c r="AY1786" s="105"/>
      <c r="AZ1786" s="220"/>
      <c r="BA1786" s="241"/>
      <c r="BE1786" s="107"/>
      <c r="BF1786" s="220"/>
    </row>
    <row r="1787" spans="49:58">
      <c r="AW1787" s="107"/>
      <c r="AX1787" s="195"/>
      <c r="AY1787" s="105"/>
      <c r="AZ1787" s="220"/>
      <c r="BA1787" s="241"/>
      <c r="BE1787" s="107"/>
      <c r="BF1787" s="220"/>
    </row>
    <row r="1788" spans="49:58">
      <c r="AW1788" s="107"/>
      <c r="AX1788" s="195"/>
      <c r="AY1788" s="105"/>
      <c r="AZ1788" s="220"/>
      <c r="BA1788" s="241"/>
      <c r="BE1788" s="107"/>
      <c r="BF1788" s="220"/>
    </row>
    <row r="1789" spans="49:58">
      <c r="AW1789" s="107"/>
      <c r="AX1789" s="195"/>
      <c r="AY1789" s="105"/>
      <c r="AZ1789" s="220"/>
      <c r="BA1789" s="241"/>
      <c r="BE1789" s="107"/>
      <c r="BF1789" s="220"/>
    </row>
    <row r="1790" spans="49:58">
      <c r="AW1790" s="107"/>
      <c r="AX1790" s="195"/>
      <c r="AY1790" s="105"/>
      <c r="AZ1790" s="220"/>
      <c r="BA1790" s="241"/>
      <c r="BE1790" s="107"/>
      <c r="BF1790" s="220"/>
    </row>
    <row r="1791" spans="49:58">
      <c r="AW1791" s="107"/>
      <c r="AX1791" s="195"/>
      <c r="AY1791" s="105"/>
      <c r="AZ1791" s="220"/>
      <c r="BA1791" s="241"/>
      <c r="BE1791" s="107"/>
      <c r="BF1791" s="220"/>
    </row>
    <row r="1792" spans="49:58">
      <c r="AW1792" s="107"/>
      <c r="AX1792" s="195"/>
      <c r="AY1792" s="105"/>
      <c r="AZ1792" s="220"/>
      <c r="BA1792" s="241"/>
      <c r="BE1792" s="107"/>
      <c r="BF1792" s="220"/>
    </row>
    <row r="1793" spans="49:58">
      <c r="AW1793" s="107"/>
      <c r="AX1793" s="195"/>
      <c r="AY1793" s="105"/>
      <c r="AZ1793" s="220"/>
      <c r="BA1793" s="241"/>
      <c r="BE1793" s="107"/>
      <c r="BF1793" s="220"/>
    </row>
    <row r="1794" spans="49:58">
      <c r="AW1794" s="107"/>
      <c r="AX1794" s="195"/>
      <c r="AY1794" s="105"/>
      <c r="AZ1794" s="220"/>
      <c r="BA1794" s="241"/>
      <c r="BE1794" s="107"/>
      <c r="BF1794" s="220"/>
    </row>
    <row r="1795" spans="49:58">
      <c r="AW1795" s="107"/>
      <c r="AX1795" s="195"/>
      <c r="AY1795" s="105"/>
      <c r="AZ1795" s="220"/>
      <c r="BA1795" s="241"/>
      <c r="BE1795" s="107"/>
      <c r="BF1795" s="220"/>
    </row>
    <row r="1796" spans="49:58">
      <c r="AW1796" s="107"/>
      <c r="AX1796" s="195"/>
      <c r="AY1796" s="105"/>
      <c r="AZ1796" s="220"/>
      <c r="BA1796" s="241"/>
      <c r="BE1796" s="107"/>
      <c r="BF1796" s="220"/>
    </row>
    <row r="1797" spans="49:58">
      <c r="AW1797" s="107"/>
      <c r="AX1797" s="195"/>
      <c r="AY1797" s="105"/>
      <c r="AZ1797" s="220"/>
      <c r="BA1797" s="241"/>
      <c r="BE1797" s="107"/>
      <c r="BF1797" s="220"/>
    </row>
    <row r="1798" spans="49:58">
      <c r="AW1798" s="107"/>
      <c r="AX1798" s="195"/>
      <c r="AY1798" s="105"/>
      <c r="AZ1798" s="220"/>
      <c r="BA1798" s="241"/>
      <c r="BE1798" s="107"/>
      <c r="BF1798" s="220"/>
    </row>
    <row r="1799" spans="49:58">
      <c r="AW1799" s="107"/>
      <c r="AX1799" s="195"/>
      <c r="AY1799" s="105"/>
      <c r="AZ1799" s="220"/>
      <c r="BA1799" s="241"/>
      <c r="BE1799" s="107"/>
      <c r="BF1799" s="220"/>
    </row>
    <row r="1800" spans="49:58">
      <c r="AW1800" s="107"/>
      <c r="AX1800" s="195"/>
      <c r="AY1800" s="105"/>
      <c r="AZ1800" s="220"/>
      <c r="BA1800" s="241"/>
      <c r="BE1800" s="107"/>
      <c r="BF1800" s="220"/>
    </row>
    <row r="1801" spans="49:58">
      <c r="AW1801" s="107"/>
      <c r="AX1801" s="195"/>
      <c r="AY1801" s="105"/>
      <c r="AZ1801" s="220"/>
      <c r="BA1801" s="241"/>
      <c r="BE1801" s="107"/>
      <c r="BF1801" s="220"/>
    </row>
    <row r="1802" spans="49:58">
      <c r="AW1802" s="107"/>
      <c r="AX1802" s="195"/>
      <c r="AY1802" s="105"/>
      <c r="AZ1802" s="220"/>
      <c r="BA1802" s="241"/>
      <c r="BE1802" s="107"/>
      <c r="BF1802" s="220"/>
    </row>
    <row r="1803" spans="49:58">
      <c r="AW1803" s="107"/>
      <c r="AX1803" s="195"/>
      <c r="AY1803" s="105"/>
      <c r="AZ1803" s="220"/>
      <c r="BA1803" s="241"/>
      <c r="BE1803" s="107"/>
      <c r="BF1803" s="220"/>
    </row>
    <row r="1804" spans="49:58">
      <c r="AW1804" s="107"/>
      <c r="AX1804" s="195"/>
      <c r="AY1804" s="105"/>
      <c r="AZ1804" s="220"/>
      <c r="BA1804" s="241"/>
      <c r="BE1804" s="107"/>
      <c r="BF1804" s="220"/>
    </row>
    <row r="1805" spans="49:58">
      <c r="AW1805" s="107"/>
      <c r="AX1805" s="195"/>
      <c r="AY1805" s="105"/>
      <c r="AZ1805" s="220"/>
      <c r="BA1805" s="241"/>
      <c r="BE1805" s="107"/>
      <c r="BF1805" s="220"/>
    </row>
    <row r="1806" spans="49:58">
      <c r="AW1806" s="107"/>
      <c r="AX1806" s="195"/>
      <c r="AY1806" s="105"/>
      <c r="AZ1806" s="220"/>
      <c r="BA1806" s="241"/>
      <c r="BE1806" s="107"/>
      <c r="BF1806" s="220"/>
    </row>
    <row r="1807" spans="49:58">
      <c r="AW1807" s="107"/>
      <c r="AX1807" s="195"/>
      <c r="AY1807" s="105"/>
      <c r="AZ1807" s="220"/>
      <c r="BA1807" s="241"/>
      <c r="BE1807" s="107"/>
      <c r="BF1807" s="220"/>
    </row>
    <row r="1808" spans="49:58">
      <c r="AW1808" s="107"/>
      <c r="AX1808" s="195"/>
      <c r="AY1808" s="105"/>
      <c r="AZ1808" s="220"/>
      <c r="BA1808" s="241"/>
      <c r="BE1808" s="107"/>
      <c r="BF1808" s="220"/>
    </row>
    <row r="1809" spans="49:58">
      <c r="AW1809" s="107"/>
      <c r="AX1809" s="195"/>
      <c r="AY1809" s="105"/>
      <c r="AZ1809" s="220"/>
      <c r="BA1809" s="241"/>
      <c r="BE1809" s="107"/>
      <c r="BF1809" s="220"/>
    </row>
    <row r="1810" spans="49:58">
      <c r="AW1810" s="107"/>
      <c r="AX1810" s="195"/>
      <c r="AY1810" s="105"/>
      <c r="AZ1810" s="220"/>
      <c r="BA1810" s="241"/>
      <c r="BE1810" s="107"/>
      <c r="BF1810" s="220"/>
    </row>
    <row r="1811" spans="49:58">
      <c r="AW1811" s="107"/>
      <c r="AX1811" s="195"/>
      <c r="AY1811" s="105"/>
      <c r="AZ1811" s="220"/>
      <c r="BA1811" s="241"/>
      <c r="BE1811" s="107"/>
      <c r="BF1811" s="220"/>
    </row>
    <row r="1812" spans="49:58">
      <c r="AW1812" s="107"/>
      <c r="AX1812" s="195"/>
      <c r="AY1812" s="105"/>
      <c r="AZ1812" s="220"/>
      <c r="BA1812" s="241"/>
      <c r="BE1812" s="107"/>
      <c r="BF1812" s="220"/>
    </row>
    <row r="1813" spans="49:58">
      <c r="AW1813" s="107"/>
      <c r="AX1813" s="195"/>
      <c r="AY1813" s="105"/>
      <c r="AZ1813" s="220"/>
      <c r="BA1813" s="241"/>
      <c r="BE1813" s="107"/>
      <c r="BF1813" s="220"/>
    </row>
    <row r="1814" spans="49:58">
      <c r="AW1814" s="107"/>
      <c r="AX1814" s="195"/>
      <c r="AY1814" s="105"/>
      <c r="AZ1814" s="220"/>
      <c r="BA1814" s="241"/>
      <c r="BE1814" s="107"/>
      <c r="BF1814" s="220"/>
    </row>
    <row r="1815" spans="49:58">
      <c r="AW1815" s="107"/>
      <c r="AX1815" s="195"/>
      <c r="AY1815" s="105"/>
      <c r="AZ1815" s="220"/>
      <c r="BA1815" s="241"/>
      <c r="BE1815" s="107"/>
      <c r="BF1815" s="220"/>
    </row>
    <row r="1816" spans="49:58">
      <c r="AW1816" s="107"/>
      <c r="AX1816" s="195"/>
      <c r="AY1816" s="105"/>
      <c r="AZ1816" s="220"/>
      <c r="BA1816" s="241"/>
      <c r="BE1816" s="107"/>
      <c r="BF1816" s="220"/>
    </row>
    <row r="1817" spans="49:58">
      <c r="AW1817" s="107"/>
      <c r="AX1817" s="195"/>
      <c r="AY1817" s="105"/>
      <c r="AZ1817" s="220"/>
      <c r="BA1817" s="241"/>
      <c r="BE1817" s="107"/>
      <c r="BF1817" s="220"/>
    </row>
    <row r="1818" spans="49:58">
      <c r="AW1818" s="107"/>
      <c r="AX1818" s="195"/>
      <c r="AY1818" s="105"/>
      <c r="AZ1818" s="220"/>
      <c r="BA1818" s="241"/>
      <c r="BE1818" s="107"/>
      <c r="BF1818" s="220"/>
    </row>
    <row r="1819" spans="49:58">
      <c r="AW1819" s="107"/>
      <c r="AX1819" s="195"/>
      <c r="AY1819" s="105"/>
      <c r="AZ1819" s="220"/>
      <c r="BA1819" s="241"/>
      <c r="BE1819" s="107"/>
      <c r="BF1819" s="220"/>
    </row>
    <row r="1820" spans="49:58">
      <c r="AW1820" s="107"/>
      <c r="AX1820" s="195"/>
      <c r="AY1820" s="105"/>
      <c r="AZ1820" s="220"/>
      <c r="BA1820" s="241"/>
      <c r="BE1820" s="107"/>
      <c r="BF1820" s="220"/>
    </row>
    <row r="1821" spans="49:58">
      <c r="AW1821" s="107"/>
      <c r="AX1821" s="195"/>
      <c r="AY1821" s="105"/>
      <c r="AZ1821" s="220"/>
      <c r="BA1821" s="241"/>
      <c r="BE1821" s="107"/>
      <c r="BF1821" s="220"/>
    </row>
    <row r="1822" spans="49:58">
      <c r="AW1822" s="107"/>
      <c r="AX1822" s="195"/>
      <c r="AY1822" s="105"/>
      <c r="AZ1822" s="220"/>
      <c r="BA1822" s="241"/>
      <c r="BE1822" s="107"/>
      <c r="BF1822" s="220"/>
    </row>
    <row r="1823" spans="49:58">
      <c r="AW1823" s="107"/>
      <c r="AX1823" s="195"/>
      <c r="AY1823" s="105"/>
      <c r="AZ1823" s="220"/>
      <c r="BA1823" s="241"/>
      <c r="BE1823" s="107"/>
      <c r="BF1823" s="220"/>
    </row>
    <row r="1824" spans="49:58">
      <c r="AW1824" s="107"/>
      <c r="AX1824" s="195"/>
      <c r="AY1824" s="105"/>
      <c r="AZ1824" s="220"/>
      <c r="BA1824" s="241"/>
      <c r="BE1824" s="107"/>
      <c r="BF1824" s="220"/>
    </row>
    <row r="1825" spans="49:58">
      <c r="AW1825" s="107"/>
      <c r="AX1825" s="195"/>
      <c r="AY1825" s="105"/>
      <c r="AZ1825" s="220"/>
      <c r="BA1825" s="241"/>
      <c r="BE1825" s="107"/>
      <c r="BF1825" s="220"/>
    </row>
    <row r="1826" spans="49:58">
      <c r="AW1826" s="107"/>
      <c r="AX1826" s="195"/>
      <c r="AY1826" s="105"/>
      <c r="AZ1826" s="220"/>
      <c r="BA1826" s="241"/>
      <c r="BE1826" s="107"/>
      <c r="BF1826" s="220"/>
    </row>
    <row r="1827" spans="49:58">
      <c r="AW1827" s="107"/>
      <c r="AX1827" s="195"/>
      <c r="AY1827" s="105"/>
      <c r="AZ1827" s="220"/>
      <c r="BA1827" s="241"/>
      <c r="BE1827" s="107"/>
      <c r="BF1827" s="220"/>
    </row>
    <row r="1828" spans="49:58">
      <c r="AW1828" s="107"/>
      <c r="AX1828" s="195"/>
      <c r="AY1828" s="105"/>
      <c r="AZ1828" s="220"/>
      <c r="BA1828" s="241"/>
      <c r="BE1828" s="107"/>
      <c r="BF1828" s="220"/>
    </row>
    <row r="1829" spans="49:58">
      <c r="AW1829" s="107"/>
      <c r="AX1829" s="195"/>
      <c r="AY1829" s="105"/>
      <c r="AZ1829" s="220"/>
      <c r="BA1829" s="241"/>
      <c r="BE1829" s="107"/>
      <c r="BF1829" s="220"/>
    </row>
    <row r="1830" spans="49:58">
      <c r="AW1830" s="107"/>
      <c r="AX1830" s="195"/>
      <c r="AY1830" s="105"/>
      <c r="AZ1830" s="220"/>
      <c r="BA1830" s="241"/>
      <c r="BE1830" s="107"/>
      <c r="BF1830" s="220"/>
    </row>
    <row r="1831" spans="49:58">
      <c r="AW1831" s="107"/>
      <c r="AX1831" s="195"/>
      <c r="AY1831" s="105"/>
      <c r="AZ1831" s="220"/>
      <c r="BA1831" s="241"/>
      <c r="BE1831" s="107"/>
      <c r="BF1831" s="220"/>
    </row>
    <row r="1832" spans="49:58">
      <c r="AW1832" s="107"/>
      <c r="AX1832" s="195"/>
      <c r="AY1832" s="105"/>
      <c r="AZ1832" s="220"/>
      <c r="BA1832" s="241"/>
      <c r="BE1832" s="107"/>
      <c r="BF1832" s="220"/>
    </row>
    <row r="1833" spans="49:58">
      <c r="AW1833" s="107"/>
      <c r="AX1833" s="195"/>
      <c r="AY1833" s="105"/>
      <c r="AZ1833" s="220"/>
      <c r="BA1833" s="241"/>
      <c r="BE1833" s="107"/>
      <c r="BF1833" s="220"/>
    </row>
    <row r="1834" spans="49:58">
      <c r="AW1834" s="107"/>
      <c r="AX1834" s="195"/>
      <c r="AY1834" s="105"/>
      <c r="AZ1834" s="220"/>
      <c r="BA1834" s="241"/>
      <c r="BE1834" s="107"/>
      <c r="BF1834" s="220"/>
    </row>
    <row r="1835" spans="49:58">
      <c r="AW1835" s="107"/>
      <c r="AX1835" s="195"/>
      <c r="AY1835" s="105"/>
      <c r="AZ1835" s="220"/>
      <c r="BA1835" s="241"/>
      <c r="BE1835" s="107"/>
      <c r="BF1835" s="220"/>
    </row>
    <row r="1836" spans="49:58">
      <c r="AW1836" s="107"/>
      <c r="AX1836" s="195"/>
      <c r="AY1836" s="105"/>
      <c r="AZ1836" s="220"/>
      <c r="BA1836" s="241"/>
      <c r="BE1836" s="107"/>
      <c r="BF1836" s="220"/>
    </row>
    <row r="1837" spans="49:58">
      <c r="AW1837" s="107"/>
      <c r="AX1837" s="195"/>
      <c r="AY1837" s="105"/>
      <c r="AZ1837" s="220"/>
      <c r="BA1837" s="241"/>
      <c r="BE1837" s="107"/>
      <c r="BF1837" s="220"/>
    </row>
    <row r="1838" spans="49:58">
      <c r="AW1838" s="107"/>
      <c r="AX1838" s="195"/>
      <c r="AY1838" s="105"/>
      <c r="AZ1838" s="220"/>
      <c r="BA1838" s="241"/>
      <c r="BE1838" s="107"/>
      <c r="BF1838" s="220"/>
    </row>
    <row r="1839" spans="49:58">
      <c r="AW1839" s="107"/>
      <c r="AX1839" s="195"/>
      <c r="AY1839" s="105"/>
      <c r="AZ1839" s="220"/>
      <c r="BA1839" s="241"/>
      <c r="BE1839" s="107"/>
      <c r="BF1839" s="220"/>
    </row>
    <row r="1840" spans="49:58">
      <c r="AW1840" s="107"/>
      <c r="AX1840" s="195"/>
      <c r="AY1840" s="105"/>
      <c r="AZ1840" s="220"/>
      <c r="BA1840" s="241"/>
      <c r="BE1840" s="107"/>
      <c r="BF1840" s="220"/>
    </row>
    <row r="1841" spans="49:58">
      <c r="AW1841" s="107"/>
      <c r="AX1841" s="195"/>
      <c r="AY1841" s="105"/>
      <c r="AZ1841" s="220"/>
      <c r="BA1841" s="241"/>
      <c r="BE1841" s="107"/>
      <c r="BF1841" s="220"/>
    </row>
    <row r="1842" spans="49:58">
      <c r="AW1842" s="107"/>
      <c r="AX1842" s="195"/>
      <c r="AY1842" s="105"/>
      <c r="AZ1842" s="220"/>
      <c r="BA1842" s="241"/>
      <c r="BE1842" s="107"/>
      <c r="BF1842" s="220"/>
    </row>
    <row r="1843" spans="49:58">
      <c r="AW1843" s="107"/>
      <c r="AX1843" s="195"/>
      <c r="AY1843" s="105"/>
      <c r="AZ1843" s="220"/>
      <c r="BA1843" s="241"/>
      <c r="BE1843" s="107"/>
      <c r="BF1843" s="220"/>
    </row>
    <row r="1844" spans="49:58">
      <c r="AW1844" s="107"/>
      <c r="AX1844" s="195"/>
      <c r="AY1844" s="105"/>
      <c r="AZ1844" s="220"/>
      <c r="BA1844" s="241"/>
      <c r="BE1844" s="107"/>
      <c r="BF1844" s="220"/>
    </row>
    <row r="1845" spans="49:58">
      <c r="AW1845" s="107"/>
      <c r="AX1845" s="195"/>
      <c r="AY1845" s="105"/>
      <c r="AZ1845" s="220"/>
      <c r="BA1845" s="241"/>
      <c r="BE1845" s="107"/>
      <c r="BF1845" s="220"/>
    </row>
    <row r="1846" spans="49:58">
      <c r="AW1846" s="107"/>
      <c r="AX1846" s="195"/>
      <c r="AY1846" s="105"/>
      <c r="AZ1846" s="220"/>
      <c r="BA1846" s="241"/>
      <c r="BE1846" s="107"/>
      <c r="BF1846" s="220"/>
    </row>
    <row r="1847" spans="49:58">
      <c r="AW1847" s="107"/>
      <c r="AX1847" s="195"/>
      <c r="AY1847" s="105"/>
      <c r="AZ1847" s="220"/>
      <c r="BA1847" s="241"/>
      <c r="BE1847" s="107"/>
      <c r="BF1847" s="220"/>
    </row>
    <row r="1848" spans="49:58">
      <c r="AW1848" s="107"/>
      <c r="AX1848" s="195"/>
      <c r="AY1848" s="105"/>
      <c r="AZ1848" s="220"/>
      <c r="BA1848" s="241"/>
      <c r="BE1848" s="107"/>
      <c r="BF1848" s="220"/>
    </row>
    <row r="1849" spans="49:58">
      <c r="AW1849" s="107"/>
      <c r="AX1849" s="195"/>
      <c r="AY1849" s="105"/>
      <c r="AZ1849" s="220"/>
      <c r="BA1849" s="241"/>
      <c r="BE1849" s="107"/>
      <c r="BF1849" s="220"/>
    </row>
    <row r="1850" spans="49:58">
      <c r="AW1850" s="107"/>
      <c r="AX1850" s="195"/>
      <c r="AY1850" s="105"/>
      <c r="AZ1850" s="220"/>
      <c r="BA1850" s="241"/>
      <c r="BE1850" s="107"/>
      <c r="BF1850" s="220"/>
    </row>
    <row r="1851" spans="49:58">
      <c r="AW1851" s="107"/>
      <c r="AX1851" s="195"/>
      <c r="AY1851" s="105"/>
      <c r="AZ1851" s="220"/>
      <c r="BA1851" s="241"/>
      <c r="BE1851" s="107"/>
      <c r="BF1851" s="220"/>
    </row>
    <row r="1852" spans="49:58">
      <c r="AW1852" s="107"/>
      <c r="AX1852" s="195"/>
      <c r="AY1852" s="105"/>
      <c r="AZ1852" s="220"/>
      <c r="BA1852" s="241"/>
      <c r="BE1852" s="107"/>
      <c r="BF1852" s="220"/>
    </row>
    <row r="1853" spans="49:58">
      <c r="AW1853" s="107"/>
      <c r="AX1853" s="195"/>
      <c r="AY1853" s="105"/>
      <c r="AZ1853" s="220"/>
      <c r="BA1853" s="241"/>
      <c r="BE1853" s="107"/>
      <c r="BF1853" s="220"/>
    </row>
    <row r="1854" spans="49:58">
      <c r="AW1854" s="107"/>
      <c r="AX1854" s="195"/>
      <c r="AY1854" s="105"/>
      <c r="AZ1854" s="220"/>
      <c r="BA1854" s="241"/>
      <c r="BE1854" s="107"/>
      <c r="BF1854" s="220"/>
    </row>
    <row r="1855" spans="49:58">
      <c r="AW1855" s="107"/>
      <c r="AX1855" s="195"/>
      <c r="AY1855" s="105"/>
      <c r="AZ1855" s="220"/>
      <c r="BA1855" s="241"/>
      <c r="BE1855" s="107"/>
      <c r="BF1855" s="220"/>
    </row>
    <row r="1856" spans="49:58">
      <c r="AW1856" s="107"/>
      <c r="AX1856" s="195"/>
      <c r="AY1856" s="105"/>
      <c r="AZ1856" s="220"/>
      <c r="BA1856" s="241"/>
      <c r="BE1856" s="107"/>
      <c r="BF1856" s="220"/>
    </row>
    <row r="1857" spans="49:58">
      <c r="AW1857" s="107"/>
      <c r="AX1857" s="195"/>
      <c r="AY1857" s="105"/>
      <c r="AZ1857" s="220"/>
      <c r="BA1857" s="241"/>
      <c r="BE1857" s="107"/>
      <c r="BF1857" s="220"/>
    </row>
    <row r="1858" spans="49:58">
      <c r="AW1858" s="107"/>
      <c r="AX1858" s="195"/>
      <c r="AY1858" s="105"/>
      <c r="AZ1858" s="220"/>
      <c r="BA1858" s="241"/>
      <c r="BE1858" s="107"/>
      <c r="BF1858" s="220"/>
    </row>
    <row r="1859" spans="49:58">
      <c r="AW1859" s="107"/>
      <c r="AX1859" s="195"/>
      <c r="AY1859" s="105"/>
      <c r="AZ1859" s="220"/>
      <c r="BA1859" s="241"/>
      <c r="BE1859" s="107"/>
      <c r="BF1859" s="220"/>
    </row>
    <row r="1860" spans="49:58">
      <c r="AW1860" s="107"/>
      <c r="AX1860" s="195"/>
      <c r="AY1860" s="105"/>
      <c r="AZ1860" s="220"/>
      <c r="BA1860" s="241"/>
      <c r="BE1860" s="107"/>
      <c r="BF1860" s="220"/>
    </row>
    <row r="1861" spans="49:58">
      <c r="AW1861" s="107"/>
      <c r="AX1861" s="195"/>
      <c r="AY1861" s="105"/>
      <c r="AZ1861" s="220"/>
      <c r="BA1861" s="241"/>
      <c r="BE1861" s="107"/>
      <c r="BF1861" s="220"/>
    </row>
    <row r="1862" spans="49:58">
      <c r="AW1862" s="107"/>
      <c r="AX1862" s="195"/>
      <c r="AY1862" s="105"/>
      <c r="AZ1862" s="220"/>
      <c r="BA1862" s="241"/>
      <c r="BE1862" s="107"/>
      <c r="BF1862" s="220"/>
    </row>
    <row r="1863" spans="49:58">
      <c r="AW1863" s="107"/>
      <c r="AX1863" s="195"/>
      <c r="AY1863" s="105"/>
      <c r="AZ1863" s="220"/>
      <c r="BA1863" s="241"/>
      <c r="BE1863" s="107"/>
      <c r="BF1863" s="220"/>
    </row>
    <row r="1864" spans="49:58">
      <c r="AW1864" s="107"/>
      <c r="AX1864" s="195"/>
      <c r="AY1864" s="105"/>
      <c r="AZ1864" s="220"/>
      <c r="BA1864" s="241"/>
      <c r="BE1864" s="107"/>
      <c r="BF1864" s="220"/>
    </row>
    <row r="1865" spans="49:58">
      <c r="AW1865" s="107"/>
      <c r="AX1865" s="195"/>
      <c r="AY1865" s="105"/>
      <c r="AZ1865" s="220"/>
      <c r="BA1865" s="241"/>
      <c r="BE1865" s="107"/>
      <c r="BF1865" s="220"/>
    </row>
    <row r="1866" spans="49:58">
      <c r="AW1866" s="107"/>
      <c r="AX1866" s="195"/>
      <c r="AY1866" s="105"/>
      <c r="AZ1866" s="220"/>
      <c r="BA1866" s="241"/>
      <c r="BE1866" s="107"/>
      <c r="BF1866" s="220"/>
    </row>
    <row r="1867" spans="49:58">
      <c r="AW1867" s="107"/>
      <c r="AX1867" s="195"/>
      <c r="AY1867" s="105"/>
      <c r="AZ1867" s="220"/>
      <c r="BA1867" s="241"/>
      <c r="BE1867" s="107"/>
      <c r="BF1867" s="220"/>
    </row>
    <row r="1868" spans="49:58">
      <c r="AW1868" s="107"/>
      <c r="AX1868" s="195"/>
      <c r="AY1868" s="105"/>
      <c r="AZ1868" s="220"/>
      <c r="BA1868" s="241"/>
      <c r="BE1868" s="107"/>
      <c r="BF1868" s="220"/>
    </row>
    <row r="1869" spans="49:58">
      <c r="AW1869" s="107"/>
      <c r="AX1869" s="195"/>
      <c r="AY1869" s="105"/>
      <c r="AZ1869" s="220"/>
      <c r="BA1869" s="241"/>
      <c r="BE1869" s="107"/>
      <c r="BF1869" s="220"/>
    </row>
    <row r="1870" spans="49:58">
      <c r="AW1870" s="107"/>
      <c r="AX1870" s="195"/>
      <c r="AY1870" s="105"/>
      <c r="AZ1870" s="220"/>
      <c r="BA1870" s="241"/>
      <c r="BE1870" s="107"/>
      <c r="BF1870" s="220"/>
    </row>
    <row r="1871" spans="49:58">
      <c r="AW1871" s="107"/>
      <c r="AX1871" s="195"/>
      <c r="AY1871" s="105"/>
      <c r="AZ1871" s="220"/>
      <c r="BA1871" s="241"/>
      <c r="BE1871" s="107"/>
      <c r="BF1871" s="220"/>
    </row>
    <row r="1872" spans="49:58">
      <c r="AW1872" s="107"/>
      <c r="AX1872" s="195"/>
      <c r="AY1872" s="105"/>
      <c r="AZ1872" s="220"/>
      <c r="BA1872" s="241"/>
      <c r="BE1872" s="107"/>
      <c r="BF1872" s="220"/>
    </row>
    <row r="1873" spans="49:58">
      <c r="AW1873" s="107"/>
      <c r="AX1873" s="195"/>
      <c r="AY1873" s="105"/>
      <c r="AZ1873" s="220"/>
      <c r="BA1873" s="241"/>
      <c r="BE1873" s="107"/>
      <c r="BF1873" s="220"/>
    </row>
    <row r="1874" spans="49:58">
      <c r="AW1874" s="107"/>
      <c r="AX1874" s="195"/>
      <c r="AY1874" s="105"/>
      <c r="AZ1874" s="220"/>
      <c r="BA1874" s="241"/>
      <c r="BE1874" s="107"/>
      <c r="BF1874" s="220"/>
    </row>
    <row r="1875" spans="49:58">
      <c r="AW1875" s="107"/>
      <c r="AX1875" s="195"/>
      <c r="AY1875" s="105"/>
      <c r="AZ1875" s="220"/>
      <c r="BA1875" s="241"/>
      <c r="BE1875" s="107"/>
      <c r="BF1875" s="220"/>
    </row>
    <row r="1876" spans="49:58">
      <c r="AW1876" s="107"/>
      <c r="AX1876" s="195"/>
      <c r="AY1876" s="105"/>
      <c r="AZ1876" s="220"/>
      <c r="BA1876" s="241"/>
      <c r="BE1876" s="107"/>
      <c r="BF1876" s="220"/>
    </row>
    <row r="1877" spans="49:58">
      <c r="AW1877" s="107"/>
      <c r="AX1877" s="195"/>
      <c r="AY1877" s="105"/>
      <c r="AZ1877" s="220"/>
      <c r="BA1877" s="241"/>
      <c r="BE1877" s="107"/>
      <c r="BF1877" s="220"/>
    </row>
    <row r="1878" spans="49:58">
      <c r="AW1878" s="107"/>
      <c r="AX1878" s="195"/>
      <c r="AY1878" s="105"/>
      <c r="AZ1878" s="220"/>
      <c r="BA1878" s="241"/>
      <c r="BE1878" s="107"/>
      <c r="BF1878" s="220"/>
    </row>
    <row r="1879" spans="49:58">
      <c r="AW1879" s="107"/>
      <c r="AX1879" s="195"/>
      <c r="AY1879" s="105"/>
      <c r="AZ1879" s="220"/>
      <c r="BA1879" s="241"/>
      <c r="BE1879" s="107"/>
      <c r="BF1879" s="220"/>
    </row>
    <row r="1880" spans="49:58">
      <c r="AW1880" s="107"/>
      <c r="AX1880" s="195"/>
      <c r="AY1880" s="105"/>
      <c r="AZ1880" s="220"/>
      <c r="BA1880" s="241"/>
      <c r="BE1880" s="107"/>
      <c r="BF1880" s="220"/>
    </row>
    <row r="1881" spans="49:58">
      <c r="AW1881" s="107"/>
      <c r="AX1881" s="195"/>
      <c r="AY1881" s="105"/>
      <c r="AZ1881" s="220"/>
      <c r="BA1881" s="241"/>
      <c r="BE1881" s="107"/>
      <c r="BF1881" s="220"/>
    </row>
    <row r="1882" spans="49:58">
      <c r="AW1882" s="107"/>
      <c r="AX1882" s="195"/>
      <c r="AY1882" s="105"/>
      <c r="AZ1882" s="220"/>
      <c r="BA1882" s="241"/>
      <c r="BE1882" s="107"/>
      <c r="BF1882" s="220"/>
    </row>
    <row r="1883" spans="49:58">
      <c r="AW1883" s="107"/>
      <c r="AX1883" s="195"/>
      <c r="AY1883" s="105"/>
      <c r="AZ1883" s="220"/>
      <c r="BA1883" s="241"/>
      <c r="BE1883" s="107"/>
      <c r="BF1883" s="220"/>
    </row>
    <row r="1884" spans="49:58">
      <c r="AW1884" s="107"/>
      <c r="AX1884" s="195"/>
      <c r="AY1884" s="105"/>
      <c r="AZ1884" s="220"/>
      <c r="BA1884" s="241"/>
      <c r="BE1884" s="107"/>
      <c r="BF1884" s="220"/>
    </row>
    <row r="1885" spans="49:58">
      <c r="AW1885" s="107"/>
      <c r="AX1885" s="195"/>
      <c r="AY1885" s="105"/>
      <c r="AZ1885" s="220"/>
      <c r="BA1885" s="241"/>
      <c r="BE1885" s="107"/>
      <c r="BF1885" s="220"/>
    </row>
    <row r="1886" spans="49:58">
      <c r="AW1886" s="107"/>
      <c r="AX1886" s="195"/>
      <c r="AY1886" s="105"/>
      <c r="AZ1886" s="220"/>
      <c r="BA1886" s="241"/>
      <c r="BE1886" s="107"/>
      <c r="BF1886" s="220"/>
    </row>
    <row r="1887" spans="49:58">
      <c r="AW1887" s="107"/>
      <c r="AX1887" s="195"/>
      <c r="AY1887" s="105"/>
      <c r="AZ1887" s="220"/>
      <c r="BA1887" s="241"/>
      <c r="BE1887" s="107"/>
      <c r="BF1887" s="220"/>
    </row>
    <row r="1888" spans="49:58">
      <c r="AW1888" s="107"/>
      <c r="AX1888" s="195"/>
      <c r="AY1888" s="105"/>
      <c r="AZ1888" s="220"/>
      <c r="BA1888" s="241"/>
      <c r="BE1888" s="107"/>
      <c r="BF1888" s="220"/>
    </row>
    <row r="1889" spans="49:58">
      <c r="AW1889" s="107"/>
      <c r="AX1889" s="195"/>
      <c r="AY1889" s="105"/>
      <c r="AZ1889" s="220"/>
      <c r="BA1889" s="241"/>
      <c r="BE1889" s="107"/>
      <c r="BF1889" s="220"/>
    </row>
    <row r="1890" spans="49:58">
      <c r="AW1890" s="107"/>
      <c r="AX1890" s="195"/>
      <c r="AY1890" s="105"/>
      <c r="AZ1890" s="220"/>
      <c r="BA1890" s="241"/>
      <c r="BE1890" s="107"/>
      <c r="BF1890" s="220"/>
    </row>
    <row r="1891" spans="49:58">
      <c r="AW1891" s="107"/>
      <c r="AX1891" s="195"/>
      <c r="AY1891" s="105"/>
      <c r="AZ1891" s="220"/>
      <c r="BA1891" s="241"/>
      <c r="BE1891" s="107"/>
      <c r="BF1891" s="220"/>
    </row>
    <row r="1892" spans="49:58">
      <c r="AW1892" s="107"/>
      <c r="AX1892" s="195"/>
      <c r="AY1892" s="105"/>
      <c r="AZ1892" s="220"/>
      <c r="BA1892" s="241"/>
      <c r="BE1892" s="107"/>
      <c r="BF1892" s="220"/>
    </row>
    <row r="1893" spans="49:58">
      <c r="AW1893" s="107"/>
      <c r="AX1893" s="195"/>
      <c r="AY1893" s="105"/>
      <c r="AZ1893" s="220"/>
      <c r="BA1893" s="241"/>
      <c r="BE1893" s="107"/>
      <c r="BF1893" s="220"/>
    </row>
    <row r="1894" spans="49:58">
      <c r="AW1894" s="107"/>
      <c r="AX1894" s="195"/>
      <c r="AY1894" s="105"/>
      <c r="AZ1894" s="220"/>
      <c r="BA1894" s="241"/>
      <c r="BE1894" s="107"/>
      <c r="BF1894" s="220"/>
    </row>
    <row r="1895" spans="49:58">
      <c r="AW1895" s="107"/>
      <c r="AX1895" s="195"/>
      <c r="AY1895" s="105"/>
      <c r="AZ1895" s="220"/>
      <c r="BA1895" s="241"/>
      <c r="BE1895" s="107"/>
      <c r="BF1895" s="220"/>
    </row>
    <row r="1896" spans="49:58">
      <c r="AW1896" s="107"/>
      <c r="AX1896" s="195"/>
      <c r="AY1896" s="105"/>
      <c r="AZ1896" s="220"/>
      <c r="BA1896" s="241"/>
      <c r="BE1896" s="107"/>
      <c r="BF1896" s="220"/>
    </row>
    <row r="1897" spans="49:58">
      <c r="AW1897" s="107"/>
      <c r="AX1897" s="195"/>
      <c r="AY1897" s="105"/>
      <c r="AZ1897" s="220"/>
      <c r="BA1897" s="241"/>
      <c r="BE1897" s="107"/>
      <c r="BF1897" s="220"/>
    </row>
    <row r="1898" spans="49:58">
      <c r="AW1898" s="107"/>
      <c r="AX1898" s="195"/>
      <c r="AY1898" s="105"/>
      <c r="AZ1898" s="220"/>
      <c r="BA1898" s="241"/>
      <c r="BE1898" s="107"/>
      <c r="BF1898" s="220"/>
    </row>
    <row r="1899" spans="49:58">
      <c r="AW1899" s="107"/>
      <c r="AX1899" s="195"/>
      <c r="AY1899" s="105"/>
      <c r="AZ1899" s="220"/>
      <c r="BA1899" s="241"/>
      <c r="BE1899" s="107"/>
      <c r="BF1899" s="220"/>
    </row>
    <row r="1900" spans="49:58">
      <c r="AW1900" s="107"/>
      <c r="AX1900" s="195"/>
      <c r="AY1900" s="105"/>
      <c r="AZ1900" s="220"/>
      <c r="BA1900" s="241"/>
      <c r="BE1900" s="107"/>
      <c r="BF1900" s="220"/>
    </row>
    <row r="1901" spans="49:58">
      <c r="AW1901" s="107"/>
      <c r="AX1901" s="195"/>
      <c r="AY1901" s="105"/>
      <c r="AZ1901" s="220"/>
      <c r="BA1901" s="241"/>
      <c r="BE1901" s="107"/>
      <c r="BF1901" s="220"/>
    </row>
    <row r="1902" spans="49:58">
      <c r="AW1902" s="107"/>
      <c r="AX1902" s="195"/>
      <c r="AY1902" s="105"/>
      <c r="AZ1902" s="220"/>
      <c r="BA1902" s="241"/>
      <c r="BE1902" s="107"/>
      <c r="BF1902" s="220"/>
    </row>
    <row r="1903" spans="49:58">
      <c r="AW1903" s="107"/>
      <c r="AX1903" s="195"/>
      <c r="AY1903" s="105"/>
      <c r="AZ1903" s="220"/>
      <c r="BA1903" s="241"/>
      <c r="BE1903" s="107"/>
      <c r="BF1903" s="220"/>
    </row>
    <row r="1904" spans="49:58">
      <c r="AW1904" s="107"/>
      <c r="AX1904" s="195"/>
      <c r="AY1904" s="105"/>
      <c r="AZ1904" s="220"/>
      <c r="BA1904" s="241"/>
      <c r="BE1904" s="107"/>
      <c r="BF1904" s="220"/>
    </row>
    <row r="1905" spans="49:58">
      <c r="AW1905" s="107"/>
      <c r="AX1905" s="195"/>
      <c r="AY1905" s="105"/>
      <c r="AZ1905" s="220"/>
      <c r="BA1905" s="241"/>
      <c r="BE1905" s="107"/>
      <c r="BF1905" s="220"/>
    </row>
    <row r="1906" spans="49:58">
      <c r="AW1906" s="107"/>
      <c r="AX1906" s="195"/>
      <c r="AY1906" s="105"/>
      <c r="AZ1906" s="220"/>
      <c r="BA1906" s="241"/>
      <c r="BE1906" s="107"/>
      <c r="BF1906" s="220"/>
    </row>
    <row r="1907" spans="49:58">
      <c r="AW1907" s="107"/>
      <c r="AX1907" s="195"/>
      <c r="AY1907" s="105"/>
      <c r="AZ1907" s="220"/>
      <c r="BA1907" s="241"/>
      <c r="BE1907" s="107"/>
      <c r="BF1907" s="220"/>
    </row>
    <row r="1908" spans="49:58">
      <c r="AW1908" s="107"/>
      <c r="AX1908" s="195"/>
      <c r="AY1908" s="105"/>
      <c r="AZ1908" s="220"/>
      <c r="BA1908" s="241"/>
      <c r="BE1908" s="107"/>
      <c r="BF1908" s="220"/>
    </row>
    <row r="1909" spans="49:58">
      <c r="AW1909" s="107"/>
      <c r="AX1909" s="195"/>
      <c r="AY1909" s="105"/>
      <c r="AZ1909" s="220"/>
      <c r="BA1909" s="241"/>
      <c r="BE1909" s="107"/>
      <c r="BF1909" s="220"/>
    </row>
    <row r="1910" spans="49:58">
      <c r="AW1910" s="107"/>
      <c r="AX1910" s="195"/>
      <c r="AY1910" s="105"/>
      <c r="AZ1910" s="220"/>
      <c r="BA1910" s="241"/>
      <c r="BE1910" s="107"/>
      <c r="BF1910" s="220"/>
    </row>
    <row r="1911" spans="49:58">
      <c r="AW1911" s="107"/>
      <c r="AX1911" s="195"/>
      <c r="AY1911" s="105"/>
      <c r="AZ1911" s="220"/>
      <c r="BA1911" s="241"/>
      <c r="BE1911" s="107"/>
      <c r="BF1911" s="220"/>
    </row>
    <row r="1912" spans="49:58">
      <c r="AW1912" s="107"/>
      <c r="AX1912" s="195"/>
      <c r="AY1912" s="105"/>
      <c r="AZ1912" s="220"/>
      <c r="BA1912" s="241"/>
      <c r="BE1912" s="107"/>
      <c r="BF1912" s="220"/>
    </row>
    <row r="1913" spans="49:58">
      <c r="AW1913" s="107"/>
      <c r="AX1913" s="195"/>
      <c r="AY1913" s="105"/>
      <c r="AZ1913" s="220"/>
      <c r="BA1913" s="241"/>
      <c r="BE1913" s="107"/>
      <c r="BF1913" s="220"/>
    </row>
    <row r="1914" spans="49:58">
      <c r="AW1914" s="107"/>
      <c r="AX1914" s="195"/>
      <c r="AY1914" s="105"/>
      <c r="AZ1914" s="220"/>
      <c r="BA1914" s="241"/>
      <c r="BE1914" s="107"/>
      <c r="BF1914" s="220"/>
    </row>
    <row r="1915" spans="49:58">
      <c r="AW1915" s="107"/>
      <c r="AX1915" s="195"/>
      <c r="AY1915" s="105"/>
      <c r="AZ1915" s="220"/>
      <c r="BA1915" s="241"/>
      <c r="BE1915" s="107"/>
      <c r="BF1915" s="220"/>
    </row>
    <row r="1916" spans="49:58">
      <c r="AW1916" s="107"/>
      <c r="AX1916" s="195"/>
      <c r="AY1916" s="105"/>
      <c r="AZ1916" s="220"/>
      <c r="BA1916" s="241"/>
      <c r="BE1916" s="107"/>
      <c r="BF1916" s="220"/>
    </row>
    <row r="1917" spans="49:58">
      <c r="AW1917" s="107"/>
      <c r="AX1917" s="195"/>
      <c r="AY1917" s="105"/>
      <c r="AZ1917" s="220"/>
      <c r="BA1917" s="241"/>
      <c r="BE1917" s="107"/>
      <c r="BF1917" s="220"/>
    </row>
    <row r="1918" spans="49:58">
      <c r="AW1918" s="107"/>
      <c r="AX1918" s="195"/>
      <c r="AY1918" s="105"/>
      <c r="AZ1918" s="220"/>
      <c r="BA1918" s="241"/>
      <c r="BE1918" s="107"/>
      <c r="BF1918" s="220"/>
    </row>
    <row r="1919" spans="49:58">
      <c r="AW1919" s="107"/>
      <c r="AX1919" s="195"/>
      <c r="AY1919" s="105"/>
      <c r="AZ1919" s="220"/>
      <c r="BA1919" s="241"/>
      <c r="BE1919" s="107"/>
      <c r="BF1919" s="220"/>
    </row>
    <row r="1920" spans="49:58">
      <c r="AW1920" s="107"/>
      <c r="AX1920" s="195"/>
      <c r="AY1920" s="105"/>
      <c r="AZ1920" s="220"/>
      <c r="BA1920" s="241"/>
      <c r="BE1920" s="107"/>
      <c r="BF1920" s="220"/>
    </row>
    <row r="1921" spans="49:58">
      <c r="AW1921" s="107"/>
      <c r="AX1921" s="195"/>
      <c r="AY1921" s="105"/>
      <c r="AZ1921" s="220"/>
      <c r="BA1921" s="241"/>
      <c r="BE1921" s="107"/>
      <c r="BF1921" s="220"/>
    </row>
    <row r="1922" spans="49:58">
      <c r="AW1922" s="107"/>
      <c r="AX1922" s="195"/>
      <c r="AY1922" s="105"/>
      <c r="AZ1922" s="220"/>
      <c r="BA1922" s="241"/>
      <c r="BE1922" s="107"/>
      <c r="BF1922" s="220"/>
    </row>
    <row r="1923" spans="49:58">
      <c r="AW1923" s="107"/>
      <c r="AX1923" s="195"/>
      <c r="AY1923" s="105"/>
      <c r="AZ1923" s="220"/>
      <c r="BA1923" s="241"/>
      <c r="BE1923" s="107"/>
      <c r="BF1923" s="220"/>
    </row>
    <row r="1924" spans="49:58">
      <c r="AW1924" s="107"/>
      <c r="AX1924" s="195"/>
      <c r="AY1924" s="105"/>
      <c r="AZ1924" s="220"/>
      <c r="BA1924" s="241"/>
      <c r="BE1924" s="107"/>
      <c r="BF1924" s="220"/>
    </row>
    <row r="1925" spans="49:58">
      <c r="AW1925" s="107"/>
      <c r="AX1925" s="195"/>
      <c r="AY1925" s="105"/>
      <c r="AZ1925" s="220"/>
      <c r="BA1925" s="241"/>
      <c r="BE1925" s="107"/>
      <c r="BF1925" s="220"/>
    </row>
    <row r="1926" spans="49:58">
      <c r="AW1926" s="107"/>
      <c r="AX1926" s="195"/>
      <c r="AY1926" s="105"/>
      <c r="AZ1926" s="220"/>
      <c r="BA1926" s="241"/>
      <c r="BE1926" s="107"/>
      <c r="BF1926" s="220"/>
    </row>
    <row r="1927" spans="49:58">
      <c r="AW1927" s="107"/>
      <c r="AX1927" s="195"/>
      <c r="AY1927" s="105"/>
      <c r="AZ1927" s="220"/>
      <c r="BA1927" s="241"/>
      <c r="BE1927" s="107"/>
      <c r="BF1927" s="220"/>
    </row>
    <row r="1928" spans="49:58">
      <c r="AW1928" s="107"/>
      <c r="AX1928" s="195"/>
      <c r="AY1928" s="105"/>
      <c r="AZ1928" s="220"/>
      <c r="BA1928" s="241"/>
      <c r="BE1928" s="107"/>
      <c r="BF1928" s="220"/>
    </row>
    <row r="1929" spans="49:58">
      <c r="AW1929" s="107"/>
      <c r="AX1929" s="195"/>
      <c r="AY1929" s="105"/>
      <c r="AZ1929" s="220"/>
      <c r="BA1929" s="241"/>
      <c r="BE1929" s="107"/>
      <c r="BF1929" s="220"/>
    </row>
    <row r="1930" spans="49:58">
      <c r="AW1930" s="107"/>
      <c r="AX1930" s="195"/>
      <c r="AY1930" s="105"/>
      <c r="AZ1930" s="220"/>
      <c r="BA1930" s="241"/>
      <c r="BE1930" s="107"/>
      <c r="BF1930" s="220"/>
    </row>
    <row r="1931" spans="49:58">
      <c r="AW1931" s="107"/>
      <c r="AX1931" s="195"/>
      <c r="AY1931" s="105"/>
      <c r="AZ1931" s="220"/>
      <c r="BA1931" s="241"/>
      <c r="BE1931" s="107"/>
      <c r="BF1931" s="220"/>
    </row>
    <row r="1932" spans="49:58">
      <c r="AW1932" s="107"/>
      <c r="AX1932" s="195"/>
      <c r="AY1932" s="105"/>
      <c r="AZ1932" s="220"/>
      <c r="BA1932" s="241"/>
      <c r="BE1932" s="107"/>
      <c r="BF1932" s="220"/>
    </row>
    <row r="1933" spans="49:58">
      <c r="AW1933" s="107"/>
      <c r="AX1933" s="195"/>
      <c r="AY1933" s="105"/>
      <c r="AZ1933" s="220"/>
      <c r="BA1933" s="241"/>
      <c r="BE1933" s="107"/>
      <c r="BF1933" s="220"/>
    </row>
    <row r="1934" spans="49:58">
      <c r="AW1934" s="107"/>
      <c r="AX1934" s="195"/>
      <c r="AY1934" s="105"/>
      <c r="AZ1934" s="220"/>
      <c r="BA1934" s="241"/>
      <c r="BE1934" s="107"/>
      <c r="BF1934" s="220"/>
    </row>
    <row r="1935" spans="49:58">
      <c r="AW1935" s="107"/>
      <c r="AX1935" s="195"/>
      <c r="AY1935" s="105"/>
      <c r="AZ1935" s="220"/>
      <c r="BA1935" s="241"/>
      <c r="BE1935" s="107"/>
      <c r="BF1935" s="220"/>
    </row>
    <row r="1936" spans="49:58">
      <c r="AW1936" s="107"/>
      <c r="AX1936" s="195"/>
      <c r="AY1936" s="105"/>
      <c r="AZ1936" s="220"/>
      <c r="BA1936" s="241"/>
      <c r="BE1936" s="107"/>
      <c r="BF1936" s="220"/>
    </row>
    <row r="1937" spans="49:58">
      <c r="AW1937" s="107"/>
      <c r="AX1937" s="195"/>
      <c r="AY1937" s="105"/>
      <c r="AZ1937" s="220"/>
      <c r="BA1937" s="241"/>
      <c r="BE1937" s="107"/>
      <c r="BF1937" s="220"/>
    </row>
    <row r="1938" spans="49:58">
      <c r="AW1938" s="107"/>
      <c r="AX1938" s="195"/>
      <c r="AY1938" s="105"/>
      <c r="AZ1938" s="220"/>
      <c r="BA1938" s="241"/>
      <c r="BE1938" s="107"/>
      <c r="BF1938" s="220"/>
    </row>
    <row r="1939" spans="49:58">
      <c r="AW1939" s="107"/>
      <c r="AX1939" s="195"/>
      <c r="AY1939" s="105"/>
      <c r="AZ1939" s="220"/>
      <c r="BA1939" s="241"/>
      <c r="BE1939" s="107"/>
      <c r="BF1939" s="220"/>
    </row>
    <row r="1940" spans="49:58">
      <c r="AW1940" s="107"/>
      <c r="AX1940" s="195"/>
      <c r="AY1940" s="105"/>
      <c r="AZ1940" s="220"/>
      <c r="BA1940" s="241"/>
      <c r="BE1940" s="107"/>
      <c r="BF1940" s="220"/>
    </row>
    <row r="1941" spans="49:58">
      <c r="AW1941" s="107"/>
      <c r="AX1941" s="195"/>
      <c r="AY1941" s="105"/>
      <c r="AZ1941" s="220"/>
      <c r="BA1941" s="241"/>
      <c r="BE1941" s="107"/>
      <c r="BF1941" s="220"/>
    </row>
    <row r="1942" spans="49:58">
      <c r="AW1942" s="107"/>
      <c r="AX1942" s="195"/>
      <c r="AY1942" s="105"/>
      <c r="AZ1942" s="220"/>
      <c r="BA1942" s="241"/>
      <c r="BE1942" s="107"/>
      <c r="BF1942" s="220"/>
    </row>
    <row r="1943" spans="49:58">
      <c r="AW1943" s="107"/>
      <c r="AX1943" s="195"/>
      <c r="AY1943" s="105"/>
      <c r="AZ1943" s="220"/>
      <c r="BA1943" s="241"/>
      <c r="BE1943" s="107"/>
      <c r="BF1943" s="220"/>
    </row>
    <row r="1944" spans="49:58">
      <c r="AW1944" s="107"/>
      <c r="AX1944" s="195"/>
      <c r="AY1944" s="105"/>
      <c r="AZ1944" s="220"/>
      <c r="BA1944" s="241"/>
      <c r="BE1944" s="107"/>
      <c r="BF1944" s="220"/>
    </row>
    <row r="1945" spans="49:58">
      <c r="AW1945" s="107"/>
      <c r="AX1945" s="195"/>
      <c r="AY1945" s="105"/>
      <c r="AZ1945" s="220"/>
      <c r="BA1945" s="241"/>
      <c r="BE1945" s="107"/>
      <c r="BF1945" s="220"/>
    </row>
    <row r="1946" spans="49:58">
      <c r="AW1946" s="107"/>
      <c r="AX1946" s="195"/>
      <c r="AY1946" s="105"/>
      <c r="AZ1946" s="220"/>
      <c r="BA1946" s="241"/>
      <c r="BE1946" s="107"/>
      <c r="BF1946" s="220"/>
    </row>
    <row r="1947" spans="49:58">
      <c r="AW1947" s="107"/>
      <c r="AX1947" s="195"/>
      <c r="AY1947" s="105"/>
      <c r="AZ1947" s="220"/>
      <c r="BA1947" s="241"/>
      <c r="BE1947" s="107"/>
      <c r="BF1947" s="220"/>
    </row>
    <row r="1948" spans="49:58">
      <c r="AW1948" s="107"/>
      <c r="AX1948" s="195"/>
      <c r="AY1948" s="105"/>
      <c r="AZ1948" s="220"/>
      <c r="BA1948" s="241"/>
      <c r="BE1948" s="107"/>
      <c r="BF1948" s="220"/>
    </row>
    <row r="1949" spans="49:58">
      <c r="AW1949" s="107"/>
      <c r="AX1949" s="195"/>
      <c r="AY1949" s="105"/>
      <c r="AZ1949" s="220"/>
      <c r="BA1949" s="241"/>
      <c r="BE1949" s="107"/>
      <c r="BF1949" s="220"/>
    </row>
    <row r="1950" spans="49:58">
      <c r="AW1950" s="107"/>
      <c r="AX1950" s="195"/>
      <c r="AY1950" s="105"/>
      <c r="AZ1950" s="220"/>
      <c r="BA1950" s="241"/>
      <c r="BE1950" s="107"/>
      <c r="BF1950" s="220"/>
    </row>
    <row r="1951" spans="49:58">
      <c r="AW1951" s="107"/>
      <c r="AX1951" s="195"/>
      <c r="AY1951" s="105"/>
      <c r="AZ1951" s="220"/>
      <c r="BA1951" s="241"/>
      <c r="BE1951" s="107"/>
      <c r="BF1951" s="220"/>
    </row>
    <row r="1952" spans="49:58">
      <c r="AW1952" s="107"/>
      <c r="AX1952" s="195"/>
      <c r="AY1952" s="105"/>
      <c r="AZ1952" s="220"/>
      <c r="BA1952" s="241"/>
      <c r="BE1952" s="107"/>
      <c r="BF1952" s="220"/>
    </row>
    <row r="1953" spans="49:58">
      <c r="AW1953" s="107"/>
      <c r="AX1953" s="195"/>
      <c r="AY1953" s="105"/>
      <c r="AZ1953" s="220"/>
      <c r="BA1953" s="241"/>
      <c r="BE1953" s="107"/>
      <c r="BF1953" s="220"/>
    </row>
    <row r="1954" spans="49:58">
      <c r="AW1954" s="107"/>
      <c r="AX1954" s="195"/>
      <c r="AY1954" s="105"/>
      <c r="AZ1954" s="220"/>
      <c r="BA1954" s="241"/>
      <c r="BE1954" s="107"/>
      <c r="BF1954" s="220"/>
    </row>
    <row r="1955" spans="49:58">
      <c r="AW1955" s="107"/>
      <c r="AX1955" s="195"/>
      <c r="AY1955" s="105"/>
      <c r="AZ1955" s="220"/>
      <c r="BA1955" s="241"/>
      <c r="BE1955" s="107"/>
      <c r="BF1955" s="220"/>
    </row>
    <row r="1956" spans="49:58">
      <c r="AW1956" s="107"/>
      <c r="AX1956" s="195"/>
      <c r="AY1956" s="105"/>
      <c r="AZ1956" s="220"/>
      <c r="BA1956" s="241"/>
      <c r="BE1956" s="107"/>
      <c r="BF1956" s="220"/>
    </row>
    <row r="1957" spans="49:58">
      <c r="AW1957" s="107"/>
      <c r="AX1957" s="195"/>
      <c r="AY1957" s="105"/>
      <c r="AZ1957" s="220"/>
      <c r="BA1957" s="241"/>
      <c r="BE1957" s="107"/>
      <c r="BF1957" s="220"/>
    </row>
    <row r="1958" spans="49:58">
      <c r="AW1958" s="107"/>
      <c r="AX1958" s="195"/>
      <c r="AY1958" s="105"/>
      <c r="AZ1958" s="220"/>
      <c r="BA1958" s="241"/>
      <c r="BE1958" s="107"/>
      <c r="BF1958" s="220"/>
    </row>
    <row r="1959" spans="49:58">
      <c r="AW1959" s="107"/>
      <c r="AX1959" s="195"/>
      <c r="AY1959" s="105"/>
      <c r="AZ1959" s="220"/>
      <c r="BA1959" s="241"/>
      <c r="BE1959" s="107"/>
      <c r="BF1959" s="220"/>
    </row>
    <row r="1960" spans="49:58">
      <c r="AW1960" s="107"/>
      <c r="AX1960" s="195"/>
      <c r="AY1960" s="105"/>
      <c r="AZ1960" s="220"/>
      <c r="BA1960" s="241"/>
      <c r="BE1960" s="107"/>
      <c r="BF1960" s="220"/>
    </row>
    <row r="1961" spans="49:58">
      <c r="AW1961" s="107"/>
      <c r="AX1961" s="195"/>
      <c r="AY1961" s="105"/>
      <c r="AZ1961" s="220"/>
      <c r="BA1961" s="241"/>
      <c r="BE1961" s="107"/>
      <c r="BF1961" s="220"/>
    </row>
    <row r="1962" spans="49:58">
      <c r="AW1962" s="107"/>
      <c r="AX1962" s="195"/>
      <c r="AY1962" s="105"/>
      <c r="AZ1962" s="220"/>
      <c r="BA1962" s="241"/>
      <c r="BE1962" s="107"/>
      <c r="BF1962" s="220"/>
    </row>
    <row r="1963" spans="49:58">
      <c r="AW1963" s="107"/>
      <c r="AX1963" s="195"/>
      <c r="AY1963" s="105"/>
      <c r="AZ1963" s="220"/>
      <c r="BA1963" s="241"/>
      <c r="BE1963" s="107"/>
      <c r="BF1963" s="220"/>
    </row>
    <row r="1964" spans="49:58">
      <c r="AW1964" s="107"/>
      <c r="AX1964" s="195"/>
      <c r="AY1964" s="105"/>
      <c r="AZ1964" s="220"/>
      <c r="BA1964" s="241"/>
      <c r="BE1964" s="107"/>
      <c r="BF1964" s="220"/>
    </row>
    <row r="1965" spans="49:58">
      <c r="AW1965" s="107"/>
      <c r="AX1965" s="195"/>
      <c r="AY1965" s="105"/>
      <c r="AZ1965" s="220"/>
      <c r="BA1965" s="241"/>
      <c r="BE1965" s="107"/>
      <c r="BF1965" s="220"/>
    </row>
    <row r="1966" spans="49:58">
      <c r="AW1966" s="107"/>
      <c r="AX1966" s="195"/>
      <c r="AY1966" s="105"/>
      <c r="AZ1966" s="220"/>
      <c r="BA1966" s="241"/>
      <c r="BE1966" s="107"/>
      <c r="BF1966" s="220"/>
    </row>
    <row r="1967" spans="49:58">
      <c r="AW1967" s="107"/>
      <c r="AX1967" s="195"/>
      <c r="AY1967" s="105"/>
      <c r="AZ1967" s="220"/>
      <c r="BA1967" s="241"/>
      <c r="BE1967" s="107"/>
      <c r="BF1967" s="220"/>
    </row>
    <row r="1968" spans="49:58">
      <c r="AW1968" s="107"/>
      <c r="AX1968" s="195"/>
      <c r="AY1968" s="105"/>
      <c r="AZ1968" s="220"/>
      <c r="BA1968" s="241"/>
      <c r="BE1968" s="107"/>
      <c r="BF1968" s="220"/>
    </row>
    <row r="1969" spans="49:58">
      <c r="AW1969" s="107"/>
      <c r="AX1969" s="195"/>
      <c r="AY1969" s="105"/>
      <c r="AZ1969" s="220"/>
      <c r="BA1969" s="241"/>
      <c r="BE1969" s="107"/>
      <c r="BF1969" s="220"/>
    </row>
    <row r="1970" spans="49:58">
      <c r="AW1970" s="107"/>
      <c r="AX1970" s="195"/>
      <c r="AY1970" s="105"/>
      <c r="AZ1970" s="220"/>
      <c r="BA1970" s="241"/>
      <c r="BE1970" s="107"/>
      <c r="BF1970" s="220"/>
    </row>
    <row r="1971" spans="49:58">
      <c r="AW1971" s="107"/>
      <c r="AX1971" s="195"/>
      <c r="AY1971" s="105"/>
      <c r="AZ1971" s="220"/>
      <c r="BA1971" s="241"/>
      <c r="BE1971" s="107"/>
      <c r="BF1971" s="220"/>
    </row>
    <row r="1972" spans="49:58">
      <c r="AW1972" s="107"/>
      <c r="AX1972" s="195"/>
      <c r="AY1972" s="105"/>
      <c r="AZ1972" s="220"/>
      <c r="BA1972" s="241"/>
      <c r="BE1972" s="107"/>
      <c r="BF1972" s="220"/>
    </row>
    <row r="1973" spans="49:58">
      <c r="AW1973" s="107"/>
      <c r="AX1973" s="195"/>
      <c r="AY1973" s="105"/>
      <c r="AZ1973" s="220"/>
      <c r="BA1973" s="241"/>
      <c r="BE1973" s="107"/>
      <c r="BF1973" s="220"/>
    </row>
    <row r="1974" spans="49:58">
      <c r="AW1974" s="107"/>
      <c r="AX1974" s="195"/>
      <c r="AY1974" s="105"/>
      <c r="AZ1974" s="220"/>
      <c r="BA1974" s="241"/>
      <c r="BE1974" s="107"/>
      <c r="BF1974" s="220"/>
    </row>
    <row r="1975" spans="49:58">
      <c r="AW1975" s="107"/>
      <c r="AX1975" s="195"/>
      <c r="AY1975" s="105"/>
      <c r="AZ1975" s="220"/>
      <c r="BA1975" s="241"/>
      <c r="BE1975" s="107"/>
      <c r="BF1975" s="220"/>
    </row>
    <row r="1976" spans="49:58">
      <c r="AW1976" s="107"/>
      <c r="AX1976" s="195"/>
      <c r="AY1976" s="105"/>
      <c r="AZ1976" s="220"/>
      <c r="BA1976" s="241"/>
      <c r="BE1976" s="107"/>
      <c r="BF1976" s="220"/>
    </row>
    <row r="1977" spans="49:58">
      <c r="AW1977" s="107"/>
      <c r="AX1977" s="195"/>
      <c r="AY1977" s="105"/>
      <c r="AZ1977" s="220"/>
      <c r="BA1977" s="241"/>
      <c r="BE1977" s="107"/>
      <c r="BF1977" s="220"/>
    </row>
    <row r="1978" spans="49:58">
      <c r="AW1978" s="107"/>
      <c r="AX1978" s="195"/>
      <c r="AY1978" s="105"/>
      <c r="AZ1978" s="220"/>
      <c r="BA1978" s="241"/>
      <c r="BE1978" s="107"/>
      <c r="BF1978" s="220"/>
    </row>
    <row r="1979" spans="49:58">
      <c r="AW1979" s="107"/>
      <c r="AX1979" s="195"/>
      <c r="AY1979" s="105"/>
      <c r="AZ1979" s="220"/>
      <c r="BA1979" s="241"/>
      <c r="BE1979" s="107"/>
      <c r="BF1979" s="220"/>
    </row>
    <row r="1980" spans="49:58">
      <c r="AW1980" s="107"/>
      <c r="AX1980" s="195"/>
      <c r="AY1980" s="105"/>
      <c r="AZ1980" s="220"/>
      <c r="BA1980" s="241"/>
      <c r="BE1980" s="107"/>
      <c r="BF1980" s="220"/>
    </row>
    <row r="1981" spans="49:58">
      <c r="AW1981" s="107"/>
      <c r="AX1981" s="195"/>
      <c r="AY1981" s="105"/>
      <c r="AZ1981" s="220"/>
      <c r="BA1981" s="241"/>
      <c r="BE1981" s="107"/>
      <c r="BF1981" s="220"/>
    </row>
    <row r="1982" spans="49:58">
      <c r="AW1982" s="107"/>
      <c r="AX1982" s="195"/>
      <c r="AY1982" s="105"/>
      <c r="AZ1982" s="220"/>
      <c r="BA1982" s="241"/>
      <c r="BE1982" s="107"/>
      <c r="BF1982" s="220"/>
    </row>
    <row r="1983" spans="49:58">
      <c r="AW1983" s="107"/>
      <c r="AX1983" s="195"/>
      <c r="AY1983" s="105"/>
      <c r="AZ1983" s="220"/>
      <c r="BA1983" s="241"/>
      <c r="BE1983" s="107"/>
      <c r="BF1983" s="220"/>
    </row>
    <row r="1984" spans="49:58">
      <c r="AW1984" s="107"/>
      <c r="AX1984" s="195"/>
      <c r="AY1984" s="105"/>
      <c r="AZ1984" s="220"/>
      <c r="BA1984" s="241"/>
      <c r="BE1984" s="107"/>
      <c r="BF1984" s="220"/>
    </row>
    <row r="1985" spans="49:58">
      <c r="AW1985" s="107"/>
      <c r="AX1985" s="195"/>
      <c r="AY1985" s="105"/>
      <c r="AZ1985" s="220"/>
      <c r="BA1985" s="241"/>
      <c r="BE1985" s="107"/>
      <c r="BF1985" s="220"/>
    </row>
    <row r="1986" spans="49:58">
      <c r="AW1986" s="107"/>
      <c r="AX1986" s="195"/>
      <c r="AY1986" s="105"/>
      <c r="AZ1986" s="220"/>
      <c r="BA1986" s="241"/>
      <c r="BE1986" s="107"/>
      <c r="BF1986" s="220"/>
    </row>
    <row r="1987" spans="49:58">
      <c r="AW1987" s="107"/>
      <c r="AX1987" s="195"/>
      <c r="AY1987" s="105"/>
      <c r="AZ1987" s="220"/>
      <c r="BA1987" s="241"/>
      <c r="BE1987" s="107"/>
      <c r="BF1987" s="220"/>
    </row>
    <row r="1988" spans="49:58">
      <c r="AW1988" s="107"/>
      <c r="AX1988" s="195"/>
      <c r="AY1988" s="105"/>
      <c r="AZ1988" s="220"/>
      <c r="BA1988" s="241"/>
      <c r="BE1988" s="107"/>
      <c r="BF1988" s="220"/>
    </row>
    <row r="1989" spans="49:58">
      <c r="AW1989" s="107"/>
      <c r="AX1989" s="195"/>
      <c r="AY1989" s="105"/>
      <c r="AZ1989" s="220"/>
      <c r="BA1989" s="241"/>
      <c r="BE1989" s="107"/>
      <c r="BF1989" s="220"/>
    </row>
    <row r="1990" spans="49:58">
      <c r="AW1990" s="107"/>
      <c r="AX1990" s="195"/>
      <c r="AY1990" s="105"/>
      <c r="AZ1990" s="220"/>
      <c r="BA1990" s="241"/>
      <c r="BE1990" s="107"/>
      <c r="BF1990" s="220"/>
    </row>
    <row r="1991" spans="49:58">
      <c r="AW1991" s="107"/>
      <c r="AX1991" s="195"/>
      <c r="AY1991" s="105"/>
      <c r="AZ1991" s="220"/>
      <c r="BA1991" s="241"/>
      <c r="BE1991" s="107"/>
      <c r="BF1991" s="220"/>
    </row>
    <row r="1992" spans="49:58">
      <c r="AW1992" s="107"/>
      <c r="AX1992" s="195"/>
      <c r="AY1992" s="105"/>
      <c r="AZ1992" s="220"/>
      <c r="BA1992" s="241"/>
      <c r="BE1992" s="107"/>
      <c r="BF1992" s="220"/>
    </row>
    <row r="1993" spans="49:58">
      <c r="AW1993" s="107"/>
      <c r="AX1993" s="195"/>
      <c r="AY1993" s="105"/>
      <c r="AZ1993" s="220"/>
      <c r="BA1993" s="241"/>
      <c r="BE1993" s="107"/>
      <c r="BF1993" s="220"/>
    </row>
    <row r="1994" spans="49:58">
      <c r="AW1994" s="107"/>
      <c r="AX1994" s="195"/>
      <c r="AY1994" s="105"/>
      <c r="AZ1994" s="220"/>
      <c r="BA1994" s="241"/>
      <c r="BE1994" s="107"/>
      <c r="BF1994" s="220"/>
    </row>
    <row r="1995" spans="49:58">
      <c r="AW1995" s="107"/>
      <c r="AX1995" s="195"/>
      <c r="AY1995" s="105"/>
      <c r="AZ1995" s="220"/>
      <c r="BA1995" s="241"/>
      <c r="BE1995" s="107"/>
      <c r="BF1995" s="220"/>
    </row>
    <row r="1996" spans="49:58">
      <c r="AW1996" s="107"/>
      <c r="AX1996" s="195"/>
      <c r="AY1996" s="105"/>
      <c r="AZ1996" s="220"/>
      <c r="BA1996" s="241"/>
      <c r="BE1996" s="107"/>
      <c r="BF1996" s="220"/>
    </row>
    <row r="1997" spans="49:58">
      <c r="AW1997" s="107"/>
      <c r="AX1997" s="195"/>
      <c r="AY1997" s="105"/>
      <c r="AZ1997" s="220"/>
      <c r="BA1997" s="241"/>
      <c r="BE1997" s="107"/>
      <c r="BF1997" s="220"/>
    </row>
    <row r="1998" spans="49:58">
      <c r="AW1998" s="107"/>
      <c r="AX1998" s="195"/>
      <c r="AY1998" s="105"/>
      <c r="AZ1998" s="220"/>
      <c r="BA1998" s="241"/>
      <c r="BE1998" s="107"/>
      <c r="BF1998" s="220"/>
    </row>
    <row r="1999" spans="49:58">
      <c r="AW1999" s="107"/>
      <c r="AX1999" s="195"/>
      <c r="AY1999" s="105"/>
      <c r="AZ1999" s="220"/>
      <c r="BA1999" s="241"/>
      <c r="BE1999" s="107"/>
      <c r="BF1999" s="220"/>
    </row>
    <row r="2000" spans="49:58">
      <c r="AW2000" s="107"/>
      <c r="AX2000" s="195"/>
      <c r="AY2000" s="105"/>
      <c r="AZ2000" s="220"/>
      <c r="BA2000" s="241"/>
      <c r="BE2000" s="107"/>
      <c r="BF2000" s="220"/>
    </row>
    <row r="2001" spans="49:58">
      <c r="AW2001" s="107"/>
      <c r="AX2001" s="195"/>
      <c r="AY2001" s="105"/>
      <c r="AZ2001" s="220"/>
      <c r="BA2001" s="241"/>
      <c r="BE2001" s="107"/>
      <c r="BF2001" s="220"/>
    </row>
    <row r="2002" spans="49:58">
      <c r="AW2002" s="107"/>
      <c r="AX2002" s="195"/>
      <c r="AY2002" s="105"/>
      <c r="AZ2002" s="220"/>
      <c r="BA2002" s="241"/>
      <c r="BE2002" s="107"/>
      <c r="BF2002" s="220"/>
    </row>
    <row r="2003" spans="49:58">
      <c r="AW2003" s="107"/>
      <c r="AX2003" s="195"/>
      <c r="AY2003" s="105"/>
      <c r="AZ2003" s="220"/>
      <c r="BA2003" s="241"/>
      <c r="BE2003" s="107"/>
      <c r="BF2003" s="220"/>
    </row>
    <row r="2004" spans="49:58">
      <c r="AW2004" s="107"/>
      <c r="AX2004" s="195"/>
      <c r="AY2004" s="105"/>
      <c r="AZ2004" s="220"/>
      <c r="BA2004" s="241"/>
      <c r="BE2004" s="107"/>
      <c r="BF2004" s="220"/>
    </row>
    <row r="2005" spans="49:58">
      <c r="AW2005" s="107"/>
      <c r="AX2005" s="195"/>
      <c r="AY2005" s="105"/>
      <c r="AZ2005" s="220"/>
      <c r="BA2005" s="241"/>
      <c r="BE2005" s="107"/>
      <c r="BF2005" s="220"/>
    </row>
    <row r="2006" spans="49:58">
      <c r="AW2006" s="107"/>
      <c r="AX2006" s="195"/>
      <c r="AY2006" s="105"/>
      <c r="AZ2006" s="220"/>
      <c r="BA2006" s="241"/>
      <c r="BE2006" s="107"/>
      <c r="BF2006" s="220"/>
    </row>
    <row r="2007" spans="49:58">
      <c r="AW2007" s="107"/>
      <c r="AX2007" s="195"/>
      <c r="AY2007" s="105"/>
      <c r="AZ2007" s="220"/>
      <c r="BA2007" s="241"/>
      <c r="BE2007" s="107"/>
      <c r="BF2007" s="220"/>
    </row>
    <row r="2008" spans="49:58">
      <c r="AW2008" s="107"/>
      <c r="AX2008" s="195"/>
      <c r="AY2008" s="105"/>
      <c r="AZ2008" s="220"/>
      <c r="BA2008" s="241"/>
      <c r="BE2008" s="107"/>
      <c r="BF2008" s="220"/>
    </row>
    <row r="2009" spans="49:58">
      <c r="AW2009" s="107"/>
      <c r="AX2009" s="195"/>
      <c r="AY2009" s="105"/>
      <c r="AZ2009" s="220"/>
      <c r="BA2009" s="241"/>
      <c r="BE2009" s="107"/>
      <c r="BF2009" s="220"/>
    </row>
    <row r="2010" spans="49:58">
      <c r="AW2010" s="107"/>
      <c r="AX2010" s="195"/>
      <c r="AY2010" s="105"/>
      <c r="AZ2010" s="220"/>
      <c r="BA2010" s="241"/>
      <c r="BE2010" s="107"/>
      <c r="BF2010" s="220"/>
    </row>
    <row r="2011" spans="49:58">
      <c r="AW2011" s="107"/>
      <c r="AX2011" s="195"/>
      <c r="AY2011" s="105"/>
      <c r="AZ2011" s="220"/>
      <c r="BA2011" s="241"/>
      <c r="BE2011" s="107"/>
      <c r="BF2011" s="220"/>
    </row>
    <row r="2012" spans="49:58">
      <c r="AW2012" s="107"/>
      <c r="AX2012" s="195"/>
      <c r="AY2012" s="105"/>
      <c r="AZ2012" s="220"/>
      <c r="BA2012" s="241"/>
      <c r="BE2012" s="107"/>
      <c r="BF2012" s="220"/>
    </row>
    <row r="2013" spans="49:58">
      <c r="AW2013" s="107"/>
      <c r="AX2013" s="195"/>
      <c r="AY2013" s="105"/>
      <c r="AZ2013" s="220"/>
      <c r="BA2013" s="241"/>
      <c r="BE2013" s="107"/>
      <c r="BF2013" s="220"/>
    </row>
    <row r="2014" spans="49:58">
      <c r="AW2014" s="107"/>
      <c r="AX2014" s="195"/>
      <c r="AY2014" s="105"/>
      <c r="AZ2014" s="220"/>
      <c r="BA2014" s="241"/>
      <c r="BE2014" s="107"/>
      <c r="BF2014" s="220"/>
    </row>
    <row r="2015" spans="49:58">
      <c r="AW2015" s="107"/>
      <c r="AX2015" s="195"/>
      <c r="AY2015" s="105"/>
      <c r="AZ2015" s="220"/>
      <c r="BA2015" s="241"/>
      <c r="BE2015" s="107"/>
      <c r="BF2015" s="220"/>
    </row>
    <row r="2016" spans="49:58">
      <c r="AW2016" s="107"/>
      <c r="AX2016" s="195"/>
      <c r="AY2016" s="105"/>
      <c r="AZ2016" s="220"/>
      <c r="BA2016" s="241"/>
      <c r="BE2016" s="107"/>
      <c r="BF2016" s="220"/>
    </row>
    <row r="2017" spans="49:58">
      <c r="AW2017" s="107"/>
      <c r="AX2017" s="195"/>
      <c r="AY2017" s="105"/>
      <c r="AZ2017" s="220"/>
      <c r="BA2017" s="241"/>
      <c r="BE2017" s="107"/>
      <c r="BF2017" s="220"/>
    </row>
    <row r="2018" spans="49:58">
      <c r="AW2018" s="107"/>
      <c r="AX2018" s="195"/>
      <c r="AY2018" s="105"/>
      <c r="AZ2018" s="220"/>
      <c r="BA2018" s="241"/>
      <c r="BE2018" s="107"/>
      <c r="BF2018" s="220"/>
    </row>
    <row r="2019" spans="49:58">
      <c r="AW2019" s="107"/>
      <c r="AX2019" s="195"/>
      <c r="AY2019" s="105"/>
      <c r="AZ2019" s="220"/>
      <c r="BA2019" s="241"/>
      <c r="BE2019" s="107"/>
      <c r="BF2019" s="220"/>
    </row>
    <row r="2020" spans="49:58">
      <c r="AW2020" s="107"/>
      <c r="AX2020" s="195"/>
      <c r="AY2020" s="105"/>
      <c r="AZ2020" s="220"/>
      <c r="BA2020" s="241"/>
      <c r="BE2020" s="107"/>
      <c r="BF2020" s="220"/>
    </row>
    <row r="2021" spans="49:58">
      <c r="AW2021" s="107"/>
      <c r="AX2021" s="195"/>
      <c r="AY2021" s="105"/>
      <c r="AZ2021" s="220"/>
      <c r="BA2021" s="241"/>
      <c r="BE2021" s="107"/>
      <c r="BF2021" s="220"/>
    </row>
    <row r="2022" spans="49:58">
      <c r="AW2022" s="107"/>
      <c r="AX2022" s="195"/>
      <c r="AY2022" s="105"/>
      <c r="AZ2022" s="220"/>
      <c r="BA2022" s="241"/>
      <c r="BE2022" s="107"/>
      <c r="BF2022" s="220"/>
    </row>
    <row r="2023" spans="49:58">
      <c r="AW2023" s="107"/>
      <c r="AX2023" s="195"/>
      <c r="AY2023" s="105"/>
      <c r="AZ2023" s="220"/>
      <c r="BA2023" s="241"/>
      <c r="BE2023" s="107"/>
      <c r="BF2023" s="220"/>
    </row>
    <row r="2024" spans="49:58">
      <c r="AW2024" s="107"/>
      <c r="AX2024" s="195"/>
      <c r="AY2024" s="105"/>
      <c r="AZ2024" s="220"/>
      <c r="BA2024" s="241"/>
      <c r="BE2024" s="107"/>
      <c r="BF2024" s="220"/>
    </row>
    <row r="2025" spans="49:58">
      <c r="AW2025" s="107"/>
      <c r="AX2025" s="195"/>
      <c r="AY2025" s="105"/>
      <c r="AZ2025" s="220"/>
      <c r="BA2025" s="241"/>
      <c r="BE2025" s="107"/>
      <c r="BF2025" s="220"/>
    </row>
    <row r="2026" spans="49:58">
      <c r="AW2026" s="107"/>
      <c r="AX2026" s="195"/>
      <c r="AY2026" s="105"/>
      <c r="AZ2026" s="220"/>
      <c r="BA2026" s="241"/>
      <c r="BE2026" s="107"/>
      <c r="BF2026" s="220"/>
    </row>
    <row r="2027" spans="49:58">
      <c r="AW2027" s="107"/>
      <c r="AX2027" s="195"/>
      <c r="AY2027" s="105"/>
      <c r="AZ2027" s="220"/>
      <c r="BA2027" s="241"/>
      <c r="BE2027" s="107"/>
      <c r="BF2027" s="220"/>
    </row>
    <row r="2028" spans="49:58">
      <c r="AW2028" s="107"/>
      <c r="AX2028" s="195"/>
      <c r="AY2028" s="105"/>
      <c r="AZ2028" s="220"/>
      <c r="BA2028" s="241"/>
      <c r="BE2028" s="107"/>
      <c r="BF2028" s="220"/>
    </row>
    <row r="2029" spans="49:58">
      <c r="AW2029" s="107"/>
      <c r="AX2029" s="195"/>
      <c r="AY2029" s="105"/>
      <c r="AZ2029" s="220"/>
      <c r="BA2029" s="241"/>
      <c r="BE2029" s="107"/>
      <c r="BF2029" s="220"/>
    </row>
    <row r="2030" spans="49:58">
      <c r="AW2030" s="107"/>
      <c r="AX2030" s="195"/>
      <c r="AY2030" s="105"/>
      <c r="AZ2030" s="220"/>
      <c r="BA2030" s="241"/>
      <c r="BE2030" s="107"/>
      <c r="BF2030" s="220"/>
    </row>
    <row r="2031" spans="49:58">
      <c r="AW2031" s="107"/>
      <c r="AX2031" s="195"/>
      <c r="AY2031" s="105"/>
      <c r="AZ2031" s="220"/>
      <c r="BA2031" s="241"/>
      <c r="BE2031" s="107"/>
      <c r="BF2031" s="220"/>
    </row>
    <row r="2032" spans="49:58">
      <c r="AW2032" s="107"/>
      <c r="AX2032" s="195"/>
      <c r="AY2032" s="105"/>
      <c r="AZ2032" s="220"/>
      <c r="BA2032" s="241"/>
      <c r="BE2032" s="107"/>
      <c r="BF2032" s="220"/>
    </row>
    <row r="2033" spans="49:58">
      <c r="AW2033" s="107"/>
      <c r="AX2033" s="195"/>
      <c r="AY2033" s="105"/>
      <c r="AZ2033" s="220"/>
      <c r="BA2033" s="241"/>
      <c r="BE2033" s="107"/>
      <c r="BF2033" s="220"/>
    </row>
    <row r="2034" spans="49:58">
      <c r="AW2034" s="107"/>
      <c r="AX2034" s="195"/>
      <c r="AY2034" s="105"/>
      <c r="AZ2034" s="220"/>
      <c r="BA2034" s="241"/>
      <c r="BE2034" s="107"/>
      <c r="BF2034" s="220"/>
    </row>
    <row r="2035" spans="49:58">
      <c r="AW2035" s="107"/>
      <c r="AX2035" s="195"/>
      <c r="AY2035" s="105"/>
      <c r="AZ2035" s="220"/>
      <c r="BA2035" s="241"/>
      <c r="BE2035" s="107"/>
      <c r="BF2035" s="220"/>
    </row>
    <row r="2036" spans="49:58">
      <c r="AW2036" s="107"/>
      <c r="AX2036" s="195"/>
      <c r="AY2036" s="105"/>
      <c r="AZ2036" s="220"/>
      <c r="BA2036" s="241"/>
      <c r="BE2036" s="107"/>
      <c r="BF2036" s="220"/>
    </row>
    <row r="2037" spans="49:58">
      <c r="AW2037" s="107"/>
      <c r="AX2037" s="195"/>
      <c r="AY2037" s="105"/>
      <c r="AZ2037" s="220"/>
      <c r="BA2037" s="241"/>
      <c r="BE2037" s="107"/>
      <c r="BF2037" s="220"/>
    </row>
    <row r="2038" spans="49:58">
      <c r="AW2038" s="107"/>
      <c r="AX2038" s="195"/>
      <c r="AY2038" s="105"/>
      <c r="AZ2038" s="220"/>
      <c r="BA2038" s="241"/>
      <c r="BE2038" s="107"/>
      <c r="BF2038" s="220"/>
    </row>
    <row r="2039" spans="49:58">
      <c r="AW2039" s="107"/>
      <c r="AX2039" s="195"/>
      <c r="AY2039" s="105"/>
      <c r="AZ2039" s="220"/>
      <c r="BA2039" s="241"/>
      <c r="BE2039" s="107"/>
      <c r="BF2039" s="220"/>
    </row>
    <row r="2040" spans="49:58">
      <c r="AW2040" s="107"/>
      <c r="AX2040" s="195"/>
      <c r="AY2040" s="105"/>
      <c r="AZ2040" s="220"/>
      <c r="BA2040" s="241"/>
      <c r="BE2040" s="107"/>
      <c r="BF2040" s="220"/>
    </row>
    <row r="2041" spans="49:58">
      <c r="AW2041" s="107"/>
      <c r="AX2041" s="195"/>
      <c r="AY2041" s="105"/>
      <c r="AZ2041" s="220"/>
      <c r="BA2041" s="241"/>
      <c r="BE2041" s="107"/>
      <c r="BF2041" s="220"/>
    </row>
    <row r="2042" spans="49:58">
      <c r="AW2042" s="107"/>
      <c r="AX2042" s="195"/>
      <c r="AY2042" s="105"/>
      <c r="AZ2042" s="220"/>
      <c r="BA2042" s="241"/>
      <c r="BE2042" s="107"/>
      <c r="BF2042" s="220"/>
    </row>
    <row r="2043" spans="49:58">
      <c r="AW2043" s="107"/>
      <c r="AX2043" s="195"/>
      <c r="AY2043" s="105"/>
      <c r="AZ2043" s="220"/>
      <c r="BA2043" s="241"/>
      <c r="BE2043" s="107"/>
      <c r="BF2043" s="220"/>
    </row>
    <row r="2044" spans="49:58">
      <c r="AW2044" s="107"/>
      <c r="AX2044" s="195"/>
      <c r="AY2044" s="105"/>
      <c r="AZ2044" s="220"/>
      <c r="BA2044" s="241"/>
      <c r="BE2044" s="107"/>
      <c r="BF2044" s="220"/>
    </row>
    <row r="2045" spans="49:58">
      <c r="AW2045" s="107"/>
      <c r="AX2045" s="195"/>
      <c r="AY2045" s="105"/>
      <c r="AZ2045" s="220"/>
      <c r="BA2045" s="241"/>
      <c r="BE2045" s="107"/>
      <c r="BF2045" s="220"/>
    </row>
    <row r="2046" spans="49:58">
      <c r="AW2046" s="107"/>
      <c r="AX2046" s="195"/>
      <c r="AY2046" s="105"/>
      <c r="AZ2046" s="220"/>
      <c r="BA2046" s="241"/>
      <c r="BE2046" s="107"/>
      <c r="BF2046" s="220"/>
    </row>
    <row r="2047" spans="49:58">
      <c r="AW2047" s="107"/>
      <c r="AX2047" s="195"/>
      <c r="AY2047" s="105"/>
      <c r="AZ2047" s="220"/>
      <c r="BA2047" s="241"/>
      <c r="BE2047" s="107"/>
      <c r="BF2047" s="220"/>
    </row>
    <row r="2048" spans="49:58">
      <c r="AW2048" s="107"/>
      <c r="AX2048" s="195"/>
      <c r="AY2048" s="105"/>
      <c r="AZ2048" s="220"/>
      <c r="BA2048" s="241"/>
      <c r="BE2048" s="107"/>
      <c r="BF2048" s="220"/>
    </row>
    <row r="2049" spans="49:58">
      <c r="AW2049" s="107"/>
      <c r="AX2049" s="195"/>
      <c r="AY2049" s="105"/>
      <c r="AZ2049" s="220"/>
      <c r="BA2049" s="241"/>
      <c r="BE2049" s="107"/>
      <c r="BF2049" s="220"/>
    </row>
    <row r="2050" spans="49:58">
      <c r="AW2050" s="107"/>
      <c r="AX2050" s="195"/>
      <c r="AY2050" s="105"/>
      <c r="AZ2050" s="220"/>
      <c r="BA2050" s="241"/>
      <c r="BE2050" s="107"/>
      <c r="BF2050" s="220"/>
    </row>
    <row r="2051" spans="49:58">
      <c r="AW2051" s="107"/>
      <c r="AX2051" s="195"/>
      <c r="AY2051" s="105"/>
      <c r="AZ2051" s="220"/>
      <c r="BA2051" s="241"/>
      <c r="BE2051" s="107"/>
      <c r="BF2051" s="220"/>
    </row>
    <row r="2052" spans="49:58">
      <c r="AW2052" s="107"/>
      <c r="AX2052" s="195"/>
      <c r="AY2052" s="105"/>
      <c r="AZ2052" s="220"/>
      <c r="BA2052" s="241"/>
      <c r="BE2052" s="107"/>
      <c r="BF2052" s="220"/>
    </row>
    <row r="2053" spans="49:58">
      <c r="AW2053" s="107"/>
      <c r="AX2053" s="195"/>
      <c r="AY2053" s="105"/>
      <c r="AZ2053" s="220"/>
      <c r="BA2053" s="241"/>
      <c r="BE2053" s="107"/>
      <c r="BF2053" s="220"/>
    </row>
    <row r="2054" spans="49:58">
      <c r="AW2054" s="107"/>
      <c r="AX2054" s="195"/>
      <c r="AY2054" s="105"/>
      <c r="AZ2054" s="220"/>
      <c r="BA2054" s="241"/>
      <c r="BE2054" s="107"/>
      <c r="BF2054" s="220"/>
    </row>
    <row r="2055" spans="49:58">
      <c r="AW2055" s="107"/>
      <c r="AX2055" s="195"/>
      <c r="AY2055" s="105"/>
      <c r="AZ2055" s="220"/>
      <c r="BA2055" s="241"/>
      <c r="BE2055" s="107"/>
      <c r="BF2055" s="220"/>
    </row>
    <row r="2056" spans="49:58">
      <c r="AW2056" s="107"/>
      <c r="AX2056" s="195"/>
      <c r="AY2056" s="105"/>
      <c r="AZ2056" s="220"/>
      <c r="BA2056" s="241"/>
      <c r="BE2056" s="107"/>
      <c r="BF2056" s="220"/>
    </row>
    <row r="2057" spans="49:58">
      <c r="AW2057" s="107"/>
      <c r="AX2057" s="195"/>
      <c r="AY2057" s="105"/>
      <c r="AZ2057" s="220"/>
      <c r="BA2057" s="241"/>
      <c r="BE2057" s="107"/>
      <c r="BF2057" s="220"/>
    </row>
    <row r="2058" spans="49:58">
      <c r="AW2058" s="107"/>
      <c r="AX2058" s="195"/>
      <c r="AY2058" s="105"/>
      <c r="AZ2058" s="220"/>
      <c r="BA2058" s="241"/>
      <c r="BE2058" s="107"/>
      <c r="BF2058" s="220"/>
    </row>
    <row r="2059" spans="49:58">
      <c r="AW2059" s="107"/>
      <c r="AX2059" s="195"/>
      <c r="AY2059" s="105"/>
      <c r="AZ2059" s="220"/>
      <c r="BA2059" s="241"/>
      <c r="BE2059" s="107"/>
      <c r="BF2059" s="220"/>
    </row>
    <row r="2060" spans="49:58">
      <c r="AW2060" s="107"/>
      <c r="AX2060" s="195"/>
      <c r="AY2060" s="105"/>
      <c r="AZ2060" s="220"/>
      <c r="BA2060" s="241"/>
      <c r="BE2060" s="107"/>
      <c r="BF2060" s="220"/>
    </row>
    <row r="2061" spans="49:58">
      <c r="AW2061" s="107"/>
      <c r="AX2061" s="195"/>
      <c r="AY2061" s="105"/>
      <c r="AZ2061" s="220"/>
      <c r="BA2061" s="241"/>
      <c r="BE2061" s="107"/>
      <c r="BF2061" s="220"/>
    </row>
    <row r="2062" spans="49:58">
      <c r="AW2062" s="107"/>
      <c r="AX2062" s="195"/>
      <c r="AY2062" s="105"/>
      <c r="AZ2062" s="220"/>
      <c r="BA2062" s="241"/>
      <c r="BE2062" s="107"/>
      <c r="BF2062" s="220"/>
    </row>
    <row r="2063" spans="49:58">
      <c r="AW2063" s="107"/>
      <c r="AX2063" s="195"/>
      <c r="AY2063" s="105"/>
      <c r="AZ2063" s="220"/>
      <c r="BA2063" s="241"/>
      <c r="BE2063" s="107"/>
      <c r="BF2063" s="220"/>
    </row>
    <row r="2064" spans="49:58">
      <c r="AW2064" s="107"/>
      <c r="AX2064" s="195"/>
      <c r="AY2064" s="105"/>
      <c r="AZ2064" s="220"/>
      <c r="BA2064" s="241"/>
      <c r="BE2064" s="107"/>
      <c r="BF2064" s="220"/>
    </row>
    <row r="2065" spans="49:58">
      <c r="AW2065" s="107"/>
      <c r="AX2065" s="195"/>
      <c r="AY2065" s="105"/>
      <c r="AZ2065" s="220"/>
      <c r="BA2065" s="241"/>
      <c r="BE2065" s="107"/>
      <c r="BF2065" s="220"/>
    </row>
    <row r="2066" spans="49:58">
      <c r="AW2066" s="107"/>
      <c r="AX2066" s="195"/>
      <c r="AY2066" s="105"/>
      <c r="AZ2066" s="220"/>
      <c r="BA2066" s="241"/>
      <c r="BE2066" s="107"/>
      <c r="BF2066" s="220"/>
    </row>
    <row r="2067" spans="49:58">
      <c r="AW2067" s="107"/>
      <c r="AX2067" s="195"/>
      <c r="AY2067" s="105"/>
      <c r="AZ2067" s="220"/>
      <c r="BA2067" s="241"/>
      <c r="BE2067" s="107"/>
      <c r="BF2067" s="220"/>
    </row>
    <row r="2068" spans="49:58">
      <c r="AW2068" s="107"/>
      <c r="AX2068" s="195"/>
      <c r="AY2068" s="105"/>
      <c r="AZ2068" s="220"/>
      <c r="BA2068" s="241"/>
      <c r="BE2068" s="107"/>
      <c r="BF2068" s="220"/>
    </row>
    <row r="2069" spans="49:58">
      <c r="AW2069" s="107"/>
      <c r="AX2069" s="195"/>
      <c r="AY2069" s="105"/>
      <c r="AZ2069" s="220"/>
      <c r="BA2069" s="241"/>
      <c r="BE2069" s="107"/>
      <c r="BF2069" s="220"/>
    </row>
    <row r="2070" spans="49:58">
      <c r="AW2070" s="107"/>
      <c r="AX2070" s="195"/>
      <c r="AY2070" s="105"/>
      <c r="AZ2070" s="220"/>
      <c r="BA2070" s="241"/>
      <c r="BE2070" s="107"/>
      <c r="BF2070" s="220"/>
    </row>
    <row r="2071" spans="49:58">
      <c r="AW2071" s="107"/>
      <c r="AX2071" s="195"/>
      <c r="AY2071" s="105"/>
      <c r="AZ2071" s="220"/>
      <c r="BA2071" s="241"/>
      <c r="BE2071" s="107"/>
      <c r="BF2071" s="220"/>
    </row>
    <row r="2072" spans="49:58">
      <c r="AW2072" s="107"/>
      <c r="AX2072" s="195"/>
      <c r="AY2072" s="105"/>
      <c r="AZ2072" s="220"/>
      <c r="BA2072" s="241"/>
      <c r="BE2072" s="107"/>
      <c r="BF2072" s="220"/>
    </row>
    <row r="2073" spans="49:58">
      <c r="AW2073" s="107"/>
      <c r="AX2073" s="195"/>
      <c r="AY2073" s="105"/>
      <c r="AZ2073" s="220"/>
      <c r="BA2073" s="241"/>
      <c r="BE2073" s="107"/>
      <c r="BF2073" s="220"/>
    </row>
    <row r="2074" spans="49:58">
      <c r="AW2074" s="107"/>
      <c r="AX2074" s="195"/>
      <c r="AY2074" s="105"/>
      <c r="AZ2074" s="220"/>
      <c r="BA2074" s="241"/>
      <c r="BE2074" s="107"/>
      <c r="BF2074" s="220"/>
    </row>
    <row r="2075" spans="49:58">
      <c r="AW2075" s="107"/>
      <c r="AX2075" s="195"/>
      <c r="AY2075" s="105"/>
      <c r="AZ2075" s="220"/>
      <c r="BA2075" s="241"/>
      <c r="BE2075" s="107"/>
      <c r="BF2075" s="220"/>
    </row>
    <row r="2076" spans="49:58">
      <c r="AW2076" s="107"/>
      <c r="AX2076" s="195"/>
      <c r="AY2076" s="105"/>
      <c r="AZ2076" s="220"/>
      <c r="BA2076" s="241"/>
      <c r="BE2076" s="107"/>
      <c r="BF2076" s="220"/>
    </row>
    <row r="2077" spans="49:58">
      <c r="AW2077" s="107"/>
      <c r="AX2077" s="195"/>
      <c r="AY2077" s="105"/>
      <c r="AZ2077" s="220"/>
      <c r="BA2077" s="241"/>
      <c r="BE2077" s="107"/>
      <c r="BF2077" s="220"/>
    </row>
    <row r="2078" spans="49:58">
      <c r="AW2078" s="107"/>
      <c r="AX2078" s="195"/>
      <c r="AY2078" s="105"/>
      <c r="AZ2078" s="220"/>
      <c r="BA2078" s="241"/>
      <c r="BE2078" s="107"/>
      <c r="BF2078" s="220"/>
    </row>
    <row r="2079" spans="49:58">
      <c r="AW2079" s="107"/>
      <c r="AX2079" s="195"/>
      <c r="AY2079" s="105"/>
      <c r="AZ2079" s="220"/>
      <c r="BA2079" s="241"/>
      <c r="BE2079" s="107"/>
      <c r="BF2079" s="220"/>
    </row>
    <row r="2080" spans="49:58">
      <c r="AW2080" s="107"/>
      <c r="AX2080" s="195"/>
      <c r="AY2080" s="105"/>
      <c r="AZ2080" s="220"/>
      <c r="BA2080" s="241"/>
      <c r="BE2080" s="107"/>
      <c r="BF2080" s="220"/>
    </row>
    <row r="2081" spans="49:58">
      <c r="AW2081" s="107"/>
      <c r="AX2081" s="195"/>
      <c r="AY2081" s="105"/>
      <c r="AZ2081" s="220"/>
      <c r="BA2081" s="241"/>
      <c r="BE2081" s="107"/>
      <c r="BF2081" s="220"/>
    </row>
    <row r="2082" spans="49:58">
      <c r="AW2082" s="107"/>
      <c r="AX2082" s="195"/>
      <c r="AY2082" s="105"/>
      <c r="AZ2082" s="220"/>
      <c r="BA2082" s="241"/>
      <c r="BE2082" s="107"/>
      <c r="BF2082" s="220"/>
    </row>
    <row r="2083" spans="49:58">
      <c r="AW2083" s="107"/>
      <c r="AX2083" s="195"/>
      <c r="AY2083" s="105"/>
      <c r="AZ2083" s="220"/>
      <c r="BA2083" s="241"/>
      <c r="BE2083" s="107"/>
      <c r="BF2083" s="220"/>
    </row>
    <row r="2084" spans="49:58">
      <c r="AW2084" s="107"/>
      <c r="AX2084" s="195"/>
      <c r="AY2084" s="105"/>
      <c r="AZ2084" s="220"/>
      <c r="BA2084" s="241"/>
      <c r="BE2084" s="107"/>
      <c r="BF2084" s="220"/>
    </row>
    <row r="2085" spans="49:58">
      <c r="AW2085" s="107"/>
      <c r="AX2085" s="195"/>
      <c r="AY2085" s="105"/>
      <c r="AZ2085" s="220"/>
      <c r="BA2085" s="241"/>
      <c r="BE2085" s="107"/>
      <c r="BF2085" s="220"/>
    </row>
    <row r="2086" spans="49:58">
      <c r="AW2086" s="107"/>
      <c r="AX2086" s="195"/>
      <c r="AY2086" s="105"/>
      <c r="AZ2086" s="220"/>
      <c r="BA2086" s="241"/>
      <c r="BE2086" s="107"/>
      <c r="BF2086" s="220"/>
    </row>
    <row r="2087" spans="49:58">
      <c r="AW2087" s="107"/>
      <c r="AX2087" s="195"/>
      <c r="AY2087" s="105"/>
      <c r="AZ2087" s="220"/>
      <c r="BA2087" s="241"/>
      <c r="BE2087" s="107"/>
      <c r="BF2087" s="220"/>
    </row>
    <row r="2088" spans="49:58">
      <c r="AW2088" s="107"/>
      <c r="AX2088" s="195"/>
      <c r="AY2088" s="105"/>
      <c r="AZ2088" s="220"/>
      <c r="BA2088" s="241"/>
      <c r="BE2088" s="107"/>
      <c r="BF2088" s="220"/>
    </row>
    <row r="2089" spans="49:58">
      <c r="AW2089" s="107"/>
      <c r="AX2089" s="195"/>
      <c r="AY2089" s="105"/>
      <c r="AZ2089" s="220"/>
      <c r="BA2089" s="241"/>
      <c r="BE2089" s="107"/>
      <c r="BF2089" s="220"/>
    </row>
    <row r="2090" spans="49:58">
      <c r="AW2090" s="107"/>
      <c r="AX2090" s="195"/>
      <c r="AY2090" s="105"/>
      <c r="AZ2090" s="220"/>
      <c r="BA2090" s="241"/>
      <c r="BE2090" s="107"/>
      <c r="BF2090" s="220"/>
    </row>
    <row r="2091" spans="49:58">
      <c r="AW2091" s="107"/>
      <c r="AX2091" s="195"/>
      <c r="AY2091" s="105"/>
      <c r="AZ2091" s="220"/>
      <c r="BA2091" s="241"/>
      <c r="BE2091" s="107"/>
      <c r="BF2091" s="220"/>
    </row>
    <row r="2092" spans="49:58">
      <c r="AW2092" s="107"/>
      <c r="AX2092" s="195"/>
      <c r="AY2092" s="105"/>
      <c r="AZ2092" s="220"/>
      <c r="BA2092" s="241"/>
      <c r="BE2092" s="107"/>
      <c r="BF2092" s="220"/>
    </row>
    <row r="2093" spans="49:58">
      <c r="AW2093" s="107"/>
      <c r="AX2093" s="195"/>
      <c r="AY2093" s="105"/>
      <c r="AZ2093" s="220"/>
      <c r="BA2093" s="241"/>
      <c r="BE2093" s="107"/>
      <c r="BF2093" s="220"/>
    </row>
    <row r="2094" spans="49:58">
      <c r="AW2094" s="107"/>
      <c r="AX2094" s="195"/>
      <c r="AY2094" s="105"/>
      <c r="AZ2094" s="220"/>
      <c r="BA2094" s="241"/>
      <c r="BE2094" s="107"/>
      <c r="BF2094" s="220"/>
    </row>
    <row r="2095" spans="49:58">
      <c r="AW2095" s="107"/>
      <c r="AX2095" s="195"/>
      <c r="AY2095" s="105"/>
      <c r="AZ2095" s="220"/>
      <c r="BA2095" s="241"/>
      <c r="BE2095" s="107"/>
      <c r="BF2095" s="220"/>
    </row>
    <row r="2096" spans="49:58">
      <c r="AW2096" s="107"/>
      <c r="AX2096" s="195"/>
      <c r="AY2096" s="105"/>
      <c r="AZ2096" s="220"/>
      <c r="BA2096" s="241"/>
      <c r="BE2096" s="107"/>
      <c r="BF2096" s="220"/>
    </row>
    <row r="2097" spans="49:58">
      <c r="AW2097" s="107"/>
      <c r="AX2097" s="195"/>
      <c r="AY2097" s="105"/>
      <c r="AZ2097" s="220"/>
      <c r="BA2097" s="241"/>
      <c r="BE2097" s="107"/>
      <c r="BF2097" s="220"/>
    </row>
    <row r="2098" spans="49:58">
      <c r="AW2098" s="107"/>
      <c r="AX2098" s="195"/>
      <c r="AY2098" s="105"/>
      <c r="AZ2098" s="220"/>
      <c r="BA2098" s="241"/>
      <c r="BE2098" s="107"/>
      <c r="BF2098" s="220"/>
    </row>
    <row r="2099" spans="49:58">
      <c r="AW2099" s="107"/>
      <c r="AX2099" s="195"/>
      <c r="AY2099" s="105"/>
      <c r="AZ2099" s="220"/>
      <c r="BA2099" s="241"/>
      <c r="BE2099" s="107"/>
      <c r="BF2099" s="220"/>
    </row>
    <row r="2100" spans="49:58">
      <c r="AW2100" s="107"/>
      <c r="AX2100" s="195"/>
      <c r="AY2100" s="105"/>
      <c r="AZ2100" s="220"/>
      <c r="BA2100" s="241"/>
      <c r="BE2100" s="107"/>
      <c r="BF2100" s="220"/>
    </row>
    <row r="2101" spans="49:58">
      <c r="AW2101" s="107"/>
      <c r="AX2101" s="195"/>
      <c r="AY2101" s="105"/>
      <c r="AZ2101" s="220"/>
      <c r="BA2101" s="241"/>
      <c r="BE2101" s="107"/>
      <c r="BF2101" s="220"/>
    </row>
    <row r="2102" spans="49:58">
      <c r="AW2102" s="107"/>
      <c r="AX2102" s="195"/>
      <c r="AY2102" s="105"/>
      <c r="AZ2102" s="220"/>
      <c r="BA2102" s="241"/>
      <c r="BE2102" s="107"/>
      <c r="BF2102" s="220"/>
    </row>
    <row r="2103" spans="49:58">
      <c r="AW2103" s="107"/>
      <c r="AX2103" s="195"/>
      <c r="AY2103" s="105"/>
      <c r="AZ2103" s="220"/>
      <c r="BA2103" s="241"/>
      <c r="BE2103" s="107"/>
      <c r="BF2103" s="220"/>
    </row>
    <row r="2104" spans="49:58">
      <c r="AW2104" s="107"/>
      <c r="AX2104" s="195"/>
      <c r="AY2104" s="105"/>
      <c r="AZ2104" s="220"/>
      <c r="BA2104" s="241"/>
      <c r="BE2104" s="107"/>
      <c r="BF2104" s="220"/>
    </row>
    <row r="2105" spans="49:58">
      <c r="AW2105" s="107"/>
      <c r="AX2105" s="195"/>
      <c r="AY2105" s="105"/>
      <c r="AZ2105" s="220"/>
      <c r="BA2105" s="241"/>
      <c r="BE2105" s="107"/>
      <c r="BF2105" s="220"/>
    </row>
    <row r="2106" spans="49:58">
      <c r="AW2106" s="107"/>
      <c r="AX2106" s="195"/>
      <c r="AY2106" s="105"/>
      <c r="AZ2106" s="220"/>
      <c r="BA2106" s="241"/>
      <c r="BE2106" s="107"/>
      <c r="BF2106" s="220"/>
    </row>
    <row r="2107" spans="49:58">
      <c r="AW2107" s="107"/>
      <c r="AX2107" s="195"/>
      <c r="AY2107" s="105"/>
      <c r="AZ2107" s="220"/>
      <c r="BA2107" s="241"/>
      <c r="BE2107" s="107"/>
      <c r="BF2107" s="220"/>
    </row>
    <row r="2108" spans="49:58">
      <c r="AW2108" s="107"/>
      <c r="AX2108" s="195"/>
      <c r="AY2108" s="105"/>
      <c r="AZ2108" s="220"/>
      <c r="BA2108" s="241"/>
      <c r="BE2108" s="107"/>
      <c r="BF2108" s="220"/>
    </row>
    <row r="2109" spans="49:58">
      <c r="AW2109" s="107"/>
      <c r="AX2109" s="195"/>
      <c r="AY2109" s="105"/>
      <c r="AZ2109" s="220"/>
      <c r="BA2109" s="241"/>
      <c r="BE2109" s="107"/>
      <c r="BF2109" s="220"/>
    </row>
    <row r="2110" spans="49:58">
      <c r="AW2110" s="107"/>
      <c r="AX2110" s="195"/>
      <c r="AY2110" s="105"/>
      <c r="AZ2110" s="220"/>
      <c r="BA2110" s="241"/>
      <c r="BE2110" s="107"/>
      <c r="BF2110" s="220"/>
    </row>
    <row r="2111" spans="49:58">
      <c r="AW2111" s="107"/>
      <c r="AX2111" s="195"/>
      <c r="AY2111" s="105"/>
      <c r="AZ2111" s="220"/>
      <c r="BA2111" s="241"/>
      <c r="BE2111" s="107"/>
      <c r="BF2111" s="220"/>
    </row>
    <row r="2112" spans="49:58">
      <c r="AW2112" s="107"/>
      <c r="AX2112" s="195"/>
      <c r="AY2112" s="105"/>
      <c r="AZ2112" s="220"/>
      <c r="BA2112" s="241"/>
      <c r="BE2112" s="107"/>
      <c r="BF2112" s="220"/>
    </row>
    <row r="2113" spans="49:58">
      <c r="AW2113" s="107"/>
      <c r="AX2113" s="195"/>
      <c r="AY2113" s="105"/>
      <c r="AZ2113" s="220"/>
      <c r="BA2113" s="241"/>
      <c r="BE2113" s="107"/>
      <c r="BF2113" s="220"/>
    </row>
    <row r="2114" spans="49:58">
      <c r="AW2114" s="107"/>
      <c r="AX2114" s="195"/>
      <c r="AY2114" s="105"/>
      <c r="AZ2114" s="220"/>
      <c r="BA2114" s="241"/>
      <c r="BE2114" s="107"/>
      <c r="BF2114" s="220"/>
    </row>
    <row r="2115" spans="49:58">
      <c r="AW2115" s="107"/>
      <c r="AX2115" s="195"/>
      <c r="AY2115" s="105"/>
      <c r="AZ2115" s="220"/>
      <c r="BA2115" s="241"/>
      <c r="BE2115" s="107"/>
      <c r="BF2115" s="220"/>
    </row>
    <row r="2116" spans="49:58">
      <c r="AW2116" s="107"/>
      <c r="AX2116" s="195"/>
      <c r="AY2116" s="105"/>
      <c r="AZ2116" s="220"/>
      <c r="BA2116" s="241"/>
      <c r="BE2116" s="107"/>
      <c r="BF2116" s="220"/>
    </row>
    <row r="2117" spans="49:58">
      <c r="AW2117" s="107"/>
      <c r="AX2117" s="195"/>
      <c r="AY2117" s="105"/>
      <c r="AZ2117" s="220"/>
      <c r="BA2117" s="241"/>
      <c r="BE2117" s="107"/>
      <c r="BF2117" s="220"/>
    </row>
    <row r="2118" spans="49:58">
      <c r="AW2118" s="107"/>
      <c r="AX2118" s="195"/>
      <c r="AY2118" s="105"/>
      <c r="AZ2118" s="220"/>
      <c r="BA2118" s="241"/>
      <c r="BE2118" s="107"/>
      <c r="BF2118" s="220"/>
    </row>
    <row r="2119" spans="49:58">
      <c r="AW2119" s="107"/>
      <c r="AX2119" s="195"/>
      <c r="AY2119" s="105"/>
      <c r="AZ2119" s="220"/>
      <c r="BA2119" s="241"/>
      <c r="BE2119" s="107"/>
      <c r="BF2119" s="220"/>
    </row>
    <row r="2120" spans="49:58">
      <c r="AW2120" s="107"/>
      <c r="AX2120" s="195"/>
      <c r="AY2120" s="105"/>
      <c r="AZ2120" s="220"/>
      <c r="BA2120" s="241"/>
      <c r="BE2120" s="107"/>
      <c r="BF2120" s="220"/>
    </row>
    <row r="2121" spans="49:58">
      <c r="AW2121" s="107"/>
      <c r="AX2121" s="195"/>
      <c r="AY2121" s="105"/>
      <c r="AZ2121" s="220"/>
      <c r="BA2121" s="241"/>
      <c r="BE2121" s="107"/>
      <c r="BF2121" s="220"/>
    </row>
    <row r="2122" spans="49:58">
      <c r="AW2122" s="107"/>
      <c r="AX2122" s="195"/>
      <c r="AY2122" s="105"/>
      <c r="AZ2122" s="220"/>
      <c r="BA2122" s="241"/>
      <c r="BE2122" s="107"/>
      <c r="BF2122" s="220"/>
    </row>
    <row r="2123" spans="49:58">
      <c r="AW2123" s="107"/>
      <c r="AX2123" s="195"/>
      <c r="AY2123" s="105"/>
      <c r="AZ2123" s="220"/>
      <c r="BA2123" s="241"/>
      <c r="BE2123" s="107"/>
      <c r="BF2123" s="220"/>
    </row>
    <row r="2124" spans="49:58">
      <c r="AW2124" s="107"/>
      <c r="AX2124" s="195"/>
      <c r="AY2124" s="105"/>
      <c r="AZ2124" s="220"/>
      <c r="BA2124" s="241"/>
      <c r="BE2124" s="107"/>
      <c r="BF2124" s="220"/>
    </row>
    <row r="2125" spans="49:58">
      <c r="AW2125" s="107"/>
      <c r="AX2125" s="195"/>
      <c r="AY2125" s="105"/>
      <c r="AZ2125" s="220"/>
      <c r="BA2125" s="241"/>
      <c r="BE2125" s="107"/>
      <c r="BF2125" s="220"/>
    </row>
    <row r="2126" spans="49:58">
      <c r="AW2126" s="107"/>
      <c r="AX2126" s="195"/>
      <c r="AY2126" s="105"/>
      <c r="AZ2126" s="220"/>
      <c r="BA2126" s="241"/>
      <c r="BE2126" s="107"/>
      <c r="BF2126" s="220"/>
    </row>
    <row r="2127" spans="49:58">
      <c r="AW2127" s="107"/>
      <c r="AX2127" s="195"/>
      <c r="AY2127" s="105"/>
      <c r="AZ2127" s="220"/>
      <c r="BA2127" s="241"/>
      <c r="BE2127" s="107"/>
      <c r="BF2127" s="220"/>
    </row>
    <row r="2128" spans="49:58">
      <c r="AW2128" s="107"/>
      <c r="AX2128" s="195"/>
      <c r="AY2128" s="105"/>
      <c r="AZ2128" s="220"/>
      <c r="BA2128" s="241"/>
      <c r="BE2128" s="107"/>
      <c r="BF2128" s="220"/>
    </row>
    <row r="2129" spans="49:58">
      <c r="AW2129" s="107"/>
      <c r="AX2129" s="195"/>
      <c r="AY2129" s="105"/>
      <c r="AZ2129" s="220"/>
      <c r="BA2129" s="241"/>
      <c r="BE2129" s="107"/>
      <c r="BF2129" s="220"/>
    </row>
    <row r="2130" spans="49:58">
      <c r="AW2130" s="107"/>
      <c r="AX2130" s="195"/>
      <c r="AY2130" s="105"/>
      <c r="AZ2130" s="220"/>
      <c r="BA2130" s="241"/>
      <c r="BE2130" s="107"/>
      <c r="BF2130" s="220"/>
    </row>
    <row r="2131" spans="49:58">
      <c r="AW2131" s="107"/>
      <c r="AX2131" s="195"/>
      <c r="AY2131" s="105"/>
      <c r="AZ2131" s="220"/>
      <c r="BA2131" s="241"/>
      <c r="BE2131" s="107"/>
      <c r="BF2131" s="220"/>
    </row>
    <row r="2132" spans="49:58">
      <c r="AW2132" s="107"/>
      <c r="AX2132" s="195"/>
      <c r="AY2132" s="105"/>
      <c r="AZ2132" s="220"/>
      <c r="BA2132" s="241"/>
      <c r="BE2132" s="107"/>
      <c r="BF2132" s="220"/>
    </row>
    <row r="2133" spans="49:58">
      <c r="AW2133" s="107"/>
      <c r="AX2133" s="195"/>
      <c r="AY2133" s="105"/>
      <c r="AZ2133" s="220"/>
      <c r="BA2133" s="241"/>
      <c r="BE2133" s="107"/>
      <c r="BF2133" s="220"/>
    </row>
    <row r="2134" spans="49:58">
      <c r="AW2134" s="107"/>
      <c r="AX2134" s="195"/>
      <c r="AY2134" s="105"/>
      <c r="AZ2134" s="220"/>
      <c r="BA2134" s="241"/>
      <c r="BE2134" s="107"/>
      <c r="BF2134" s="220"/>
    </row>
    <row r="2135" spans="49:58">
      <c r="AW2135" s="107"/>
      <c r="AX2135" s="195"/>
      <c r="AY2135" s="105"/>
      <c r="AZ2135" s="220"/>
      <c r="BA2135" s="241"/>
      <c r="BE2135" s="107"/>
      <c r="BF2135" s="220"/>
    </row>
    <row r="2136" spans="49:58">
      <c r="AW2136" s="107"/>
      <c r="AX2136" s="195"/>
      <c r="AY2136" s="105"/>
      <c r="AZ2136" s="220"/>
      <c r="BA2136" s="241"/>
      <c r="BE2136" s="107"/>
      <c r="BF2136" s="220"/>
    </row>
    <row r="2137" spans="49:58">
      <c r="AW2137" s="107"/>
      <c r="AX2137" s="195"/>
      <c r="AY2137" s="105"/>
      <c r="AZ2137" s="220"/>
      <c r="BA2137" s="241"/>
      <c r="BE2137" s="107"/>
      <c r="BF2137" s="220"/>
    </row>
    <row r="2138" spans="49:58">
      <c r="AW2138" s="107"/>
      <c r="AX2138" s="195"/>
      <c r="AY2138" s="105"/>
      <c r="AZ2138" s="220"/>
      <c r="BA2138" s="241"/>
      <c r="BE2138" s="107"/>
      <c r="BF2138" s="220"/>
    </row>
    <row r="2139" spans="49:58">
      <c r="AW2139" s="107"/>
      <c r="AX2139" s="195"/>
      <c r="AY2139" s="105"/>
      <c r="AZ2139" s="220"/>
      <c r="BA2139" s="241"/>
      <c r="BE2139" s="107"/>
      <c r="BF2139" s="220"/>
    </row>
    <row r="2140" spans="49:58">
      <c r="AW2140" s="107"/>
      <c r="AX2140" s="195"/>
      <c r="AY2140" s="105"/>
      <c r="AZ2140" s="220"/>
      <c r="BA2140" s="241"/>
      <c r="BE2140" s="107"/>
      <c r="BF2140" s="220"/>
    </row>
    <row r="2141" spans="49:58">
      <c r="AW2141" s="107"/>
      <c r="AX2141" s="195"/>
      <c r="AY2141" s="105"/>
      <c r="AZ2141" s="220"/>
      <c r="BA2141" s="241"/>
      <c r="BE2141" s="107"/>
      <c r="BF2141" s="220"/>
    </row>
    <row r="2142" spans="49:58">
      <c r="AW2142" s="107"/>
      <c r="AX2142" s="195"/>
      <c r="AY2142" s="105"/>
      <c r="AZ2142" s="220"/>
      <c r="BA2142" s="241"/>
      <c r="BE2142" s="107"/>
      <c r="BF2142" s="220"/>
    </row>
    <row r="2143" spans="49:58">
      <c r="AW2143" s="107"/>
      <c r="AX2143" s="195"/>
      <c r="AY2143" s="105"/>
      <c r="AZ2143" s="220"/>
      <c r="BA2143" s="241"/>
      <c r="BE2143" s="107"/>
      <c r="BF2143" s="220"/>
    </row>
    <row r="2144" spans="49:58">
      <c r="AW2144" s="107"/>
      <c r="AX2144" s="195"/>
      <c r="AY2144" s="105"/>
      <c r="AZ2144" s="220"/>
      <c r="BA2144" s="241"/>
      <c r="BE2144" s="107"/>
      <c r="BF2144" s="220"/>
    </row>
    <row r="2145" spans="49:58">
      <c r="AW2145" s="107"/>
      <c r="AX2145" s="195"/>
      <c r="AY2145" s="105"/>
      <c r="AZ2145" s="220"/>
      <c r="BA2145" s="241"/>
      <c r="BE2145" s="107"/>
      <c r="BF2145" s="220"/>
    </row>
    <row r="2146" spans="49:58">
      <c r="AW2146" s="107"/>
      <c r="AX2146" s="195"/>
      <c r="AY2146" s="105"/>
      <c r="AZ2146" s="220"/>
      <c r="BA2146" s="241"/>
      <c r="BE2146" s="107"/>
      <c r="BF2146" s="220"/>
    </row>
    <row r="2147" spans="49:58">
      <c r="AW2147" s="107"/>
      <c r="AX2147" s="195"/>
      <c r="AY2147" s="105"/>
      <c r="AZ2147" s="220"/>
      <c r="BA2147" s="241"/>
      <c r="BE2147" s="107"/>
      <c r="BF2147" s="220"/>
    </row>
    <row r="2148" spans="49:58">
      <c r="AW2148" s="107"/>
      <c r="AX2148" s="195"/>
      <c r="AY2148" s="105"/>
      <c r="AZ2148" s="220"/>
      <c r="BA2148" s="241"/>
      <c r="BE2148" s="107"/>
      <c r="BF2148" s="220"/>
    </row>
    <row r="2149" spans="49:58">
      <c r="AW2149" s="107"/>
      <c r="AX2149" s="195"/>
      <c r="AY2149" s="105"/>
      <c r="AZ2149" s="220"/>
      <c r="BA2149" s="241"/>
      <c r="BE2149" s="107"/>
      <c r="BF2149" s="220"/>
    </row>
    <row r="2150" spans="49:58">
      <c r="AW2150" s="107"/>
      <c r="AX2150" s="195"/>
      <c r="AY2150" s="105"/>
      <c r="AZ2150" s="220"/>
      <c r="BA2150" s="241"/>
      <c r="BE2150" s="107"/>
      <c r="BF2150" s="220"/>
    </row>
    <row r="2151" spans="49:58">
      <c r="AW2151" s="107"/>
      <c r="AX2151" s="195"/>
      <c r="AY2151" s="105"/>
      <c r="AZ2151" s="220"/>
      <c r="BA2151" s="241"/>
      <c r="BE2151" s="107"/>
      <c r="BF2151" s="220"/>
    </row>
    <row r="2152" spans="49:58">
      <c r="AW2152" s="107"/>
      <c r="AX2152" s="195"/>
      <c r="AY2152" s="105"/>
      <c r="AZ2152" s="220"/>
      <c r="BA2152" s="241"/>
      <c r="BE2152" s="107"/>
      <c r="BF2152" s="220"/>
    </row>
    <row r="2153" spans="49:58">
      <c r="AW2153" s="107"/>
      <c r="AX2153" s="195"/>
      <c r="AY2153" s="105"/>
      <c r="AZ2153" s="220"/>
      <c r="BA2153" s="241"/>
      <c r="BE2153" s="107"/>
      <c r="BF2153" s="220"/>
    </row>
    <row r="2154" spans="49:58">
      <c r="AW2154" s="107"/>
      <c r="AX2154" s="195"/>
      <c r="AY2154" s="105"/>
      <c r="AZ2154" s="220"/>
      <c r="BA2154" s="241"/>
      <c r="BE2154" s="107"/>
      <c r="BF2154" s="220"/>
    </row>
    <row r="2155" spans="49:58">
      <c r="AW2155" s="107"/>
      <c r="AX2155" s="195"/>
      <c r="AY2155" s="105"/>
      <c r="AZ2155" s="220"/>
      <c r="BA2155" s="241"/>
      <c r="BE2155" s="107"/>
      <c r="BF2155" s="220"/>
    </row>
    <row r="2156" spans="49:58">
      <c r="AW2156" s="107"/>
      <c r="AX2156" s="195"/>
      <c r="AY2156" s="105"/>
      <c r="AZ2156" s="220"/>
      <c r="BA2156" s="241"/>
      <c r="BE2156" s="107"/>
      <c r="BF2156" s="220"/>
    </row>
    <row r="2157" spans="49:58">
      <c r="AW2157" s="107"/>
      <c r="AX2157" s="195"/>
      <c r="AY2157" s="105"/>
      <c r="AZ2157" s="220"/>
      <c r="BA2157" s="241"/>
      <c r="BE2157" s="107"/>
      <c r="BF2157" s="220"/>
    </row>
    <row r="2158" spans="49:58">
      <c r="AW2158" s="107"/>
      <c r="AX2158" s="195"/>
      <c r="AY2158" s="105"/>
      <c r="AZ2158" s="220"/>
      <c r="BA2158" s="241"/>
      <c r="BE2158" s="107"/>
      <c r="BF2158" s="220"/>
    </row>
    <row r="2159" spans="49:58">
      <c r="AW2159" s="107"/>
      <c r="AX2159" s="195"/>
      <c r="AY2159" s="105"/>
      <c r="AZ2159" s="220"/>
      <c r="BA2159" s="241"/>
      <c r="BE2159" s="107"/>
      <c r="BF2159" s="220"/>
    </row>
    <row r="2160" spans="49:58">
      <c r="AW2160" s="107"/>
      <c r="AX2160" s="195"/>
      <c r="AY2160" s="105"/>
      <c r="AZ2160" s="220"/>
      <c r="BA2160" s="241"/>
      <c r="BE2160" s="107"/>
      <c r="BF2160" s="220"/>
    </row>
    <row r="2161" spans="49:58">
      <c r="AW2161" s="107"/>
      <c r="AX2161" s="195"/>
      <c r="AY2161" s="105"/>
      <c r="AZ2161" s="220"/>
      <c r="BA2161" s="241"/>
      <c r="BE2161" s="107"/>
      <c r="BF2161" s="220"/>
    </row>
    <row r="2162" spans="49:58">
      <c r="AW2162" s="107"/>
      <c r="AX2162" s="195"/>
      <c r="AY2162" s="105"/>
      <c r="AZ2162" s="220"/>
      <c r="BA2162" s="241"/>
      <c r="BE2162" s="107"/>
      <c r="BF2162" s="220"/>
    </row>
    <row r="2163" spans="49:58">
      <c r="AW2163" s="107"/>
      <c r="AX2163" s="195"/>
      <c r="AY2163" s="105"/>
      <c r="AZ2163" s="220"/>
      <c r="BA2163" s="241"/>
      <c r="BE2163" s="107"/>
      <c r="BF2163" s="220"/>
    </row>
    <row r="2164" spans="49:58">
      <c r="AW2164" s="107"/>
      <c r="AX2164" s="195"/>
      <c r="AY2164" s="105"/>
      <c r="AZ2164" s="220"/>
      <c r="BA2164" s="241"/>
      <c r="BE2164" s="107"/>
      <c r="BF2164" s="220"/>
    </row>
    <row r="2165" spans="49:58">
      <c r="AW2165" s="107"/>
      <c r="AX2165" s="195"/>
      <c r="AY2165" s="105"/>
      <c r="AZ2165" s="220"/>
      <c r="BA2165" s="241"/>
      <c r="BE2165" s="107"/>
      <c r="BF2165" s="220"/>
    </row>
    <row r="2166" spans="49:58">
      <c r="AW2166" s="107"/>
      <c r="AX2166" s="195"/>
      <c r="AY2166" s="105"/>
      <c r="AZ2166" s="220"/>
      <c r="BA2166" s="241"/>
      <c r="BE2166" s="107"/>
      <c r="BF2166" s="220"/>
    </row>
    <row r="2167" spans="49:58">
      <c r="AW2167" s="107"/>
      <c r="AX2167" s="195"/>
      <c r="AY2167" s="105"/>
      <c r="AZ2167" s="220"/>
      <c r="BA2167" s="241"/>
      <c r="BE2167" s="107"/>
      <c r="BF2167" s="220"/>
    </row>
    <row r="2168" spans="49:58">
      <c r="AW2168" s="107"/>
      <c r="AX2168" s="195"/>
      <c r="AY2168" s="105"/>
      <c r="AZ2168" s="220"/>
      <c r="BA2168" s="241"/>
      <c r="BE2168" s="107"/>
      <c r="BF2168" s="220"/>
    </row>
    <row r="2169" spans="49:58">
      <c r="AW2169" s="107"/>
      <c r="AX2169" s="195"/>
      <c r="AY2169" s="105"/>
      <c r="AZ2169" s="220"/>
      <c r="BA2169" s="241"/>
      <c r="BE2169" s="107"/>
      <c r="BF2169" s="220"/>
    </row>
    <row r="2170" spans="49:58">
      <c r="AW2170" s="107"/>
      <c r="AX2170" s="195"/>
      <c r="AY2170" s="105"/>
      <c r="AZ2170" s="220"/>
      <c r="BA2170" s="241"/>
      <c r="BE2170" s="107"/>
      <c r="BF2170" s="220"/>
    </row>
    <row r="2171" spans="49:58">
      <c r="AW2171" s="107"/>
      <c r="AX2171" s="195"/>
      <c r="AY2171" s="105"/>
      <c r="AZ2171" s="220"/>
      <c r="BA2171" s="241"/>
      <c r="BE2171" s="107"/>
      <c r="BF2171" s="220"/>
    </row>
    <row r="2172" spans="49:58">
      <c r="AW2172" s="107"/>
      <c r="AX2172" s="195"/>
      <c r="AY2172" s="105"/>
      <c r="AZ2172" s="220"/>
      <c r="BA2172" s="241"/>
      <c r="BE2172" s="107"/>
      <c r="BF2172" s="220"/>
    </row>
    <row r="2173" spans="49:58">
      <c r="AW2173" s="107"/>
      <c r="AX2173" s="195"/>
      <c r="AY2173" s="105"/>
      <c r="AZ2173" s="220"/>
      <c r="BA2173" s="241"/>
      <c r="BE2173" s="107"/>
      <c r="BF2173" s="220"/>
    </row>
    <row r="2174" spans="49:58">
      <c r="AW2174" s="107"/>
      <c r="AX2174" s="195"/>
      <c r="AY2174" s="105"/>
      <c r="AZ2174" s="220"/>
      <c r="BA2174" s="241"/>
      <c r="BE2174" s="107"/>
      <c r="BF2174" s="220"/>
    </row>
    <row r="2175" spans="49:58">
      <c r="AW2175" s="107"/>
      <c r="AX2175" s="195"/>
      <c r="AY2175" s="105"/>
      <c r="AZ2175" s="220"/>
      <c r="BA2175" s="241"/>
      <c r="BE2175" s="107"/>
      <c r="BF2175" s="220"/>
    </row>
    <row r="2176" spans="49:58">
      <c r="AW2176" s="107"/>
      <c r="AX2176" s="195"/>
      <c r="AY2176" s="105"/>
      <c r="AZ2176" s="220"/>
      <c r="BA2176" s="241"/>
      <c r="BE2176" s="107"/>
      <c r="BF2176" s="220"/>
    </row>
    <row r="2177" spans="49:58">
      <c r="AW2177" s="107"/>
      <c r="AX2177" s="195"/>
      <c r="AY2177" s="105"/>
      <c r="AZ2177" s="220"/>
      <c r="BA2177" s="241"/>
      <c r="BE2177" s="107"/>
      <c r="BF2177" s="220"/>
    </row>
    <row r="2178" spans="49:58">
      <c r="AW2178" s="107"/>
      <c r="AX2178" s="195"/>
      <c r="AY2178" s="105"/>
      <c r="AZ2178" s="220"/>
      <c r="BA2178" s="241"/>
      <c r="BE2178" s="107"/>
      <c r="BF2178" s="220"/>
    </row>
    <row r="2179" spans="49:58">
      <c r="AW2179" s="107"/>
      <c r="AX2179" s="195"/>
      <c r="AY2179" s="105"/>
      <c r="AZ2179" s="220"/>
      <c r="BA2179" s="241"/>
      <c r="BE2179" s="107"/>
      <c r="BF2179" s="220"/>
    </row>
    <row r="2180" spans="49:58">
      <c r="AW2180" s="107"/>
      <c r="AX2180" s="195"/>
      <c r="AY2180" s="105"/>
      <c r="AZ2180" s="220"/>
      <c r="BA2180" s="241"/>
      <c r="BE2180" s="107"/>
      <c r="BF2180" s="220"/>
    </row>
    <row r="2181" spans="49:58">
      <c r="AW2181" s="107"/>
      <c r="AX2181" s="195"/>
      <c r="AY2181" s="105"/>
      <c r="AZ2181" s="220"/>
      <c r="BA2181" s="241"/>
      <c r="BE2181" s="107"/>
      <c r="BF2181" s="220"/>
    </row>
    <row r="2182" spans="49:58">
      <c r="AW2182" s="107"/>
      <c r="AX2182" s="195"/>
      <c r="AY2182" s="105"/>
      <c r="AZ2182" s="220"/>
      <c r="BA2182" s="241"/>
      <c r="BE2182" s="107"/>
      <c r="BF2182" s="220"/>
    </row>
    <row r="2183" spans="49:58">
      <c r="AW2183" s="107"/>
      <c r="AX2183" s="195"/>
      <c r="AY2183" s="105"/>
      <c r="AZ2183" s="220"/>
      <c r="BA2183" s="241"/>
      <c r="BE2183" s="107"/>
      <c r="BF2183" s="220"/>
    </row>
    <row r="2184" spans="49:58">
      <c r="AW2184" s="107"/>
      <c r="AX2184" s="195"/>
      <c r="AY2184" s="105"/>
      <c r="AZ2184" s="220"/>
      <c r="BA2184" s="241"/>
      <c r="BE2184" s="107"/>
      <c r="BF2184" s="220"/>
    </row>
    <row r="2185" spans="49:58">
      <c r="AW2185" s="107"/>
      <c r="AX2185" s="195"/>
      <c r="AY2185" s="105"/>
      <c r="AZ2185" s="220"/>
      <c r="BA2185" s="241"/>
      <c r="BE2185" s="107"/>
      <c r="BF2185" s="220"/>
    </row>
    <row r="2186" spans="49:58">
      <c r="AW2186" s="107"/>
      <c r="AX2186" s="195"/>
      <c r="AY2186" s="105"/>
      <c r="AZ2186" s="220"/>
      <c r="BA2186" s="241"/>
      <c r="BE2186" s="107"/>
      <c r="BF2186" s="220"/>
    </row>
    <row r="2187" spans="49:58">
      <c r="AW2187" s="107"/>
      <c r="AX2187" s="195"/>
      <c r="AY2187" s="105"/>
      <c r="AZ2187" s="220"/>
      <c r="BA2187" s="241"/>
      <c r="BE2187" s="107"/>
      <c r="BF2187" s="220"/>
    </row>
    <row r="2188" spans="49:58">
      <c r="AW2188" s="107"/>
      <c r="AX2188" s="195"/>
      <c r="AY2188" s="105"/>
      <c r="AZ2188" s="220"/>
      <c r="BA2188" s="241"/>
      <c r="BE2188" s="107"/>
      <c r="BF2188" s="220"/>
    </row>
    <row r="2189" spans="49:58">
      <c r="AW2189" s="107"/>
      <c r="AX2189" s="195"/>
      <c r="AY2189" s="105"/>
      <c r="AZ2189" s="220"/>
      <c r="BA2189" s="241"/>
      <c r="BE2189" s="107"/>
      <c r="BF2189" s="220"/>
    </row>
    <row r="2190" spans="49:58">
      <c r="AW2190" s="107"/>
      <c r="AX2190" s="195"/>
      <c r="AY2190" s="105"/>
      <c r="AZ2190" s="220"/>
      <c r="BA2190" s="241"/>
      <c r="BE2190" s="107"/>
      <c r="BF2190" s="220"/>
    </row>
    <row r="2191" spans="49:58">
      <c r="AW2191" s="107"/>
      <c r="AX2191" s="195"/>
      <c r="AY2191" s="105"/>
      <c r="AZ2191" s="220"/>
      <c r="BA2191" s="241"/>
      <c r="BE2191" s="107"/>
      <c r="BF2191" s="220"/>
    </row>
    <row r="2192" spans="49:58">
      <c r="AW2192" s="107"/>
      <c r="AX2192" s="195"/>
      <c r="AY2192" s="105"/>
      <c r="AZ2192" s="220"/>
      <c r="BA2192" s="241"/>
      <c r="BE2192" s="107"/>
      <c r="BF2192" s="220"/>
    </row>
    <row r="2193" spans="49:58">
      <c r="AW2193" s="107"/>
      <c r="AX2193" s="195"/>
      <c r="AY2193" s="105"/>
      <c r="AZ2193" s="220"/>
      <c r="BA2193" s="241"/>
      <c r="BE2193" s="107"/>
      <c r="BF2193" s="220"/>
    </row>
    <row r="2194" spans="49:58">
      <c r="AW2194" s="107"/>
      <c r="AX2194" s="195"/>
      <c r="AY2194" s="105"/>
      <c r="AZ2194" s="220"/>
      <c r="BA2194" s="241"/>
      <c r="BE2194" s="107"/>
      <c r="BF2194" s="220"/>
    </row>
    <row r="2195" spans="49:58">
      <c r="AW2195" s="107"/>
      <c r="AX2195" s="195"/>
      <c r="AY2195" s="105"/>
      <c r="AZ2195" s="220"/>
      <c r="BA2195" s="241"/>
      <c r="BE2195" s="107"/>
      <c r="BF2195" s="220"/>
    </row>
    <row r="2196" spans="49:58">
      <c r="AW2196" s="107"/>
      <c r="AX2196" s="195"/>
      <c r="AY2196" s="105"/>
      <c r="AZ2196" s="220"/>
      <c r="BA2196" s="241"/>
      <c r="BE2196" s="107"/>
      <c r="BF2196" s="220"/>
    </row>
    <row r="2197" spans="49:58">
      <c r="AW2197" s="107"/>
      <c r="AX2197" s="195"/>
      <c r="AY2197" s="105"/>
      <c r="AZ2197" s="220"/>
      <c r="BA2197" s="241"/>
      <c r="BE2197" s="107"/>
      <c r="BF2197" s="220"/>
    </row>
    <row r="2198" spans="49:58">
      <c r="AW2198" s="107"/>
      <c r="AX2198" s="195"/>
      <c r="AY2198" s="105"/>
      <c r="AZ2198" s="220"/>
      <c r="BA2198" s="241"/>
      <c r="BE2198" s="107"/>
      <c r="BF2198" s="220"/>
    </row>
    <row r="2199" spans="49:58">
      <c r="AW2199" s="107"/>
      <c r="AX2199" s="195"/>
      <c r="AY2199" s="105"/>
      <c r="AZ2199" s="220"/>
      <c r="BA2199" s="241"/>
      <c r="BE2199" s="107"/>
      <c r="BF2199" s="220"/>
    </row>
    <row r="2200" spans="49:58">
      <c r="AW2200" s="107"/>
      <c r="AX2200" s="195"/>
      <c r="AY2200" s="105"/>
      <c r="AZ2200" s="220"/>
      <c r="BA2200" s="241"/>
      <c r="BE2200" s="107"/>
      <c r="BF2200" s="220"/>
    </row>
    <row r="2201" spans="49:58">
      <c r="AW2201" s="107"/>
      <c r="AX2201" s="195"/>
      <c r="AY2201" s="105"/>
      <c r="AZ2201" s="220"/>
      <c r="BA2201" s="241"/>
      <c r="BE2201" s="107"/>
      <c r="BF2201" s="220"/>
    </row>
    <row r="2202" spans="49:58">
      <c r="AW2202" s="107"/>
      <c r="AX2202" s="195"/>
      <c r="AY2202" s="105"/>
      <c r="AZ2202" s="220"/>
      <c r="BA2202" s="241"/>
      <c r="BE2202" s="107"/>
      <c r="BF2202" s="220"/>
    </row>
    <row r="2203" spans="49:58">
      <c r="AW2203" s="107"/>
      <c r="AX2203" s="195"/>
      <c r="AY2203" s="105"/>
      <c r="AZ2203" s="220"/>
      <c r="BA2203" s="241"/>
      <c r="BE2203" s="107"/>
      <c r="BF2203" s="220"/>
    </row>
    <row r="2204" spans="49:58">
      <c r="AW2204" s="107"/>
      <c r="AX2204" s="195"/>
      <c r="AY2204" s="105"/>
      <c r="AZ2204" s="220"/>
      <c r="BA2204" s="241"/>
      <c r="BE2204" s="107"/>
      <c r="BF2204" s="220"/>
    </row>
    <row r="2205" spans="49:58">
      <c r="AW2205" s="107"/>
      <c r="AX2205" s="195"/>
      <c r="AY2205" s="105"/>
      <c r="AZ2205" s="220"/>
      <c r="BA2205" s="241"/>
      <c r="BE2205" s="107"/>
      <c r="BF2205" s="220"/>
    </row>
    <row r="2206" spans="49:58">
      <c r="AW2206" s="107"/>
      <c r="AX2206" s="195"/>
      <c r="AY2206" s="105"/>
      <c r="AZ2206" s="220"/>
      <c r="BA2206" s="241"/>
      <c r="BE2206" s="107"/>
      <c r="BF2206" s="220"/>
    </row>
    <row r="2207" spans="49:58">
      <c r="AW2207" s="107"/>
      <c r="AX2207" s="195"/>
      <c r="AY2207" s="105"/>
      <c r="AZ2207" s="220"/>
      <c r="BA2207" s="241"/>
      <c r="BE2207" s="107"/>
      <c r="BF2207" s="220"/>
    </row>
    <row r="2208" spans="49:58">
      <c r="AW2208" s="107"/>
      <c r="AX2208" s="195"/>
      <c r="AY2208" s="105"/>
      <c r="AZ2208" s="220"/>
      <c r="BA2208" s="241"/>
      <c r="BE2208" s="107"/>
      <c r="BF2208" s="220"/>
    </row>
    <row r="2209" spans="49:58">
      <c r="AW2209" s="107"/>
      <c r="AX2209" s="195"/>
      <c r="AY2209" s="105"/>
      <c r="AZ2209" s="220"/>
      <c r="BA2209" s="241"/>
      <c r="BE2209" s="107"/>
      <c r="BF2209" s="220"/>
    </row>
    <row r="2210" spans="49:58">
      <c r="AW2210" s="107"/>
      <c r="AX2210" s="195"/>
      <c r="AY2210" s="105"/>
      <c r="AZ2210" s="220"/>
      <c r="BA2210" s="241"/>
      <c r="BE2210" s="107"/>
      <c r="BF2210" s="220"/>
    </row>
    <row r="2211" spans="49:58">
      <c r="AW2211" s="107"/>
      <c r="AX2211" s="195"/>
      <c r="AY2211" s="105"/>
      <c r="AZ2211" s="220"/>
      <c r="BA2211" s="241"/>
      <c r="BE2211" s="107"/>
      <c r="BF2211" s="220"/>
    </row>
    <row r="2212" spans="49:58">
      <c r="AW2212" s="107"/>
      <c r="AX2212" s="195"/>
      <c r="AY2212" s="105"/>
      <c r="AZ2212" s="220"/>
      <c r="BA2212" s="241"/>
      <c r="BE2212" s="107"/>
      <c r="BF2212" s="220"/>
    </row>
    <row r="2213" spans="49:58">
      <c r="AW2213" s="107"/>
      <c r="AX2213" s="195"/>
      <c r="AY2213" s="105"/>
      <c r="AZ2213" s="220"/>
      <c r="BA2213" s="241"/>
      <c r="BE2213" s="107"/>
      <c r="BF2213" s="220"/>
    </row>
    <row r="2214" spans="49:58">
      <c r="AW2214" s="107"/>
      <c r="AX2214" s="195"/>
      <c r="AY2214" s="105"/>
      <c r="AZ2214" s="220"/>
      <c r="BA2214" s="241"/>
      <c r="BE2214" s="107"/>
      <c r="BF2214" s="220"/>
    </row>
    <row r="2215" spans="49:58">
      <c r="AW2215" s="107"/>
      <c r="AX2215" s="195"/>
      <c r="AY2215" s="105"/>
      <c r="AZ2215" s="220"/>
      <c r="BA2215" s="241"/>
      <c r="BE2215" s="107"/>
      <c r="BF2215" s="220"/>
    </row>
    <row r="2216" spans="49:58">
      <c r="AW2216" s="107"/>
      <c r="AX2216" s="195"/>
      <c r="AY2216" s="105"/>
      <c r="AZ2216" s="220"/>
      <c r="BA2216" s="241"/>
      <c r="BE2216" s="107"/>
      <c r="BF2216" s="220"/>
    </row>
    <row r="2217" spans="49:58">
      <c r="AW2217" s="107"/>
      <c r="AX2217" s="195"/>
      <c r="AY2217" s="105"/>
      <c r="AZ2217" s="220"/>
      <c r="BA2217" s="241"/>
      <c r="BE2217" s="107"/>
      <c r="BF2217" s="220"/>
    </row>
    <row r="2218" spans="49:58">
      <c r="AW2218" s="107"/>
      <c r="AX2218" s="195"/>
      <c r="AY2218" s="105"/>
      <c r="AZ2218" s="220"/>
      <c r="BA2218" s="241"/>
      <c r="BE2218" s="107"/>
      <c r="BF2218" s="220"/>
    </row>
    <row r="2219" spans="49:58">
      <c r="AW2219" s="107"/>
      <c r="AX2219" s="195"/>
      <c r="AY2219" s="105"/>
      <c r="AZ2219" s="220"/>
      <c r="BA2219" s="241"/>
      <c r="BE2219" s="107"/>
      <c r="BF2219" s="220"/>
    </row>
    <row r="2220" spans="49:58">
      <c r="AW2220" s="107"/>
      <c r="AX2220" s="195"/>
      <c r="AY2220" s="105"/>
      <c r="AZ2220" s="220"/>
      <c r="BA2220" s="241"/>
      <c r="BE2220" s="107"/>
      <c r="BF2220" s="220"/>
    </row>
    <row r="2221" spans="49:58">
      <c r="AW2221" s="107"/>
      <c r="AX2221" s="195"/>
      <c r="AY2221" s="105"/>
      <c r="AZ2221" s="220"/>
      <c r="BA2221" s="241"/>
      <c r="BE2221" s="107"/>
      <c r="BF2221" s="220"/>
    </row>
    <row r="2222" spans="49:58">
      <c r="AW2222" s="107"/>
      <c r="AX2222" s="195"/>
      <c r="AY2222" s="105"/>
      <c r="AZ2222" s="220"/>
      <c r="BA2222" s="241"/>
      <c r="BE2222" s="107"/>
      <c r="BF2222" s="220"/>
    </row>
    <row r="2223" spans="49:58">
      <c r="AW2223" s="107"/>
      <c r="AX2223" s="195"/>
      <c r="AY2223" s="105"/>
      <c r="AZ2223" s="220"/>
      <c r="BA2223" s="241"/>
      <c r="BE2223" s="107"/>
      <c r="BF2223" s="220"/>
    </row>
    <row r="2224" spans="49:58">
      <c r="AW2224" s="107"/>
      <c r="AX2224" s="195"/>
      <c r="AY2224" s="105"/>
      <c r="AZ2224" s="220"/>
      <c r="BA2224" s="241"/>
      <c r="BE2224" s="107"/>
      <c r="BF2224" s="220"/>
    </row>
    <row r="2225" spans="49:58">
      <c r="AW2225" s="107"/>
      <c r="AX2225" s="195"/>
      <c r="AY2225" s="105"/>
      <c r="AZ2225" s="220"/>
      <c r="BA2225" s="241"/>
      <c r="BE2225" s="107"/>
      <c r="BF2225" s="220"/>
    </row>
    <row r="2226" spans="49:58">
      <c r="AW2226" s="107"/>
      <c r="AX2226" s="195"/>
      <c r="AY2226" s="105"/>
      <c r="AZ2226" s="220"/>
      <c r="BA2226" s="241"/>
      <c r="BE2226" s="107"/>
      <c r="BF2226" s="220"/>
    </row>
    <row r="2227" spans="49:58">
      <c r="AW2227" s="107"/>
      <c r="AX2227" s="195"/>
      <c r="AY2227" s="105"/>
      <c r="AZ2227" s="220"/>
      <c r="BA2227" s="241"/>
      <c r="BE2227" s="107"/>
      <c r="BF2227" s="220"/>
    </row>
    <row r="2228" spans="49:58">
      <c r="AW2228" s="107"/>
      <c r="AX2228" s="195"/>
      <c r="AY2228" s="105"/>
      <c r="AZ2228" s="220"/>
      <c r="BA2228" s="241"/>
      <c r="BE2228" s="107"/>
      <c r="BF2228" s="220"/>
    </row>
    <row r="2229" spans="49:58">
      <c r="AW2229" s="107"/>
      <c r="AX2229" s="195"/>
      <c r="AY2229" s="105"/>
      <c r="AZ2229" s="220"/>
      <c r="BA2229" s="241"/>
      <c r="BE2229" s="107"/>
      <c r="BF2229" s="220"/>
    </row>
    <row r="2230" spans="49:58">
      <c r="AW2230" s="107"/>
      <c r="AX2230" s="195"/>
      <c r="AY2230" s="105"/>
      <c r="AZ2230" s="220"/>
      <c r="BA2230" s="241"/>
      <c r="BE2230" s="107"/>
      <c r="BF2230" s="220"/>
    </row>
    <row r="2231" spans="49:58">
      <c r="AW2231" s="107"/>
      <c r="AX2231" s="195"/>
      <c r="AY2231" s="105"/>
      <c r="AZ2231" s="220"/>
      <c r="BA2231" s="241"/>
      <c r="BE2231" s="107"/>
      <c r="BF2231" s="220"/>
    </row>
    <row r="2232" spans="49:58">
      <c r="AW2232" s="107"/>
      <c r="AX2232" s="195"/>
      <c r="AY2232" s="105"/>
      <c r="AZ2232" s="220"/>
      <c r="BA2232" s="241"/>
      <c r="BE2232" s="107"/>
      <c r="BF2232" s="220"/>
    </row>
    <row r="2233" spans="49:58">
      <c r="AW2233" s="107"/>
      <c r="AX2233" s="195"/>
      <c r="AY2233" s="105"/>
      <c r="AZ2233" s="220"/>
      <c r="BA2233" s="241"/>
      <c r="BE2233" s="107"/>
      <c r="BF2233" s="220"/>
    </row>
    <row r="2234" spans="49:58">
      <c r="AW2234" s="107"/>
      <c r="AX2234" s="195"/>
      <c r="AY2234" s="105"/>
      <c r="AZ2234" s="220"/>
      <c r="BA2234" s="241"/>
      <c r="BE2234" s="107"/>
      <c r="BF2234" s="220"/>
    </row>
    <row r="2235" spans="49:58">
      <c r="AW2235" s="107"/>
      <c r="AX2235" s="195"/>
      <c r="AY2235" s="105"/>
      <c r="AZ2235" s="220"/>
      <c r="BA2235" s="241"/>
      <c r="BE2235" s="107"/>
      <c r="BF2235" s="220"/>
    </row>
    <row r="2236" spans="49:58">
      <c r="AW2236" s="107"/>
      <c r="AX2236" s="195"/>
      <c r="AY2236" s="105"/>
      <c r="AZ2236" s="220"/>
      <c r="BA2236" s="241"/>
      <c r="BE2236" s="107"/>
      <c r="BF2236" s="220"/>
    </row>
    <row r="2237" spans="49:58">
      <c r="AW2237" s="107"/>
      <c r="AX2237" s="195"/>
      <c r="AY2237" s="105"/>
      <c r="AZ2237" s="220"/>
      <c r="BA2237" s="241"/>
      <c r="BE2237" s="107"/>
      <c r="BF2237" s="220"/>
    </row>
    <row r="2238" spans="49:58">
      <c r="AW2238" s="107"/>
      <c r="AX2238" s="195"/>
      <c r="AY2238" s="105"/>
      <c r="AZ2238" s="220"/>
      <c r="BA2238" s="241"/>
      <c r="BE2238" s="107"/>
      <c r="BF2238" s="220"/>
    </row>
    <row r="2239" spans="49:58">
      <c r="AW2239" s="107"/>
      <c r="AX2239" s="195"/>
      <c r="AY2239" s="105"/>
      <c r="AZ2239" s="220"/>
      <c r="BA2239" s="241"/>
      <c r="BE2239" s="107"/>
      <c r="BF2239" s="220"/>
    </row>
    <row r="2240" spans="49:58">
      <c r="AW2240" s="107"/>
      <c r="AX2240" s="195"/>
      <c r="AY2240" s="105"/>
      <c r="AZ2240" s="220"/>
      <c r="BA2240" s="241"/>
      <c r="BE2240" s="107"/>
      <c r="BF2240" s="220"/>
    </row>
    <row r="2241" spans="49:58">
      <c r="AW2241" s="107"/>
      <c r="AX2241" s="195"/>
      <c r="AY2241" s="105"/>
      <c r="AZ2241" s="220"/>
      <c r="BA2241" s="241"/>
      <c r="BE2241" s="107"/>
      <c r="BF2241" s="220"/>
    </row>
    <row r="2242" spans="49:58">
      <c r="AW2242" s="107"/>
      <c r="AX2242" s="195"/>
      <c r="AY2242" s="105"/>
      <c r="AZ2242" s="220"/>
      <c r="BA2242" s="241"/>
      <c r="BE2242" s="107"/>
      <c r="BF2242" s="220"/>
    </row>
    <row r="2243" spans="49:58">
      <c r="AW2243" s="107"/>
      <c r="AX2243" s="195"/>
      <c r="AY2243" s="105"/>
      <c r="AZ2243" s="220"/>
      <c r="BA2243" s="241"/>
      <c r="BE2243" s="107"/>
      <c r="BF2243" s="220"/>
    </row>
    <row r="2244" spans="49:58">
      <c r="AW2244" s="107"/>
      <c r="AX2244" s="195"/>
      <c r="AY2244" s="105"/>
      <c r="AZ2244" s="220"/>
      <c r="BA2244" s="241"/>
      <c r="BE2244" s="107"/>
      <c r="BF2244" s="220"/>
    </row>
    <row r="2245" spans="49:58">
      <c r="AW2245" s="107"/>
      <c r="AX2245" s="195"/>
      <c r="AY2245" s="105"/>
      <c r="AZ2245" s="220"/>
      <c r="BA2245" s="241"/>
      <c r="BE2245" s="107"/>
      <c r="BF2245" s="220"/>
    </row>
    <row r="2246" spans="49:58">
      <c r="AW2246" s="107"/>
      <c r="AX2246" s="195"/>
      <c r="AY2246" s="105"/>
      <c r="AZ2246" s="220"/>
      <c r="BA2246" s="241"/>
      <c r="BE2246" s="107"/>
      <c r="BF2246" s="220"/>
    </row>
    <row r="2247" spans="49:58">
      <c r="AW2247" s="107"/>
      <c r="AX2247" s="195"/>
      <c r="AY2247" s="105"/>
      <c r="AZ2247" s="220"/>
      <c r="BA2247" s="241"/>
      <c r="BE2247" s="107"/>
      <c r="BF2247" s="220"/>
    </row>
    <row r="2248" spans="49:58">
      <c r="AW2248" s="107"/>
      <c r="AX2248" s="195"/>
      <c r="AY2248" s="105"/>
      <c r="AZ2248" s="220"/>
      <c r="BA2248" s="241"/>
      <c r="BE2248" s="107"/>
      <c r="BF2248" s="220"/>
    </row>
    <row r="2249" spans="49:58">
      <c r="AW2249" s="107"/>
      <c r="AX2249" s="195"/>
      <c r="AY2249" s="105"/>
      <c r="AZ2249" s="220"/>
      <c r="BA2249" s="241"/>
      <c r="BE2249" s="107"/>
      <c r="BF2249" s="220"/>
    </row>
    <row r="2250" spans="49:58">
      <c r="AW2250" s="107"/>
      <c r="AX2250" s="195"/>
      <c r="AY2250" s="105"/>
      <c r="AZ2250" s="220"/>
      <c r="BA2250" s="241"/>
      <c r="BE2250" s="107"/>
      <c r="BF2250" s="220"/>
    </row>
    <row r="2251" spans="49:58">
      <c r="AW2251" s="107"/>
      <c r="AX2251" s="195"/>
      <c r="AY2251" s="105"/>
      <c r="AZ2251" s="220"/>
      <c r="BA2251" s="241"/>
      <c r="BE2251" s="107"/>
      <c r="BF2251" s="220"/>
    </row>
    <row r="2252" spans="49:58">
      <c r="AW2252" s="107"/>
      <c r="AX2252" s="195"/>
      <c r="AY2252" s="105"/>
      <c r="AZ2252" s="220"/>
      <c r="BA2252" s="241"/>
      <c r="BE2252" s="107"/>
      <c r="BF2252" s="220"/>
    </row>
    <row r="2253" spans="49:58">
      <c r="AW2253" s="107"/>
      <c r="AX2253" s="195"/>
      <c r="AY2253" s="105"/>
      <c r="AZ2253" s="220"/>
      <c r="BA2253" s="241"/>
      <c r="BE2253" s="107"/>
      <c r="BF2253" s="220"/>
    </row>
    <row r="2254" spans="49:58">
      <c r="AW2254" s="107"/>
      <c r="AX2254" s="195"/>
      <c r="AY2254" s="105"/>
      <c r="AZ2254" s="220"/>
      <c r="BA2254" s="241"/>
      <c r="BE2254" s="107"/>
      <c r="BF2254" s="220"/>
    </row>
    <row r="2255" spans="49:58">
      <c r="AW2255" s="107"/>
      <c r="AX2255" s="195"/>
      <c r="AY2255" s="105"/>
      <c r="AZ2255" s="220"/>
      <c r="BA2255" s="241"/>
      <c r="BE2255" s="107"/>
      <c r="BF2255" s="220"/>
    </row>
    <row r="2256" spans="49:58">
      <c r="AW2256" s="107"/>
      <c r="AX2256" s="195"/>
      <c r="AY2256" s="105"/>
      <c r="AZ2256" s="220"/>
      <c r="BA2256" s="241"/>
      <c r="BE2256" s="107"/>
      <c r="BF2256" s="220"/>
    </row>
    <row r="2257" spans="49:58">
      <c r="AW2257" s="107"/>
      <c r="AX2257" s="195"/>
      <c r="AY2257" s="105"/>
      <c r="AZ2257" s="220"/>
      <c r="BA2257" s="241"/>
      <c r="BE2257" s="107"/>
      <c r="BF2257" s="220"/>
    </row>
    <row r="2258" spans="49:58">
      <c r="AW2258" s="107"/>
      <c r="AX2258" s="195"/>
      <c r="AY2258" s="105"/>
      <c r="AZ2258" s="220"/>
      <c r="BA2258" s="241"/>
      <c r="BE2258" s="107"/>
      <c r="BF2258" s="220"/>
    </row>
    <row r="2259" spans="49:58">
      <c r="AW2259" s="107"/>
      <c r="AX2259" s="195"/>
      <c r="AY2259" s="105"/>
      <c r="AZ2259" s="220"/>
      <c r="BA2259" s="241"/>
      <c r="BE2259" s="107"/>
      <c r="BF2259" s="220"/>
    </row>
    <row r="2260" spans="49:58">
      <c r="AW2260" s="107"/>
      <c r="AX2260" s="195"/>
      <c r="AY2260" s="105"/>
      <c r="AZ2260" s="220"/>
      <c r="BA2260" s="241"/>
      <c r="BE2260" s="107"/>
      <c r="BF2260" s="220"/>
    </row>
    <row r="2261" spans="49:58">
      <c r="AW2261" s="107"/>
      <c r="AX2261" s="195"/>
      <c r="AY2261" s="105"/>
      <c r="AZ2261" s="220"/>
      <c r="BA2261" s="241"/>
      <c r="BE2261" s="107"/>
      <c r="BF2261" s="220"/>
    </row>
    <row r="2262" spans="49:58">
      <c r="AW2262" s="107"/>
      <c r="AX2262" s="195"/>
      <c r="AY2262" s="105"/>
      <c r="AZ2262" s="220"/>
      <c r="BA2262" s="241"/>
      <c r="BE2262" s="107"/>
      <c r="BF2262" s="220"/>
    </row>
    <row r="2263" spans="49:58">
      <c r="AW2263" s="107"/>
      <c r="AX2263" s="195"/>
      <c r="AY2263" s="105"/>
      <c r="AZ2263" s="220"/>
      <c r="BA2263" s="241"/>
      <c r="BE2263" s="107"/>
      <c r="BF2263" s="220"/>
    </row>
    <row r="2264" spans="49:58">
      <c r="AW2264" s="107"/>
      <c r="AX2264" s="195"/>
      <c r="AY2264" s="105"/>
      <c r="AZ2264" s="220"/>
      <c r="BA2264" s="241"/>
      <c r="BE2264" s="107"/>
      <c r="BF2264" s="220"/>
    </row>
    <row r="2265" spans="49:58">
      <c r="AW2265" s="107"/>
      <c r="AX2265" s="195"/>
      <c r="AY2265" s="105"/>
      <c r="AZ2265" s="220"/>
      <c r="BA2265" s="241"/>
      <c r="BE2265" s="107"/>
      <c r="BF2265" s="220"/>
    </row>
    <row r="2266" spans="49:58">
      <c r="AW2266" s="107"/>
      <c r="AX2266" s="195"/>
      <c r="AY2266" s="105"/>
      <c r="AZ2266" s="220"/>
      <c r="BA2266" s="241"/>
      <c r="BE2266" s="107"/>
      <c r="BF2266" s="220"/>
    </row>
    <row r="2267" spans="49:58">
      <c r="AW2267" s="107"/>
      <c r="AX2267" s="195"/>
      <c r="AY2267" s="105"/>
      <c r="AZ2267" s="220"/>
      <c r="BA2267" s="241"/>
      <c r="BE2267" s="107"/>
      <c r="BF2267" s="220"/>
    </row>
    <row r="2268" spans="49:58">
      <c r="AW2268" s="107"/>
      <c r="AX2268" s="195"/>
      <c r="AY2268" s="105"/>
      <c r="AZ2268" s="220"/>
      <c r="BA2268" s="241"/>
      <c r="BE2268" s="107"/>
      <c r="BF2268" s="220"/>
    </row>
    <row r="2269" spans="49:58">
      <c r="AW2269" s="107"/>
      <c r="AX2269" s="195"/>
      <c r="AY2269" s="105"/>
      <c r="AZ2269" s="220"/>
      <c r="BA2269" s="241"/>
      <c r="BE2269" s="107"/>
      <c r="BF2269" s="220"/>
    </row>
    <row r="2270" spans="49:58">
      <c r="AW2270" s="107"/>
      <c r="AX2270" s="195"/>
      <c r="AY2270" s="105"/>
      <c r="AZ2270" s="220"/>
      <c r="BA2270" s="241"/>
      <c r="BE2270" s="107"/>
      <c r="BF2270" s="220"/>
    </row>
    <row r="2271" spans="49:58">
      <c r="AW2271" s="107"/>
      <c r="AX2271" s="195"/>
      <c r="AY2271" s="105"/>
      <c r="AZ2271" s="220"/>
      <c r="BA2271" s="241"/>
      <c r="BE2271" s="107"/>
      <c r="BF2271" s="220"/>
    </row>
    <row r="2272" spans="49:58">
      <c r="AW2272" s="107"/>
      <c r="AX2272" s="195"/>
      <c r="AY2272" s="105"/>
      <c r="AZ2272" s="220"/>
      <c r="BA2272" s="241"/>
      <c r="BE2272" s="107"/>
      <c r="BF2272" s="220"/>
    </row>
    <row r="2273" spans="49:58">
      <c r="AW2273" s="107"/>
      <c r="AX2273" s="195"/>
      <c r="AY2273" s="105"/>
      <c r="AZ2273" s="220"/>
      <c r="BA2273" s="241"/>
      <c r="BE2273" s="107"/>
      <c r="BF2273" s="220"/>
    </row>
    <row r="2274" spans="49:58">
      <c r="AW2274" s="107"/>
      <c r="AX2274" s="195"/>
      <c r="AY2274" s="105"/>
      <c r="AZ2274" s="220"/>
      <c r="BA2274" s="241"/>
      <c r="BE2274" s="107"/>
      <c r="BF2274" s="220"/>
    </row>
    <row r="2275" spans="49:58">
      <c r="AW2275" s="107"/>
      <c r="AX2275" s="195"/>
      <c r="AY2275" s="105"/>
      <c r="AZ2275" s="220"/>
      <c r="BA2275" s="241"/>
      <c r="BE2275" s="107"/>
      <c r="BF2275" s="220"/>
    </row>
    <row r="2276" spans="49:58">
      <c r="AW2276" s="107"/>
      <c r="AX2276" s="195"/>
      <c r="AY2276" s="105"/>
      <c r="AZ2276" s="220"/>
      <c r="BA2276" s="241"/>
      <c r="BE2276" s="107"/>
      <c r="BF2276" s="220"/>
    </row>
    <row r="2277" spans="49:58">
      <c r="AW2277" s="107"/>
      <c r="AX2277" s="195"/>
      <c r="AY2277" s="105"/>
      <c r="AZ2277" s="220"/>
      <c r="BA2277" s="241"/>
      <c r="BE2277" s="107"/>
      <c r="BF2277" s="220"/>
    </row>
    <row r="2278" spans="49:58">
      <c r="AW2278" s="107"/>
      <c r="AX2278" s="195"/>
      <c r="AY2278" s="105"/>
      <c r="AZ2278" s="220"/>
      <c r="BA2278" s="241"/>
      <c r="BE2278" s="107"/>
      <c r="BF2278" s="220"/>
    </row>
    <row r="2279" spans="49:58">
      <c r="AW2279" s="107"/>
      <c r="AX2279" s="195"/>
      <c r="AY2279" s="105"/>
      <c r="AZ2279" s="220"/>
      <c r="BA2279" s="241"/>
      <c r="BE2279" s="107"/>
      <c r="BF2279" s="220"/>
    </row>
    <row r="2280" spans="49:58">
      <c r="AW2280" s="107"/>
      <c r="AX2280" s="195"/>
      <c r="AY2280" s="105"/>
      <c r="AZ2280" s="220"/>
      <c r="BA2280" s="241"/>
      <c r="BE2280" s="107"/>
      <c r="BF2280" s="220"/>
    </row>
    <row r="2281" spans="49:58">
      <c r="AW2281" s="107"/>
      <c r="AX2281" s="195"/>
      <c r="AY2281" s="105"/>
      <c r="AZ2281" s="220"/>
      <c r="BA2281" s="241"/>
      <c r="BE2281" s="107"/>
      <c r="BF2281" s="220"/>
    </row>
    <row r="2282" spans="49:58">
      <c r="AW2282" s="107"/>
      <c r="AX2282" s="195"/>
      <c r="AY2282" s="105"/>
      <c r="AZ2282" s="220"/>
      <c r="BA2282" s="241"/>
      <c r="BE2282" s="107"/>
      <c r="BF2282" s="220"/>
    </row>
    <row r="2283" spans="49:58">
      <c r="AW2283" s="107"/>
      <c r="AX2283" s="195"/>
      <c r="AY2283" s="105"/>
      <c r="AZ2283" s="220"/>
      <c r="BA2283" s="241"/>
      <c r="BE2283" s="107"/>
      <c r="BF2283" s="220"/>
    </row>
    <row r="2284" spans="49:58">
      <c r="AW2284" s="107"/>
      <c r="AX2284" s="195"/>
      <c r="AY2284" s="105"/>
      <c r="AZ2284" s="220"/>
      <c r="BA2284" s="241"/>
      <c r="BE2284" s="107"/>
      <c r="BF2284" s="220"/>
    </row>
    <row r="2285" spans="49:58">
      <c r="AW2285" s="107"/>
      <c r="AX2285" s="195"/>
      <c r="AY2285" s="105"/>
      <c r="AZ2285" s="220"/>
      <c r="BA2285" s="241"/>
      <c r="BE2285" s="107"/>
      <c r="BF2285" s="220"/>
    </row>
    <row r="2286" spans="49:58">
      <c r="AW2286" s="107"/>
      <c r="AX2286" s="195"/>
      <c r="AY2286" s="105"/>
      <c r="AZ2286" s="220"/>
      <c r="BA2286" s="241"/>
      <c r="BE2286" s="107"/>
      <c r="BF2286" s="220"/>
    </row>
    <row r="2287" spans="49:58">
      <c r="AW2287" s="107"/>
      <c r="AX2287" s="195"/>
      <c r="AY2287" s="105"/>
      <c r="AZ2287" s="220"/>
      <c r="BA2287" s="241"/>
      <c r="BE2287" s="107"/>
      <c r="BF2287" s="220"/>
    </row>
    <row r="2288" spans="49:58">
      <c r="AW2288" s="107"/>
      <c r="AX2288" s="195"/>
      <c r="AY2288" s="105"/>
      <c r="AZ2288" s="220"/>
      <c r="BA2288" s="241"/>
      <c r="BE2288" s="107"/>
      <c r="BF2288" s="220"/>
    </row>
    <row r="2289" spans="49:58">
      <c r="AW2289" s="107"/>
      <c r="AX2289" s="195"/>
      <c r="AY2289" s="105"/>
      <c r="AZ2289" s="220"/>
      <c r="BA2289" s="241"/>
      <c r="BE2289" s="107"/>
      <c r="BF2289" s="220"/>
    </row>
    <row r="2290" spans="49:58">
      <c r="AW2290" s="107"/>
      <c r="AX2290" s="195"/>
      <c r="AY2290" s="105"/>
      <c r="AZ2290" s="220"/>
      <c r="BA2290" s="241"/>
      <c r="BE2290" s="107"/>
      <c r="BF2290" s="220"/>
    </row>
    <row r="2291" spans="49:58">
      <c r="AW2291" s="107"/>
      <c r="AX2291" s="195"/>
      <c r="AY2291" s="105"/>
      <c r="AZ2291" s="220"/>
      <c r="BA2291" s="241"/>
      <c r="BE2291" s="107"/>
      <c r="BF2291" s="220"/>
    </row>
    <row r="2292" spans="49:58">
      <c r="AW2292" s="107"/>
      <c r="AX2292" s="195"/>
      <c r="AY2292" s="105"/>
      <c r="AZ2292" s="220"/>
      <c r="BA2292" s="241"/>
      <c r="BE2292" s="107"/>
      <c r="BF2292" s="220"/>
    </row>
    <row r="2293" spans="49:58">
      <c r="AW2293" s="107"/>
      <c r="AX2293" s="195"/>
      <c r="AY2293" s="105"/>
      <c r="AZ2293" s="220"/>
      <c r="BA2293" s="241"/>
      <c r="BE2293" s="107"/>
      <c r="BF2293" s="220"/>
    </row>
    <row r="2294" spans="49:58">
      <c r="AW2294" s="107"/>
      <c r="AX2294" s="195"/>
      <c r="AY2294" s="105"/>
      <c r="AZ2294" s="220"/>
      <c r="BA2294" s="241"/>
      <c r="BE2294" s="107"/>
      <c r="BF2294" s="220"/>
    </row>
    <row r="2295" spans="49:58">
      <c r="AW2295" s="107"/>
      <c r="AX2295" s="195"/>
      <c r="AY2295" s="105"/>
      <c r="AZ2295" s="220"/>
      <c r="BA2295" s="241"/>
      <c r="BE2295" s="107"/>
      <c r="BF2295" s="220"/>
    </row>
    <row r="2296" spans="49:58">
      <c r="AW2296" s="107"/>
      <c r="AX2296" s="195"/>
      <c r="AY2296" s="105"/>
      <c r="AZ2296" s="220"/>
      <c r="BA2296" s="241"/>
      <c r="BE2296" s="107"/>
      <c r="BF2296" s="220"/>
    </row>
    <row r="2297" spans="49:58">
      <c r="AW2297" s="107"/>
      <c r="AX2297" s="195"/>
      <c r="AY2297" s="105"/>
      <c r="AZ2297" s="220"/>
      <c r="BA2297" s="241"/>
      <c r="BE2297" s="107"/>
      <c r="BF2297" s="220"/>
    </row>
    <row r="2298" spans="49:58">
      <c r="AW2298" s="107"/>
      <c r="AX2298" s="195"/>
      <c r="AY2298" s="105"/>
      <c r="AZ2298" s="220"/>
      <c r="BA2298" s="241"/>
      <c r="BE2298" s="107"/>
      <c r="BF2298" s="220"/>
    </row>
    <row r="2299" spans="49:58">
      <c r="AW2299" s="107"/>
      <c r="AX2299" s="195"/>
      <c r="AY2299" s="105"/>
      <c r="AZ2299" s="220"/>
      <c r="BA2299" s="241"/>
      <c r="BE2299" s="107"/>
      <c r="BF2299" s="220"/>
    </row>
    <row r="2300" spans="49:58">
      <c r="AW2300" s="107"/>
      <c r="AX2300" s="195"/>
      <c r="AY2300" s="105"/>
      <c r="AZ2300" s="220"/>
      <c r="BA2300" s="241"/>
      <c r="BE2300" s="107"/>
      <c r="BF2300" s="220"/>
    </row>
    <row r="2301" spans="49:58">
      <c r="AW2301" s="107"/>
      <c r="AX2301" s="195"/>
      <c r="AY2301" s="105"/>
      <c r="AZ2301" s="220"/>
      <c r="BA2301" s="241"/>
      <c r="BE2301" s="107"/>
      <c r="BF2301" s="220"/>
    </row>
    <row r="2302" spans="49:58">
      <c r="AW2302" s="107"/>
      <c r="AX2302" s="195"/>
      <c r="AY2302" s="105"/>
      <c r="AZ2302" s="220"/>
      <c r="BA2302" s="241"/>
      <c r="BE2302" s="107"/>
      <c r="BF2302" s="220"/>
    </row>
    <row r="2303" spans="49:58">
      <c r="AW2303" s="107"/>
      <c r="AX2303" s="195"/>
      <c r="AY2303" s="105"/>
      <c r="AZ2303" s="220"/>
      <c r="BA2303" s="241"/>
      <c r="BE2303" s="107"/>
      <c r="BF2303" s="220"/>
    </row>
    <row r="2304" spans="49:58">
      <c r="AW2304" s="107"/>
      <c r="AX2304" s="195"/>
      <c r="AY2304" s="105"/>
      <c r="AZ2304" s="220"/>
      <c r="BA2304" s="241"/>
      <c r="BE2304" s="107"/>
      <c r="BF2304" s="220"/>
    </row>
    <row r="2305" spans="49:58">
      <c r="AW2305" s="107"/>
      <c r="AX2305" s="195"/>
      <c r="AY2305" s="105"/>
      <c r="AZ2305" s="220"/>
      <c r="BA2305" s="241"/>
      <c r="BE2305" s="107"/>
      <c r="BF2305" s="220"/>
    </row>
    <row r="2306" spans="49:58">
      <c r="AW2306" s="107"/>
      <c r="AX2306" s="195"/>
      <c r="AY2306" s="105"/>
      <c r="AZ2306" s="220"/>
      <c r="BA2306" s="241"/>
      <c r="BE2306" s="107"/>
      <c r="BF2306" s="220"/>
    </row>
    <row r="2307" spans="49:58">
      <c r="AW2307" s="107"/>
      <c r="AX2307" s="195"/>
      <c r="AY2307" s="105"/>
      <c r="AZ2307" s="220"/>
      <c r="BA2307" s="241"/>
      <c r="BE2307" s="107"/>
      <c r="BF2307" s="220"/>
    </row>
    <row r="2308" spans="49:58">
      <c r="AW2308" s="107"/>
      <c r="AX2308" s="195"/>
      <c r="AY2308" s="105"/>
      <c r="AZ2308" s="220"/>
      <c r="BA2308" s="241"/>
      <c r="BE2308" s="107"/>
      <c r="BF2308" s="220"/>
    </row>
    <row r="2309" spans="49:58">
      <c r="AW2309" s="107"/>
      <c r="AX2309" s="195"/>
      <c r="AY2309" s="105"/>
      <c r="AZ2309" s="220"/>
      <c r="BA2309" s="241"/>
      <c r="BE2309" s="107"/>
      <c r="BF2309" s="220"/>
    </row>
    <row r="2310" spans="49:58">
      <c r="AW2310" s="107"/>
      <c r="AX2310" s="195"/>
      <c r="AY2310" s="105"/>
      <c r="AZ2310" s="220"/>
      <c r="BA2310" s="241"/>
      <c r="BE2310" s="107"/>
      <c r="BF2310" s="220"/>
    </row>
    <row r="2311" spans="49:58">
      <c r="AW2311" s="107"/>
      <c r="AX2311" s="195"/>
      <c r="AY2311" s="105"/>
      <c r="AZ2311" s="220"/>
      <c r="BA2311" s="241"/>
      <c r="BE2311" s="107"/>
      <c r="BF2311" s="220"/>
    </row>
    <row r="2312" spans="49:58">
      <c r="AW2312" s="107"/>
      <c r="AX2312" s="195"/>
      <c r="AY2312" s="105"/>
      <c r="AZ2312" s="220"/>
      <c r="BA2312" s="241"/>
      <c r="BE2312" s="107"/>
      <c r="BF2312" s="220"/>
    </row>
    <row r="2313" spans="49:58">
      <c r="AW2313" s="107"/>
      <c r="AX2313" s="195"/>
      <c r="AY2313" s="105"/>
      <c r="AZ2313" s="220"/>
      <c r="BA2313" s="241"/>
      <c r="BE2313" s="107"/>
      <c r="BF2313" s="220"/>
    </row>
    <row r="2314" spans="49:58">
      <c r="AW2314" s="107"/>
      <c r="AX2314" s="195"/>
      <c r="AY2314" s="105"/>
      <c r="AZ2314" s="220"/>
      <c r="BA2314" s="241"/>
      <c r="BE2314" s="107"/>
      <c r="BF2314" s="220"/>
    </row>
    <row r="2315" spans="49:58">
      <c r="AW2315" s="107"/>
      <c r="AX2315" s="195"/>
      <c r="AY2315" s="105"/>
      <c r="AZ2315" s="220"/>
      <c r="BA2315" s="241"/>
      <c r="BE2315" s="107"/>
      <c r="BF2315" s="220"/>
    </row>
    <row r="2316" spans="49:58">
      <c r="AW2316" s="107"/>
      <c r="AX2316" s="195"/>
      <c r="AY2316" s="105"/>
      <c r="AZ2316" s="220"/>
      <c r="BA2316" s="241"/>
      <c r="BE2316" s="107"/>
      <c r="BF2316" s="220"/>
    </row>
    <row r="2317" spans="49:58">
      <c r="AW2317" s="107"/>
      <c r="AX2317" s="195"/>
      <c r="AY2317" s="105"/>
      <c r="AZ2317" s="220"/>
      <c r="BA2317" s="241"/>
      <c r="BE2317" s="107"/>
      <c r="BF2317" s="220"/>
    </row>
    <row r="2318" spans="49:58">
      <c r="AW2318" s="107"/>
      <c r="AX2318" s="195"/>
      <c r="AY2318" s="105"/>
      <c r="AZ2318" s="220"/>
      <c r="BA2318" s="241"/>
      <c r="BE2318" s="107"/>
      <c r="BF2318" s="220"/>
    </row>
    <row r="2319" spans="49:58">
      <c r="AW2319" s="107"/>
      <c r="AX2319" s="195"/>
      <c r="AY2319" s="105"/>
      <c r="AZ2319" s="220"/>
      <c r="BA2319" s="241"/>
      <c r="BE2319" s="107"/>
      <c r="BF2319" s="220"/>
    </row>
    <row r="2320" spans="49:58">
      <c r="AW2320" s="107"/>
      <c r="AX2320" s="195"/>
      <c r="AY2320" s="105"/>
      <c r="AZ2320" s="220"/>
      <c r="BA2320" s="241"/>
      <c r="BE2320" s="107"/>
      <c r="BF2320" s="220"/>
    </row>
    <row r="2321" spans="49:58">
      <c r="AW2321" s="107"/>
      <c r="AX2321" s="195"/>
      <c r="AY2321" s="105"/>
      <c r="AZ2321" s="220"/>
      <c r="BA2321" s="241"/>
      <c r="BE2321" s="107"/>
      <c r="BF2321" s="220"/>
    </row>
    <row r="2322" spans="49:58">
      <c r="AW2322" s="107"/>
      <c r="AX2322" s="195"/>
      <c r="AY2322" s="105"/>
      <c r="AZ2322" s="220"/>
      <c r="BA2322" s="241"/>
      <c r="BE2322" s="107"/>
      <c r="BF2322" s="220"/>
    </row>
    <row r="2323" spans="49:58">
      <c r="AW2323" s="107"/>
      <c r="AX2323" s="195"/>
      <c r="AY2323" s="105"/>
      <c r="AZ2323" s="220"/>
      <c r="BA2323" s="241"/>
      <c r="BE2323" s="107"/>
      <c r="BF2323" s="220"/>
    </row>
    <row r="2324" spans="49:58">
      <c r="AW2324" s="107"/>
      <c r="AX2324" s="195"/>
      <c r="AY2324" s="105"/>
      <c r="AZ2324" s="220"/>
      <c r="BA2324" s="241"/>
      <c r="BE2324" s="107"/>
      <c r="BF2324" s="220"/>
    </row>
    <row r="2325" spans="49:58">
      <c r="AW2325" s="107"/>
      <c r="AX2325" s="195"/>
      <c r="AY2325" s="105"/>
      <c r="AZ2325" s="220"/>
      <c r="BA2325" s="241"/>
      <c r="BE2325" s="107"/>
      <c r="BF2325" s="220"/>
    </row>
    <row r="2326" spans="49:58">
      <c r="AW2326" s="107"/>
      <c r="AX2326" s="195"/>
      <c r="AY2326" s="105"/>
      <c r="AZ2326" s="220"/>
      <c r="BA2326" s="241"/>
      <c r="BE2326" s="107"/>
      <c r="BF2326" s="220"/>
    </row>
    <row r="2327" spans="49:58">
      <c r="AW2327" s="107"/>
      <c r="AX2327" s="195"/>
      <c r="AY2327" s="105"/>
      <c r="AZ2327" s="220"/>
      <c r="BA2327" s="241"/>
      <c r="BE2327" s="107"/>
      <c r="BF2327" s="220"/>
    </row>
    <row r="2328" spans="49:58">
      <c r="AW2328" s="107"/>
      <c r="AX2328" s="195"/>
      <c r="AY2328" s="105"/>
      <c r="AZ2328" s="220"/>
      <c r="BA2328" s="241"/>
      <c r="BE2328" s="107"/>
      <c r="BF2328" s="220"/>
    </row>
    <row r="2329" spans="49:58">
      <c r="AW2329" s="107"/>
      <c r="AX2329" s="195"/>
      <c r="AY2329" s="105"/>
      <c r="AZ2329" s="220"/>
      <c r="BA2329" s="241"/>
      <c r="BE2329" s="107"/>
      <c r="BF2329" s="220"/>
    </row>
    <row r="2330" spans="49:58">
      <c r="AW2330" s="107"/>
      <c r="AX2330" s="195"/>
      <c r="AY2330" s="105"/>
      <c r="AZ2330" s="220"/>
      <c r="BA2330" s="241"/>
      <c r="BE2330" s="107"/>
      <c r="BF2330" s="220"/>
    </row>
    <row r="2331" spans="49:58">
      <c r="AW2331" s="107"/>
      <c r="AX2331" s="195"/>
      <c r="AY2331" s="105"/>
      <c r="AZ2331" s="220"/>
      <c r="BA2331" s="241"/>
      <c r="BE2331" s="107"/>
      <c r="BF2331" s="220"/>
    </row>
    <row r="2332" spans="49:58">
      <c r="AW2332" s="107"/>
      <c r="AX2332" s="195"/>
      <c r="AY2332" s="105"/>
      <c r="AZ2332" s="220"/>
      <c r="BA2332" s="241"/>
      <c r="BE2332" s="107"/>
      <c r="BF2332" s="220"/>
    </row>
    <row r="2333" spans="49:58">
      <c r="AW2333" s="107"/>
      <c r="AX2333" s="195"/>
      <c r="AY2333" s="105"/>
      <c r="AZ2333" s="220"/>
      <c r="BA2333" s="241"/>
      <c r="BE2333" s="107"/>
      <c r="BF2333" s="220"/>
    </row>
    <row r="2334" spans="49:58">
      <c r="AW2334" s="107"/>
      <c r="AX2334" s="195"/>
      <c r="AY2334" s="105"/>
      <c r="AZ2334" s="220"/>
      <c r="BA2334" s="241"/>
      <c r="BE2334" s="107"/>
      <c r="BF2334" s="220"/>
    </row>
    <row r="2335" spans="49:58">
      <c r="AW2335" s="107"/>
      <c r="AX2335" s="195"/>
      <c r="AY2335" s="105"/>
      <c r="AZ2335" s="220"/>
      <c r="BA2335" s="241"/>
      <c r="BE2335" s="107"/>
      <c r="BF2335" s="220"/>
    </row>
    <row r="2336" spans="49:58">
      <c r="AW2336" s="107"/>
      <c r="AX2336" s="195"/>
      <c r="AY2336" s="105"/>
      <c r="AZ2336" s="220"/>
      <c r="BA2336" s="241"/>
      <c r="BE2336" s="107"/>
      <c r="BF2336" s="220"/>
    </row>
    <row r="2337" spans="49:58">
      <c r="AW2337" s="107"/>
      <c r="AX2337" s="195"/>
      <c r="AY2337" s="105"/>
      <c r="AZ2337" s="220"/>
      <c r="BA2337" s="241"/>
      <c r="BE2337" s="107"/>
      <c r="BF2337" s="220"/>
    </row>
    <row r="2338" spans="49:58">
      <c r="AW2338" s="107"/>
      <c r="AX2338" s="195"/>
      <c r="AY2338" s="105"/>
      <c r="AZ2338" s="220"/>
      <c r="BA2338" s="241"/>
      <c r="BE2338" s="107"/>
      <c r="BF2338" s="220"/>
    </row>
    <row r="2339" spans="49:58">
      <c r="AW2339" s="107"/>
      <c r="AX2339" s="195"/>
      <c r="AY2339" s="105"/>
      <c r="AZ2339" s="220"/>
      <c r="BA2339" s="241"/>
      <c r="BE2339" s="107"/>
      <c r="BF2339" s="220"/>
    </row>
    <row r="2340" spans="49:58">
      <c r="AW2340" s="107"/>
      <c r="AX2340" s="195"/>
      <c r="AY2340" s="105"/>
      <c r="AZ2340" s="220"/>
      <c r="BA2340" s="241"/>
      <c r="BE2340" s="107"/>
      <c r="BF2340" s="220"/>
    </row>
    <row r="2341" spans="49:58">
      <c r="AW2341" s="107"/>
      <c r="AX2341" s="195"/>
      <c r="AY2341" s="105"/>
      <c r="AZ2341" s="220"/>
      <c r="BA2341" s="241"/>
      <c r="BE2341" s="107"/>
      <c r="BF2341" s="220"/>
    </row>
    <row r="2342" spans="49:58">
      <c r="AW2342" s="107"/>
      <c r="AX2342" s="195"/>
      <c r="AY2342" s="105"/>
      <c r="AZ2342" s="220"/>
      <c r="BA2342" s="241"/>
      <c r="BE2342" s="107"/>
      <c r="BF2342" s="220"/>
    </row>
    <row r="2343" spans="49:58">
      <c r="AW2343" s="107"/>
      <c r="AX2343" s="195"/>
      <c r="AY2343" s="105"/>
      <c r="AZ2343" s="220"/>
      <c r="BA2343" s="241"/>
      <c r="BE2343" s="107"/>
      <c r="BF2343" s="220"/>
    </row>
    <row r="2344" spans="49:58">
      <c r="AW2344" s="107"/>
      <c r="AX2344" s="195"/>
      <c r="AY2344" s="105"/>
      <c r="AZ2344" s="220"/>
      <c r="BA2344" s="241"/>
      <c r="BE2344" s="107"/>
      <c r="BF2344" s="220"/>
    </row>
    <row r="2345" spans="49:58">
      <c r="AW2345" s="107"/>
      <c r="AX2345" s="195"/>
      <c r="AY2345" s="105"/>
      <c r="AZ2345" s="220"/>
      <c r="BA2345" s="241"/>
      <c r="BE2345" s="107"/>
      <c r="BF2345" s="220"/>
    </row>
    <row r="2346" spans="49:58">
      <c r="AW2346" s="107"/>
      <c r="AX2346" s="195"/>
      <c r="AY2346" s="105"/>
      <c r="AZ2346" s="220"/>
      <c r="BA2346" s="241"/>
      <c r="BE2346" s="107"/>
      <c r="BF2346" s="220"/>
    </row>
    <row r="2347" spans="49:58">
      <c r="AW2347" s="107"/>
      <c r="AX2347" s="195"/>
      <c r="AY2347" s="105"/>
      <c r="AZ2347" s="220"/>
      <c r="BA2347" s="241"/>
      <c r="BE2347" s="107"/>
      <c r="BF2347" s="220"/>
    </row>
    <row r="2348" spans="49:58">
      <c r="AW2348" s="107"/>
      <c r="AX2348" s="195"/>
      <c r="AY2348" s="105"/>
      <c r="AZ2348" s="220"/>
      <c r="BA2348" s="241"/>
      <c r="BE2348" s="107"/>
      <c r="BF2348" s="220"/>
    </row>
    <row r="2349" spans="49:58">
      <c r="AW2349" s="107"/>
      <c r="AX2349" s="195"/>
      <c r="AY2349" s="105"/>
      <c r="AZ2349" s="220"/>
      <c r="BA2349" s="241"/>
      <c r="BE2349" s="107"/>
      <c r="BF2349" s="220"/>
    </row>
    <row r="2350" spans="49:58">
      <c r="AW2350" s="107"/>
      <c r="AX2350" s="195"/>
      <c r="AY2350" s="105"/>
      <c r="AZ2350" s="220"/>
      <c r="BA2350" s="241"/>
      <c r="BE2350" s="107"/>
      <c r="BF2350" s="220"/>
    </row>
    <row r="2351" spans="49:58">
      <c r="AW2351" s="107"/>
      <c r="AX2351" s="195"/>
      <c r="AY2351" s="105"/>
      <c r="AZ2351" s="220"/>
      <c r="BA2351" s="241"/>
      <c r="BE2351" s="107"/>
      <c r="BF2351" s="220"/>
    </row>
    <row r="2352" spans="49:58">
      <c r="AW2352" s="107"/>
      <c r="AX2352" s="195"/>
      <c r="AY2352" s="105"/>
      <c r="AZ2352" s="220"/>
      <c r="BA2352" s="241"/>
      <c r="BE2352" s="107"/>
      <c r="BF2352" s="220"/>
    </row>
    <row r="2353" spans="49:58">
      <c r="AW2353" s="107"/>
      <c r="AX2353" s="195"/>
      <c r="AY2353" s="105"/>
      <c r="AZ2353" s="220"/>
      <c r="BA2353" s="241"/>
      <c r="BE2353" s="107"/>
      <c r="BF2353" s="220"/>
    </row>
    <row r="2354" spans="49:58">
      <c r="AW2354" s="107"/>
      <c r="AX2354" s="195"/>
      <c r="AY2354" s="105"/>
      <c r="AZ2354" s="220"/>
      <c r="BA2354" s="241"/>
      <c r="BE2354" s="107"/>
      <c r="BF2354" s="220"/>
    </row>
    <row r="2355" spans="49:58">
      <c r="AW2355" s="107"/>
      <c r="AX2355" s="195"/>
      <c r="AY2355" s="105"/>
      <c r="AZ2355" s="220"/>
      <c r="BA2355" s="241"/>
      <c r="BE2355" s="107"/>
      <c r="BF2355" s="220"/>
    </row>
    <row r="2356" spans="49:58">
      <c r="AW2356" s="107"/>
      <c r="AX2356" s="195"/>
      <c r="AY2356" s="105"/>
      <c r="AZ2356" s="220"/>
      <c r="BA2356" s="241"/>
      <c r="BE2356" s="107"/>
      <c r="BF2356" s="220"/>
    </row>
    <row r="2357" spans="49:58">
      <c r="AW2357" s="107"/>
      <c r="AX2357" s="195"/>
      <c r="AY2357" s="105"/>
      <c r="AZ2357" s="220"/>
      <c r="BA2357" s="241"/>
      <c r="BE2357" s="107"/>
      <c r="BF2357" s="220"/>
    </row>
    <row r="2358" spans="49:58">
      <c r="AW2358" s="107"/>
      <c r="AX2358" s="195"/>
      <c r="AY2358" s="105"/>
      <c r="AZ2358" s="220"/>
      <c r="BA2358" s="241"/>
      <c r="BE2358" s="107"/>
      <c r="BF2358" s="220"/>
    </row>
    <row r="2359" spans="49:58">
      <c r="AW2359" s="107"/>
      <c r="AX2359" s="195"/>
      <c r="AY2359" s="105"/>
      <c r="AZ2359" s="220"/>
      <c r="BA2359" s="241"/>
      <c r="BE2359" s="107"/>
      <c r="BF2359" s="220"/>
    </row>
    <row r="2360" spans="49:58">
      <c r="AW2360" s="107"/>
      <c r="AX2360" s="195"/>
      <c r="AY2360" s="105"/>
      <c r="AZ2360" s="220"/>
      <c r="BA2360" s="241"/>
      <c r="BE2360" s="107"/>
      <c r="BF2360" s="220"/>
    </row>
    <row r="2361" spans="49:58">
      <c r="AW2361" s="107"/>
      <c r="AX2361" s="195"/>
      <c r="AY2361" s="105"/>
      <c r="AZ2361" s="220"/>
      <c r="BA2361" s="241"/>
      <c r="BE2361" s="107"/>
      <c r="BF2361" s="220"/>
    </row>
    <row r="2362" spans="49:58">
      <c r="AW2362" s="107"/>
      <c r="AX2362" s="195"/>
      <c r="AY2362" s="105"/>
      <c r="AZ2362" s="220"/>
      <c r="BA2362" s="241"/>
      <c r="BE2362" s="107"/>
      <c r="BF2362" s="220"/>
    </row>
    <row r="2363" spans="49:58">
      <c r="AW2363" s="107"/>
      <c r="AX2363" s="195"/>
      <c r="AY2363" s="105"/>
      <c r="AZ2363" s="220"/>
      <c r="BA2363" s="241"/>
      <c r="BE2363" s="107"/>
      <c r="BF2363" s="220"/>
    </row>
    <row r="2364" spans="49:58">
      <c r="AW2364" s="107"/>
      <c r="AX2364" s="195"/>
      <c r="AY2364" s="105"/>
      <c r="AZ2364" s="220"/>
      <c r="BA2364" s="241"/>
      <c r="BE2364" s="107"/>
      <c r="BF2364" s="220"/>
    </row>
    <row r="2365" spans="49:58">
      <c r="AW2365" s="107"/>
      <c r="AX2365" s="195"/>
      <c r="AY2365" s="105"/>
      <c r="AZ2365" s="220"/>
      <c r="BA2365" s="241"/>
      <c r="BE2365" s="107"/>
      <c r="BF2365" s="220"/>
    </row>
    <row r="2366" spans="49:58">
      <c r="AW2366" s="107"/>
      <c r="AX2366" s="195"/>
      <c r="AY2366" s="105"/>
      <c r="AZ2366" s="220"/>
      <c r="BA2366" s="241"/>
      <c r="BE2366" s="107"/>
      <c r="BF2366" s="220"/>
    </row>
    <row r="2367" spans="49:58">
      <c r="AW2367" s="107"/>
      <c r="AX2367" s="195"/>
      <c r="AY2367" s="105"/>
      <c r="AZ2367" s="220"/>
      <c r="BA2367" s="241"/>
      <c r="BE2367" s="107"/>
      <c r="BF2367" s="220"/>
    </row>
    <row r="2368" spans="49:58">
      <c r="AW2368" s="107"/>
      <c r="AX2368" s="195"/>
      <c r="AY2368" s="105"/>
      <c r="AZ2368" s="220"/>
      <c r="BA2368" s="241"/>
      <c r="BE2368" s="107"/>
      <c r="BF2368" s="220"/>
    </row>
    <row r="2369" spans="49:58">
      <c r="AW2369" s="107"/>
      <c r="AX2369" s="195"/>
      <c r="AY2369" s="105"/>
      <c r="AZ2369" s="220"/>
      <c r="BA2369" s="241"/>
      <c r="BE2369" s="107"/>
      <c r="BF2369" s="220"/>
    </row>
    <row r="2370" spans="49:58">
      <c r="AW2370" s="107"/>
      <c r="AX2370" s="195"/>
      <c r="AY2370" s="105"/>
      <c r="AZ2370" s="220"/>
      <c r="BA2370" s="241"/>
      <c r="BE2370" s="107"/>
      <c r="BF2370" s="220"/>
    </row>
    <row r="2371" spans="49:58">
      <c r="AW2371" s="107"/>
      <c r="AX2371" s="195"/>
      <c r="AY2371" s="105"/>
      <c r="AZ2371" s="220"/>
      <c r="BA2371" s="241"/>
      <c r="BE2371" s="107"/>
      <c r="BF2371" s="220"/>
    </row>
    <row r="2372" spans="49:58">
      <c r="AW2372" s="107"/>
      <c r="AX2372" s="195"/>
      <c r="AY2372" s="105"/>
      <c r="AZ2372" s="220"/>
      <c r="BA2372" s="241"/>
      <c r="BE2372" s="107"/>
      <c r="BF2372" s="220"/>
    </row>
    <row r="2373" spans="49:58">
      <c r="AW2373" s="107"/>
      <c r="AX2373" s="195"/>
      <c r="AY2373" s="105"/>
      <c r="AZ2373" s="220"/>
      <c r="BA2373" s="241"/>
      <c r="BE2373" s="107"/>
      <c r="BF2373" s="220"/>
    </row>
    <row r="2374" spans="49:58">
      <c r="AW2374" s="107"/>
      <c r="AX2374" s="195"/>
      <c r="AY2374" s="105"/>
      <c r="AZ2374" s="220"/>
      <c r="BA2374" s="241"/>
      <c r="BE2374" s="107"/>
      <c r="BF2374" s="220"/>
    </row>
    <row r="2375" spans="49:58">
      <c r="AW2375" s="107"/>
      <c r="AX2375" s="195"/>
      <c r="AY2375" s="105"/>
      <c r="AZ2375" s="220"/>
      <c r="BA2375" s="241"/>
      <c r="BE2375" s="107"/>
      <c r="BF2375" s="220"/>
    </row>
    <row r="2376" spans="49:58">
      <c r="AW2376" s="107"/>
      <c r="AX2376" s="195"/>
      <c r="AY2376" s="105"/>
      <c r="AZ2376" s="220"/>
      <c r="BA2376" s="241"/>
      <c r="BE2376" s="107"/>
      <c r="BF2376" s="220"/>
    </row>
    <row r="2377" spans="49:58">
      <c r="AW2377" s="107"/>
      <c r="AX2377" s="195"/>
      <c r="AY2377" s="105"/>
      <c r="AZ2377" s="220"/>
      <c r="BA2377" s="241"/>
      <c r="BE2377" s="107"/>
      <c r="BF2377" s="220"/>
    </row>
    <row r="2378" spans="49:58">
      <c r="AW2378" s="107"/>
      <c r="AX2378" s="195"/>
      <c r="AY2378" s="105"/>
      <c r="AZ2378" s="220"/>
      <c r="BA2378" s="241"/>
      <c r="BE2378" s="107"/>
      <c r="BF2378" s="220"/>
    </row>
    <row r="2379" spans="49:58">
      <c r="AW2379" s="107"/>
      <c r="AX2379" s="195"/>
      <c r="AY2379" s="105"/>
      <c r="AZ2379" s="220"/>
      <c r="BA2379" s="241"/>
      <c r="BE2379" s="107"/>
      <c r="BF2379" s="220"/>
    </row>
    <row r="2380" spans="49:58">
      <c r="AW2380" s="107"/>
      <c r="AX2380" s="195"/>
      <c r="AY2380" s="105"/>
      <c r="AZ2380" s="220"/>
      <c r="BA2380" s="241"/>
      <c r="BE2380" s="107"/>
      <c r="BF2380" s="220"/>
    </row>
    <row r="2381" spans="49:58">
      <c r="AW2381" s="107"/>
      <c r="AX2381" s="195"/>
      <c r="AY2381" s="105"/>
      <c r="AZ2381" s="220"/>
      <c r="BA2381" s="241"/>
      <c r="BE2381" s="107"/>
      <c r="BF2381" s="220"/>
    </row>
    <row r="2382" spans="49:58">
      <c r="AW2382" s="107"/>
      <c r="AX2382" s="195"/>
      <c r="AY2382" s="105"/>
      <c r="AZ2382" s="220"/>
      <c r="BA2382" s="241"/>
      <c r="BE2382" s="107"/>
      <c r="BF2382" s="220"/>
    </row>
    <row r="2383" spans="49:58">
      <c r="AW2383" s="107"/>
      <c r="AX2383" s="195"/>
      <c r="AY2383" s="105"/>
      <c r="AZ2383" s="220"/>
      <c r="BA2383" s="241"/>
      <c r="BE2383" s="107"/>
      <c r="BF2383" s="220"/>
    </row>
    <row r="2384" spans="49:58">
      <c r="AW2384" s="107"/>
      <c r="AX2384" s="195"/>
      <c r="AY2384" s="105"/>
      <c r="AZ2384" s="220"/>
      <c r="BA2384" s="241"/>
      <c r="BE2384" s="107"/>
      <c r="BF2384" s="220"/>
    </row>
    <row r="2385" spans="49:58">
      <c r="AW2385" s="107"/>
      <c r="AX2385" s="195"/>
      <c r="AY2385" s="105"/>
      <c r="AZ2385" s="220"/>
      <c r="BA2385" s="241"/>
      <c r="BE2385" s="107"/>
      <c r="BF2385" s="220"/>
    </row>
    <row r="2386" spans="49:58">
      <c r="AW2386" s="107"/>
      <c r="AX2386" s="195"/>
      <c r="AY2386" s="105"/>
      <c r="AZ2386" s="220"/>
      <c r="BA2386" s="241"/>
      <c r="BE2386" s="107"/>
      <c r="BF2386" s="220"/>
    </row>
    <row r="2387" spans="49:58">
      <c r="AW2387" s="107"/>
      <c r="AX2387" s="195"/>
      <c r="AY2387" s="105"/>
      <c r="AZ2387" s="220"/>
      <c r="BA2387" s="241"/>
      <c r="BE2387" s="107"/>
      <c r="BF2387" s="220"/>
    </row>
    <row r="2388" spans="49:58">
      <c r="AW2388" s="107"/>
      <c r="AX2388" s="195"/>
      <c r="AY2388" s="105"/>
      <c r="AZ2388" s="220"/>
      <c r="BA2388" s="241"/>
      <c r="BE2388" s="107"/>
      <c r="BF2388" s="220"/>
    </row>
    <row r="2389" spans="49:58">
      <c r="AW2389" s="107"/>
      <c r="AX2389" s="195"/>
      <c r="AY2389" s="105"/>
      <c r="AZ2389" s="220"/>
      <c r="BA2389" s="241"/>
      <c r="BE2389" s="107"/>
      <c r="BF2389" s="220"/>
    </row>
    <row r="2390" spans="49:58">
      <c r="AW2390" s="107"/>
      <c r="AX2390" s="195"/>
      <c r="AY2390" s="105"/>
      <c r="AZ2390" s="220"/>
      <c r="BA2390" s="241"/>
      <c r="BE2390" s="107"/>
      <c r="BF2390" s="220"/>
    </row>
    <row r="2391" spans="49:58">
      <c r="AW2391" s="107"/>
      <c r="AX2391" s="195"/>
      <c r="AY2391" s="105"/>
      <c r="AZ2391" s="220"/>
      <c r="BA2391" s="241"/>
      <c r="BE2391" s="107"/>
      <c r="BF2391" s="220"/>
    </row>
    <row r="2392" spans="49:58">
      <c r="AW2392" s="107"/>
      <c r="AX2392" s="195"/>
      <c r="AY2392" s="105"/>
      <c r="AZ2392" s="220"/>
      <c r="BA2392" s="241"/>
      <c r="BE2392" s="107"/>
      <c r="BF2392" s="220"/>
    </row>
    <row r="2393" spans="49:58">
      <c r="AW2393" s="107"/>
      <c r="AX2393" s="195"/>
      <c r="AY2393" s="105"/>
      <c r="AZ2393" s="220"/>
      <c r="BA2393" s="241"/>
      <c r="BE2393" s="107"/>
      <c r="BF2393" s="220"/>
    </row>
    <row r="2394" spans="49:58">
      <c r="AW2394" s="107"/>
      <c r="AX2394" s="195"/>
      <c r="AY2394" s="105"/>
      <c r="AZ2394" s="220"/>
      <c r="BA2394" s="241"/>
      <c r="BE2394" s="107"/>
      <c r="BF2394" s="220"/>
    </row>
    <row r="2395" spans="49:58">
      <c r="AW2395" s="107"/>
      <c r="AX2395" s="195"/>
      <c r="AY2395" s="105"/>
      <c r="AZ2395" s="220"/>
      <c r="BA2395" s="241"/>
      <c r="BE2395" s="107"/>
      <c r="BF2395" s="220"/>
    </row>
    <row r="2396" spans="49:58">
      <c r="AW2396" s="107"/>
      <c r="AX2396" s="195"/>
      <c r="AY2396" s="105"/>
      <c r="AZ2396" s="220"/>
      <c r="BA2396" s="241"/>
      <c r="BE2396" s="107"/>
      <c r="BF2396" s="220"/>
    </row>
    <row r="2397" spans="49:58">
      <c r="AW2397" s="107"/>
      <c r="AX2397" s="195"/>
      <c r="AY2397" s="105"/>
      <c r="AZ2397" s="220"/>
      <c r="BA2397" s="241"/>
      <c r="BE2397" s="107"/>
      <c r="BF2397" s="220"/>
    </row>
    <row r="2398" spans="49:58">
      <c r="AW2398" s="107"/>
      <c r="AX2398" s="195"/>
      <c r="AY2398" s="105"/>
      <c r="AZ2398" s="220"/>
      <c r="BA2398" s="241"/>
      <c r="BE2398" s="107"/>
      <c r="BF2398" s="220"/>
    </row>
    <row r="2399" spans="49:58">
      <c r="AW2399" s="107"/>
      <c r="AX2399" s="195"/>
      <c r="AY2399" s="105"/>
      <c r="AZ2399" s="220"/>
      <c r="BA2399" s="241"/>
      <c r="BE2399" s="107"/>
      <c r="BF2399" s="220"/>
    </row>
    <row r="2400" spans="49:58">
      <c r="AW2400" s="107"/>
      <c r="AX2400" s="195"/>
      <c r="AY2400" s="105"/>
      <c r="AZ2400" s="220"/>
      <c r="BA2400" s="241"/>
      <c r="BE2400" s="107"/>
      <c r="BF2400" s="220"/>
    </row>
    <row r="2401" spans="49:58">
      <c r="AW2401" s="107"/>
      <c r="AX2401" s="195"/>
      <c r="AY2401" s="105"/>
      <c r="AZ2401" s="220"/>
      <c r="BA2401" s="241"/>
      <c r="BE2401" s="107"/>
      <c r="BF2401" s="220"/>
    </row>
    <row r="2402" spans="49:58">
      <c r="AW2402" s="107"/>
      <c r="AX2402" s="195"/>
      <c r="AY2402" s="105"/>
      <c r="AZ2402" s="220"/>
      <c r="BA2402" s="241"/>
      <c r="BE2402" s="107"/>
      <c r="BF2402" s="220"/>
    </row>
    <row r="2403" spans="49:58">
      <c r="AW2403" s="107"/>
      <c r="AX2403" s="195"/>
      <c r="AY2403" s="105"/>
      <c r="AZ2403" s="220"/>
      <c r="BA2403" s="241"/>
      <c r="BE2403" s="107"/>
      <c r="BF2403" s="220"/>
    </row>
    <row r="2404" spans="49:58">
      <c r="AW2404" s="107"/>
      <c r="AX2404" s="195"/>
      <c r="AY2404" s="105"/>
      <c r="AZ2404" s="220"/>
      <c r="BA2404" s="241"/>
      <c r="BE2404" s="107"/>
      <c r="BF2404" s="220"/>
    </row>
    <row r="2405" spans="49:58">
      <c r="AW2405" s="107"/>
      <c r="AX2405" s="195"/>
      <c r="AY2405" s="105"/>
      <c r="AZ2405" s="220"/>
      <c r="BA2405" s="241"/>
      <c r="BE2405" s="107"/>
      <c r="BF2405" s="220"/>
    </row>
    <row r="2406" spans="49:58">
      <c r="AW2406" s="107"/>
      <c r="AX2406" s="195"/>
      <c r="AY2406" s="105"/>
      <c r="AZ2406" s="220"/>
      <c r="BA2406" s="241"/>
      <c r="BE2406" s="107"/>
      <c r="BF2406" s="220"/>
    </row>
    <row r="2407" spans="49:58">
      <c r="AW2407" s="107"/>
      <c r="AX2407" s="195"/>
      <c r="AY2407" s="105"/>
      <c r="AZ2407" s="220"/>
      <c r="BA2407" s="241"/>
      <c r="BE2407" s="107"/>
      <c r="BF2407" s="220"/>
    </row>
    <row r="2408" spans="49:58">
      <c r="AW2408" s="107"/>
      <c r="AX2408" s="195"/>
      <c r="AY2408" s="105"/>
      <c r="AZ2408" s="220"/>
      <c r="BA2408" s="241"/>
      <c r="BE2408" s="107"/>
      <c r="BF2408" s="220"/>
    </row>
    <row r="2409" spans="49:58">
      <c r="AW2409" s="107"/>
      <c r="AX2409" s="195"/>
      <c r="AY2409" s="105"/>
      <c r="AZ2409" s="220"/>
      <c r="BA2409" s="241"/>
      <c r="BE2409" s="107"/>
      <c r="BF2409" s="220"/>
    </row>
    <row r="2410" spans="49:58">
      <c r="AW2410" s="107"/>
      <c r="AX2410" s="195"/>
      <c r="AY2410" s="105"/>
      <c r="AZ2410" s="220"/>
      <c r="BA2410" s="241"/>
      <c r="BE2410" s="107"/>
      <c r="BF2410" s="220"/>
    </row>
    <row r="2411" spans="49:58">
      <c r="AW2411" s="107"/>
      <c r="AX2411" s="195"/>
      <c r="AY2411" s="105"/>
      <c r="AZ2411" s="220"/>
      <c r="BA2411" s="241"/>
      <c r="BE2411" s="107"/>
      <c r="BF2411" s="220"/>
    </row>
    <row r="2412" spans="49:58">
      <c r="AW2412" s="107"/>
      <c r="AX2412" s="195"/>
      <c r="AY2412" s="105"/>
      <c r="AZ2412" s="220"/>
      <c r="BA2412" s="241"/>
      <c r="BE2412" s="107"/>
      <c r="BF2412" s="220"/>
    </row>
    <row r="2413" spans="49:58">
      <c r="AW2413" s="107"/>
      <c r="AX2413" s="195"/>
      <c r="AY2413" s="105"/>
      <c r="AZ2413" s="220"/>
      <c r="BA2413" s="241"/>
      <c r="BE2413" s="107"/>
      <c r="BF2413" s="220"/>
    </row>
    <row r="2414" spans="49:58">
      <c r="AW2414" s="107"/>
      <c r="AX2414" s="195"/>
      <c r="AY2414" s="105"/>
      <c r="AZ2414" s="220"/>
      <c r="BA2414" s="241"/>
      <c r="BE2414" s="107"/>
      <c r="BF2414" s="220"/>
    </row>
    <row r="2415" spans="49:58">
      <c r="AW2415" s="107"/>
      <c r="AX2415" s="195"/>
      <c r="AY2415" s="105"/>
      <c r="AZ2415" s="220"/>
      <c r="BA2415" s="241"/>
      <c r="BE2415" s="107"/>
      <c r="BF2415" s="220"/>
    </row>
    <row r="2416" spans="49:58">
      <c r="AW2416" s="107"/>
      <c r="AX2416" s="195"/>
      <c r="AY2416" s="105"/>
      <c r="AZ2416" s="220"/>
      <c r="BA2416" s="241"/>
      <c r="BE2416" s="107"/>
      <c r="BF2416" s="220"/>
    </row>
    <row r="2417" spans="49:58">
      <c r="AW2417" s="107"/>
      <c r="AX2417" s="195"/>
      <c r="AY2417" s="105"/>
      <c r="AZ2417" s="220"/>
      <c r="BA2417" s="241"/>
      <c r="BE2417" s="107"/>
      <c r="BF2417" s="220"/>
    </row>
    <row r="2418" spans="49:58">
      <c r="AW2418" s="107"/>
      <c r="AX2418" s="195"/>
      <c r="AY2418" s="105"/>
      <c r="AZ2418" s="220"/>
      <c r="BA2418" s="241"/>
      <c r="BE2418" s="107"/>
      <c r="BF2418" s="220"/>
    </row>
    <row r="2419" spans="49:58">
      <c r="AW2419" s="107"/>
      <c r="AX2419" s="195"/>
      <c r="AY2419" s="105"/>
      <c r="AZ2419" s="220"/>
      <c r="BA2419" s="241"/>
      <c r="BE2419" s="107"/>
      <c r="BF2419" s="220"/>
    </row>
    <row r="2420" spans="49:58">
      <c r="AW2420" s="107"/>
      <c r="AX2420" s="195"/>
      <c r="AY2420" s="105"/>
      <c r="AZ2420" s="220"/>
      <c r="BA2420" s="241"/>
      <c r="BE2420" s="107"/>
      <c r="BF2420" s="220"/>
    </row>
    <row r="2421" spans="49:58">
      <c r="AW2421" s="107"/>
      <c r="AX2421" s="195"/>
      <c r="AY2421" s="105"/>
      <c r="AZ2421" s="220"/>
      <c r="BA2421" s="241"/>
      <c r="BE2421" s="107"/>
      <c r="BF2421" s="220"/>
    </row>
    <row r="2422" spans="49:58">
      <c r="AW2422" s="107"/>
      <c r="AX2422" s="195"/>
      <c r="AY2422" s="105"/>
      <c r="AZ2422" s="220"/>
      <c r="BA2422" s="241"/>
      <c r="BE2422" s="107"/>
      <c r="BF2422" s="220"/>
    </row>
    <row r="2423" spans="49:58">
      <c r="AW2423" s="107"/>
      <c r="AX2423" s="195"/>
      <c r="AY2423" s="105"/>
      <c r="AZ2423" s="220"/>
      <c r="BA2423" s="241"/>
      <c r="BE2423" s="107"/>
      <c r="BF2423" s="220"/>
    </row>
    <row r="2424" spans="49:58">
      <c r="AW2424" s="107"/>
      <c r="AX2424" s="195"/>
      <c r="AY2424" s="105"/>
      <c r="AZ2424" s="220"/>
      <c r="BA2424" s="241"/>
      <c r="BE2424" s="107"/>
      <c r="BF2424" s="220"/>
    </row>
    <row r="2425" spans="49:58">
      <c r="AW2425" s="107"/>
      <c r="AX2425" s="195"/>
      <c r="AY2425" s="105"/>
      <c r="AZ2425" s="220"/>
      <c r="BA2425" s="241"/>
      <c r="BE2425" s="107"/>
      <c r="BF2425" s="220"/>
    </row>
    <row r="2426" spans="49:58">
      <c r="AW2426" s="107"/>
      <c r="AX2426" s="195"/>
      <c r="AY2426" s="105"/>
      <c r="AZ2426" s="220"/>
      <c r="BA2426" s="241"/>
      <c r="BE2426" s="107"/>
      <c r="BF2426" s="220"/>
    </row>
    <row r="2427" spans="49:58">
      <c r="AW2427" s="107"/>
      <c r="AX2427" s="195"/>
      <c r="AY2427" s="105"/>
      <c r="AZ2427" s="220"/>
      <c r="BA2427" s="241"/>
      <c r="BE2427" s="107"/>
      <c r="BF2427" s="220"/>
    </row>
    <row r="2428" spans="49:58">
      <c r="AW2428" s="107"/>
      <c r="AX2428" s="195"/>
      <c r="AY2428" s="105"/>
      <c r="AZ2428" s="220"/>
      <c r="BA2428" s="241"/>
      <c r="BE2428" s="107"/>
      <c r="BF2428" s="220"/>
    </row>
    <row r="2429" spans="49:58">
      <c r="AW2429" s="107"/>
      <c r="AX2429" s="195"/>
      <c r="AY2429" s="105"/>
      <c r="AZ2429" s="220"/>
      <c r="BA2429" s="241"/>
      <c r="BE2429" s="107"/>
      <c r="BF2429" s="220"/>
    </row>
    <row r="2430" spans="49:58">
      <c r="AW2430" s="107"/>
      <c r="AX2430" s="195"/>
      <c r="AY2430" s="105"/>
      <c r="AZ2430" s="220"/>
      <c r="BA2430" s="241"/>
      <c r="BE2430" s="107"/>
      <c r="BF2430" s="220"/>
    </row>
    <row r="2431" spans="49:58">
      <c r="AW2431" s="107"/>
      <c r="AX2431" s="195"/>
      <c r="AY2431" s="105"/>
      <c r="AZ2431" s="220"/>
      <c r="BA2431" s="241"/>
      <c r="BE2431" s="107"/>
      <c r="BF2431" s="220"/>
    </row>
    <row r="2432" spans="49:58">
      <c r="AW2432" s="107"/>
      <c r="AX2432" s="195"/>
      <c r="AY2432" s="105"/>
      <c r="AZ2432" s="220"/>
      <c r="BA2432" s="241"/>
      <c r="BE2432" s="107"/>
      <c r="BF2432" s="220"/>
    </row>
    <row r="2433" spans="49:58">
      <c r="AW2433" s="107"/>
      <c r="AX2433" s="195"/>
      <c r="AY2433" s="105"/>
      <c r="AZ2433" s="220"/>
      <c r="BA2433" s="241"/>
      <c r="BE2433" s="107"/>
      <c r="BF2433" s="220"/>
    </row>
    <row r="2434" spans="49:58">
      <c r="AW2434" s="107"/>
      <c r="AX2434" s="195"/>
      <c r="AY2434" s="105"/>
      <c r="AZ2434" s="220"/>
      <c r="BA2434" s="241"/>
      <c r="BE2434" s="107"/>
      <c r="BF2434" s="220"/>
    </row>
    <row r="2435" spans="49:58">
      <c r="AW2435" s="107"/>
      <c r="AX2435" s="195"/>
      <c r="AY2435" s="105"/>
      <c r="AZ2435" s="220"/>
      <c r="BA2435" s="241"/>
      <c r="BE2435" s="107"/>
      <c r="BF2435" s="220"/>
    </row>
    <row r="2436" spans="49:58">
      <c r="AW2436" s="107"/>
      <c r="AX2436" s="195"/>
      <c r="AY2436" s="105"/>
      <c r="AZ2436" s="220"/>
      <c r="BA2436" s="241"/>
      <c r="BE2436" s="107"/>
      <c r="BF2436" s="220"/>
    </row>
    <row r="2437" spans="49:58">
      <c r="AW2437" s="107"/>
      <c r="AX2437" s="195"/>
      <c r="AY2437" s="105"/>
      <c r="AZ2437" s="220"/>
      <c r="BA2437" s="241"/>
      <c r="BE2437" s="107"/>
      <c r="BF2437" s="220"/>
    </row>
    <row r="2438" spans="49:58">
      <c r="AW2438" s="107"/>
      <c r="AX2438" s="195"/>
      <c r="AY2438" s="105"/>
      <c r="AZ2438" s="220"/>
      <c r="BA2438" s="241"/>
      <c r="BE2438" s="107"/>
      <c r="BF2438" s="220"/>
    </row>
    <row r="2439" spans="49:58">
      <c r="AW2439" s="107"/>
      <c r="AX2439" s="195"/>
      <c r="AY2439" s="105"/>
      <c r="AZ2439" s="220"/>
      <c r="BA2439" s="241"/>
      <c r="BE2439" s="107"/>
      <c r="BF2439" s="220"/>
    </row>
    <row r="2440" spans="49:58">
      <c r="AW2440" s="107"/>
      <c r="AX2440" s="195"/>
      <c r="AY2440" s="105"/>
      <c r="AZ2440" s="220"/>
      <c r="BA2440" s="241"/>
      <c r="BE2440" s="107"/>
      <c r="BF2440" s="220"/>
    </row>
    <row r="2441" spans="49:58">
      <c r="AW2441" s="107"/>
      <c r="AX2441" s="195"/>
      <c r="AY2441" s="105"/>
      <c r="AZ2441" s="220"/>
      <c r="BA2441" s="241"/>
      <c r="BE2441" s="107"/>
      <c r="BF2441" s="220"/>
    </row>
    <row r="2442" spans="49:58">
      <c r="AW2442" s="107"/>
      <c r="AX2442" s="195"/>
      <c r="AY2442" s="105"/>
      <c r="AZ2442" s="220"/>
      <c r="BA2442" s="241"/>
      <c r="BE2442" s="107"/>
      <c r="BF2442" s="220"/>
    </row>
    <row r="2443" spans="49:58">
      <c r="AW2443" s="107"/>
      <c r="AX2443" s="195"/>
      <c r="AY2443" s="105"/>
      <c r="AZ2443" s="220"/>
      <c r="BA2443" s="241"/>
      <c r="BE2443" s="107"/>
      <c r="BF2443" s="220"/>
    </row>
    <row r="2444" spans="49:58">
      <c r="AW2444" s="107"/>
      <c r="AX2444" s="195"/>
      <c r="AY2444" s="105"/>
      <c r="AZ2444" s="220"/>
      <c r="BA2444" s="241"/>
      <c r="BE2444" s="107"/>
      <c r="BF2444" s="220"/>
    </row>
    <row r="2445" spans="49:58">
      <c r="AW2445" s="107"/>
      <c r="AX2445" s="195"/>
      <c r="AY2445" s="105"/>
      <c r="AZ2445" s="220"/>
      <c r="BA2445" s="241"/>
      <c r="BE2445" s="107"/>
      <c r="BF2445" s="220"/>
    </row>
    <row r="2446" spans="49:58">
      <c r="AW2446" s="107"/>
      <c r="AX2446" s="195"/>
      <c r="AY2446" s="105"/>
      <c r="AZ2446" s="220"/>
      <c r="BA2446" s="241"/>
      <c r="BE2446" s="107"/>
      <c r="BF2446" s="220"/>
    </row>
    <row r="2447" spans="49:58">
      <c r="AW2447" s="107"/>
      <c r="AX2447" s="195"/>
      <c r="AY2447" s="105"/>
      <c r="AZ2447" s="220"/>
      <c r="BA2447" s="241"/>
      <c r="BE2447" s="107"/>
      <c r="BF2447" s="220"/>
    </row>
    <row r="2448" spans="49:58">
      <c r="AW2448" s="107"/>
      <c r="AX2448" s="195"/>
      <c r="AY2448" s="105"/>
      <c r="AZ2448" s="220"/>
      <c r="BA2448" s="241"/>
      <c r="BE2448" s="107"/>
      <c r="BF2448" s="220"/>
    </row>
    <row r="2449" spans="49:58">
      <c r="AW2449" s="107"/>
      <c r="AX2449" s="195"/>
      <c r="AY2449" s="105"/>
      <c r="AZ2449" s="220"/>
      <c r="BA2449" s="241"/>
      <c r="BE2449" s="107"/>
      <c r="BF2449" s="220"/>
    </row>
    <row r="2450" spans="49:58">
      <c r="AW2450" s="107"/>
      <c r="AX2450" s="195"/>
      <c r="AY2450" s="105"/>
      <c r="AZ2450" s="220"/>
      <c r="BA2450" s="241"/>
      <c r="BE2450" s="107"/>
      <c r="BF2450" s="220"/>
    </row>
    <row r="2451" spans="49:58">
      <c r="AW2451" s="107"/>
      <c r="AX2451" s="195"/>
      <c r="AY2451" s="105"/>
      <c r="AZ2451" s="220"/>
      <c r="BA2451" s="241"/>
      <c r="BE2451" s="107"/>
      <c r="BF2451" s="220"/>
    </row>
    <row r="2452" spans="49:58">
      <c r="AW2452" s="107"/>
      <c r="AX2452" s="195"/>
      <c r="AY2452" s="105"/>
      <c r="AZ2452" s="220"/>
      <c r="BA2452" s="241"/>
      <c r="BE2452" s="107"/>
      <c r="BF2452" s="220"/>
    </row>
    <row r="2453" spans="49:58">
      <c r="AW2453" s="107"/>
      <c r="AX2453" s="195"/>
      <c r="AY2453" s="105"/>
      <c r="AZ2453" s="220"/>
      <c r="BA2453" s="241"/>
      <c r="BE2453" s="107"/>
      <c r="BF2453" s="220"/>
    </row>
    <row r="2454" spans="49:58">
      <c r="AW2454" s="107"/>
      <c r="AX2454" s="195"/>
      <c r="AY2454" s="105"/>
      <c r="AZ2454" s="220"/>
      <c r="BA2454" s="241"/>
      <c r="BE2454" s="107"/>
      <c r="BF2454" s="220"/>
    </row>
    <row r="2455" spans="49:58">
      <c r="AW2455" s="107"/>
      <c r="AX2455" s="195"/>
      <c r="AY2455" s="105"/>
      <c r="AZ2455" s="220"/>
      <c r="BA2455" s="241"/>
      <c r="BE2455" s="107"/>
      <c r="BF2455" s="220"/>
    </row>
    <row r="2456" spans="49:58">
      <c r="AW2456" s="107"/>
      <c r="AX2456" s="195"/>
      <c r="AY2456" s="105"/>
      <c r="AZ2456" s="220"/>
      <c r="BA2456" s="241"/>
      <c r="BE2456" s="107"/>
      <c r="BF2456" s="220"/>
    </row>
    <row r="2457" spans="49:58">
      <c r="AW2457" s="107"/>
      <c r="AX2457" s="195"/>
      <c r="AY2457" s="105"/>
      <c r="AZ2457" s="220"/>
      <c r="BA2457" s="241"/>
      <c r="BE2457" s="107"/>
      <c r="BF2457" s="220"/>
    </row>
    <row r="2458" spans="49:58">
      <c r="AW2458" s="107"/>
      <c r="AX2458" s="195"/>
      <c r="AY2458" s="105"/>
      <c r="AZ2458" s="220"/>
      <c r="BA2458" s="241"/>
      <c r="BE2458" s="107"/>
      <c r="BF2458" s="220"/>
    </row>
    <row r="2459" spans="49:58">
      <c r="AW2459" s="107"/>
      <c r="AX2459" s="195"/>
      <c r="AY2459" s="105"/>
      <c r="AZ2459" s="220"/>
      <c r="BA2459" s="241"/>
      <c r="BE2459" s="107"/>
      <c r="BF2459" s="220"/>
    </row>
    <row r="2460" spans="49:58">
      <c r="AW2460" s="107"/>
      <c r="AX2460" s="195"/>
      <c r="AY2460" s="105"/>
      <c r="AZ2460" s="220"/>
      <c r="BA2460" s="241"/>
      <c r="BE2460" s="107"/>
      <c r="BF2460" s="220"/>
    </row>
    <row r="2461" spans="49:58">
      <c r="AW2461" s="107"/>
      <c r="AX2461" s="195"/>
      <c r="AY2461" s="105"/>
      <c r="AZ2461" s="220"/>
      <c r="BA2461" s="241"/>
      <c r="BE2461" s="107"/>
      <c r="BF2461" s="220"/>
    </row>
    <row r="2462" spans="49:58">
      <c r="AW2462" s="107"/>
      <c r="AX2462" s="195"/>
      <c r="AY2462" s="105"/>
      <c r="AZ2462" s="220"/>
      <c r="BA2462" s="241"/>
      <c r="BE2462" s="107"/>
      <c r="BF2462" s="220"/>
    </row>
    <row r="2463" spans="49:58">
      <c r="AW2463" s="107"/>
      <c r="AX2463" s="195"/>
      <c r="AY2463" s="105"/>
      <c r="AZ2463" s="220"/>
      <c r="BA2463" s="241"/>
      <c r="BE2463" s="107"/>
      <c r="BF2463" s="220"/>
    </row>
    <row r="2464" spans="49:58">
      <c r="AW2464" s="107"/>
      <c r="AX2464" s="195"/>
      <c r="AY2464" s="105"/>
      <c r="AZ2464" s="220"/>
      <c r="BA2464" s="241"/>
      <c r="BE2464" s="107"/>
      <c r="BF2464" s="220"/>
    </row>
    <row r="2465" spans="49:58">
      <c r="AW2465" s="107"/>
      <c r="AX2465" s="195"/>
      <c r="AY2465" s="105"/>
      <c r="AZ2465" s="220"/>
      <c r="BA2465" s="241"/>
      <c r="BE2465" s="107"/>
      <c r="BF2465" s="220"/>
    </row>
    <row r="2466" spans="49:58">
      <c r="AW2466" s="107"/>
      <c r="AX2466" s="195"/>
      <c r="AY2466" s="105"/>
      <c r="AZ2466" s="220"/>
      <c r="BA2466" s="241"/>
      <c r="BE2466" s="107"/>
      <c r="BF2466" s="220"/>
    </row>
    <row r="2467" spans="49:58">
      <c r="AW2467" s="107"/>
      <c r="AX2467" s="195"/>
      <c r="AY2467" s="105"/>
      <c r="AZ2467" s="220"/>
      <c r="BA2467" s="241"/>
      <c r="BE2467" s="107"/>
      <c r="BF2467" s="220"/>
    </row>
    <row r="2468" spans="49:58">
      <c r="AW2468" s="107"/>
      <c r="AX2468" s="195"/>
      <c r="AY2468" s="105"/>
      <c r="AZ2468" s="220"/>
      <c r="BA2468" s="241"/>
      <c r="BE2468" s="107"/>
      <c r="BF2468" s="220"/>
    </row>
    <row r="2469" spans="49:58">
      <c r="AW2469" s="107"/>
      <c r="AX2469" s="195"/>
      <c r="AY2469" s="105"/>
      <c r="AZ2469" s="220"/>
      <c r="BA2469" s="241"/>
      <c r="BE2469" s="107"/>
      <c r="BF2469" s="220"/>
    </row>
    <row r="2470" spans="49:58">
      <c r="AW2470" s="107"/>
      <c r="AX2470" s="195"/>
      <c r="AY2470" s="105"/>
      <c r="AZ2470" s="220"/>
      <c r="BA2470" s="241"/>
      <c r="BE2470" s="107"/>
      <c r="BF2470" s="220"/>
    </row>
    <row r="2471" spans="49:58">
      <c r="AW2471" s="107"/>
      <c r="AX2471" s="195"/>
      <c r="AY2471" s="105"/>
      <c r="AZ2471" s="220"/>
      <c r="BA2471" s="241"/>
      <c r="BE2471" s="107"/>
      <c r="BF2471" s="220"/>
    </row>
    <row r="2472" spans="49:58">
      <c r="AW2472" s="107"/>
      <c r="AX2472" s="195"/>
      <c r="AY2472" s="105"/>
      <c r="AZ2472" s="220"/>
      <c r="BA2472" s="241"/>
      <c r="BE2472" s="107"/>
      <c r="BF2472" s="220"/>
    </row>
    <row r="2473" spans="49:58">
      <c r="AW2473" s="107"/>
      <c r="AX2473" s="195"/>
      <c r="AY2473" s="105"/>
      <c r="AZ2473" s="220"/>
      <c r="BA2473" s="241"/>
      <c r="BE2473" s="107"/>
      <c r="BF2473" s="220"/>
    </row>
    <row r="2474" spans="49:58">
      <c r="AW2474" s="107"/>
      <c r="AX2474" s="195"/>
      <c r="AY2474" s="105"/>
      <c r="AZ2474" s="220"/>
      <c r="BA2474" s="241"/>
      <c r="BE2474" s="107"/>
      <c r="BF2474" s="220"/>
    </row>
    <row r="2475" spans="49:58">
      <c r="AW2475" s="107"/>
      <c r="AX2475" s="195"/>
      <c r="AY2475" s="105"/>
      <c r="AZ2475" s="220"/>
      <c r="BA2475" s="241"/>
      <c r="BE2475" s="107"/>
      <c r="BF2475" s="220"/>
    </row>
    <row r="2476" spans="49:58">
      <c r="AW2476" s="107"/>
      <c r="AX2476" s="195"/>
      <c r="AY2476" s="105"/>
      <c r="AZ2476" s="220"/>
      <c r="BA2476" s="241"/>
      <c r="BE2476" s="107"/>
      <c r="BF2476" s="220"/>
    </row>
    <row r="2477" spans="49:58">
      <c r="AW2477" s="107"/>
      <c r="AX2477" s="195"/>
      <c r="AY2477" s="105"/>
      <c r="AZ2477" s="220"/>
      <c r="BA2477" s="241"/>
      <c r="BE2477" s="107"/>
      <c r="BF2477" s="220"/>
    </row>
    <row r="2478" spans="49:58">
      <c r="AW2478" s="107"/>
      <c r="AX2478" s="195"/>
      <c r="AY2478" s="105"/>
      <c r="AZ2478" s="220"/>
      <c r="BA2478" s="241"/>
      <c r="BE2478" s="107"/>
      <c r="BF2478" s="220"/>
    </row>
    <row r="2479" spans="49:58">
      <c r="AW2479" s="107"/>
      <c r="AX2479" s="195"/>
      <c r="AY2479" s="105"/>
      <c r="AZ2479" s="220"/>
      <c r="BA2479" s="241"/>
      <c r="BE2479" s="107"/>
      <c r="BF2479" s="220"/>
    </row>
    <row r="2480" spans="49:58">
      <c r="AW2480" s="107"/>
      <c r="AX2480" s="195"/>
      <c r="AY2480" s="105"/>
      <c r="AZ2480" s="220"/>
      <c r="BA2480" s="241"/>
      <c r="BE2480" s="107"/>
      <c r="BF2480" s="220"/>
    </row>
    <row r="2481" spans="49:58">
      <c r="AW2481" s="107"/>
      <c r="AX2481" s="195"/>
      <c r="AY2481" s="105"/>
      <c r="AZ2481" s="220"/>
      <c r="BA2481" s="241"/>
      <c r="BE2481" s="107"/>
      <c r="BF2481" s="220"/>
    </row>
    <row r="2482" spans="49:58">
      <c r="AW2482" s="107"/>
      <c r="AX2482" s="195"/>
      <c r="AY2482" s="105"/>
      <c r="AZ2482" s="220"/>
      <c r="BA2482" s="241"/>
      <c r="BE2482" s="107"/>
      <c r="BF2482" s="220"/>
    </row>
    <row r="2483" spans="49:58">
      <c r="AW2483" s="107"/>
      <c r="AX2483" s="195"/>
      <c r="AY2483" s="105"/>
      <c r="AZ2483" s="220"/>
      <c r="BA2483" s="241"/>
      <c r="BE2483" s="107"/>
      <c r="BF2483" s="220"/>
    </row>
    <row r="2484" spans="49:58">
      <c r="AW2484" s="107"/>
      <c r="AX2484" s="195"/>
      <c r="AY2484" s="105"/>
      <c r="AZ2484" s="220"/>
      <c r="BA2484" s="241"/>
      <c r="BE2484" s="107"/>
      <c r="BF2484" s="220"/>
    </row>
    <row r="2485" spans="49:58">
      <c r="AW2485" s="107"/>
      <c r="AX2485" s="195"/>
      <c r="AY2485" s="105"/>
      <c r="AZ2485" s="220"/>
      <c r="BA2485" s="241"/>
      <c r="BE2485" s="107"/>
      <c r="BF2485" s="220"/>
    </row>
    <row r="2486" spans="49:58">
      <c r="AW2486" s="107"/>
      <c r="AX2486" s="195"/>
      <c r="AY2486" s="105"/>
      <c r="AZ2486" s="220"/>
      <c r="BA2486" s="241"/>
      <c r="BE2486" s="107"/>
      <c r="BF2486" s="220"/>
    </row>
    <row r="2487" spans="49:58">
      <c r="AW2487" s="107"/>
      <c r="AX2487" s="195"/>
      <c r="AY2487" s="105"/>
      <c r="AZ2487" s="220"/>
      <c r="BA2487" s="241"/>
      <c r="BE2487" s="107"/>
      <c r="BF2487" s="220"/>
    </row>
    <row r="2488" spans="49:58">
      <c r="AW2488" s="107"/>
      <c r="AX2488" s="195"/>
      <c r="AY2488" s="105"/>
      <c r="AZ2488" s="220"/>
      <c r="BA2488" s="241"/>
      <c r="BE2488" s="107"/>
      <c r="BF2488" s="220"/>
    </row>
    <row r="2489" spans="49:58">
      <c r="AW2489" s="107"/>
      <c r="AX2489" s="195"/>
      <c r="AY2489" s="105"/>
      <c r="AZ2489" s="220"/>
      <c r="BA2489" s="241"/>
      <c r="BE2489" s="107"/>
      <c r="BF2489" s="220"/>
    </row>
    <row r="2490" spans="49:58">
      <c r="AW2490" s="107"/>
      <c r="AX2490" s="195"/>
      <c r="AY2490" s="105"/>
      <c r="AZ2490" s="220"/>
      <c r="BA2490" s="241"/>
      <c r="BE2490" s="107"/>
      <c r="BF2490" s="220"/>
    </row>
    <row r="2491" spans="49:58">
      <c r="AW2491" s="107"/>
      <c r="AX2491" s="195"/>
      <c r="AY2491" s="105"/>
      <c r="AZ2491" s="220"/>
      <c r="BA2491" s="241"/>
      <c r="BE2491" s="107"/>
      <c r="BF2491" s="220"/>
    </row>
    <row r="2492" spans="49:58">
      <c r="AW2492" s="107"/>
      <c r="AX2492" s="195"/>
      <c r="AY2492" s="105"/>
      <c r="AZ2492" s="220"/>
      <c r="BA2492" s="241"/>
      <c r="BE2492" s="107"/>
      <c r="BF2492" s="220"/>
    </row>
    <row r="2493" spans="49:58">
      <c r="AW2493" s="107"/>
      <c r="AX2493" s="195"/>
      <c r="AY2493" s="105"/>
      <c r="AZ2493" s="220"/>
      <c r="BA2493" s="241"/>
      <c r="BE2493" s="107"/>
      <c r="BF2493" s="220"/>
    </row>
    <row r="2494" spans="49:58">
      <c r="AW2494" s="107"/>
      <c r="AX2494" s="195"/>
      <c r="AY2494" s="105"/>
      <c r="AZ2494" s="220"/>
      <c r="BA2494" s="241"/>
      <c r="BE2494" s="107"/>
      <c r="BF2494" s="220"/>
    </row>
    <row r="2495" spans="49:58">
      <c r="AW2495" s="107"/>
      <c r="AX2495" s="195"/>
      <c r="AY2495" s="105"/>
      <c r="AZ2495" s="220"/>
      <c r="BA2495" s="241"/>
      <c r="BE2495" s="107"/>
      <c r="BF2495" s="220"/>
    </row>
    <row r="2496" spans="49:58">
      <c r="AW2496" s="107"/>
      <c r="AX2496" s="195"/>
      <c r="AY2496" s="105"/>
      <c r="AZ2496" s="220"/>
      <c r="BA2496" s="241"/>
      <c r="BE2496" s="107"/>
      <c r="BF2496" s="220"/>
    </row>
    <row r="2497" spans="49:58">
      <c r="AW2497" s="107"/>
      <c r="AX2497" s="195"/>
      <c r="AY2497" s="105"/>
      <c r="AZ2497" s="220"/>
      <c r="BA2497" s="241"/>
      <c r="BE2497" s="107"/>
      <c r="BF2497" s="220"/>
    </row>
    <row r="2498" spans="49:58">
      <c r="AW2498" s="107"/>
      <c r="AX2498" s="195"/>
      <c r="AY2498" s="105"/>
      <c r="AZ2498" s="220"/>
      <c r="BA2498" s="241"/>
      <c r="BE2498" s="107"/>
      <c r="BF2498" s="220"/>
    </row>
    <row r="2499" spans="49:58">
      <c r="AW2499" s="107"/>
      <c r="AX2499" s="195"/>
      <c r="AY2499" s="105"/>
      <c r="AZ2499" s="220"/>
      <c r="BA2499" s="241"/>
      <c r="BE2499" s="107"/>
      <c r="BF2499" s="220"/>
    </row>
    <row r="2500" spans="49:58">
      <c r="AW2500" s="107"/>
      <c r="AX2500" s="195"/>
      <c r="AY2500" s="105"/>
      <c r="AZ2500" s="220"/>
      <c r="BA2500" s="241"/>
      <c r="BE2500" s="107"/>
      <c r="BF2500" s="220"/>
    </row>
    <row r="2501" spans="49:58">
      <c r="AW2501" s="107"/>
      <c r="AX2501" s="195"/>
      <c r="AY2501" s="105"/>
      <c r="AZ2501" s="220"/>
      <c r="BA2501" s="241"/>
      <c r="BE2501" s="107"/>
      <c r="BF2501" s="220"/>
    </row>
    <row r="2502" spans="49:58">
      <c r="AW2502" s="107"/>
      <c r="AX2502" s="195"/>
      <c r="AY2502" s="105"/>
      <c r="AZ2502" s="220"/>
      <c r="BA2502" s="241"/>
      <c r="BE2502" s="107"/>
      <c r="BF2502" s="220"/>
    </row>
    <row r="2503" spans="49:58">
      <c r="AW2503" s="107"/>
      <c r="AX2503" s="195"/>
      <c r="AY2503" s="105"/>
      <c r="AZ2503" s="220"/>
      <c r="BA2503" s="241"/>
      <c r="BE2503" s="107"/>
      <c r="BF2503" s="220"/>
    </row>
    <row r="2504" spans="49:58">
      <c r="AW2504" s="107"/>
      <c r="AX2504" s="195"/>
      <c r="AY2504" s="105"/>
      <c r="AZ2504" s="220"/>
      <c r="BA2504" s="241"/>
      <c r="BE2504" s="107"/>
      <c r="BF2504" s="220"/>
    </row>
    <row r="2505" spans="49:58">
      <c r="AW2505" s="107"/>
      <c r="AX2505" s="195"/>
      <c r="AY2505" s="105"/>
      <c r="AZ2505" s="220"/>
      <c r="BA2505" s="241"/>
      <c r="BE2505" s="107"/>
      <c r="BF2505" s="220"/>
    </row>
    <row r="2506" spans="49:58">
      <c r="AW2506" s="107"/>
      <c r="AX2506" s="195"/>
      <c r="AY2506" s="105"/>
      <c r="AZ2506" s="220"/>
      <c r="BA2506" s="241"/>
      <c r="BE2506" s="107"/>
      <c r="BF2506" s="220"/>
    </row>
    <row r="2507" spans="49:58">
      <c r="AW2507" s="107"/>
      <c r="AX2507" s="195"/>
      <c r="AY2507" s="105"/>
      <c r="AZ2507" s="220"/>
      <c r="BA2507" s="241"/>
      <c r="BE2507" s="107"/>
      <c r="BF2507" s="220"/>
    </row>
    <row r="2508" spans="49:58">
      <c r="AW2508" s="107"/>
      <c r="AX2508" s="195"/>
      <c r="AY2508" s="105"/>
      <c r="AZ2508" s="220"/>
      <c r="BA2508" s="241"/>
      <c r="BE2508" s="107"/>
      <c r="BF2508" s="220"/>
    </row>
    <row r="2509" spans="49:58">
      <c r="AW2509" s="107"/>
      <c r="AX2509" s="195"/>
      <c r="AY2509" s="105"/>
      <c r="AZ2509" s="220"/>
      <c r="BA2509" s="241"/>
      <c r="BE2509" s="107"/>
      <c r="BF2509" s="220"/>
    </row>
    <row r="2510" spans="49:58">
      <c r="AW2510" s="107"/>
      <c r="AX2510" s="195"/>
      <c r="AY2510" s="105"/>
      <c r="AZ2510" s="220"/>
      <c r="BA2510" s="241"/>
      <c r="BE2510" s="107"/>
      <c r="BF2510" s="220"/>
    </row>
    <row r="2511" spans="49:58">
      <c r="AW2511" s="107"/>
      <c r="AX2511" s="195"/>
      <c r="AY2511" s="105"/>
      <c r="AZ2511" s="220"/>
      <c r="BA2511" s="241"/>
      <c r="BE2511" s="107"/>
      <c r="BF2511" s="220"/>
    </row>
    <row r="2512" spans="49:58">
      <c r="AW2512" s="107"/>
      <c r="AX2512" s="195"/>
      <c r="AY2512" s="105"/>
      <c r="AZ2512" s="220"/>
      <c r="BA2512" s="241"/>
      <c r="BE2512" s="107"/>
      <c r="BF2512" s="220"/>
    </row>
    <row r="2513" spans="49:58">
      <c r="AW2513" s="107"/>
      <c r="AX2513" s="195"/>
      <c r="AY2513" s="105"/>
      <c r="AZ2513" s="220"/>
      <c r="BA2513" s="241"/>
      <c r="BE2513" s="107"/>
      <c r="BF2513" s="220"/>
    </row>
    <row r="2514" spans="49:58">
      <c r="AW2514" s="107"/>
      <c r="AX2514" s="195"/>
      <c r="AY2514" s="105"/>
      <c r="AZ2514" s="220"/>
      <c r="BA2514" s="241"/>
      <c r="BE2514" s="107"/>
      <c r="BF2514" s="220"/>
    </row>
    <row r="2515" spans="49:58">
      <c r="AW2515" s="107"/>
      <c r="AX2515" s="195"/>
      <c r="AY2515" s="105"/>
      <c r="AZ2515" s="220"/>
      <c r="BA2515" s="241"/>
      <c r="BE2515" s="107"/>
      <c r="BF2515" s="220"/>
    </row>
    <row r="2516" spans="49:58">
      <c r="AW2516" s="107"/>
      <c r="AX2516" s="195"/>
      <c r="AY2516" s="105"/>
      <c r="AZ2516" s="220"/>
      <c r="BA2516" s="241"/>
      <c r="BE2516" s="107"/>
      <c r="BF2516" s="220"/>
    </row>
    <row r="2517" spans="49:58">
      <c r="AW2517" s="107"/>
      <c r="AX2517" s="195"/>
      <c r="AY2517" s="105"/>
      <c r="AZ2517" s="220"/>
      <c r="BA2517" s="241"/>
      <c r="BE2517" s="107"/>
      <c r="BF2517" s="220"/>
    </row>
    <row r="2518" spans="49:58">
      <c r="AW2518" s="107"/>
      <c r="AX2518" s="195"/>
      <c r="AY2518" s="105"/>
      <c r="AZ2518" s="220"/>
      <c r="BA2518" s="241"/>
      <c r="BE2518" s="107"/>
      <c r="BF2518" s="220"/>
    </row>
    <row r="2519" spans="49:58">
      <c r="AW2519" s="107"/>
      <c r="AX2519" s="195"/>
      <c r="AY2519" s="105"/>
      <c r="AZ2519" s="220"/>
      <c r="BA2519" s="241"/>
      <c r="BE2519" s="107"/>
      <c r="BF2519" s="220"/>
    </row>
    <row r="2520" spans="49:58">
      <c r="AW2520" s="107"/>
      <c r="AX2520" s="195"/>
      <c r="AY2520" s="105"/>
      <c r="AZ2520" s="220"/>
      <c r="BA2520" s="241"/>
      <c r="BE2520" s="107"/>
      <c r="BF2520" s="220"/>
    </row>
    <row r="2521" spans="49:58">
      <c r="AW2521" s="107"/>
      <c r="AX2521" s="195"/>
      <c r="AY2521" s="105"/>
      <c r="AZ2521" s="220"/>
      <c r="BA2521" s="241"/>
      <c r="BE2521" s="107"/>
      <c r="BF2521" s="220"/>
    </row>
    <row r="2522" spans="49:58">
      <c r="AW2522" s="107"/>
      <c r="AX2522" s="195"/>
      <c r="AY2522" s="105"/>
      <c r="AZ2522" s="220"/>
      <c r="BA2522" s="241"/>
      <c r="BE2522" s="107"/>
      <c r="BF2522" s="220"/>
    </row>
    <row r="2523" spans="49:58">
      <c r="AW2523" s="107"/>
      <c r="AX2523" s="195"/>
      <c r="AY2523" s="105"/>
      <c r="AZ2523" s="220"/>
      <c r="BA2523" s="241"/>
      <c r="BE2523" s="107"/>
      <c r="BF2523" s="220"/>
    </row>
    <row r="2524" spans="49:58">
      <c r="AW2524" s="107"/>
      <c r="AX2524" s="195"/>
      <c r="AY2524" s="105"/>
      <c r="AZ2524" s="220"/>
      <c r="BA2524" s="241"/>
      <c r="BE2524" s="107"/>
      <c r="BF2524" s="220"/>
    </row>
    <row r="2525" spans="49:58">
      <c r="AW2525" s="107"/>
      <c r="AX2525" s="195"/>
      <c r="AY2525" s="105"/>
      <c r="AZ2525" s="220"/>
      <c r="BA2525" s="241"/>
      <c r="BE2525" s="107"/>
      <c r="BF2525" s="220"/>
    </row>
    <row r="2526" spans="49:58">
      <c r="AW2526" s="107"/>
      <c r="AX2526" s="195"/>
      <c r="AY2526" s="105"/>
      <c r="AZ2526" s="220"/>
      <c r="BA2526" s="241"/>
      <c r="BE2526" s="107"/>
      <c r="BF2526" s="220"/>
    </row>
    <row r="2527" spans="49:58">
      <c r="AW2527" s="107"/>
      <c r="AX2527" s="195"/>
      <c r="AY2527" s="105"/>
      <c r="AZ2527" s="220"/>
      <c r="BA2527" s="241"/>
      <c r="BE2527" s="107"/>
      <c r="BF2527" s="220"/>
    </row>
    <row r="2528" spans="49:58">
      <c r="AW2528" s="107"/>
      <c r="AX2528" s="195"/>
      <c r="AY2528" s="105"/>
      <c r="AZ2528" s="220"/>
      <c r="BA2528" s="241"/>
      <c r="BE2528" s="107"/>
      <c r="BF2528" s="220"/>
    </row>
    <row r="2529" spans="49:58">
      <c r="AW2529" s="107"/>
      <c r="AX2529" s="195"/>
      <c r="AY2529" s="105"/>
      <c r="AZ2529" s="220"/>
      <c r="BA2529" s="241"/>
      <c r="BE2529" s="107"/>
      <c r="BF2529" s="220"/>
    </row>
    <row r="2530" spans="49:58">
      <c r="AW2530" s="107"/>
      <c r="AX2530" s="195"/>
      <c r="AY2530" s="105"/>
      <c r="AZ2530" s="220"/>
      <c r="BA2530" s="241"/>
      <c r="BE2530" s="107"/>
      <c r="BF2530" s="220"/>
    </row>
    <row r="2531" spans="49:58">
      <c r="AW2531" s="107"/>
      <c r="AX2531" s="195"/>
      <c r="AY2531" s="105"/>
      <c r="AZ2531" s="220"/>
      <c r="BA2531" s="241"/>
      <c r="BE2531" s="107"/>
      <c r="BF2531" s="220"/>
    </row>
    <row r="2532" spans="49:58">
      <c r="AW2532" s="107"/>
      <c r="AX2532" s="195"/>
      <c r="AY2532" s="105"/>
      <c r="AZ2532" s="220"/>
      <c r="BA2532" s="241"/>
      <c r="BE2532" s="107"/>
      <c r="BF2532" s="220"/>
    </row>
    <row r="2533" spans="49:58">
      <c r="AW2533" s="107"/>
      <c r="AX2533" s="195"/>
      <c r="AY2533" s="105"/>
      <c r="AZ2533" s="220"/>
      <c r="BA2533" s="241"/>
      <c r="BE2533" s="107"/>
      <c r="BF2533" s="220"/>
    </row>
    <row r="2534" spans="49:58">
      <c r="AW2534" s="107"/>
      <c r="AX2534" s="195"/>
      <c r="AY2534" s="105"/>
      <c r="AZ2534" s="220"/>
      <c r="BA2534" s="241"/>
      <c r="BE2534" s="107"/>
      <c r="BF2534" s="220"/>
    </row>
    <row r="2535" spans="49:58">
      <c r="AW2535" s="107"/>
      <c r="AX2535" s="195"/>
      <c r="AY2535" s="105"/>
      <c r="AZ2535" s="220"/>
      <c r="BA2535" s="241"/>
      <c r="BE2535" s="107"/>
      <c r="BF2535" s="220"/>
    </row>
    <row r="2536" spans="49:58">
      <c r="AW2536" s="107"/>
      <c r="AX2536" s="195"/>
      <c r="AY2536" s="105"/>
      <c r="AZ2536" s="220"/>
      <c r="BA2536" s="241"/>
      <c r="BE2536" s="107"/>
      <c r="BF2536" s="220"/>
    </row>
    <row r="2537" spans="49:58">
      <c r="AW2537" s="107"/>
      <c r="AX2537" s="195"/>
      <c r="AY2537" s="105"/>
      <c r="AZ2537" s="220"/>
      <c r="BA2537" s="241"/>
      <c r="BE2537" s="107"/>
      <c r="BF2537" s="220"/>
    </row>
    <row r="2538" spans="49:58">
      <c r="AW2538" s="107"/>
      <c r="AX2538" s="195"/>
      <c r="AY2538" s="105"/>
      <c r="AZ2538" s="220"/>
      <c r="BA2538" s="241"/>
      <c r="BE2538" s="107"/>
      <c r="BF2538" s="220"/>
    </row>
    <row r="2539" spans="49:58">
      <c r="AW2539" s="107"/>
      <c r="AX2539" s="195"/>
      <c r="AY2539" s="105"/>
      <c r="AZ2539" s="220"/>
      <c r="BA2539" s="241"/>
      <c r="BE2539" s="107"/>
      <c r="BF2539" s="220"/>
    </row>
    <row r="2540" spans="49:58">
      <c r="AW2540" s="107"/>
      <c r="AX2540" s="195"/>
      <c r="AY2540" s="105"/>
      <c r="AZ2540" s="220"/>
      <c r="BA2540" s="241"/>
      <c r="BE2540" s="107"/>
      <c r="BF2540" s="220"/>
    </row>
    <row r="2541" spans="49:58">
      <c r="AW2541" s="107"/>
      <c r="AX2541" s="195"/>
      <c r="AY2541" s="105"/>
      <c r="AZ2541" s="220"/>
      <c r="BA2541" s="241"/>
      <c r="BE2541" s="107"/>
      <c r="BF2541" s="220"/>
    </row>
    <row r="2542" spans="49:58">
      <c r="AW2542" s="107"/>
      <c r="AX2542" s="195"/>
      <c r="AY2542" s="105"/>
      <c r="AZ2542" s="220"/>
      <c r="BA2542" s="241"/>
      <c r="BE2542" s="107"/>
      <c r="BF2542" s="220"/>
    </row>
    <row r="2543" spans="49:58">
      <c r="AW2543" s="107"/>
      <c r="AX2543" s="195"/>
      <c r="AY2543" s="105"/>
      <c r="AZ2543" s="220"/>
      <c r="BA2543" s="241"/>
      <c r="BE2543" s="107"/>
      <c r="BF2543" s="220"/>
    </row>
    <row r="2544" spans="49:58">
      <c r="AW2544" s="107"/>
      <c r="AX2544" s="195"/>
      <c r="AY2544" s="105"/>
      <c r="AZ2544" s="220"/>
      <c r="BA2544" s="241"/>
      <c r="BE2544" s="107"/>
      <c r="BF2544" s="220"/>
    </row>
    <row r="2545" spans="49:58">
      <c r="AW2545" s="107"/>
      <c r="AX2545" s="195"/>
      <c r="AY2545" s="105"/>
      <c r="AZ2545" s="220"/>
      <c r="BA2545" s="241"/>
      <c r="BE2545" s="107"/>
      <c r="BF2545" s="220"/>
    </row>
    <row r="2546" spans="49:58">
      <c r="AW2546" s="107"/>
      <c r="AX2546" s="195"/>
      <c r="AY2546" s="105"/>
      <c r="AZ2546" s="220"/>
      <c r="BA2546" s="241"/>
      <c r="BE2546" s="107"/>
      <c r="BF2546" s="220"/>
    </row>
    <row r="2547" spans="49:58">
      <c r="AW2547" s="107"/>
      <c r="AX2547" s="195"/>
      <c r="AY2547" s="105"/>
      <c r="AZ2547" s="220"/>
      <c r="BA2547" s="241"/>
      <c r="BE2547" s="107"/>
      <c r="BF2547" s="220"/>
    </row>
    <row r="2548" spans="49:58">
      <c r="AW2548" s="107"/>
      <c r="AX2548" s="195"/>
      <c r="AY2548" s="105"/>
      <c r="AZ2548" s="220"/>
      <c r="BA2548" s="241"/>
      <c r="BE2548" s="107"/>
      <c r="BF2548" s="220"/>
    </row>
    <row r="2549" spans="49:58">
      <c r="AW2549" s="107"/>
      <c r="AX2549" s="195"/>
      <c r="AY2549" s="105"/>
      <c r="AZ2549" s="220"/>
      <c r="BA2549" s="241"/>
      <c r="BE2549" s="107"/>
      <c r="BF2549" s="220"/>
    </row>
    <row r="2550" spans="49:58">
      <c r="AW2550" s="107"/>
      <c r="AX2550" s="195"/>
      <c r="AY2550" s="105"/>
      <c r="AZ2550" s="220"/>
      <c r="BA2550" s="241"/>
      <c r="BE2550" s="107"/>
      <c r="BF2550" s="220"/>
    </row>
    <row r="2551" spans="49:58">
      <c r="AW2551" s="107"/>
      <c r="AX2551" s="195"/>
      <c r="AY2551" s="105"/>
      <c r="AZ2551" s="220"/>
      <c r="BA2551" s="241"/>
      <c r="BE2551" s="107"/>
      <c r="BF2551" s="220"/>
    </row>
    <row r="2552" spans="49:58">
      <c r="AW2552" s="107"/>
      <c r="AX2552" s="195"/>
      <c r="AY2552" s="105"/>
      <c r="AZ2552" s="220"/>
      <c r="BA2552" s="241"/>
      <c r="BE2552" s="107"/>
      <c r="BF2552" s="220"/>
    </row>
    <row r="2553" spans="49:58">
      <c r="AW2553" s="107"/>
      <c r="AX2553" s="195"/>
      <c r="AY2553" s="105"/>
      <c r="AZ2553" s="220"/>
      <c r="BA2553" s="241"/>
      <c r="BE2553" s="107"/>
      <c r="BF2553" s="220"/>
    </row>
    <row r="2554" spans="49:58">
      <c r="AW2554" s="107"/>
      <c r="AX2554" s="195"/>
      <c r="AY2554" s="105"/>
      <c r="AZ2554" s="220"/>
      <c r="BA2554" s="241"/>
      <c r="BE2554" s="107"/>
      <c r="BF2554" s="220"/>
    </row>
    <row r="2555" spans="49:58">
      <c r="AW2555" s="107"/>
      <c r="AX2555" s="195"/>
      <c r="AY2555" s="105"/>
      <c r="AZ2555" s="220"/>
      <c r="BA2555" s="241"/>
      <c r="BE2555" s="107"/>
      <c r="BF2555" s="220"/>
    </row>
    <row r="2556" spans="49:58">
      <c r="AW2556" s="107"/>
      <c r="AX2556" s="195"/>
      <c r="AY2556" s="105"/>
      <c r="AZ2556" s="220"/>
      <c r="BA2556" s="241"/>
      <c r="BE2556" s="107"/>
      <c r="BF2556" s="220"/>
    </row>
    <row r="2557" spans="49:58">
      <c r="AW2557" s="107"/>
      <c r="AX2557" s="195"/>
      <c r="AY2557" s="105"/>
      <c r="AZ2557" s="220"/>
      <c r="BA2557" s="241"/>
      <c r="BE2557" s="107"/>
      <c r="BF2557" s="220"/>
    </row>
    <row r="2558" spans="49:58">
      <c r="AW2558" s="107"/>
      <c r="AX2558" s="195"/>
      <c r="AY2558" s="105"/>
      <c r="AZ2558" s="220"/>
      <c r="BA2558" s="241"/>
      <c r="BE2558" s="107"/>
      <c r="BF2558" s="220"/>
    </row>
    <row r="2559" spans="49:58">
      <c r="AW2559" s="107"/>
      <c r="AX2559" s="195"/>
      <c r="AY2559" s="105"/>
      <c r="AZ2559" s="220"/>
      <c r="BA2559" s="241"/>
      <c r="BE2559" s="107"/>
      <c r="BF2559" s="220"/>
    </row>
    <row r="2560" spans="49:58">
      <c r="AW2560" s="107"/>
      <c r="AX2560" s="195"/>
      <c r="AY2560" s="105"/>
      <c r="AZ2560" s="220"/>
      <c r="BA2560" s="241"/>
      <c r="BE2560" s="107"/>
      <c r="BF2560" s="220"/>
    </row>
    <row r="2561" spans="49:58">
      <c r="AW2561" s="107"/>
      <c r="AX2561" s="195"/>
      <c r="AY2561" s="105"/>
      <c r="AZ2561" s="220"/>
      <c r="BA2561" s="241"/>
      <c r="BE2561" s="107"/>
      <c r="BF2561" s="220"/>
    </row>
    <row r="2562" spans="49:58">
      <c r="AW2562" s="107"/>
      <c r="AX2562" s="195"/>
      <c r="AY2562" s="105"/>
      <c r="AZ2562" s="220"/>
      <c r="BA2562" s="241"/>
      <c r="BE2562" s="107"/>
      <c r="BF2562" s="220"/>
    </row>
    <row r="2563" spans="49:58">
      <c r="AW2563" s="107"/>
      <c r="AX2563" s="195"/>
      <c r="AY2563" s="105"/>
      <c r="AZ2563" s="220"/>
      <c r="BA2563" s="241"/>
      <c r="BE2563" s="107"/>
      <c r="BF2563" s="220"/>
    </row>
    <row r="2564" spans="49:58">
      <c r="AW2564" s="107"/>
      <c r="AX2564" s="195"/>
      <c r="AY2564" s="105"/>
      <c r="AZ2564" s="220"/>
      <c r="BA2564" s="241"/>
      <c r="BE2564" s="107"/>
      <c r="BF2564" s="220"/>
    </row>
    <row r="2565" spans="49:58">
      <c r="AW2565" s="107"/>
      <c r="AX2565" s="195"/>
      <c r="AY2565" s="105"/>
      <c r="AZ2565" s="220"/>
      <c r="BA2565" s="241"/>
      <c r="BE2565" s="107"/>
      <c r="BF2565" s="220"/>
    </row>
    <row r="2566" spans="49:58">
      <c r="AW2566" s="107"/>
      <c r="AX2566" s="195"/>
      <c r="AY2566" s="105"/>
      <c r="AZ2566" s="220"/>
      <c r="BA2566" s="241"/>
      <c r="BE2566" s="107"/>
      <c r="BF2566" s="220"/>
    </row>
    <row r="2567" spans="49:58">
      <c r="AW2567" s="107"/>
      <c r="AX2567" s="195"/>
      <c r="AY2567" s="105"/>
      <c r="AZ2567" s="220"/>
      <c r="BA2567" s="241"/>
      <c r="BE2567" s="107"/>
      <c r="BF2567" s="220"/>
    </row>
    <row r="2568" spans="49:58">
      <c r="AW2568" s="107"/>
      <c r="AX2568" s="195"/>
      <c r="AY2568" s="105"/>
      <c r="AZ2568" s="220"/>
      <c r="BA2568" s="241"/>
      <c r="BE2568" s="107"/>
      <c r="BF2568" s="220"/>
    </row>
    <row r="2569" spans="49:58">
      <c r="AW2569" s="107"/>
      <c r="AX2569" s="195"/>
      <c r="AY2569" s="105"/>
      <c r="AZ2569" s="220"/>
      <c r="BA2569" s="241"/>
      <c r="BE2569" s="107"/>
      <c r="BF2569" s="220"/>
    </row>
    <row r="2570" spans="49:58">
      <c r="AW2570" s="107"/>
      <c r="AX2570" s="195"/>
      <c r="AY2570" s="105"/>
      <c r="AZ2570" s="220"/>
      <c r="BA2570" s="241"/>
      <c r="BE2570" s="107"/>
      <c r="BF2570" s="220"/>
    </row>
    <row r="2571" spans="49:58">
      <c r="AW2571" s="107"/>
      <c r="AX2571" s="195"/>
      <c r="AY2571" s="105"/>
      <c r="AZ2571" s="220"/>
      <c r="BA2571" s="241"/>
      <c r="BE2571" s="107"/>
      <c r="BF2571" s="220"/>
    </row>
    <row r="2572" spans="49:58">
      <c r="AW2572" s="107"/>
      <c r="AX2572" s="195"/>
      <c r="AY2572" s="105"/>
      <c r="AZ2572" s="220"/>
      <c r="BA2572" s="241"/>
      <c r="BE2572" s="107"/>
      <c r="BF2572" s="220"/>
    </row>
    <row r="2573" spans="49:58">
      <c r="AW2573" s="107"/>
      <c r="AX2573" s="195"/>
      <c r="AY2573" s="105"/>
      <c r="AZ2573" s="220"/>
      <c r="BA2573" s="241"/>
      <c r="BE2573" s="107"/>
      <c r="BF2573" s="220"/>
    </row>
    <row r="2574" spans="49:58">
      <c r="AW2574" s="107"/>
      <c r="AX2574" s="195"/>
      <c r="AY2574" s="105"/>
      <c r="AZ2574" s="220"/>
      <c r="BA2574" s="241"/>
      <c r="BE2574" s="107"/>
      <c r="BF2574" s="220"/>
    </row>
    <row r="2575" spans="49:58">
      <c r="AW2575" s="107"/>
      <c r="AX2575" s="195"/>
      <c r="AY2575" s="105"/>
      <c r="AZ2575" s="220"/>
      <c r="BA2575" s="241"/>
      <c r="BE2575" s="107"/>
      <c r="BF2575" s="220"/>
    </row>
    <row r="2576" spans="49:58">
      <c r="AW2576" s="107"/>
      <c r="AX2576" s="195"/>
      <c r="AY2576" s="105"/>
      <c r="AZ2576" s="220"/>
      <c r="BA2576" s="241"/>
      <c r="BE2576" s="107"/>
      <c r="BF2576" s="220"/>
    </row>
    <row r="2577" spans="49:58">
      <c r="AW2577" s="107"/>
      <c r="AX2577" s="195"/>
      <c r="AY2577" s="105"/>
      <c r="AZ2577" s="220"/>
      <c r="BA2577" s="241"/>
      <c r="BE2577" s="107"/>
      <c r="BF2577" s="220"/>
    </row>
    <row r="2578" spans="49:58">
      <c r="AW2578" s="107"/>
      <c r="AX2578" s="195"/>
      <c r="AY2578" s="105"/>
      <c r="AZ2578" s="220"/>
      <c r="BA2578" s="241"/>
      <c r="BE2578" s="107"/>
      <c r="BF2578" s="220"/>
    </row>
    <row r="2579" spans="49:58">
      <c r="AW2579" s="107"/>
      <c r="AX2579" s="195"/>
      <c r="AY2579" s="105"/>
      <c r="AZ2579" s="220"/>
      <c r="BA2579" s="241"/>
      <c r="BE2579" s="107"/>
      <c r="BF2579" s="220"/>
    </row>
    <row r="2580" spans="49:58">
      <c r="AW2580" s="107"/>
      <c r="AX2580" s="195"/>
      <c r="AY2580" s="105"/>
      <c r="AZ2580" s="220"/>
      <c r="BA2580" s="241"/>
      <c r="BE2580" s="107"/>
      <c r="BF2580" s="220"/>
    </row>
    <row r="2581" spans="49:58">
      <c r="AW2581" s="107"/>
      <c r="AX2581" s="195"/>
      <c r="AY2581" s="105"/>
      <c r="AZ2581" s="220"/>
      <c r="BA2581" s="241"/>
      <c r="BE2581" s="107"/>
      <c r="BF2581" s="220"/>
    </row>
    <row r="2582" spans="49:58">
      <c r="AW2582" s="107"/>
      <c r="AX2582" s="195"/>
      <c r="AY2582" s="105"/>
      <c r="AZ2582" s="220"/>
      <c r="BA2582" s="241"/>
      <c r="BE2582" s="107"/>
      <c r="BF2582" s="220"/>
    </row>
    <row r="2583" spans="49:58">
      <c r="AW2583" s="107"/>
      <c r="AX2583" s="195"/>
      <c r="AY2583" s="105"/>
      <c r="AZ2583" s="220"/>
      <c r="BA2583" s="241"/>
      <c r="BE2583" s="107"/>
      <c r="BF2583" s="220"/>
    </row>
    <row r="2584" spans="49:58">
      <c r="AW2584" s="107"/>
      <c r="AX2584" s="195"/>
      <c r="AY2584" s="105"/>
      <c r="AZ2584" s="220"/>
      <c r="BA2584" s="241"/>
      <c r="BE2584" s="107"/>
      <c r="BF2584" s="220"/>
    </row>
    <row r="2585" spans="49:58">
      <c r="AW2585" s="107"/>
      <c r="AX2585" s="195"/>
      <c r="AY2585" s="105"/>
      <c r="AZ2585" s="220"/>
      <c r="BA2585" s="241"/>
      <c r="BE2585" s="107"/>
      <c r="BF2585" s="220"/>
    </row>
    <row r="2586" spans="49:58">
      <c r="AW2586" s="107"/>
      <c r="AX2586" s="195"/>
      <c r="AY2586" s="105"/>
      <c r="AZ2586" s="220"/>
      <c r="BA2586" s="241"/>
      <c r="BE2586" s="107"/>
      <c r="BF2586" s="220"/>
    </row>
    <row r="2587" spans="49:58">
      <c r="AW2587" s="107"/>
      <c r="AX2587" s="195"/>
      <c r="AY2587" s="105"/>
      <c r="AZ2587" s="220"/>
      <c r="BA2587" s="241"/>
      <c r="BE2587" s="107"/>
      <c r="BF2587" s="220"/>
    </row>
    <row r="2588" spans="49:58">
      <c r="AW2588" s="107"/>
      <c r="AX2588" s="195"/>
      <c r="AY2588" s="105"/>
      <c r="AZ2588" s="220"/>
      <c r="BA2588" s="241"/>
      <c r="BE2588" s="107"/>
      <c r="BF2588" s="220"/>
    </row>
    <row r="2589" spans="49:58">
      <c r="AW2589" s="107"/>
      <c r="AX2589" s="195"/>
      <c r="AY2589" s="105"/>
      <c r="AZ2589" s="220"/>
      <c r="BA2589" s="241"/>
      <c r="BE2589" s="107"/>
      <c r="BF2589" s="220"/>
    </row>
    <row r="2590" spans="49:58">
      <c r="AW2590" s="107"/>
      <c r="AX2590" s="195"/>
      <c r="AY2590" s="105"/>
      <c r="AZ2590" s="220"/>
      <c r="BA2590" s="241"/>
      <c r="BE2590" s="107"/>
      <c r="BF2590" s="220"/>
    </row>
    <row r="2591" spans="49:58">
      <c r="AW2591" s="107"/>
      <c r="AX2591" s="195"/>
      <c r="AY2591" s="105"/>
      <c r="AZ2591" s="220"/>
      <c r="BA2591" s="241"/>
      <c r="BE2591" s="107"/>
      <c r="BF2591" s="220"/>
    </row>
    <row r="2592" spans="49:58">
      <c r="AW2592" s="107"/>
      <c r="AX2592" s="195"/>
      <c r="AY2592" s="105"/>
      <c r="AZ2592" s="220"/>
      <c r="BA2592" s="241"/>
      <c r="BE2592" s="107"/>
      <c r="BF2592" s="220"/>
    </row>
    <row r="2593" spans="49:58">
      <c r="AW2593" s="107"/>
      <c r="AX2593" s="195"/>
      <c r="AY2593" s="105"/>
      <c r="AZ2593" s="220"/>
      <c r="BA2593" s="241"/>
      <c r="BE2593" s="107"/>
      <c r="BF2593" s="220"/>
    </row>
    <row r="2594" spans="49:58">
      <c r="AW2594" s="107"/>
      <c r="AX2594" s="195"/>
      <c r="AY2594" s="105"/>
      <c r="AZ2594" s="220"/>
      <c r="BA2594" s="241"/>
      <c r="BE2594" s="107"/>
      <c r="BF2594" s="220"/>
    </row>
    <row r="2595" spans="49:58">
      <c r="AW2595" s="107"/>
      <c r="AX2595" s="195"/>
      <c r="AY2595" s="105"/>
      <c r="AZ2595" s="220"/>
      <c r="BA2595" s="241"/>
      <c r="BE2595" s="107"/>
      <c r="BF2595" s="220"/>
    </row>
    <row r="2596" spans="49:58">
      <c r="AW2596" s="107"/>
      <c r="AX2596" s="195"/>
      <c r="AY2596" s="105"/>
      <c r="AZ2596" s="220"/>
      <c r="BA2596" s="241"/>
      <c r="BE2596" s="107"/>
      <c r="BF2596" s="220"/>
    </row>
    <row r="2597" spans="49:58">
      <c r="AW2597" s="107"/>
      <c r="AX2597" s="195"/>
      <c r="AY2597" s="105"/>
      <c r="AZ2597" s="220"/>
      <c r="BA2597" s="241"/>
      <c r="BE2597" s="107"/>
      <c r="BF2597" s="220"/>
    </row>
    <row r="2598" spans="49:58">
      <c r="AW2598" s="107"/>
      <c r="AX2598" s="195"/>
      <c r="AY2598" s="105"/>
      <c r="AZ2598" s="220"/>
      <c r="BA2598" s="241"/>
      <c r="BE2598" s="107"/>
      <c r="BF2598" s="220"/>
    </row>
    <row r="2599" spans="49:58">
      <c r="AW2599" s="107"/>
      <c r="AX2599" s="195"/>
      <c r="AY2599" s="105"/>
      <c r="AZ2599" s="220"/>
      <c r="BA2599" s="241"/>
      <c r="BE2599" s="107"/>
      <c r="BF2599" s="220"/>
    </row>
    <row r="2600" spans="49:58">
      <c r="AW2600" s="107"/>
      <c r="AX2600" s="195"/>
      <c r="AY2600" s="105"/>
      <c r="AZ2600" s="220"/>
      <c r="BA2600" s="241"/>
      <c r="BE2600" s="107"/>
      <c r="BF2600" s="220"/>
    </row>
    <row r="2601" spans="49:58">
      <c r="AW2601" s="107"/>
      <c r="AX2601" s="195"/>
      <c r="AY2601" s="105"/>
      <c r="AZ2601" s="220"/>
      <c r="BA2601" s="241"/>
      <c r="BE2601" s="107"/>
      <c r="BF2601" s="220"/>
    </row>
    <row r="2602" spans="49:58">
      <c r="AW2602" s="107"/>
      <c r="AX2602" s="195"/>
      <c r="AY2602" s="105"/>
      <c r="AZ2602" s="220"/>
      <c r="BA2602" s="241"/>
      <c r="BE2602" s="107"/>
      <c r="BF2602" s="220"/>
    </row>
    <row r="2603" spans="49:58">
      <c r="AW2603" s="107"/>
      <c r="AX2603" s="195"/>
      <c r="AY2603" s="105"/>
      <c r="AZ2603" s="220"/>
      <c r="BA2603" s="241"/>
      <c r="BE2603" s="107"/>
      <c r="BF2603" s="220"/>
    </row>
    <row r="2604" spans="49:58">
      <c r="AW2604" s="107"/>
      <c r="AX2604" s="195"/>
      <c r="AY2604" s="105"/>
      <c r="AZ2604" s="220"/>
      <c r="BA2604" s="241"/>
      <c r="BE2604" s="107"/>
      <c r="BF2604" s="220"/>
    </row>
    <row r="2605" spans="49:58">
      <c r="AW2605" s="107"/>
      <c r="AX2605" s="195"/>
      <c r="AY2605" s="105"/>
      <c r="AZ2605" s="220"/>
      <c r="BA2605" s="241"/>
      <c r="BE2605" s="107"/>
      <c r="BF2605" s="220"/>
    </row>
    <row r="2606" spans="49:58">
      <c r="AW2606" s="107"/>
      <c r="AX2606" s="195"/>
      <c r="AY2606" s="105"/>
      <c r="AZ2606" s="220"/>
      <c r="BA2606" s="241"/>
      <c r="BE2606" s="107"/>
      <c r="BF2606" s="220"/>
    </row>
    <row r="2607" spans="49:58">
      <c r="AW2607" s="107"/>
      <c r="AX2607" s="195"/>
      <c r="AY2607" s="105"/>
      <c r="AZ2607" s="220"/>
      <c r="BA2607" s="241"/>
      <c r="BE2607" s="107"/>
      <c r="BF2607" s="220"/>
    </row>
    <row r="2608" spans="49:58">
      <c r="AW2608" s="107"/>
      <c r="AX2608" s="195"/>
      <c r="AY2608" s="105"/>
      <c r="AZ2608" s="220"/>
      <c r="BA2608" s="241"/>
      <c r="BE2608" s="107"/>
      <c r="BF2608" s="220"/>
    </row>
    <row r="2609" spans="49:58">
      <c r="AW2609" s="107"/>
      <c r="AX2609" s="195"/>
      <c r="AY2609" s="105"/>
      <c r="AZ2609" s="220"/>
      <c r="BA2609" s="241"/>
      <c r="BE2609" s="107"/>
      <c r="BF2609" s="220"/>
    </row>
    <row r="2610" spans="49:58">
      <c r="AW2610" s="107"/>
      <c r="AX2610" s="195"/>
      <c r="AY2610" s="105"/>
      <c r="AZ2610" s="220"/>
      <c r="BA2610" s="241"/>
      <c r="BE2610" s="107"/>
      <c r="BF2610" s="220"/>
    </row>
    <row r="2611" spans="49:58">
      <c r="AW2611" s="107"/>
      <c r="AX2611" s="195"/>
      <c r="AY2611" s="105"/>
      <c r="AZ2611" s="220"/>
      <c r="BA2611" s="241"/>
      <c r="BE2611" s="107"/>
      <c r="BF2611" s="220"/>
    </row>
    <row r="2612" spans="49:58">
      <c r="AW2612" s="107"/>
      <c r="AX2612" s="195"/>
      <c r="AY2612" s="105"/>
      <c r="AZ2612" s="220"/>
      <c r="BA2612" s="241"/>
      <c r="BE2612" s="107"/>
      <c r="BF2612" s="220"/>
    </row>
    <row r="2613" spans="49:58">
      <c r="AW2613" s="107"/>
      <c r="AX2613" s="195"/>
      <c r="AY2613" s="105"/>
      <c r="AZ2613" s="220"/>
      <c r="BA2613" s="241"/>
      <c r="BE2613" s="107"/>
      <c r="BF2613" s="220"/>
    </row>
    <row r="2614" spans="49:58">
      <c r="AW2614" s="107"/>
      <c r="AX2614" s="195"/>
      <c r="AY2614" s="105"/>
      <c r="AZ2614" s="220"/>
      <c r="BA2614" s="241"/>
      <c r="BE2614" s="107"/>
      <c r="BF2614" s="220"/>
    </row>
    <row r="2615" spans="49:58">
      <c r="AW2615" s="107"/>
      <c r="AX2615" s="195"/>
      <c r="AY2615" s="105"/>
      <c r="AZ2615" s="220"/>
      <c r="BA2615" s="241"/>
      <c r="BE2615" s="107"/>
      <c r="BF2615" s="220"/>
    </row>
    <row r="2616" spans="49:58">
      <c r="AW2616" s="107"/>
      <c r="AX2616" s="195"/>
      <c r="AY2616" s="105"/>
      <c r="AZ2616" s="220"/>
      <c r="BA2616" s="241"/>
      <c r="BE2616" s="107"/>
      <c r="BF2616" s="220"/>
    </row>
    <row r="2617" spans="49:58">
      <c r="AW2617" s="107"/>
      <c r="AX2617" s="195"/>
      <c r="AY2617" s="105"/>
      <c r="AZ2617" s="220"/>
      <c r="BA2617" s="241"/>
      <c r="BE2617" s="107"/>
      <c r="BF2617" s="220"/>
    </row>
    <row r="2618" spans="49:58">
      <c r="AW2618" s="107"/>
      <c r="AX2618" s="195"/>
      <c r="AY2618" s="105"/>
      <c r="AZ2618" s="220"/>
      <c r="BA2618" s="241"/>
      <c r="BE2618" s="107"/>
      <c r="BF2618" s="220"/>
    </row>
    <row r="2619" spans="49:58">
      <c r="AW2619" s="107"/>
      <c r="AX2619" s="195"/>
      <c r="AY2619" s="105"/>
      <c r="AZ2619" s="220"/>
      <c r="BA2619" s="241"/>
      <c r="BE2619" s="107"/>
      <c r="BF2619" s="220"/>
    </row>
    <row r="2620" spans="49:58">
      <c r="AW2620" s="107"/>
      <c r="AX2620" s="195"/>
      <c r="AY2620" s="105"/>
      <c r="AZ2620" s="220"/>
      <c r="BA2620" s="241"/>
      <c r="BE2620" s="107"/>
      <c r="BF2620" s="220"/>
    </row>
    <row r="2621" spans="49:58">
      <c r="AW2621" s="107"/>
      <c r="AX2621" s="195"/>
      <c r="AY2621" s="105"/>
      <c r="AZ2621" s="220"/>
      <c r="BA2621" s="241"/>
      <c r="BE2621" s="107"/>
      <c r="BF2621" s="220"/>
    </row>
    <row r="2622" spans="49:58">
      <c r="AW2622" s="107"/>
      <c r="AX2622" s="195"/>
      <c r="AY2622" s="105"/>
      <c r="AZ2622" s="220"/>
      <c r="BA2622" s="241"/>
      <c r="BE2622" s="107"/>
      <c r="BF2622" s="220"/>
    </row>
    <row r="2623" spans="49:58">
      <c r="AW2623" s="107"/>
      <c r="AX2623" s="195"/>
      <c r="AY2623" s="105"/>
      <c r="AZ2623" s="220"/>
      <c r="BA2623" s="241"/>
      <c r="BE2623" s="107"/>
      <c r="BF2623" s="220"/>
    </row>
    <row r="2624" spans="49:58">
      <c r="AW2624" s="107"/>
      <c r="AX2624" s="195"/>
      <c r="AY2624" s="105"/>
      <c r="AZ2624" s="220"/>
      <c r="BA2624" s="241"/>
      <c r="BE2624" s="107"/>
      <c r="BF2624" s="220"/>
    </row>
    <row r="2625" spans="49:58">
      <c r="AW2625" s="107"/>
      <c r="AX2625" s="195"/>
      <c r="AY2625" s="105"/>
      <c r="AZ2625" s="220"/>
      <c r="BA2625" s="241"/>
      <c r="BE2625" s="107"/>
      <c r="BF2625" s="220"/>
    </row>
    <row r="2626" spans="49:58">
      <c r="AW2626" s="107"/>
      <c r="AX2626" s="195"/>
      <c r="AY2626" s="105"/>
      <c r="AZ2626" s="220"/>
      <c r="BA2626" s="241"/>
      <c r="BE2626" s="107"/>
      <c r="BF2626" s="220"/>
    </row>
    <row r="2627" spans="49:58">
      <c r="AW2627" s="107"/>
      <c r="AX2627" s="195"/>
      <c r="AY2627" s="105"/>
      <c r="AZ2627" s="220"/>
      <c r="BA2627" s="241"/>
      <c r="BE2627" s="107"/>
      <c r="BF2627" s="220"/>
    </row>
    <row r="2628" spans="49:58">
      <c r="AW2628" s="107"/>
      <c r="AX2628" s="195"/>
      <c r="AY2628" s="105"/>
      <c r="AZ2628" s="220"/>
      <c r="BA2628" s="241"/>
      <c r="BE2628" s="107"/>
      <c r="BF2628" s="220"/>
    </row>
    <row r="2629" spans="49:58">
      <c r="AW2629" s="107"/>
      <c r="AX2629" s="195"/>
      <c r="AY2629" s="105"/>
      <c r="AZ2629" s="220"/>
      <c r="BA2629" s="241"/>
      <c r="BE2629" s="107"/>
      <c r="BF2629" s="220"/>
    </row>
    <row r="2630" spans="49:58">
      <c r="AW2630" s="107"/>
      <c r="AX2630" s="195"/>
      <c r="AY2630" s="105"/>
      <c r="AZ2630" s="220"/>
      <c r="BA2630" s="241"/>
      <c r="BE2630" s="107"/>
      <c r="BF2630" s="220"/>
    </row>
    <row r="2631" spans="49:58">
      <c r="AW2631" s="107"/>
      <c r="AX2631" s="195"/>
      <c r="AY2631" s="105"/>
      <c r="AZ2631" s="220"/>
      <c r="BA2631" s="241"/>
      <c r="BE2631" s="107"/>
      <c r="BF2631" s="220"/>
    </row>
    <row r="2632" spans="49:58">
      <c r="AW2632" s="107"/>
      <c r="AX2632" s="195"/>
      <c r="AY2632" s="105"/>
      <c r="AZ2632" s="220"/>
      <c r="BA2632" s="241"/>
      <c r="BE2632" s="107"/>
      <c r="BF2632" s="220"/>
    </row>
    <row r="2633" spans="49:58">
      <c r="AW2633" s="107"/>
      <c r="AX2633" s="195"/>
      <c r="AY2633" s="105"/>
      <c r="AZ2633" s="220"/>
      <c r="BA2633" s="241"/>
      <c r="BE2633" s="107"/>
      <c r="BF2633" s="220"/>
    </row>
    <row r="2634" spans="49:58">
      <c r="AW2634" s="107"/>
      <c r="AX2634" s="195"/>
      <c r="AY2634" s="105"/>
      <c r="AZ2634" s="220"/>
      <c r="BA2634" s="241"/>
      <c r="BE2634" s="107"/>
      <c r="BF2634" s="220"/>
    </row>
    <row r="2635" spans="49:58">
      <c r="AW2635" s="107"/>
      <c r="AX2635" s="195"/>
      <c r="AY2635" s="105"/>
      <c r="AZ2635" s="220"/>
      <c r="BA2635" s="241"/>
      <c r="BE2635" s="107"/>
      <c r="BF2635" s="220"/>
    </row>
    <row r="2636" spans="49:58">
      <c r="AW2636" s="107"/>
      <c r="AX2636" s="195"/>
      <c r="AY2636" s="105"/>
      <c r="AZ2636" s="220"/>
      <c r="BA2636" s="241"/>
      <c r="BE2636" s="107"/>
      <c r="BF2636" s="220"/>
    </row>
    <row r="2637" spans="49:58">
      <c r="AW2637" s="107"/>
      <c r="AX2637" s="195"/>
      <c r="AY2637" s="105"/>
      <c r="AZ2637" s="220"/>
      <c r="BA2637" s="241"/>
      <c r="BE2637" s="107"/>
      <c r="BF2637" s="220"/>
    </row>
    <row r="2638" spans="49:58">
      <c r="AW2638" s="107"/>
      <c r="AX2638" s="195"/>
      <c r="AY2638" s="105"/>
      <c r="AZ2638" s="220"/>
      <c r="BA2638" s="241"/>
      <c r="BE2638" s="107"/>
      <c r="BF2638" s="220"/>
    </row>
    <row r="2639" spans="49:58">
      <c r="AW2639" s="107"/>
      <c r="AX2639" s="195"/>
      <c r="AY2639" s="105"/>
      <c r="AZ2639" s="220"/>
      <c r="BA2639" s="241"/>
      <c r="BE2639" s="107"/>
      <c r="BF2639" s="220"/>
    </row>
    <row r="2640" spans="49:58">
      <c r="AW2640" s="107"/>
      <c r="AX2640" s="195"/>
      <c r="AY2640" s="105"/>
      <c r="AZ2640" s="220"/>
      <c r="BA2640" s="241"/>
      <c r="BE2640" s="107"/>
      <c r="BF2640" s="220"/>
    </row>
    <row r="2641" spans="49:58">
      <c r="AW2641" s="107"/>
      <c r="AX2641" s="195"/>
      <c r="AY2641" s="105"/>
      <c r="AZ2641" s="220"/>
      <c r="BA2641" s="241"/>
      <c r="BE2641" s="107"/>
      <c r="BF2641" s="220"/>
    </row>
    <row r="2642" spans="49:58">
      <c r="AW2642" s="107"/>
      <c r="AX2642" s="195"/>
      <c r="AY2642" s="105"/>
      <c r="AZ2642" s="220"/>
      <c r="BA2642" s="241"/>
      <c r="BE2642" s="107"/>
      <c r="BF2642" s="220"/>
    </row>
    <row r="2643" spans="49:58">
      <c r="AW2643" s="107"/>
      <c r="AX2643" s="195"/>
      <c r="AY2643" s="105"/>
      <c r="AZ2643" s="220"/>
      <c r="BA2643" s="241"/>
      <c r="BE2643" s="107"/>
      <c r="BF2643" s="220"/>
    </row>
    <row r="2644" spans="49:58">
      <c r="AW2644" s="107"/>
      <c r="AX2644" s="195"/>
      <c r="AY2644" s="105"/>
      <c r="AZ2644" s="220"/>
      <c r="BA2644" s="241"/>
      <c r="BE2644" s="107"/>
      <c r="BF2644" s="220"/>
    </row>
    <row r="2645" spans="49:58">
      <c r="AW2645" s="107"/>
      <c r="AX2645" s="195"/>
      <c r="AY2645" s="105"/>
      <c r="AZ2645" s="220"/>
      <c r="BA2645" s="241"/>
      <c r="BE2645" s="107"/>
      <c r="BF2645" s="220"/>
    </row>
    <row r="2646" spans="49:58">
      <c r="AW2646" s="107"/>
      <c r="AX2646" s="195"/>
      <c r="AY2646" s="105"/>
      <c r="AZ2646" s="220"/>
      <c r="BA2646" s="241"/>
      <c r="BE2646" s="107"/>
      <c r="BF2646" s="220"/>
    </row>
    <row r="2647" spans="49:58">
      <c r="AW2647" s="107"/>
      <c r="AX2647" s="195"/>
      <c r="AY2647" s="105"/>
      <c r="AZ2647" s="220"/>
      <c r="BA2647" s="241"/>
      <c r="BE2647" s="107"/>
      <c r="BF2647" s="220"/>
    </row>
    <row r="2648" spans="49:58">
      <c r="AW2648" s="107"/>
      <c r="AX2648" s="195"/>
      <c r="AY2648" s="105"/>
      <c r="AZ2648" s="220"/>
      <c r="BA2648" s="241"/>
      <c r="BE2648" s="107"/>
      <c r="BF2648" s="220"/>
    </row>
    <row r="2649" spans="49:58">
      <c r="AW2649" s="107"/>
      <c r="AX2649" s="195"/>
      <c r="AY2649" s="105"/>
      <c r="AZ2649" s="220"/>
      <c r="BA2649" s="241"/>
      <c r="BE2649" s="107"/>
      <c r="BF2649" s="220"/>
    </row>
    <row r="2650" spans="49:58">
      <c r="AW2650" s="107"/>
      <c r="AX2650" s="195"/>
      <c r="AY2650" s="105"/>
      <c r="AZ2650" s="220"/>
      <c r="BA2650" s="241"/>
      <c r="BE2650" s="107"/>
      <c r="BF2650" s="220"/>
    </row>
    <row r="2651" spans="49:58">
      <c r="AW2651" s="107"/>
      <c r="AX2651" s="195"/>
      <c r="AY2651" s="105"/>
      <c r="AZ2651" s="220"/>
      <c r="BA2651" s="241"/>
      <c r="BE2651" s="107"/>
      <c r="BF2651" s="220"/>
    </row>
    <row r="2652" spans="49:58">
      <c r="AW2652" s="107"/>
      <c r="AX2652" s="195"/>
      <c r="AY2652" s="105"/>
      <c r="AZ2652" s="220"/>
      <c r="BA2652" s="241"/>
      <c r="BE2652" s="107"/>
      <c r="BF2652" s="220"/>
    </row>
    <row r="2653" spans="49:58">
      <c r="AW2653" s="107"/>
      <c r="AX2653" s="195"/>
      <c r="AY2653" s="105"/>
      <c r="AZ2653" s="220"/>
      <c r="BA2653" s="241"/>
      <c r="BE2653" s="107"/>
      <c r="BF2653" s="220"/>
    </row>
    <row r="2654" spans="49:58">
      <c r="AW2654" s="107"/>
      <c r="AX2654" s="195"/>
      <c r="AY2654" s="105"/>
      <c r="AZ2654" s="220"/>
      <c r="BA2654" s="241"/>
      <c r="BE2654" s="107"/>
      <c r="BF2654" s="220"/>
    </row>
    <row r="2655" spans="49:58">
      <c r="AW2655" s="107"/>
      <c r="AX2655" s="195"/>
      <c r="AY2655" s="105"/>
      <c r="AZ2655" s="220"/>
      <c r="BA2655" s="241"/>
      <c r="BE2655" s="107"/>
      <c r="BF2655" s="220"/>
    </row>
    <row r="2656" spans="49:58">
      <c r="AW2656" s="107"/>
      <c r="AX2656" s="195"/>
      <c r="AY2656" s="105"/>
      <c r="AZ2656" s="220"/>
      <c r="BA2656" s="241"/>
      <c r="BE2656" s="107"/>
      <c r="BF2656" s="220"/>
    </row>
    <row r="2657" spans="49:58">
      <c r="AW2657" s="107"/>
      <c r="AX2657" s="195"/>
      <c r="AY2657" s="105"/>
      <c r="AZ2657" s="220"/>
      <c r="BA2657" s="241"/>
      <c r="BE2657" s="107"/>
      <c r="BF2657" s="220"/>
    </row>
    <row r="2658" spans="49:58">
      <c r="AW2658" s="107"/>
      <c r="AX2658" s="195"/>
      <c r="AY2658" s="105"/>
      <c r="AZ2658" s="220"/>
      <c r="BA2658" s="241"/>
      <c r="BE2658" s="107"/>
      <c r="BF2658" s="220"/>
    </row>
    <row r="2659" spans="49:58">
      <c r="AW2659" s="107"/>
      <c r="AX2659" s="195"/>
      <c r="AY2659" s="105"/>
      <c r="AZ2659" s="220"/>
      <c r="BA2659" s="241"/>
      <c r="BE2659" s="107"/>
      <c r="BF2659" s="220"/>
    </row>
    <row r="2660" spans="49:58">
      <c r="AW2660" s="107"/>
      <c r="AX2660" s="195"/>
      <c r="AY2660" s="105"/>
      <c r="AZ2660" s="220"/>
      <c r="BA2660" s="241"/>
      <c r="BE2660" s="107"/>
      <c r="BF2660" s="220"/>
    </row>
    <row r="2661" spans="49:58">
      <c r="AW2661" s="107"/>
      <c r="AX2661" s="195"/>
      <c r="AY2661" s="105"/>
      <c r="AZ2661" s="220"/>
      <c r="BA2661" s="241"/>
      <c r="BE2661" s="107"/>
      <c r="BF2661" s="220"/>
    </row>
    <row r="2662" spans="49:58">
      <c r="AW2662" s="107"/>
      <c r="AX2662" s="195"/>
      <c r="AY2662" s="105"/>
      <c r="AZ2662" s="220"/>
      <c r="BA2662" s="241"/>
      <c r="BE2662" s="107"/>
      <c r="BF2662" s="220"/>
    </row>
    <row r="2663" spans="49:58">
      <c r="AW2663" s="107"/>
      <c r="AX2663" s="195"/>
      <c r="AY2663" s="105"/>
      <c r="AZ2663" s="220"/>
      <c r="BA2663" s="241"/>
      <c r="BE2663" s="107"/>
      <c r="BF2663" s="220"/>
    </row>
    <row r="2664" spans="49:58">
      <c r="AW2664" s="107"/>
      <c r="AX2664" s="195"/>
      <c r="AY2664" s="105"/>
      <c r="AZ2664" s="220"/>
      <c r="BA2664" s="241"/>
      <c r="BE2664" s="107"/>
      <c r="BF2664" s="220"/>
    </row>
    <row r="2665" spans="49:58">
      <c r="AW2665" s="107"/>
      <c r="AX2665" s="195"/>
      <c r="AY2665" s="105"/>
      <c r="AZ2665" s="220"/>
      <c r="BA2665" s="241"/>
      <c r="BE2665" s="107"/>
      <c r="BF2665" s="220"/>
    </row>
    <row r="2666" spans="49:58">
      <c r="AW2666" s="107"/>
      <c r="AX2666" s="195"/>
      <c r="AY2666" s="105"/>
      <c r="AZ2666" s="220"/>
      <c r="BA2666" s="241"/>
      <c r="BE2666" s="107"/>
      <c r="BF2666" s="220"/>
    </row>
    <row r="2667" spans="49:58">
      <c r="AW2667" s="107"/>
      <c r="AX2667" s="195"/>
      <c r="AY2667" s="105"/>
      <c r="AZ2667" s="220"/>
      <c r="BA2667" s="241"/>
      <c r="BE2667" s="107"/>
      <c r="BF2667" s="220"/>
    </row>
    <row r="2668" spans="49:58">
      <c r="AW2668" s="107"/>
      <c r="AX2668" s="195"/>
      <c r="AY2668" s="105"/>
      <c r="AZ2668" s="220"/>
      <c r="BA2668" s="241"/>
      <c r="BE2668" s="107"/>
      <c r="BF2668" s="220"/>
    </row>
    <row r="2669" spans="49:58">
      <c r="AW2669" s="107"/>
      <c r="AX2669" s="195"/>
      <c r="AY2669" s="105"/>
      <c r="AZ2669" s="220"/>
      <c r="BA2669" s="241"/>
      <c r="BE2669" s="107"/>
      <c r="BF2669" s="220"/>
    </row>
    <row r="2670" spans="49:58">
      <c r="AW2670" s="107"/>
      <c r="AX2670" s="195"/>
      <c r="AY2670" s="105"/>
      <c r="AZ2670" s="220"/>
      <c r="BA2670" s="241"/>
      <c r="BE2670" s="107"/>
      <c r="BF2670" s="220"/>
    </row>
    <row r="2671" spans="49:58">
      <c r="AW2671" s="107"/>
      <c r="AX2671" s="195"/>
      <c r="AY2671" s="105"/>
      <c r="AZ2671" s="220"/>
      <c r="BA2671" s="241"/>
      <c r="BE2671" s="107"/>
      <c r="BF2671" s="220"/>
    </row>
    <row r="2672" spans="49:58">
      <c r="AW2672" s="107"/>
      <c r="AX2672" s="195"/>
      <c r="AY2672" s="105"/>
      <c r="AZ2672" s="220"/>
      <c r="BA2672" s="241"/>
      <c r="BE2672" s="107"/>
      <c r="BF2672" s="220"/>
    </row>
    <row r="2673" spans="49:58">
      <c r="AW2673" s="107"/>
      <c r="AX2673" s="195"/>
      <c r="AY2673" s="105"/>
      <c r="AZ2673" s="220"/>
      <c r="BA2673" s="241"/>
      <c r="BE2673" s="107"/>
      <c r="BF2673" s="220"/>
    </row>
    <row r="2674" spans="49:58">
      <c r="AW2674" s="107"/>
      <c r="AX2674" s="195"/>
      <c r="AY2674" s="105"/>
      <c r="AZ2674" s="220"/>
      <c r="BA2674" s="241"/>
      <c r="BE2674" s="107"/>
      <c r="BF2674" s="220"/>
    </row>
    <row r="2675" spans="49:58">
      <c r="AW2675" s="107"/>
      <c r="AX2675" s="195"/>
      <c r="AY2675" s="105"/>
      <c r="AZ2675" s="220"/>
      <c r="BA2675" s="241"/>
      <c r="BE2675" s="107"/>
      <c r="BF2675" s="220"/>
    </row>
    <row r="2676" spans="49:58">
      <c r="AW2676" s="107"/>
      <c r="AX2676" s="195"/>
      <c r="AY2676" s="105"/>
      <c r="AZ2676" s="220"/>
      <c r="BA2676" s="241"/>
      <c r="BE2676" s="107"/>
      <c r="BF2676" s="220"/>
    </row>
    <row r="2677" spans="49:58">
      <c r="AW2677" s="107"/>
      <c r="AX2677" s="195"/>
      <c r="AY2677" s="105"/>
      <c r="AZ2677" s="220"/>
      <c r="BA2677" s="241"/>
      <c r="BE2677" s="107"/>
      <c r="BF2677" s="220"/>
    </row>
    <row r="2678" spans="49:58">
      <c r="AW2678" s="107"/>
      <c r="AX2678" s="195"/>
      <c r="AY2678" s="105"/>
      <c r="AZ2678" s="220"/>
      <c r="BA2678" s="241"/>
      <c r="BE2678" s="107"/>
      <c r="BF2678" s="220"/>
    </row>
    <row r="2679" spans="49:58">
      <c r="AW2679" s="107"/>
      <c r="AX2679" s="195"/>
      <c r="AY2679" s="105"/>
      <c r="AZ2679" s="220"/>
      <c r="BA2679" s="241"/>
      <c r="BE2679" s="107"/>
      <c r="BF2679" s="220"/>
    </row>
    <row r="2680" spans="49:58">
      <c r="AW2680" s="107"/>
      <c r="AX2680" s="195"/>
      <c r="AY2680" s="105"/>
      <c r="AZ2680" s="220"/>
      <c r="BA2680" s="241"/>
      <c r="BE2680" s="107"/>
      <c r="BF2680" s="220"/>
    </row>
    <row r="2681" spans="49:58">
      <c r="AW2681" s="107"/>
      <c r="AX2681" s="195"/>
      <c r="AY2681" s="105"/>
      <c r="AZ2681" s="220"/>
      <c r="BA2681" s="241"/>
      <c r="BE2681" s="107"/>
      <c r="BF2681" s="220"/>
    </row>
    <row r="2682" spans="49:58">
      <c r="AW2682" s="107"/>
      <c r="AX2682" s="195"/>
      <c r="AY2682" s="105"/>
      <c r="AZ2682" s="220"/>
      <c r="BA2682" s="241"/>
      <c r="BE2682" s="107"/>
      <c r="BF2682" s="220"/>
    </row>
    <row r="2683" spans="49:58">
      <c r="AW2683" s="107"/>
      <c r="AX2683" s="195"/>
      <c r="AY2683" s="105"/>
      <c r="AZ2683" s="220"/>
      <c r="BA2683" s="241"/>
      <c r="BE2683" s="107"/>
      <c r="BF2683" s="220"/>
    </row>
    <row r="2684" spans="49:58">
      <c r="AW2684" s="107"/>
      <c r="AX2684" s="195"/>
      <c r="AY2684" s="105"/>
      <c r="AZ2684" s="220"/>
      <c r="BA2684" s="241"/>
      <c r="BE2684" s="107"/>
      <c r="BF2684" s="220"/>
    </row>
    <row r="2685" spans="49:58">
      <c r="AW2685" s="107"/>
      <c r="AX2685" s="195"/>
      <c r="AY2685" s="105"/>
      <c r="AZ2685" s="220"/>
      <c r="BA2685" s="241"/>
      <c r="BE2685" s="107"/>
      <c r="BF2685" s="220"/>
    </row>
    <row r="2686" spans="49:58">
      <c r="AW2686" s="107"/>
      <c r="AX2686" s="195"/>
      <c r="AY2686" s="105"/>
      <c r="AZ2686" s="220"/>
      <c r="BA2686" s="241"/>
      <c r="BE2686" s="107"/>
      <c r="BF2686" s="220"/>
    </row>
    <row r="2687" spans="49:58">
      <c r="AW2687" s="107"/>
      <c r="AX2687" s="195"/>
      <c r="AY2687" s="105"/>
      <c r="AZ2687" s="220"/>
      <c r="BA2687" s="241"/>
      <c r="BE2687" s="107"/>
      <c r="BF2687" s="220"/>
    </row>
    <row r="2688" spans="49:58">
      <c r="AW2688" s="107"/>
      <c r="AX2688" s="195"/>
      <c r="AY2688" s="105"/>
      <c r="AZ2688" s="220"/>
      <c r="BA2688" s="241"/>
      <c r="BE2688" s="107"/>
      <c r="BF2688" s="220"/>
    </row>
    <row r="2689" spans="49:58">
      <c r="AW2689" s="107"/>
      <c r="AX2689" s="195"/>
      <c r="AY2689" s="105"/>
      <c r="AZ2689" s="220"/>
      <c r="BA2689" s="241"/>
      <c r="BE2689" s="107"/>
      <c r="BF2689" s="220"/>
    </row>
    <row r="2690" spans="49:58">
      <c r="AW2690" s="107"/>
      <c r="AX2690" s="195"/>
      <c r="AY2690" s="105"/>
      <c r="AZ2690" s="220"/>
      <c r="BA2690" s="241"/>
      <c r="BE2690" s="107"/>
      <c r="BF2690" s="220"/>
    </row>
    <row r="2691" spans="49:58">
      <c r="AW2691" s="107"/>
      <c r="AX2691" s="195"/>
      <c r="AY2691" s="105"/>
      <c r="AZ2691" s="220"/>
      <c r="BA2691" s="241"/>
      <c r="BE2691" s="107"/>
      <c r="BF2691" s="220"/>
    </row>
    <row r="2692" spans="49:58">
      <c r="AW2692" s="107"/>
      <c r="AX2692" s="195"/>
      <c r="AY2692" s="105"/>
      <c r="AZ2692" s="220"/>
      <c r="BA2692" s="241"/>
      <c r="BE2692" s="107"/>
      <c r="BF2692" s="220"/>
    </row>
    <row r="2693" spans="49:58">
      <c r="AW2693" s="107"/>
      <c r="AX2693" s="195"/>
      <c r="AY2693" s="105"/>
      <c r="AZ2693" s="220"/>
      <c r="BA2693" s="241"/>
      <c r="BE2693" s="107"/>
      <c r="BF2693" s="220"/>
    </row>
    <row r="2694" spans="49:58">
      <c r="AW2694" s="107"/>
      <c r="AX2694" s="195"/>
      <c r="AY2694" s="105"/>
      <c r="AZ2694" s="220"/>
      <c r="BA2694" s="241"/>
      <c r="BE2694" s="107"/>
      <c r="BF2694" s="220"/>
    </row>
    <row r="2695" spans="49:58">
      <c r="AW2695" s="107"/>
      <c r="AX2695" s="195"/>
      <c r="AY2695" s="105"/>
      <c r="AZ2695" s="220"/>
      <c r="BA2695" s="241"/>
      <c r="BE2695" s="107"/>
      <c r="BF2695" s="220"/>
    </row>
    <row r="2696" spans="49:58">
      <c r="AW2696" s="107"/>
      <c r="AX2696" s="195"/>
      <c r="AY2696" s="105"/>
      <c r="AZ2696" s="220"/>
      <c r="BA2696" s="241"/>
      <c r="BE2696" s="107"/>
      <c r="BF2696" s="220"/>
    </row>
    <row r="2697" spans="49:58">
      <c r="AW2697" s="107"/>
      <c r="AX2697" s="195"/>
      <c r="AY2697" s="105"/>
      <c r="AZ2697" s="220"/>
      <c r="BA2697" s="241"/>
      <c r="BE2697" s="107"/>
      <c r="BF2697" s="220"/>
    </row>
    <row r="2698" spans="49:58">
      <c r="AW2698" s="107"/>
      <c r="AX2698" s="195"/>
      <c r="AY2698" s="105"/>
      <c r="AZ2698" s="220"/>
      <c r="BA2698" s="241"/>
      <c r="BE2698" s="107"/>
      <c r="BF2698" s="220"/>
    </row>
    <row r="2699" spans="49:58">
      <c r="AW2699" s="107"/>
      <c r="AX2699" s="195"/>
      <c r="AY2699" s="105"/>
      <c r="AZ2699" s="220"/>
      <c r="BA2699" s="241"/>
      <c r="BE2699" s="107"/>
      <c r="BF2699" s="220"/>
    </row>
    <row r="2700" spans="49:58">
      <c r="AW2700" s="107"/>
      <c r="AX2700" s="195"/>
      <c r="AY2700" s="105"/>
      <c r="AZ2700" s="220"/>
      <c r="BA2700" s="241"/>
      <c r="BE2700" s="107"/>
      <c r="BF2700" s="220"/>
    </row>
    <row r="2701" spans="49:58">
      <c r="AW2701" s="107"/>
      <c r="AX2701" s="195"/>
      <c r="AY2701" s="105"/>
      <c r="AZ2701" s="220"/>
      <c r="BA2701" s="241"/>
      <c r="BE2701" s="107"/>
      <c r="BF2701" s="220"/>
    </row>
    <row r="2702" spans="49:58">
      <c r="AW2702" s="107"/>
      <c r="AX2702" s="195"/>
      <c r="AY2702" s="105"/>
      <c r="AZ2702" s="220"/>
      <c r="BA2702" s="241"/>
      <c r="BE2702" s="107"/>
      <c r="BF2702" s="220"/>
    </row>
    <row r="2703" spans="49:58">
      <c r="AW2703" s="107"/>
      <c r="AX2703" s="195"/>
      <c r="AY2703" s="105"/>
      <c r="AZ2703" s="220"/>
      <c r="BA2703" s="241"/>
      <c r="BE2703" s="107"/>
      <c r="BF2703" s="220"/>
    </row>
    <row r="2704" spans="49:58">
      <c r="AW2704" s="107"/>
      <c r="AX2704" s="195"/>
      <c r="AY2704" s="105"/>
      <c r="AZ2704" s="220"/>
      <c r="BA2704" s="241"/>
      <c r="BE2704" s="107"/>
      <c r="BF2704" s="220"/>
    </row>
    <row r="2705" spans="49:58">
      <c r="AW2705" s="107"/>
      <c r="AX2705" s="195"/>
      <c r="AY2705" s="105"/>
      <c r="AZ2705" s="220"/>
      <c r="BA2705" s="241"/>
      <c r="BE2705" s="107"/>
      <c r="BF2705" s="220"/>
    </row>
    <row r="2706" spans="49:58">
      <c r="AW2706" s="107"/>
      <c r="AX2706" s="195"/>
      <c r="AY2706" s="105"/>
      <c r="AZ2706" s="220"/>
      <c r="BA2706" s="241"/>
      <c r="BE2706" s="107"/>
      <c r="BF2706" s="220"/>
    </row>
    <row r="2707" spans="49:58">
      <c r="AW2707" s="107"/>
      <c r="AX2707" s="195"/>
      <c r="AY2707" s="105"/>
      <c r="AZ2707" s="220"/>
      <c r="BA2707" s="241"/>
      <c r="BE2707" s="107"/>
      <c r="BF2707" s="220"/>
    </row>
    <row r="2708" spans="49:58">
      <c r="AW2708" s="107"/>
      <c r="AX2708" s="195"/>
      <c r="AY2708" s="105"/>
      <c r="AZ2708" s="220"/>
      <c r="BA2708" s="241"/>
      <c r="BE2708" s="107"/>
      <c r="BF2708" s="220"/>
    </row>
    <row r="2709" spans="49:58">
      <c r="AW2709" s="107"/>
      <c r="AX2709" s="195"/>
      <c r="AY2709" s="105"/>
      <c r="AZ2709" s="220"/>
      <c r="BA2709" s="241"/>
      <c r="BE2709" s="107"/>
      <c r="BF2709" s="220"/>
    </row>
    <row r="2710" spans="49:58">
      <c r="AW2710" s="107"/>
      <c r="AX2710" s="195"/>
      <c r="AY2710" s="105"/>
      <c r="AZ2710" s="220"/>
      <c r="BA2710" s="241"/>
      <c r="BE2710" s="107"/>
      <c r="BF2710" s="220"/>
    </row>
    <row r="2711" spans="49:58">
      <c r="AW2711" s="107"/>
      <c r="AX2711" s="195"/>
      <c r="AY2711" s="105"/>
      <c r="AZ2711" s="220"/>
      <c r="BA2711" s="241"/>
      <c r="BE2711" s="107"/>
      <c r="BF2711" s="220"/>
    </row>
    <row r="2712" spans="49:58">
      <c r="AW2712" s="107"/>
      <c r="AX2712" s="195"/>
      <c r="AY2712" s="105"/>
      <c r="AZ2712" s="220"/>
      <c r="BA2712" s="241"/>
      <c r="BE2712" s="107"/>
      <c r="BF2712" s="220"/>
    </row>
    <row r="2713" spans="49:58">
      <c r="AW2713" s="107"/>
      <c r="AX2713" s="195"/>
      <c r="AY2713" s="105"/>
      <c r="AZ2713" s="220"/>
      <c r="BA2713" s="241"/>
      <c r="BE2713" s="107"/>
      <c r="BF2713" s="220"/>
    </row>
    <row r="2714" spans="49:58">
      <c r="AW2714" s="107"/>
      <c r="AX2714" s="195"/>
      <c r="AY2714" s="105"/>
      <c r="AZ2714" s="220"/>
      <c r="BA2714" s="241"/>
      <c r="BE2714" s="107"/>
      <c r="BF2714" s="220"/>
    </row>
    <row r="2715" spans="49:58">
      <c r="AW2715" s="107"/>
      <c r="AX2715" s="195"/>
      <c r="AY2715" s="105"/>
      <c r="AZ2715" s="220"/>
      <c r="BA2715" s="241"/>
      <c r="BE2715" s="107"/>
      <c r="BF2715" s="220"/>
    </row>
    <row r="2716" spans="49:58">
      <c r="AW2716" s="107"/>
      <c r="AX2716" s="195"/>
      <c r="AY2716" s="105"/>
      <c r="AZ2716" s="220"/>
      <c r="BA2716" s="241"/>
      <c r="BE2716" s="107"/>
      <c r="BF2716" s="220"/>
    </row>
    <row r="2717" spans="49:58">
      <c r="AW2717" s="107"/>
      <c r="AX2717" s="195"/>
      <c r="AY2717" s="105"/>
      <c r="AZ2717" s="220"/>
      <c r="BA2717" s="241"/>
      <c r="BE2717" s="107"/>
      <c r="BF2717" s="220"/>
    </row>
    <row r="2718" spans="49:58">
      <c r="AW2718" s="107"/>
      <c r="AX2718" s="195"/>
      <c r="AY2718" s="105"/>
      <c r="AZ2718" s="220"/>
      <c r="BA2718" s="241"/>
      <c r="BE2718" s="107"/>
      <c r="BF2718" s="220"/>
    </row>
    <row r="2719" spans="49:58">
      <c r="AW2719" s="107"/>
      <c r="AX2719" s="195"/>
      <c r="AY2719" s="105"/>
      <c r="AZ2719" s="220"/>
      <c r="BA2719" s="241"/>
      <c r="BE2719" s="107"/>
      <c r="BF2719" s="220"/>
    </row>
    <row r="2720" spans="49:58">
      <c r="AW2720" s="107"/>
      <c r="AX2720" s="195"/>
      <c r="AY2720" s="105"/>
      <c r="AZ2720" s="220"/>
      <c r="BA2720" s="241"/>
      <c r="BE2720" s="107"/>
      <c r="BF2720" s="220"/>
    </row>
    <row r="2721" spans="49:58">
      <c r="AW2721" s="107"/>
      <c r="AX2721" s="195"/>
      <c r="AY2721" s="105"/>
      <c r="AZ2721" s="220"/>
      <c r="BA2721" s="241"/>
      <c r="BE2721" s="107"/>
      <c r="BF2721" s="220"/>
    </row>
    <row r="2722" spans="49:58">
      <c r="AW2722" s="107"/>
      <c r="AX2722" s="195"/>
      <c r="AY2722" s="105"/>
      <c r="AZ2722" s="220"/>
      <c r="BA2722" s="241"/>
      <c r="BE2722" s="107"/>
      <c r="BF2722" s="220"/>
    </row>
    <row r="2723" spans="49:58">
      <c r="AW2723" s="107"/>
      <c r="AX2723" s="195"/>
      <c r="AY2723" s="105"/>
      <c r="AZ2723" s="220"/>
      <c r="BA2723" s="241"/>
      <c r="BE2723" s="107"/>
      <c r="BF2723" s="220"/>
    </row>
    <row r="2724" spans="49:58">
      <c r="AW2724" s="107"/>
      <c r="AX2724" s="195"/>
      <c r="AY2724" s="105"/>
      <c r="AZ2724" s="220"/>
      <c r="BA2724" s="241"/>
      <c r="BE2724" s="107"/>
      <c r="BF2724" s="220"/>
    </row>
    <row r="2725" spans="49:58">
      <c r="AW2725" s="107"/>
      <c r="AX2725" s="195"/>
      <c r="AY2725" s="105"/>
      <c r="AZ2725" s="220"/>
      <c r="BA2725" s="241"/>
      <c r="BE2725" s="107"/>
      <c r="BF2725" s="220"/>
    </row>
    <row r="2726" spans="49:58">
      <c r="AW2726" s="107"/>
      <c r="AX2726" s="195"/>
      <c r="AY2726" s="105"/>
      <c r="AZ2726" s="220"/>
      <c r="BA2726" s="241"/>
      <c r="BE2726" s="107"/>
      <c r="BF2726" s="220"/>
    </row>
    <row r="2727" spans="49:58">
      <c r="AW2727" s="107"/>
      <c r="AX2727" s="195"/>
      <c r="AY2727" s="105"/>
      <c r="AZ2727" s="220"/>
      <c r="BA2727" s="241"/>
      <c r="BE2727" s="107"/>
      <c r="BF2727" s="220"/>
    </row>
    <row r="2728" spans="49:58">
      <c r="AW2728" s="107"/>
      <c r="AX2728" s="195"/>
      <c r="AY2728" s="105"/>
      <c r="AZ2728" s="220"/>
      <c r="BA2728" s="241"/>
      <c r="BE2728" s="107"/>
      <c r="BF2728" s="220"/>
    </row>
    <row r="2729" spans="49:58">
      <c r="AW2729" s="107"/>
      <c r="AX2729" s="195"/>
      <c r="AY2729" s="105"/>
      <c r="AZ2729" s="220"/>
      <c r="BA2729" s="241"/>
      <c r="BE2729" s="107"/>
      <c r="BF2729" s="220"/>
    </row>
    <row r="2730" spans="49:58">
      <c r="AW2730" s="107"/>
      <c r="AX2730" s="195"/>
      <c r="AY2730" s="105"/>
      <c r="AZ2730" s="220"/>
      <c r="BA2730" s="241"/>
      <c r="BE2730" s="107"/>
      <c r="BF2730" s="220"/>
    </row>
    <row r="2731" spans="49:58">
      <c r="AW2731" s="107"/>
      <c r="AX2731" s="195"/>
      <c r="AY2731" s="105"/>
      <c r="AZ2731" s="220"/>
      <c r="BA2731" s="241"/>
      <c r="BE2731" s="107"/>
      <c r="BF2731" s="220"/>
    </row>
    <row r="2732" spans="49:58">
      <c r="AW2732" s="107"/>
      <c r="AX2732" s="195"/>
      <c r="AY2732" s="105"/>
      <c r="AZ2732" s="220"/>
      <c r="BA2732" s="241"/>
      <c r="BE2732" s="107"/>
      <c r="BF2732" s="220"/>
    </row>
    <row r="2733" spans="49:58">
      <c r="AW2733" s="107"/>
      <c r="AX2733" s="195"/>
      <c r="AY2733" s="105"/>
      <c r="AZ2733" s="220"/>
      <c r="BA2733" s="241"/>
      <c r="BE2733" s="107"/>
      <c r="BF2733" s="220"/>
    </row>
    <row r="2734" spans="49:58">
      <c r="AW2734" s="107"/>
      <c r="AX2734" s="195"/>
      <c r="AY2734" s="105"/>
      <c r="AZ2734" s="220"/>
      <c r="BA2734" s="241"/>
      <c r="BE2734" s="107"/>
      <c r="BF2734" s="220"/>
    </row>
    <row r="2735" spans="49:58">
      <c r="AW2735" s="107"/>
      <c r="AX2735" s="195"/>
      <c r="AY2735" s="105"/>
      <c r="AZ2735" s="220"/>
      <c r="BA2735" s="241"/>
      <c r="BE2735" s="107"/>
      <c r="BF2735" s="220"/>
    </row>
    <row r="2736" spans="49:58">
      <c r="AW2736" s="107"/>
      <c r="AX2736" s="195"/>
      <c r="AY2736" s="105"/>
      <c r="AZ2736" s="220"/>
      <c r="BA2736" s="241"/>
      <c r="BE2736" s="107"/>
      <c r="BF2736" s="220"/>
    </row>
    <row r="2737" spans="49:58">
      <c r="AW2737" s="107"/>
      <c r="AX2737" s="195"/>
      <c r="AY2737" s="105"/>
      <c r="AZ2737" s="220"/>
      <c r="BA2737" s="241"/>
      <c r="BE2737" s="107"/>
      <c r="BF2737" s="220"/>
    </row>
    <row r="2738" spans="49:58">
      <c r="AW2738" s="107"/>
      <c r="AX2738" s="195"/>
      <c r="AY2738" s="105"/>
      <c r="AZ2738" s="220"/>
      <c r="BA2738" s="241"/>
      <c r="BE2738" s="107"/>
      <c r="BF2738" s="220"/>
    </row>
    <row r="2739" spans="49:58">
      <c r="AW2739" s="107"/>
      <c r="AX2739" s="195"/>
      <c r="AY2739" s="105"/>
      <c r="AZ2739" s="220"/>
      <c r="BA2739" s="241"/>
      <c r="BE2739" s="107"/>
      <c r="BF2739" s="220"/>
    </row>
    <row r="2740" spans="49:58">
      <c r="AW2740" s="107"/>
      <c r="AX2740" s="195"/>
      <c r="AY2740" s="105"/>
      <c r="AZ2740" s="220"/>
      <c r="BA2740" s="241"/>
      <c r="BE2740" s="107"/>
      <c r="BF2740" s="220"/>
    </row>
    <row r="2741" spans="49:58">
      <c r="AW2741" s="107"/>
      <c r="AX2741" s="195"/>
      <c r="AY2741" s="105"/>
      <c r="AZ2741" s="220"/>
      <c r="BA2741" s="241"/>
      <c r="BE2741" s="107"/>
      <c r="BF2741" s="220"/>
    </row>
    <row r="2742" spans="49:58">
      <c r="AW2742" s="107"/>
      <c r="AX2742" s="195"/>
      <c r="AY2742" s="105"/>
      <c r="AZ2742" s="220"/>
      <c r="BA2742" s="241"/>
      <c r="BE2742" s="107"/>
      <c r="BF2742" s="220"/>
    </row>
    <row r="2743" spans="49:58">
      <c r="AW2743" s="107"/>
      <c r="AX2743" s="195"/>
      <c r="AY2743" s="105"/>
      <c r="AZ2743" s="220"/>
      <c r="BA2743" s="241"/>
      <c r="BE2743" s="107"/>
      <c r="BF2743" s="220"/>
    </row>
    <row r="2744" spans="49:58">
      <c r="AW2744" s="107"/>
      <c r="AX2744" s="195"/>
      <c r="AY2744" s="105"/>
      <c r="AZ2744" s="220"/>
      <c r="BA2744" s="241"/>
      <c r="BE2744" s="107"/>
      <c r="BF2744" s="220"/>
    </row>
    <row r="2745" spans="49:58">
      <c r="AW2745" s="107"/>
      <c r="AX2745" s="195"/>
      <c r="AY2745" s="105"/>
      <c r="AZ2745" s="220"/>
      <c r="BA2745" s="241"/>
      <c r="BE2745" s="107"/>
      <c r="BF2745" s="220"/>
    </row>
    <row r="2746" spans="49:58">
      <c r="AW2746" s="107"/>
      <c r="AX2746" s="195"/>
      <c r="AY2746" s="105"/>
      <c r="AZ2746" s="220"/>
      <c r="BA2746" s="241"/>
      <c r="BE2746" s="107"/>
      <c r="BF2746" s="220"/>
    </row>
    <row r="2747" spans="49:58">
      <c r="AW2747" s="107"/>
      <c r="AX2747" s="195"/>
      <c r="AY2747" s="105"/>
      <c r="AZ2747" s="220"/>
      <c r="BA2747" s="241"/>
      <c r="BE2747" s="107"/>
      <c r="BF2747" s="220"/>
    </row>
    <row r="2748" spans="49:58">
      <c r="AW2748" s="107"/>
      <c r="AX2748" s="195"/>
      <c r="AY2748" s="105"/>
      <c r="AZ2748" s="220"/>
      <c r="BA2748" s="241"/>
      <c r="BE2748" s="107"/>
      <c r="BF2748" s="220"/>
    </row>
    <row r="2749" spans="49:58">
      <c r="AW2749" s="107"/>
      <c r="AX2749" s="195"/>
      <c r="AY2749" s="105"/>
      <c r="AZ2749" s="220"/>
      <c r="BA2749" s="241"/>
      <c r="BE2749" s="107"/>
      <c r="BF2749" s="220"/>
    </row>
    <row r="2750" spans="49:58">
      <c r="AW2750" s="107"/>
      <c r="AX2750" s="195"/>
      <c r="AY2750" s="105"/>
      <c r="AZ2750" s="220"/>
      <c r="BA2750" s="241"/>
      <c r="BE2750" s="107"/>
      <c r="BF2750" s="220"/>
    </row>
    <row r="2751" spans="49:58">
      <c r="AW2751" s="107"/>
      <c r="AX2751" s="195"/>
      <c r="AY2751" s="105"/>
      <c r="AZ2751" s="220"/>
      <c r="BA2751" s="241"/>
      <c r="BE2751" s="107"/>
      <c r="BF2751" s="220"/>
    </row>
    <row r="2752" spans="49:58">
      <c r="AW2752" s="107"/>
      <c r="AX2752" s="195"/>
      <c r="AY2752" s="105"/>
      <c r="AZ2752" s="220"/>
      <c r="BA2752" s="241"/>
      <c r="BE2752" s="107"/>
      <c r="BF2752" s="220"/>
    </row>
    <row r="2753" spans="49:58">
      <c r="AW2753" s="107"/>
      <c r="AX2753" s="195"/>
      <c r="AY2753" s="105"/>
      <c r="AZ2753" s="220"/>
      <c r="BA2753" s="241"/>
      <c r="BE2753" s="107"/>
      <c r="BF2753" s="220"/>
    </row>
    <row r="2754" spans="49:58">
      <c r="AW2754" s="107"/>
      <c r="AX2754" s="195"/>
      <c r="AY2754" s="105"/>
      <c r="AZ2754" s="220"/>
      <c r="BA2754" s="241"/>
      <c r="BE2754" s="107"/>
      <c r="BF2754" s="220"/>
    </row>
    <row r="2755" spans="49:58">
      <c r="AW2755" s="107"/>
      <c r="AX2755" s="195"/>
      <c r="AY2755" s="105"/>
      <c r="AZ2755" s="220"/>
      <c r="BA2755" s="241"/>
      <c r="BE2755" s="107"/>
      <c r="BF2755" s="220"/>
    </row>
    <row r="2756" spans="49:58">
      <c r="AW2756" s="107"/>
      <c r="AX2756" s="195"/>
      <c r="AY2756" s="105"/>
      <c r="AZ2756" s="220"/>
      <c r="BA2756" s="241"/>
      <c r="BE2756" s="107"/>
      <c r="BF2756" s="220"/>
    </row>
    <row r="2757" spans="49:58">
      <c r="AW2757" s="107"/>
      <c r="AX2757" s="195"/>
      <c r="AY2757" s="105"/>
      <c r="AZ2757" s="220"/>
      <c r="BA2757" s="241"/>
      <c r="BE2757" s="107"/>
      <c r="BF2757" s="220"/>
    </row>
    <row r="2758" spans="49:58">
      <c r="AW2758" s="107"/>
      <c r="AX2758" s="195"/>
      <c r="AY2758" s="105"/>
      <c r="AZ2758" s="220"/>
      <c r="BA2758" s="241"/>
      <c r="BE2758" s="107"/>
      <c r="BF2758" s="220"/>
    </row>
    <row r="2759" spans="49:58">
      <c r="AW2759" s="107"/>
      <c r="AX2759" s="195"/>
      <c r="AY2759" s="105"/>
      <c r="AZ2759" s="220"/>
      <c r="BA2759" s="241"/>
      <c r="BE2759" s="107"/>
      <c r="BF2759" s="220"/>
    </row>
    <row r="2760" spans="49:58">
      <c r="AW2760" s="107"/>
      <c r="AX2760" s="195"/>
      <c r="AY2760" s="105"/>
      <c r="AZ2760" s="220"/>
      <c r="BA2760" s="241"/>
      <c r="BE2760" s="107"/>
      <c r="BF2760" s="220"/>
    </row>
    <row r="2761" spans="49:58">
      <c r="AW2761" s="107"/>
      <c r="AX2761" s="195"/>
      <c r="AY2761" s="105"/>
      <c r="AZ2761" s="220"/>
      <c r="BA2761" s="241"/>
      <c r="BE2761" s="107"/>
      <c r="BF2761" s="220"/>
    </row>
    <row r="2762" spans="49:58">
      <c r="AW2762" s="107"/>
      <c r="AX2762" s="195"/>
      <c r="AY2762" s="105"/>
      <c r="AZ2762" s="220"/>
      <c r="BA2762" s="241"/>
      <c r="BE2762" s="107"/>
      <c r="BF2762" s="220"/>
    </row>
    <row r="2763" spans="49:58">
      <c r="AW2763" s="107"/>
      <c r="AX2763" s="195"/>
      <c r="AY2763" s="105"/>
      <c r="AZ2763" s="220"/>
      <c r="BA2763" s="241"/>
      <c r="BE2763" s="107"/>
      <c r="BF2763" s="220"/>
    </row>
    <row r="2764" spans="49:58">
      <c r="AW2764" s="107"/>
      <c r="AX2764" s="195"/>
      <c r="AY2764" s="105"/>
      <c r="AZ2764" s="220"/>
      <c r="BA2764" s="241"/>
      <c r="BE2764" s="107"/>
      <c r="BF2764" s="220"/>
    </row>
    <row r="2765" spans="49:58">
      <c r="AW2765" s="107"/>
      <c r="AX2765" s="195"/>
      <c r="AY2765" s="105"/>
      <c r="AZ2765" s="220"/>
      <c r="BA2765" s="241"/>
      <c r="BE2765" s="107"/>
      <c r="BF2765" s="220"/>
    </row>
    <row r="2766" spans="49:58">
      <c r="AW2766" s="107"/>
      <c r="AX2766" s="195"/>
      <c r="AY2766" s="105"/>
      <c r="AZ2766" s="220"/>
      <c r="BA2766" s="241"/>
      <c r="BE2766" s="107"/>
      <c r="BF2766" s="220"/>
    </row>
    <row r="2767" spans="49:58">
      <c r="AW2767" s="107"/>
      <c r="AX2767" s="195"/>
      <c r="AY2767" s="105"/>
      <c r="AZ2767" s="220"/>
      <c r="BA2767" s="241"/>
      <c r="BE2767" s="107"/>
      <c r="BF2767" s="220"/>
    </row>
    <row r="2768" spans="49:58">
      <c r="AW2768" s="107"/>
      <c r="AX2768" s="195"/>
      <c r="AY2768" s="105"/>
      <c r="AZ2768" s="220"/>
      <c r="BA2768" s="241"/>
      <c r="BE2768" s="107"/>
      <c r="BF2768" s="220"/>
    </row>
    <row r="2769" spans="49:58">
      <c r="AW2769" s="107"/>
      <c r="AX2769" s="195"/>
      <c r="AY2769" s="105"/>
      <c r="AZ2769" s="220"/>
      <c r="BA2769" s="241"/>
      <c r="BE2769" s="107"/>
      <c r="BF2769" s="220"/>
    </row>
    <row r="2770" spans="49:58">
      <c r="AW2770" s="107"/>
      <c r="AX2770" s="195"/>
      <c r="AY2770" s="105"/>
      <c r="AZ2770" s="220"/>
      <c r="BA2770" s="241"/>
      <c r="BE2770" s="107"/>
      <c r="BF2770" s="220"/>
    </row>
    <row r="2771" spans="49:58">
      <c r="AW2771" s="107"/>
      <c r="AX2771" s="195"/>
      <c r="AY2771" s="105"/>
      <c r="AZ2771" s="220"/>
      <c r="BA2771" s="241"/>
      <c r="BE2771" s="107"/>
      <c r="BF2771" s="220"/>
    </row>
    <row r="2772" spans="49:58">
      <c r="AW2772" s="107"/>
      <c r="AX2772" s="195"/>
      <c r="AY2772" s="105"/>
      <c r="AZ2772" s="220"/>
      <c r="BA2772" s="241"/>
      <c r="BE2772" s="107"/>
      <c r="BF2772" s="220"/>
    </row>
    <row r="2773" spans="49:58">
      <c r="AW2773" s="107"/>
      <c r="AX2773" s="195"/>
      <c r="AY2773" s="105"/>
      <c r="AZ2773" s="220"/>
      <c r="BA2773" s="241"/>
      <c r="BE2773" s="107"/>
      <c r="BF2773" s="220"/>
    </row>
    <row r="2774" spans="49:58">
      <c r="AW2774" s="107"/>
      <c r="AX2774" s="195"/>
      <c r="AY2774" s="105"/>
      <c r="AZ2774" s="220"/>
      <c r="BA2774" s="241"/>
      <c r="BE2774" s="107"/>
      <c r="BF2774" s="220"/>
    </row>
    <row r="2775" spans="49:58">
      <c r="AW2775" s="107"/>
      <c r="AX2775" s="195"/>
      <c r="AY2775" s="105"/>
      <c r="AZ2775" s="220"/>
      <c r="BA2775" s="241"/>
      <c r="BE2775" s="107"/>
      <c r="BF2775" s="220"/>
    </row>
    <row r="2776" spans="49:58">
      <c r="AW2776" s="107"/>
      <c r="AX2776" s="195"/>
      <c r="AY2776" s="105"/>
      <c r="AZ2776" s="220"/>
      <c r="BA2776" s="241"/>
      <c r="BE2776" s="107"/>
      <c r="BF2776" s="220"/>
    </row>
    <row r="2777" spans="49:58">
      <c r="AW2777" s="107"/>
      <c r="AX2777" s="195"/>
      <c r="AY2777" s="105"/>
      <c r="AZ2777" s="220"/>
      <c r="BA2777" s="241"/>
      <c r="BE2777" s="107"/>
      <c r="BF2777" s="220"/>
    </row>
    <row r="2778" spans="49:58">
      <c r="AW2778" s="107"/>
      <c r="AX2778" s="195"/>
      <c r="AY2778" s="105"/>
      <c r="AZ2778" s="220"/>
      <c r="BA2778" s="241"/>
      <c r="BE2778" s="107"/>
      <c r="BF2778" s="220"/>
    </row>
    <row r="2779" spans="49:58">
      <c r="AW2779" s="107"/>
      <c r="AX2779" s="195"/>
      <c r="AY2779" s="105"/>
      <c r="AZ2779" s="220"/>
      <c r="BA2779" s="241"/>
      <c r="BE2779" s="107"/>
      <c r="BF2779" s="220"/>
    </row>
    <row r="2780" spans="49:58">
      <c r="AW2780" s="107"/>
      <c r="AX2780" s="195"/>
      <c r="AY2780" s="105"/>
      <c r="AZ2780" s="220"/>
      <c r="BA2780" s="241"/>
      <c r="BE2780" s="107"/>
      <c r="BF2780" s="220"/>
    </row>
    <row r="2781" spans="49:58">
      <c r="AW2781" s="107"/>
      <c r="AX2781" s="195"/>
      <c r="AY2781" s="105"/>
      <c r="AZ2781" s="220"/>
      <c r="BA2781" s="241"/>
      <c r="BE2781" s="107"/>
      <c r="BF2781" s="220"/>
    </row>
    <row r="2782" spans="49:58">
      <c r="AW2782" s="107"/>
      <c r="AX2782" s="195"/>
      <c r="AY2782" s="105"/>
      <c r="AZ2782" s="220"/>
      <c r="BA2782" s="241"/>
      <c r="BE2782" s="107"/>
      <c r="BF2782" s="220"/>
    </row>
    <row r="2783" spans="49:58">
      <c r="AW2783" s="107"/>
      <c r="AX2783" s="195"/>
      <c r="AY2783" s="105"/>
      <c r="AZ2783" s="220"/>
      <c r="BA2783" s="241"/>
      <c r="BE2783" s="107"/>
      <c r="BF2783" s="220"/>
    </row>
    <row r="2784" spans="49:58">
      <c r="AW2784" s="107"/>
      <c r="AX2784" s="195"/>
      <c r="AY2784" s="105"/>
      <c r="AZ2784" s="220"/>
      <c r="BA2784" s="241"/>
      <c r="BE2784" s="107"/>
      <c r="BF2784" s="220"/>
    </row>
    <row r="2785" spans="49:58">
      <c r="AW2785" s="107"/>
      <c r="AX2785" s="195"/>
      <c r="AY2785" s="105"/>
      <c r="AZ2785" s="220"/>
      <c r="BA2785" s="241"/>
      <c r="BE2785" s="107"/>
      <c r="BF2785" s="220"/>
    </row>
    <row r="2786" spans="49:58">
      <c r="AW2786" s="107"/>
      <c r="AX2786" s="195"/>
      <c r="AY2786" s="105"/>
      <c r="AZ2786" s="220"/>
      <c r="BA2786" s="241"/>
      <c r="BE2786" s="107"/>
      <c r="BF2786" s="220"/>
    </row>
    <row r="2787" spans="49:58">
      <c r="AW2787" s="107"/>
      <c r="AX2787" s="195"/>
      <c r="AY2787" s="105"/>
      <c r="AZ2787" s="220"/>
      <c r="BA2787" s="241"/>
      <c r="BE2787" s="107"/>
      <c r="BF2787" s="220"/>
    </row>
    <row r="2788" spans="49:58">
      <c r="AW2788" s="107"/>
      <c r="AX2788" s="195"/>
      <c r="AY2788" s="105"/>
      <c r="AZ2788" s="220"/>
      <c r="BA2788" s="241"/>
      <c r="BE2788" s="107"/>
      <c r="BF2788" s="220"/>
    </row>
    <row r="2789" spans="49:58">
      <c r="AW2789" s="107"/>
      <c r="AX2789" s="195"/>
      <c r="AY2789" s="105"/>
      <c r="AZ2789" s="220"/>
      <c r="BA2789" s="241"/>
      <c r="BE2789" s="107"/>
      <c r="BF2789" s="220"/>
    </row>
    <row r="2790" spans="49:58">
      <c r="AW2790" s="107"/>
      <c r="AX2790" s="195"/>
      <c r="AY2790" s="105"/>
      <c r="AZ2790" s="220"/>
      <c r="BA2790" s="241"/>
      <c r="BE2790" s="107"/>
      <c r="BF2790" s="220"/>
    </row>
    <row r="2791" spans="49:58">
      <c r="AW2791" s="107"/>
      <c r="AX2791" s="195"/>
      <c r="AY2791" s="105"/>
      <c r="AZ2791" s="220"/>
      <c r="BA2791" s="241"/>
      <c r="BE2791" s="107"/>
      <c r="BF2791" s="220"/>
    </row>
    <row r="2792" spans="49:58">
      <c r="AW2792" s="107"/>
      <c r="AX2792" s="195"/>
      <c r="AY2792" s="105"/>
      <c r="AZ2792" s="220"/>
      <c r="BA2792" s="241"/>
      <c r="BE2792" s="107"/>
      <c r="BF2792" s="220"/>
    </row>
    <row r="2793" spans="49:58">
      <c r="AW2793" s="107"/>
      <c r="AX2793" s="195"/>
      <c r="AY2793" s="105"/>
      <c r="AZ2793" s="220"/>
      <c r="BA2793" s="241"/>
      <c r="BE2793" s="107"/>
      <c r="BF2793" s="220"/>
    </row>
    <row r="2794" spans="49:58">
      <c r="AW2794" s="107"/>
      <c r="AX2794" s="195"/>
      <c r="AY2794" s="105"/>
      <c r="AZ2794" s="220"/>
      <c r="BA2794" s="241"/>
      <c r="BE2794" s="107"/>
      <c r="BF2794" s="220"/>
    </row>
    <row r="2795" spans="49:58">
      <c r="AW2795" s="107"/>
      <c r="AX2795" s="195"/>
      <c r="AY2795" s="105"/>
      <c r="AZ2795" s="220"/>
      <c r="BA2795" s="241"/>
      <c r="BE2795" s="107"/>
      <c r="BF2795" s="220"/>
    </row>
    <row r="2796" spans="49:58">
      <c r="AW2796" s="107"/>
      <c r="AX2796" s="195"/>
      <c r="AY2796" s="105"/>
      <c r="AZ2796" s="220"/>
      <c r="BA2796" s="241"/>
      <c r="BE2796" s="107"/>
      <c r="BF2796" s="220"/>
    </row>
    <row r="2797" spans="49:58">
      <c r="AW2797" s="107"/>
      <c r="AX2797" s="195"/>
      <c r="AY2797" s="105"/>
      <c r="AZ2797" s="220"/>
      <c r="BA2797" s="241"/>
      <c r="BE2797" s="107"/>
      <c r="BF2797" s="220"/>
    </row>
    <row r="2798" spans="49:58">
      <c r="AW2798" s="107"/>
      <c r="AX2798" s="195"/>
      <c r="AY2798" s="105"/>
      <c r="AZ2798" s="220"/>
      <c r="BA2798" s="241"/>
      <c r="BE2798" s="107"/>
      <c r="BF2798" s="220"/>
    </row>
    <row r="2799" spans="49:58">
      <c r="AW2799" s="107"/>
      <c r="AX2799" s="195"/>
      <c r="AY2799" s="105"/>
      <c r="AZ2799" s="220"/>
      <c r="BA2799" s="241"/>
      <c r="BE2799" s="107"/>
      <c r="BF2799" s="220"/>
    </row>
    <row r="2800" spans="49:58">
      <c r="AW2800" s="107"/>
      <c r="AX2800" s="195"/>
      <c r="AY2800" s="105"/>
      <c r="AZ2800" s="220"/>
      <c r="BA2800" s="241"/>
      <c r="BE2800" s="107"/>
      <c r="BF2800" s="220"/>
    </row>
    <row r="2801" spans="49:58">
      <c r="AW2801" s="107"/>
      <c r="AX2801" s="195"/>
      <c r="AY2801" s="105"/>
      <c r="AZ2801" s="220"/>
      <c r="BA2801" s="241"/>
      <c r="BE2801" s="107"/>
      <c r="BF2801" s="220"/>
    </row>
    <row r="2802" spans="49:58">
      <c r="AW2802" s="107"/>
      <c r="AX2802" s="195"/>
      <c r="AY2802" s="105"/>
      <c r="AZ2802" s="220"/>
      <c r="BA2802" s="241"/>
      <c r="BE2802" s="107"/>
      <c r="BF2802" s="220"/>
    </row>
    <row r="2803" spans="49:58">
      <c r="AW2803" s="107"/>
      <c r="AX2803" s="195"/>
      <c r="AY2803" s="105"/>
      <c r="AZ2803" s="220"/>
      <c r="BA2803" s="241"/>
      <c r="BE2803" s="107"/>
      <c r="BF2803" s="220"/>
    </row>
    <row r="2804" spans="49:58">
      <c r="AW2804" s="107"/>
      <c r="AX2804" s="195"/>
      <c r="AY2804" s="105"/>
      <c r="AZ2804" s="220"/>
      <c r="BA2804" s="241"/>
      <c r="BE2804" s="107"/>
      <c r="BF2804" s="220"/>
    </row>
    <row r="2805" spans="49:58">
      <c r="AW2805" s="107"/>
      <c r="AX2805" s="195"/>
      <c r="AY2805" s="105"/>
      <c r="AZ2805" s="220"/>
      <c r="BA2805" s="241"/>
      <c r="BE2805" s="107"/>
      <c r="BF2805" s="220"/>
    </row>
    <row r="2806" spans="49:58">
      <c r="AW2806" s="107"/>
      <c r="AX2806" s="195"/>
      <c r="AY2806" s="105"/>
      <c r="AZ2806" s="220"/>
      <c r="BA2806" s="241"/>
      <c r="BE2806" s="107"/>
      <c r="BF2806" s="220"/>
    </row>
    <row r="2807" spans="49:58">
      <c r="AW2807" s="107"/>
      <c r="AX2807" s="195"/>
      <c r="AY2807" s="105"/>
      <c r="AZ2807" s="220"/>
      <c r="BA2807" s="241"/>
      <c r="BE2807" s="107"/>
      <c r="BF2807" s="220"/>
    </row>
    <row r="2808" spans="49:58">
      <c r="AW2808" s="107"/>
      <c r="AX2808" s="195"/>
      <c r="AY2808" s="105"/>
      <c r="AZ2808" s="220"/>
      <c r="BA2808" s="241"/>
      <c r="BE2808" s="107"/>
      <c r="BF2808" s="220"/>
    </row>
    <row r="2809" spans="49:58">
      <c r="AW2809" s="107"/>
      <c r="AX2809" s="195"/>
      <c r="AY2809" s="105"/>
      <c r="AZ2809" s="220"/>
      <c r="BA2809" s="241"/>
      <c r="BE2809" s="107"/>
      <c r="BF2809" s="220"/>
    </row>
    <row r="2810" spans="49:58">
      <c r="AW2810" s="107"/>
      <c r="AX2810" s="195"/>
      <c r="AY2810" s="105"/>
      <c r="AZ2810" s="220"/>
      <c r="BA2810" s="241"/>
      <c r="BE2810" s="107"/>
      <c r="BF2810" s="220"/>
    </row>
    <row r="2811" spans="49:58">
      <c r="AW2811" s="107"/>
      <c r="AX2811" s="195"/>
      <c r="AY2811" s="105"/>
      <c r="AZ2811" s="220"/>
      <c r="BA2811" s="241"/>
      <c r="BE2811" s="107"/>
      <c r="BF2811" s="220"/>
    </row>
    <row r="2812" spans="49:58">
      <c r="AW2812" s="107"/>
      <c r="AX2812" s="195"/>
      <c r="AY2812" s="105"/>
      <c r="AZ2812" s="220"/>
      <c r="BA2812" s="241"/>
      <c r="BE2812" s="107"/>
      <c r="BF2812" s="220"/>
    </row>
    <row r="2813" spans="49:58">
      <c r="AW2813" s="107"/>
      <c r="AX2813" s="195"/>
      <c r="AY2813" s="105"/>
      <c r="AZ2813" s="220"/>
      <c r="BA2813" s="241"/>
      <c r="BE2813" s="107"/>
      <c r="BF2813" s="220"/>
    </row>
    <row r="2814" spans="49:58">
      <c r="AW2814" s="107"/>
      <c r="AX2814" s="195"/>
      <c r="AY2814" s="105"/>
      <c r="AZ2814" s="220"/>
      <c r="BA2814" s="241"/>
      <c r="BE2814" s="107"/>
      <c r="BF2814" s="220"/>
    </row>
    <row r="2815" spans="49:58">
      <c r="AW2815" s="107"/>
      <c r="AX2815" s="195"/>
      <c r="AY2815" s="105"/>
      <c r="AZ2815" s="220"/>
      <c r="BA2815" s="241"/>
      <c r="BE2815" s="107"/>
      <c r="BF2815" s="220"/>
    </row>
    <row r="2816" spans="49:58">
      <c r="AW2816" s="107"/>
      <c r="AX2816" s="195"/>
      <c r="AY2816" s="105"/>
      <c r="AZ2816" s="220"/>
      <c r="BA2816" s="241"/>
      <c r="BE2816" s="107"/>
      <c r="BF2816" s="220"/>
    </row>
    <row r="2817" spans="49:58">
      <c r="AW2817" s="107"/>
      <c r="AX2817" s="195"/>
      <c r="AY2817" s="105"/>
      <c r="AZ2817" s="220"/>
      <c r="BA2817" s="241"/>
      <c r="BE2817" s="107"/>
      <c r="BF2817" s="220"/>
    </row>
    <row r="2818" spans="49:58">
      <c r="AW2818" s="107"/>
      <c r="AX2818" s="195"/>
      <c r="AY2818" s="105"/>
      <c r="AZ2818" s="220"/>
      <c r="BA2818" s="241"/>
      <c r="BE2818" s="107"/>
      <c r="BF2818" s="220"/>
    </row>
    <row r="2819" spans="49:58">
      <c r="AW2819" s="107"/>
      <c r="AX2819" s="195"/>
      <c r="AY2819" s="105"/>
      <c r="AZ2819" s="220"/>
      <c r="BA2819" s="241"/>
      <c r="BE2819" s="107"/>
      <c r="BF2819" s="220"/>
    </row>
    <row r="2820" spans="49:58">
      <c r="AW2820" s="107"/>
      <c r="AX2820" s="195"/>
      <c r="AY2820" s="105"/>
      <c r="AZ2820" s="220"/>
      <c r="BA2820" s="241"/>
      <c r="BE2820" s="107"/>
      <c r="BF2820" s="220"/>
    </row>
    <row r="2821" spans="49:58">
      <c r="AW2821" s="107"/>
      <c r="AX2821" s="195"/>
      <c r="AY2821" s="105"/>
      <c r="AZ2821" s="220"/>
      <c r="BA2821" s="241"/>
      <c r="BE2821" s="107"/>
      <c r="BF2821" s="220"/>
    </row>
    <row r="2822" spans="49:58">
      <c r="AW2822" s="107"/>
      <c r="AX2822" s="195"/>
      <c r="AY2822" s="105"/>
      <c r="AZ2822" s="220"/>
      <c r="BA2822" s="241"/>
      <c r="BE2822" s="107"/>
      <c r="BF2822" s="220"/>
    </row>
    <row r="2823" spans="49:58">
      <c r="AW2823" s="107"/>
      <c r="AX2823" s="195"/>
      <c r="AY2823" s="105"/>
      <c r="AZ2823" s="220"/>
      <c r="BA2823" s="241"/>
      <c r="BE2823" s="107"/>
      <c r="BF2823" s="220"/>
    </row>
    <row r="2824" spans="49:58">
      <c r="AW2824" s="107"/>
      <c r="AX2824" s="195"/>
      <c r="AY2824" s="105"/>
      <c r="AZ2824" s="220"/>
      <c r="BA2824" s="241"/>
      <c r="BE2824" s="107"/>
      <c r="BF2824" s="220"/>
    </row>
    <row r="2825" spans="49:58">
      <c r="AW2825" s="107"/>
      <c r="AX2825" s="195"/>
      <c r="AY2825" s="105"/>
      <c r="AZ2825" s="220"/>
      <c r="BA2825" s="241"/>
      <c r="BE2825" s="107"/>
      <c r="BF2825" s="220"/>
    </row>
    <row r="2826" spans="49:58">
      <c r="AW2826" s="107"/>
      <c r="AX2826" s="195"/>
      <c r="AY2826" s="105"/>
      <c r="AZ2826" s="220"/>
      <c r="BA2826" s="241"/>
      <c r="BE2826" s="107"/>
      <c r="BF2826" s="220"/>
    </row>
    <row r="2827" spans="49:58">
      <c r="AW2827" s="107"/>
      <c r="AX2827" s="195"/>
      <c r="AY2827" s="105"/>
      <c r="AZ2827" s="220"/>
      <c r="BA2827" s="241"/>
      <c r="BE2827" s="107"/>
      <c r="BF2827" s="220"/>
    </row>
    <row r="2828" spans="49:58">
      <c r="AW2828" s="107"/>
      <c r="AX2828" s="195"/>
      <c r="AY2828" s="105"/>
      <c r="AZ2828" s="220"/>
      <c r="BA2828" s="241"/>
      <c r="BE2828" s="107"/>
      <c r="BF2828" s="220"/>
    </row>
    <row r="2829" spans="49:58">
      <c r="AW2829" s="107"/>
      <c r="AX2829" s="195"/>
      <c r="AY2829" s="105"/>
      <c r="AZ2829" s="220"/>
      <c r="BA2829" s="241"/>
      <c r="BE2829" s="107"/>
      <c r="BF2829" s="220"/>
    </row>
    <row r="2830" spans="49:58">
      <c r="AW2830" s="107"/>
      <c r="AX2830" s="195"/>
      <c r="AY2830" s="105"/>
      <c r="AZ2830" s="220"/>
      <c r="BA2830" s="241"/>
      <c r="BE2830" s="107"/>
      <c r="BF2830" s="220"/>
    </row>
    <row r="2831" spans="49:58">
      <c r="AW2831" s="107"/>
      <c r="AX2831" s="195"/>
      <c r="AY2831" s="105"/>
      <c r="AZ2831" s="220"/>
      <c r="BA2831" s="241"/>
      <c r="BE2831" s="107"/>
      <c r="BF2831" s="220"/>
    </row>
    <row r="2832" spans="49:58">
      <c r="AW2832" s="107"/>
      <c r="AX2832" s="195"/>
      <c r="AY2832" s="105"/>
      <c r="AZ2832" s="220"/>
      <c r="BA2832" s="241"/>
      <c r="BE2832" s="107"/>
      <c r="BF2832" s="220"/>
    </row>
    <row r="2833" spans="49:58">
      <c r="AW2833" s="107"/>
      <c r="AX2833" s="195"/>
      <c r="AY2833" s="105"/>
      <c r="AZ2833" s="220"/>
      <c r="BA2833" s="241"/>
      <c r="BE2833" s="107"/>
      <c r="BF2833" s="220"/>
    </row>
    <row r="2834" spans="49:58">
      <c r="AW2834" s="107"/>
      <c r="AX2834" s="195"/>
      <c r="AY2834" s="105"/>
      <c r="AZ2834" s="220"/>
      <c r="BA2834" s="241"/>
      <c r="BE2834" s="107"/>
      <c r="BF2834" s="220"/>
    </row>
    <row r="2835" spans="49:58">
      <c r="AW2835" s="107"/>
      <c r="AX2835" s="195"/>
      <c r="AY2835" s="105"/>
      <c r="AZ2835" s="220"/>
      <c r="BA2835" s="241"/>
      <c r="BE2835" s="107"/>
      <c r="BF2835" s="220"/>
    </row>
    <row r="2836" spans="49:58">
      <c r="AW2836" s="107"/>
      <c r="AX2836" s="195"/>
      <c r="AY2836" s="105"/>
      <c r="AZ2836" s="220"/>
      <c r="BA2836" s="241"/>
      <c r="BE2836" s="107"/>
      <c r="BF2836" s="220"/>
    </row>
    <row r="2837" spans="49:58">
      <c r="AW2837" s="107"/>
      <c r="AX2837" s="195"/>
      <c r="AY2837" s="105"/>
      <c r="AZ2837" s="220"/>
      <c r="BA2837" s="241"/>
      <c r="BE2837" s="107"/>
      <c r="BF2837" s="220"/>
    </row>
    <row r="2838" spans="49:58">
      <c r="AW2838" s="107"/>
      <c r="AX2838" s="195"/>
      <c r="AY2838" s="105"/>
      <c r="AZ2838" s="220"/>
      <c r="BA2838" s="241"/>
      <c r="BE2838" s="107"/>
      <c r="BF2838" s="220"/>
    </row>
    <row r="2839" spans="49:58">
      <c r="AW2839" s="107"/>
      <c r="AX2839" s="195"/>
      <c r="AY2839" s="105"/>
      <c r="AZ2839" s="220"/>
      <c r="BA2839" s="241"/>
      <c r="BE2839" s="107"/>
      <c r="BF2839" s="220"/>
    </row>
    <row r="2840" spans="49:58">
      <c r="AW2840" s="107"/>
      <c r="AX2840" s="195"/>
      <c r="AY2840" s="105"/>
      <c r="AZ2840" s="220"/>
      <c r="BA2840" s="241"/>
      <c r="BE2840" s="107"/>
      <c r="BF2840" s="220"/>
    </row>
    <row r="2841" spans="49:58">
      <c r="AW2841" s="107"/>
      <c r="AX2841" s="195"/>
      <c r="AY2841" s="105"/>
      <c r="AZ2841" s="220"/>
      <c r="BA2841" s="241"/>
      <c r="BE2841" s="107"/>
      <c r="BF2841" s="220"/>
    </row>
    <row r="2842" spans="49:58">
      <c r="AW2842" s="107"/>
      <c r="AX2842" s="195"/>
      <c r="AY2842" s="105"/>
      <c r="AZ2842" s="220"/>
      <c r="BA2842" s="241"/>
      <c r="BE2842" s="107"/>
      <c r="BF2842" s="220"/>
    </row>
    <row r="2843" spans="49:58">
      <c r="AW2843" s="107"/>
      <c r="AX2843" s="195"/>
      <c r="AY2843" s="105"/>
      <c r="AZ2843" s="220"/>
      <c r="BA2843" s="241"/>
      <c r="BE2843" s="107"/>
      <c r="BF2843" s="220"/>
    </row>
    <row r="2844" spans="49:58">
      <c r="AW2844" s="107"/>
      <c r="AX2844" s="195"/>
      <c r="AY2844" s="105"/>
      <c r="AZ2844" s="220"/>
      <c r="BA2844" s="241"/>
      <c r="BE2844" s="107"/>
      <c r="BF2844" s="220"/>
    </row>
    <row r="2845" spans="49:58">
      <c r="AW2845" s="107"/>
      <c r="AX2845" s="195"/>
      <c r="AY2845" s="105"/>
      <c r="AZ2845" s="220"/>
      <c r="BA2845" s="241"/>
      <c r="BE2845" s="107"/>
      <c r="BF2845" s="220"/>
    </row>
    <row r="2846" spans="49:58">
      <c r="AW2846" s="107"/>
      <c r="AX2846" s="195"/>
      <c r="AY2846" s="105"/>
      <c r="AZ2846" s="220"/>
      <c r="BA2846" s="241"/>
      <c r="BE2846" s="107"/>
      <c r="BF2846" s="220"/>
    </row>
    <row r="2847" spans="49:58">
      <c r="AW2847" s="107"/>
      <c r="AX2847" s="195"/>
      <c r="AY2847" s="105"/>
      <c r="AZ2847" s="220"/>
      <c r="BA2847" s="241"/>
      <c r="BE2847" s="107"/>
      <c r="BF2847" s="220"/>
    </row>
    <row r="2848" spans="49:58">
      <c r="AW2848" s="107"/>
      <c r="AX2848" s="195"/>
      <c r="AY2848" s="105"/>
      <c r="AZ2848" s="220"/>
      <c r="BA2848" s="241"/>
      <c r="BE2848" s="107"/>
      <c r="BF2848" s="220"/>
    </row>
    <row r="2849" spans="49:58">
      <c r="AW2849" s="107"/>
      <c r="AX2849" s="195"/>
      <c r="AY2849" s="105"/>
      <c r="AZ2849" s="220"/>
      <c r="BA2849" s="241"/>
      <c r="BE2849" s="107"/>
      <c r="BF2849" s="220"/>
    </row>
    <row r="2850" spans="49:58">
      <c r="AW2850" s="107"/>
      <c r="AX2850" s="195"/>
      <c r="AY2850" s="105"/>
      <c r="AZ2850" s="220"/>
      <c r="BA2850" s="241"/>
      <c r="BE2850" s="107"/>
      <c r="BF2850" s="220"/>
    </row>
    <row r="2851" spans="49:58">
      <c r="AW2851" s="107"/>
      <c r="AX2851" s="195"/>
      <c r="AY2851" s="105"/>
      <c r="AZ2851" s="220"/>
      <c r="BA2851" s="241"/>
      <c r="BE2851" s="107"/>
      <c r="BF2851" s="220"/>
    </row>
    <row r="2852" spans="49:58">
      <c r="AW2852" s="107"/>
      <c r="AX2852" s="195"/>
      <c r="AY2852" s="105"/>
      <c r="AZ2852" s="220"/>
      <c r="BA2852" s="241"/>
      <c r="BE2852" s="107"/>
      <c r="BF2852" s="220"/>
    </row>
    <row r="2853" spans="49:58">
      <c r="AW2853" s="107"/>
      <c r="AX2853" s="195"/>
      <c r="AY2853" s="105"/>
      <c r="AZ2853" s="220"/>
      <c r="BA2853" s="241"/>
      <c r="BE2853" s="107"/>
      <c r="BF2853" s="220"/>
    </row>
    <row r="2854" spans="49:58">
      <c r="AW2854" s="107"/>
      <c r="AX2854" s="195"/>
      <c r="AY2854" s="105"/>
      <c r="AZ2854" s="220"/>
      <c r="BA2854" s="241"/>
      <c r="BE2854" s="107"/>
      <c r="BF2854" s="220"/>
    </row>
    <row r="2855" spans="49:58">
      <c r="AW2855" s="107"/>
      <c r="AX2855" s="195"/>
      <c r="AY2855" s="105"/>
      <c r="AZ2855" s="220"/>
      <c r="BA2855" s="241"/>
      <c r="BE2855" s="107"/>
      <c r="BF2855" s="220"/>
    </row>
    <row r="2856" spans="49:58">
      <c r="AW2856" s="107"/>
      <c r="AX2856" s="195"/>
      <c r="AY2856" s="105"/>
      <c r="AZ2856" s="220"/>
      <c r="BA2856" s="241"/>
      <c r="BE2856" s="107"/>
      <c r="BF2856" s="220"/>
    </row>
    <row r="2857" spans="49:58">
      <c r="AW2857" s="107"/>
      <c r="AX2857" s="195"/>
      <c r="AY2857" s="105"/>
      <c r="AZ2857" s="220"/>
      <c r="BA2857" s="241"/>
      <c r="BE2857" s="107"/>
      <c r="BF2857" s="220"/>
    </row>
    <row r="2858" spans="49:58">
      <c r="AW2858" s="107"/>
      <c r="AX2858" s="195"/>
      <c r="AY2858" s="105"/>
      <c r="AZ2858" s="220"/>
      <c r="BA2858" s="241"/>
      <c r="BE2858" s="107"/>
      <c r="BF2858" s="220"/>
    </row>
    <row r="2859" spans="49:58">
      <c r="AW2859" s="107"/>
      <c r="AX2859" s="195"/>
      <c r="AY2859" s="105"/>
      <c r="AZ2859" s="220"/>
      <c r="BA2859" s="241"/>
      <c r="BE2859" s="107"/>
      <c r="BF2859" s="220"/>
    </row>
    <row r="2860" spans="49:58">
      <c r="AW2860" s="107"/>
      <c r="AX2860" s="195"/>
      <c r="AY2860" s="105"/>
      <c r="AZ2860" s="220"/>
      <c r="BA2860" s="241"/>
      <c r="BE2860" s="107"/>
      <c r="BF2860" s="220"/>
    </row>
    <row r="2861" spans="49:58">
      <c r="AW2861" s="107"/>
      <c r="AX2861" s="195"/>
      <c r="AY2861" s="105"/>
      <c r="AZ2861" s="220"/>
      <c r="BA2861" s="241"/>
      <c r="BE2861" s="107"/>
      <c r="BF2861" s="220"/>
    </row>
    <row r="2862" spans="49:58">
      <c r="AW2862" s="107"/>
      <c r="AX2862" s="195"/>
      <c r="AY2862" s="105"/>
      <c r="AZ2862" s="220"/>
      <c r="BA2862" s="241"/>
      <c r="BE2862" s="107"/>
      <c r="BF2862" s="220"/>
    </row>
    <row r="2863" spans="49:58">
      <c r="AW2863" s="107"/>
      <c r="AX2863" s="195"/>
      <c r="AY2863" s="105"/>
      <c r="AZ2863" s="220"/>
      <c r="BA2863" s="241"/>
      <c r="BE2863" s="107"/>
      <c r="BF2863" s="220"/>
    </row>
    <row r="2864" spans="49:58">
      <c r="AW2864" s="107"/>
      <c r="AX2864" s="195"/>
      <c r="AY2864" s="105"/>
      <c r="AZ2864" s="220"/>
      <c r="BA2864" s="241"/>
      <c r="BE2864" s="107"/>
      <c r="BF2864" s="220"/>
    </row>
    <row r="2865" spans="49:58">
      <c r="AW2865" s="107"/>
      <c r="AX2865" s="195"/>
      <c r="AY2865" s="105"/>
      <c r="AZ2865" s="220"/>
      <c r="BA2865" s="241"/>
      <c r="BE2865" s="107"/>
      <c r="BF2865" s="220"/>
    </row>
    <row r="2866" spans="49:58">
      <c r="AW2866" s="107"/>
      <c r="AX2866" s="195"/>
      <c r="AY2866" s="105"/>
      <c r="AZ2866" s="220"/>
      <c r="BA2866" s="241"/>
      <c r="BE2866" s="107"/>
      <c r="BF2866" s="220"/>
    </row>
    <row r="2867" spans="49:58">
      <c r="AW2867" s="107"/>
      <c r="AX2867" s="195"/>
      <c r="AY2867" s="105"/>
      <c r="AZ2867" s="220"/>
      <c r="BA2867" s="241"/>
      <c r="BE2867" s="107"/>
      <c r="BF2867" s="220"/>
    </row>
    <row r="2868" spans="49:58">
      <c r="AW2868" s="107"/>
      <c r="AX2868" s="195"/>
      <c r="AY2868" s="105"/>
      <c r="AZ2868" s="220"/>
      <c r="BA2868" s="241"/>
      <c r="BE2868" s="107"/>
      <c r="BF2868" s="220"/>
    </row>
    <row r="2869" spans="49:58">
      <c r="AW2869" s="107"/>
      <c r="AX2869" s="195"/>
      <c r="AY2869" s="105"/>
      <c r="AZ2869" s="220"/>
      <c r="BA2869" s="241"/>
      <c r="BE2869" s="107"/>
      <c r="BF2869" s="220"/>
    </row>
    <row r="2870" spans="49:58">
      <c r="AW2870" s="107"/>
      <c r="AX2870" s="195"/>
      <c r="AY2870" s="105"/>
      <c r="AZ2870" s="220"/>
      <c r="BA2870" s="241"/>
      <c r="BE2870" s="107"/>
      <c r="BF2870" s="220"/>
    </row>
    <row r="2871" spans="49:58">
      <c r="AW2871" s="107"/>
      <c r="AX2871" s="195"/>
      <c r="AY2871" s="105"/>
      <c r="AZ2871" s="220"/>
      <c r="BA2871" s="241"/>
      <c r="BE2871" s="107"/>
      <c r="BF2871" s="220"/>
    </row>
    <row r="2872" spans="49:58">
      <c r="AW2872" s="107"/>
      <c r="AX2872" s="195"/>
      <c r="AY2872" s="105"/>
      <c r="AZ2872" s="220"/>
      <c r="BA2872" s="241"/>
      <c r="BE2872" s="107"/>
      <c r="BF2872" s="220"/>
    </row>
    <row r="2873" spans="49:58">
      <c r="AW2873" s="107"/>
      <c r="AX2873" s="195"/>
      <c r="AY2873" s="105"/>
      <c r="AZ2873" s="220"/>
      <c r="BA2873" s="241"/>
      <c r="BE2873" s="107"/>
      <c r="BF2873" s="220"/>
    </row>
    <row r="2874" spans="49:58">
      <c r="AW2874" s="107"/>
      <c r="AX2874" s="195"/>
      <c r="AY2874" s="105"/>
      <c r="AZ2874" s="220"/>
      <c r="BA2874" s="241"/>
      <c r="BE2874" s="107"/>
      <c r="BF2874" s="220"/>
    </row>
    <row r="2875" spans="49:58">
      <c r="AW2875" s="107"/>
      <c r="AX2875" s="195"/>
      <c r="AY2875" s="105"/>
      <c r="AZ2875" s="220"/>
      <c r="BA2875" s="241"/>
      <c r="BE2875" s="107"/>
      <c r="BF2875" s="220"/>
    </row>
    <row r="2876" spans="49:58">
      <c r="AW2876" s="107"/>
      <c r="AX2876" s="195"/>
      <c r="AY2876" s="105"/>
      <c r="AZ2876" s="220"/>
      <c r="BA2876" s="241"/>
      <c r="BE2876" s="107"/>
      <c r="BF2876" s="220"/>
    </row>
    <row r="2877" spans="49:58">
      <c r="AW2877" s="107"/>
      <c r="AX2877" s="195"/>
      <c r="AY2877" s="105"/>
      <c r="AZ2877" s="220"/>
      <c r="BA2877" s="241"/>
      <c r="BE2877" s="107"/>
      <c r="BF2877" s="220"/>
    </row>
    <row r="2878" spans="49:58">
      <c r="AW2878" s="107"/>
      <c r="AX2878" s="195"/>
      <c r="AY2878" s="105"/>
      <c r="AZ2878" s="220"/>
      <c r="BA2878" s="241"/>
      <c r="BE2878" s="107"/>
      <c r="BF2878" s="220"/>
    </row>
    <row r="2879" spans="49:58">
      <c r="AW2879" s="107"/>
      <c r="AX2879" s="195"/>
      <c r="AY2879" s="105"/>
      <c r="AZ2879" s="220"/>
      <c r="BA2879" s="241"/>
      <c r="BE2879" s="107"/>
      <c r="BF2879" s="220"/>
    </row>
    <row r="2880" spans="49:58">
      <c r="AW2880" s="107"/>
      <c r="AX2880" s="195"/>
      <c r="AY2880" s="105"/>
      <c r="AZ2880" s="220"/>
      <c r="BA2880" s="241"/>
      <c r="BE2880" s="107"/>
      <c r="BF2880" s="220"/>
    </row>
    <row r="2881" spans="49:58">
      <c r="AW2881" s="107"/>
      <c r="AX2881" s="195"/>
      <c r="AY2881" s="105"/>
      <c r="AZ2881" s="220"/>
      <c r="BA2881" s="241"/>
      <c r="BE2881" s="107"/>
      <c r="BF2881" s="220"/>
    </row>
    <row r="2882" spans="49:58">
      <c r="AW2882" s="107"/>
      <c r="AX2882" s="195"/>
      <c r="AY2882" s="105"/>
      <c r="AZ2882" s="220"/>
      <c r="BA2882" s="241"/>
      <c r="BE2882" s="107"/>
      <c r="BF2882" s="220"/>
    </row>
    <row r="2883" spans="49:58">
      <c r="AW2883" s="107"/>
      <c r="AX2883" s="195"/>
      <c r="AY2883" s="105"/>
      <c r="AZ2883" s="220"/>
      <c r="BA2883" s="241"/>
      <c r="BE2883" s="107"/>
      <c r="BF2883" s="220"/>
    </row>
    <row r="2884" spans="49:58">
      <c r="AW2884" s="107"/>
      <c r="AX2884" s="195"/>
      <c r="AY2884" s="105"/>
      <c r="AZ2884" s="220"/>
      <c r="BA2884" s="241"/>
      <c r="BE2884" s="107"/>
      <c r="BF2884" s="220"/>
    </row>
    <row r="2885" spans="49:58">
      <c r="AW2885" s="107"/>
      <c r="AX2885" s="195"/>
      <c r="AY2885" s="105"/>
      <c r="AZ2885" s="220"/>
      <c r="BA2885" s="241"/>
      <c r="BE2885" s="107"/>
      <c r="BF2885" s="220"/>
    </row>
    <row r="2886" spans="49:58">
      <c r="AW2886" s="107"/>
      <c r="AX2886" s="195"/>
      <c r="AY2886" s="105"/>
      <c r="AZ2886" s="220"/>
      <c r="BA2886" s="241"/>
      <c r="BE2886" s="107"/>
      <c r="BF2886" s="220"/>
    </row>
    <row r="2887" spans="49:58">
      <c r="AW2887" s="107"/>
      <c r="AX2887" s="195"/>
      <c r="AY2887" s="105"/>
      <c r="AZ2887" s="220"/>
      <c r="BA2887" s="241"/>
      <c r="BE2887" s="107"/>
      <c r="BF2887" s="220"/>
    </row>
    <row r="2888" spans="49:58">
      <c r="AW2888" s="107"/>
      <c r="AX2888" s="195"/>
      <c r="AY2888" s="105"/>
      <c r="AZ2888" s="220"/>
      <c r="BA2888" s="241"/>
      <c r="BE2888" s="107"/>
      <c r="BF2888" s="220"/>
    </row>
    <row r="2889" spans="49:58">
      <c r="AW2889" s="107"/>
      <c r="AX2889" s="195"/>
      <c r="AY2889" s="105"/>
      <c r="AZ2889" s="220"/>
      <c r="BA2889" s="241"/>
      <c r="BE2889" s="107"/>
      <c r="BF2889" s="220"/>
    </row>
    <row r="2890" spans="49:58">
      <c r="AW2890" s="107"/>
      <c r="AX2890" s="195"/>
      <c r="AY2890" s="105"/>
      <c r="AZ2890" s="220"/>
      <c r="BA2890" s="241"/>
      <c r="BE2890" s="107"/>
      <c r="BF2890" s="220"/>
    </row>
    <row r="2891" spans="49:58">
      <c r="AW2891" s="107"/>
      <c r="AX2891" s="195"/>
      <c r="AY2891" s="105"/>
      <c r="AZ2891" s="220"/>
      <c r="BA2891" s="241"/>
      <c r="BE2891" s="107"/>
      <c r="BF2891" s="220"/>
    </row>
    <row r="2892" spans="49:58">
      <c r="AW2892" s="107"/>
      <c r="AX2892" s="195"/>
      <c r="AY2892" s="105"/>
      <c r="AZ2892" s="220"/>
      <c r="BA2892" s="241"/>
      <c r="BE2892" s="107"/>
      <c r="BF2892" s="220"/>
    </row>
    <row r="2893" spans="49:58">
      <c r="AW2893" s="107"/>
      <c r="AX2893" s="195"/>
      <c r="AY2893" s="105"/>
      <c r="AZ2893" s="220"/>
      <c r="BA2893" s="241"/>
      <c r="BE2893" s="107"/>
      <c r="BF2893" s="220"/>
    </row>
    <row r="2894" spans="49:58">
      <c r="AW2894" s="107"/>
      <c r="AX2894" s="195"/>
      <c r="AY2894" s="105"/>
      <c r="AZ2894" s="220"/>
      <c r="BA2894" s="241"/>
      <c r="BE2894" s="107"/>
      <c r="BF2894" s="220"/>
    </row>
    <row r="2895" spans="49:58">
      <c r="AW2895" s="107"/>
      <c r="AX2895" s="195"/>
      <c r="AY2895" s="105"/>
      <c r="AZ2895" s="220"/>
      <c r="BA2895" s="241"/>
      <c r="BE2895" s="107"/>
      <c r="BF2895" s="220"/>
    </row>
    <row r="2896" spans="49:58">
      <c r="AW2896" s="107"/>
      <c r="AX2896" s="195"/>
      <c r="AY2896" s="105"/>
      <c r="AZ2896" s="220"/>
      <c r="BA2896" s="241"/>
      <c r="BE2896" s="107"/>
      <c r="BF2896" s="220"/>
    </row>
    <row r="2897" spans="49:58">
      <c r="AW2897" s="107"/>
      <c r="AX2897" s="195"/>
      <c r="AY2897" s="105"/>
      <c r="AZ2897" s="220"/>
      <c r="BA2897" s="241"/>
      <c r="BE2897" s="107"/>
      <c r="BF2897" s="220"/>
    </row>
    <row r="2898" spans="49:58">
      <c r="AW2898" s="107"/>
      <c r="AX2898" s="195"/>
      <c r="AY2898" s="105"/>
      <c r="AZ2898" s="220"/>
      <c r="BA2898" s="241"/>
      <c r="BE2898" s="107"/>
      <c r="BF2898" s="220"/>
    </row>
    <row r="2899" spans="49:58">
      <c r="AW2899" s="107"/>
      <c r="AX2899" s="195"/>
      <c r="AY2899" s="105"/>
      <c r="AZ2899" s="220"/>
      <c r="BA2899" s="241"/>
      <c r="BE2899" s="107"/>
      <c r="BF2899" s="220"/>
    </row>
    <row r="2900" spans="49:58">
      <c r="AW2900" s="107"/>
      <c r="AX2900" s="195"/>
      <c r="AY2900" s="105"/>
      <c r="AZ2900" s="220"/>
      <c r="BA2900" s="241"/>
      <c r="BE2900" s="107"/>
      <c r="BF2900" s="220"/>
    </row>
    <row r="2901" spans="49:58">
      <c r="AW2901" s="107"/>
      <c r="AX2901" s="195"/>
      <c r="AY2901" s="105"/>
      <c r="AZ2901" s="220"/>
      <c r="BA2901" s="241"/>
      <c r="BE2901" s="107"/>
      <c r="BF2901" s="220"/>
    </row>
    <row r="2902" spans="49:58">
      <c r="AW2902" s="107"/>
      <c r="AX2902" s="195"/>
      <c r="AY2902" s="105"/>
      <c r="AZ2902" s="220"/>
      <c r="BA2902" s="241"/>
      <c r="BE2902" s="107"/>
      <c r="BF2902" s="220"/>
    </row>
    <row r="2903" spans="49:58">
      <c r="AW2903" s="107"/>
      <c r="AX2903" s="195"/>
      <c r="AY2903" s="105"/>
      <c r="AZ2903" s="220"/>
      <c r="BA2903" s="241"/>
      <c r="BE2903" s="107"/>
      <c r="BF2903" s="220"/>
    </row>
    <row r="2904" spans="49:58">
      <c r="AW2904" s="107"/>
      <c r="AX2904" s="195"/>
      <c r="AY2904" s="105"/>
      <c r="AZ2904" s="220"/>
      <c r="BA2904" s="241"/>
      <c r="BE2904" s="107"/>
      <c r="BF2904" s="220"/>
    </row>
    <row r="2905" spans="49:58">
      <c r="AW2905" s="107"/>
      <c r="AX2905" s="195"/>
      <c r="AY2905" s="105"/>
      <c r="AZ2905" s="220"/>
      <c r="BA2905" s="241"/>
      <c r="BE2905" s="107"/>
      <c r="BF2905" s="220"/>
    </row>
    <row r="2906" spans="49:58">
      <c r="AW2906" s="107"/>
      <c r="AX2906" s="195"/>
      <c r="AY2906" s="105"/>
      <c r="AZ2906" s="220"/>
      <c r="BA2906" s="241"/>
      <c r="BE2906" s="107"/>
      <c r="BF2906" s="220"/>
    </row>
    <row r="2907" spans="49:58">
      <c r="AW2907" s="107"/>
      <c r="AX2907" s="195"/>
      <c r="AY2907" s="105"/>
      <c r="AZ2907" s="220"/>
      <c r="BA2907" s="241"/>
      <c r="BE2907" s="107"/>
      <c r="BF2907" s="220"/>
    </row>
    <row r="2908" spans="49:58">
      <c r="AW2908" s="107"/>
      <c r="AX2908" s="195"/>
      <c r="AY2908" s="105"/>
      <c r="AZ2908" s="220"/>
      <c r="BA2908" s="241"/>
      <c r="BE2908" s="107"/>
      <c r="BF2908" s="220"/>
    </row>
    <row r="2909" spans="49:58">
      <c r="AW2909" s="107"/>
      <c r="AX2909" s="195"/>
      <c r="AY2909" s="105"/>
      <c r="AZ2909" s="220"/>
      <c r="BA2909" s="241"/>
      <c r="BE2909" s="107"/>
      <c r="BF2909" s="220"/>
    </row>
    <row r="2910" spans="49:58">
      <c r="AW2910" s="107"/>
      <c r="AX2910" s="195"/>
      <c r="AY2910" s="105"/>
      <c r="AZ2910" s="220"/>
      <c r="BA2910" s="241"/>
      <c r="BE2910" s="107"/>
      <c r="BF2910" s="220"/>
    </row>
    <row r="2911" spans="49:58">
      <c r="AW2911" s="107"/>
      <c r="AX2911" s="195"/>
      <c r="AY2911" s="105"/>
      <c r="AZ2911" s="220"/>
      <c r="BA2911" s="241"/>
      <c r="BE2911" s="107"/>
      <c r="BF2911" s="220"/>
    </row>
    <row r="2912" spans="49:58">
      <c r="AW2912" s="107"/>
      <c r="AX2912" s="195"/>
      <c r="AY2912" s="105"/>
      <c r="AZ2912" s="220"/>
      <c r="BA2912" s="241"/>
      <c r="BE2912" s="107"/>
      <c r="BF2912" s="220"/>
    </row>
    <row r="2913" spans="49:58">
      <c r="AW2913" s="107"/>
      <c r="AX2913" s="195"/>
      <c r="AY2913" s="105"/>
      <c r="AZ2913" s="220"/>
      <c r="BA2913" s="241"/>
      <c r="BE2913" s="107"/>
      <c r="BF2913" s="220"/>
    </row>
    <row r="2914" spans="49:58">
      <c r="AW2914" s="107"/>
      <c r="AX2914" s="195"/>
      <c r="AY2914" s="105"/>
      <c r="AZ2914" s="220"/>
      <c r="BA2914" s="241"/>
      <c r="BE2914" s="107"/>
      <c r="BF2914" s="220"/>
    </row>
    <row r="2915" spans="49:58">
      <c r="AW2915" s="107"/>
      <c r="AX2915" s="195"/>
      <c r="AY2915" s="105"/>
      <c r="AZ2915" s="220"/>
      <c r="BA2915" s="241"/>
      <c r="BE2915" s="107"/>
      <c r="BF2915" s="220"/>
    </row>
    <row r="2916" spans="49:58">
      <c r="AW2916" s="107"/>
      <c r="AX2916" s="195"/>
      <c r="AY2916" s="105"/>
      <c r="AZ2916" s="220"/>
      <c r="BA2916" s="241"/>
      <c r="BE2916" s="107"/>
      <c r="BF2916" s="220"/>
    </row>
    <row r="2917" spans="49:58">
      <c r="AW2917" s="107"/>
      <c r="AX2917" s="195"/>
      <c r="AY2917" s="105"/>
      <c r="AZ2917" s="220"/>
      <c r="BA2917" s="241"/>
      <c r="BE2917" s="107"/>
      <c r="BF2917" s="220"/>
    </row>
    <row r="2918" spans="49:58">
      <c r="AW2918" s="107"/>
      <c r="AX2918" s="195"/>
      <c r="AY2918" s="105"/>
      <c r="AZ2918" s="220"/>
      <c r="BA2918" s="241"/>
      <c r="BE2918" s="107"/>
      <c r="BF2918" s="220"/>
    </row>
    <row r="2919" spans="49:58">
      <c r="AW2919" s="107"/>
      <c r="AX2919" s="195"/>
      <c r="AY2919" s="105"/>
      <c r="AZ2919" s="220"/>
      <c r="BA2919" s="241"/>
      <c r="BE2919" s="107"/>
      <c r="BF2919" s="220"/>
    </row>
    <row r="2920" spans="49:58">
      <c r="AW2920" s="107"/>
      <c r="AX2920" s="195"/>
      <c r="AY2920" s="105"/>
      <c r="AZ2920" s="220"/>
      <c r="BA2920" s="241"/>
      <c r="BE2920" s="107"/>
      <c r="BF2920" s="220"/>
    </row>
    <row r="2921" spans="49:58">
      <c r="AW2921" s="107"/>
      <c r="AX2921" s="195"/>
      <c r="AY2921" s="105"/>
      <c r="AZ2921" s="220"/>
      <c r="BA2921" s="241"/>
      <c r="BE2921" s="107"/>
      <c r="BF2921" s="220"/>
    </row>
    <row r="2922" spans="49:58">
      <c r="AW2922" s="107"/>
      <c r="AX2922" s="195"/>
      <c r="AY2922" s="105"/>
      <c r="AZ2922" s="220"/>
      <c r="BA2922" s="241"/>
      <c r="BE2922" s="107"/>
      <c r="BF2922" s="220"/>
    </row>
    <row r="2923" spans="49:58">
      <c r="AW2923" s="107"/>
      <c r="AX2923" s="195"/>
      <c r="AY2923" s="105"/>
      <c r="AZ2923" s="220"/>
      <c r="BA2923" s="241"/>
      <c r="BE2923" s="107"/>
      <c r="BF2923" s="220"/>
    </row>
    <row r="2924" spans="49:58">
      <c r="AW2924" s="107"/>
      <c r="AX2924" s="195"/>
      <c r="AY2924" s="105"/>
      <c r="AZ2924" s="220"/>
      <c r="BA2924" s="241"/>
      <c r="BE2924" s="107"/>
      <c r="BF2924" s="220"/>
    </row>
    <row r="2925" spans="49:58">
      <c r="AW2925" s="107"/>
      <c r="AX2925" s="195"/>
      <c r="AY2925" s="105"/>
      <c r="AZ2925" s="220"/>
      <c r="BA2925" s="241"/>
      <c r="BE2925" s="107"/>
      <c r="BF2925" s="220"/>
    </row>
    <row r="2926" spans="49:58">
      <c r="AW2926" s="107"/>
      <c r="AX2926" s="195"/>
      <c r="AY2926" s="105"/>
      <c r="AZ2926" s="220"/>
      <c r="BA2926" s="241"/>
      <c r="BE2926" s="107"/>
      <c r="BF2926" s="220"/>
    </row>
    <row r="2927" spans="49:58">
      <c r="AW2927" s="107"/>
      <c r="AX2927" s="195"/>
      <c r="AY2927" s="105"/>
      <c r="AZ2927" s="220"/>
      <c r="BA2927" s="241"/>
      <c r="BE2927" s="107"/>
      <c r="BF2927" s="220"/>
    </row>
    <row r="2928" spans="49:58">
      <c r="AW2928" s="107"/>
      <c r="AX2928" s="195"/>
      <c r="AY2928" s="105"/>
      <c r="AZ2928" s="220"/>
      <c r="BA2928" s="241"/>
      <c r="BE2928" s="107"/>
      <c r="BF2928" s="220"/>
    </row>
    <row r="2929" spans="49:58">
      <c r="AW2929" s="107"/>
      <c r="AX2929" s="195"/>
      <c r="AY2929" s="105"/>
      <c r="AZ2929" s="220"/>
      <c r="BA2929" s="241"/>
      <c r="BE2929" s="107"/>
      <c r="BF2929" s="220"/>
    </row>
    <row r="2930" spans="49:58">
      <c r="AW2930" s="107"/>
      <c r="AX2930" s="195"/>
      <c r="AY2930" s="105"/>
      <c r="AZ2930" s="220"/>
      <c r="BA2930" s="241"/>
      <c r="BE2930" s="107"/>
      <c r="BF2930" s="220"/>
    </row>
    <row r="2931" spans="49:58">
      <c r="AW2931" s="107"/>
      <c r="AX2931" s="195"/>
      <c r="AY2931" s="105"/>
      <c r="AZ2931" s="220"/>
      <c r="BA2931" s="241"/>
      <c r="BE2931" s="107"/>
      <c r="BF2931" s="220"/>
    </row>
    <row r="2932" spans="49:58">
      <c r="AW2932" s="107"/>
      <c r="AX2932" s="195"/>
      <c r="AY2932" s="105"/>
      <c r="AZ2932" s="220"/>
      <c r="BA2932" s="241"/>
      <c r="BE2932" s="107"/>
      <c r="BF2932" s="220"/>
    </row>
    <row r="2933" spans="49:58">
      <c r="AW2933" s="107"/>
      <c r="AX2933" s="195"/>
      <c r="AY2933" s="105"/>
      <c r="AZ2933" s="220"/>
      <c r="BA2933" s="241"/>
      <c r="BE2933" s="107"/>
      <c r="BF2933" s="220"/>
    </row>
    <row r="2934" spans="49:58">
      <c r="AW2934" s="107"/>
      <c r="AX2934" s="195"/>
      <c r="AY2934" s="105"/>
      <c r="AZ2934" s="220"/>
      <c r="BA2934" s="241"/>
      <c r="BE2934" s="107"/>
      <c r="BF2934" s="220"/>
    </row>
    <row r="2935" spans="49:58">
      <c r="AW2935" s="107"/>
      <c r="AX2935" s="195"/>
      <c r="AY2935" s="105"/>
      <c r="AZ2935" s="220"/>
      <c r="BA2935" s="241"/>
      <c r="BE2935" s="107"/>
      <c r="BF2935" s="220"/>
    </row>
    <row r="2936" spans="49:58">
      <c r="AW2936" s="107"/>
      <c r="AX2936" s="195"/>
      <c r="AY2936" s="105"/>
      <c r="AZ2936" s="220"/>
      <c r="BA2936" s="241"/>
      <c r="BE2936" s="107"/>
      <c r="BF2936" s="220"/>
    </row>
    <row r="2937" spans="49:58">
      <c r="AW2937" s="107"/>
      <c r="AX2937" s="195"/>
      <c r="AY2937" s="105"/>
      <c r="AZ2937" s="220"/>
      <c r="BA2937" s="241"/>
      <c r="BE2937" s="107"/>
      <c r="BF2937" s="220"/>
    </row>
    <row r="2938" spans="49:58">
      <c r="AW2938" s="107"/>
      <c r="AX2938" s="195"/>
      <c r="AY2938" s="105"/>
      <c r="AZ2938" s="220"/>
      <c r="BA2938" s="241"/>
      <c r="BE2938" s="107"/>
      <c r="BF2938" s="220"/>
    </row>
    <row r="2939" spans="49:58">
      <c r="AW2939" s="107"/>
      <c r="AX2939" s="195"/>
      <c r="AY2939" s="105"/>
      <c r="AZ2939" s="220"/>
      <c r="BA2939" s="241"/>
      <c r="BE2939" s="107"/>
      <c r="BF2939" s="220"/>
    </row>
    <row r="2940" spans="49:58">
      <c r="AW2940" s="107"/>
      <c r="AX2940" s="195"/>
      <c r="AY2940" s="105"/>
      <c r="AZ2940" s="220"/>
      <c r="BA2940" s="241"/>
      <c r="BE2940" s="107"/>
      <c r="BF2940" s="220"/>
    </row>
    <row r="2941" spans="49:58">
      <c r="AW2941" s="107"/>
      <c r="AX2941" s="195"/>
      <c r="AY2941" s="105"/>
      <c r="AZ2941" s="220"/>
      <c r="BA2941" s="241"/>
      <c r="BE2941" s="107"/>
      <c r="BF2941" s="220"/>
    </row>
    <row r="2942" spans="49:58">
      <c r="AW2942" s="107"/>
      <c r="AX2942" s="195"/>
      <c r="AY2942" s="105"/>
      <c r="AZ2942" s="220"/>
      <c r="BA2942" s="241"/>
      <c r="BE2942" s="107"/>
      <c r="BF2942" s="220"/>
    </row>
    <row r="2943" spans="49:58">
      <c r="AW2943" s="107"/>
      <c r="AX2943" s="195"/>
      <c r="AY2943" s="105"/>
      <c r="AZ2943" s="220"/>
      <c r="BA2943" s="241"/>
      <c r="BE2943" s="107"/>
      <c r="BF2943" s="220"/>
    </row>
    <row r="2944" spans="49:58">
      <c r="AW2944" s="107"/>
      <c r="AX2944" s="195"/>
      <c r="AY2944" s="105"/>
      <c r="AZ2944" s="220"/>
      <c r="BA2944" s="241"/>
      <c r="BE2944" s="107"/>
      <c r="BF2944" s="220"/>
    </row>
    <row r="2945" spans="49:58">
      <c r="AW2945" s="107"/>
      <c r="AX2945" s="195"/>
      <c r="AY2945" s="105"/>
      <c r="AZ2945" s="220"/>
      <c r="BA2945" s="241"/>
      <c r="BE2945" s="107"/>
      <c r="BF2945" s="220"/>
    </row>
    <row r="2946" spans="49:58">
      <c r="AW2946" s="107"/>
      <c r="AX2946" s="195"/>
      <c r="AY2946" s="105"/>
      <c r="AZ2946" s="220"/>
      <c r="BA2946" s="241"/>
      <c r="BE2946" s="107"/>
      <c r="BF2946" s="220"/>
    </row>
    <row r="2947" spans="49:58">
      <c r="AW2947" s="107"/>
      <c r="AX2947" s="195"/>
      <c r="AY2947" s="105"/>
      <c r="AZ2947" s="220"/>
      <c r="BA2947" s="241"/>
      <c r="BE2947" s="107"/>
      <c r="BF2947" s="220"/>
    </row>
    <row r="2948" spans="49:58">
      <c r="AW2948" s="107"/>
      <c r="AX2948" s="195"/>
      <c r="AY2948" s="105"/>
      <c r="AZ2948" s="220"/>
      <c r="BA2948" s="241"/>
      <c r="BE2948" s="107"/>
      <c r="BF2948" s="220"/>
    </row>
    <row r="2949" spans="49:58">
      <c r="AW2949" s="107"/>
      <c r="AX2949" s="195"/>
      <c r="AY2949" s="105"/>
      <c r="AZ2949" s="220"/>
      <c r="BA2949" s="241"/>
      <c r="BE2949" s="107"/>
      <c r="BF2949" s="220"/>
    </row>
    <row r="2950" spans="49:58">
      <c r="AW2950" s="107"/>
      <c r="AX2950" s="195"/>
      <c r="AY2950" s="105"/>
      <c r="AZ2950" s="220"/>
      <c r="BA2950" s="241"/>
      <c r="BE2950" s="107"/>
      <c r="BF2950" s="220"/>
    </row>
    <row r="2951" spans="49:58">
      <c r="AW2951" s="107"/>
      <c r="AX2951" s="195"/>
      <c r="AY2951" s="105"/>
      <c r="AZ2951" s="220"/>
      <c r="BA2951" s="241"/>
      <c r="BE2951" s="107"/>
      <c r="BF2951" s="220"/>
    </row>
    <row r="2952" spans="49:58">
      <c r="AW2952" s="107"/>
      <c r="AX2952" s="195"/>
      <c r="AY2952" s="105"/>
      <c r="AZ2952" s="220"/>
      <c r="BA2952" s="241"/>
      <c r="BE2952" s="107"/>
      <c r="BF2952" s="220"/>
    </row>
    <row r="2953" spans="49:58">
      <c r="AW2953" s="107"/>
      <c r="AX2953" s="195"/>
      <c r="AY2953" s="105"/>
      <c r="AZ2953" s="220"/>
      <c r="BA2953" s="241"/>
      <c r="BE2953" s="107"/>
      <c r="BF2953" s="220"/>
    </row>
    <row r="2954" spans="49:58">
      <c r="AW2954" s="107"/>
      <c r="AX2954" s="195"/>
      <c r="AY2954" s="105"/>
      <c r="AZ2954" s="220"/>
      <c r="BA2954" s="241"/>
      <c r="BE2954" s="107"/>
      <c r="BF2954" s="220"/>
    </row>
    <row r="2955" spans="49:58">
      <c r="AW2955" s="107"/>
      <c r="AX2955" s="195"/>
      <c r="AY2955" s="105"/>
      <c r="AZ2955" s="220"/>
      <c r="BA2955" s="241"/>
      <c r="BE2955" s="107"/>
      <c r="BF2955" s="220"/>
    </row>
    <row r="2956" spans="49:58">
      <c r="AW2956" s="107"/>
      <c r="AX2956" s="195"/>
      <c r="AY2956" s="105"/>
      <c r="AZ2956" s="220"/>
      <c r="BA2956" s="241"/>
      <c r="BE2956" s="107"/>
      <c r="BF2956" s="220"/>
    </row>
    <row r="2957" spans="49:58">
      <c r="AW2957" s="107"/>
      <c r="AX2957" s="195"/>
      <c r="AY2957" s="105"/>
      <c r="AZ2957" s="220"/>
      <c r="BA2957" s="241"/>
      <c r="BE2957" s="107"/>
      <c r="BF2957" s="220"/>
    </row>
    <row r="2958" spans="49:58">
      <c r="AW2958" s="107"/>
      <c r="AX2958" s="195"/>
      <c r="AY2958" s="105"/>
      <c r="AZ2958" s="220"/>
      <c r="BA2958" s="241"/>
      <c r="BE2958" s="107"/>
      <c r="BF2958" s="220"/>
    </row>
    <row r="2959" spans="49:58">
      <c r="AW2959" s="107"/>
      <c r="AX2959" s="195"/>
      <c r="AY2959" s="105"/>
      <c r="AZ2959" s="220"/>
      <c r="BA2959" s="241"/>
      <c r="BE2959" s="107"/>
      <c r="BF2959" s="220"/>
    </row>
    <row r="2960" spans="49:58">
      <c r="AW2960" s="107"/>
      <c r="AX2960" s="195"/>
      <c r="AY2960" s="105"/>
      <c r="AZ2960" s="220"/>
      <c r="BA2960" s="241"/>
      <c r="BE2960" s="107"/>
      <c r="BF2960" s="220"/>
    </row>
    <row r="2961" spans="49:58">
      <c r="AW2961" s="107"/>
      <c r="AX2961" s="195"/>
      <c r="AY2961" s="105"/>
      <c r="AZ2961" s="220"/>
      <c r="BA2961" s="241"/>
      <c r="BE2961" s="107"/>
      <c r="BF2961" s="220"/>
    </row>
    <row r="2962" spans="49:58">
      <c r="AW2962" s="107"/>
      <c r="AX2962" s="195"/>
      <c r="AY2962" s="105"/>
      <c r="AZ2962" s="220"/>
      <c r="BA2962" s="241"/>
      <c r="BE2962" s="107"/>
      <c r="BF2962" s="220"/>
    </row>
    <row r="2963" spans="49:58">
      <c r="AW2963" s="107"/>
      <c r="AX2963" s="195"/>
      <c r="AY2963" s="105"/>
      <c r="AZ2963" s="220"/>
      <c r="BA2963" s="241"/>
      <c r="BE2963" s="107"/>
      <c r="BF2963" s="220"/>
    </row>
    <row r="2964" spans="49:58">
      <c r="AW2964" s="107"/>
      <c r="AX2964" s="195"/>
      <c r="AY2964" s="105"/>
      <c r="AZ2964" s="220"/>
      <c r="BA2964" s="241"/>
      <c r="BE2964" s="107"/>
      <c r="BF2964" s="220"/>
    </row>
    <row r="2965" spans="49:58">
      <c r="AW2965" s="107"/>
      <c r="AX2965" s="195"/>
      <c r="AY2965" s="105"/>
      <c r="AZ2965" s="220"/>
      <c r="BA2965" s="241"/>
      <c r="BE2965" s="107"/>
      <c r="BF2965" s="220"/>
    </row>
    <row r="2966" spans="49:58">
      <c r="AW2966" s="107"/>
      <c r="AX2966" s="195"/>
      <c r="AY2966" s="105"/>
      <c r="AZ2966" s="220"/>
      <c r="BA2966" s="241"/>
      <c r="BE2966" s="107"/>
      <c r="BF2966" s="220"/>
    </row>
    <row r="2967" spans="49:58">
      <c r="AW2967" s="107"/>
      <c r="AX2967" s="195"/>
      <c r="AY2967" s="105"/>
      <c r="AZ2967" s="220"/>
      <c r="BA2967" s="241"/>
      <c r="BE2967" s="107"/>
      <c r="BF2967" s="220"/>
    </row>
    <row r="2968" spans="49:58">
      <c r="AW2968" s="107"/>
      <c r="AX2968" s="195"/>
      <c r="AY2968" s="105"/>
      <c r="AZ2968" s="220"/>
      <c r="BA2968" s="241"/>
      <c r="BE2968" s="107"/>
      <c r="BF2968" s="220"/>
    </row>
    <row r="2969" spans="49:58">
      <c r="AW2969" s="107"/>
      <c r="AX2969" s="195"/>
      <c r="AY2969" s="105"/>
      <c r="AZ2969" s="220"/>
      <c r="BA2969" s="241"/>
      <c r="BE2969" s="107"/>
      <c r="BF2969" s="220"/>
    </row>
    <row r="2970" spans="49:58">
      <c r="AW2970" s="107"/>
      <c r="AX2970" s="195"/>
      <c r="AY2970" s="105"/>
      <c r="AZ2970" s="220"/>
      <c r="BA2970" s="241"/>
      <c r="BE2970" s="107"/>
      <c r="BF2970" s="220"/>
    </row>
    <row r="2971" spans="49:58">
      <c r="AW2971" s="107"/>
      <c r="AX2971" s="195"/>
      <c r="AY2971" s="105"/>
      <c r="AZ2971" s="220"/>
      <c r="BA2971" s="241"/>
      <c r="BE2971" s="107"/>
      <c r="BF2971" s="220"/>
    </row>
    <row r="2972" spans="49:58">
      <c r="AW2972" s="107"/>
      <c r="AX2972" s="195"/>
      <c r="AY2972" s="105"/>
      <c r="AZ2972" s="220"/>
      <c r="BA2972" s="241"/>
      <c r="BE2972" s="107"/>
      <c r="BF2972" s="220"/>
    </row>
    <row r="2973" spans="49:58">
      <c r="AW2973" s="107"/>
      <c r="AX2973" s="195"/>
      <c r="AY2973" s="105"/>
      <c r="AZ2973" s="220"/>
      <c r="BA2973" s="241"/>
      <c r="BE2973" s="107"/>
      <c r="BF2973" s="220"/>
    </row>
    <row r="2974" spans="49:58">
      <c r="AW2974" s="107"/>
      <c r="AX2974" s="195"/>
      <c r="AY2974" s="105"/>
      <c r="AZ2974" s="220"/>
      <c r="BA2974" s="241"/>
      <c r="BE2974" s="107"/>
      <c r="BF2974" s="220"/>
    </row>
    <row r="2975" spans="49:58">
      <c r="AW2975" s="107"/>
      <c r="AX2975" s="195"/>
      <c r="AY2975" s="105"/>
      <c r="AZ2975" s="220"/>
      <c r="BA2975" s="241"/>
      <c r="BE2975" s="107"/>
      <c r="BF2975" s="220"/>
    </row>
    <row r="2976" spans="49:58">
      <c r="AW2976" s="107"/>
      <c r="AX2976" s="195"/>
      <c r="AY2976" s="105"/>
      <c r="AZ2976" s="220"/>
      <c r="BA2976" s="241"/>
      <c r="BE2976" s="107"/>
      <c r="BF2976" s="220"/>
    </row>
    <row r="2977" spans="49:58">
      <c r="AW2977" s="107"/>
      <c r="AX2977" s="195"/>
      <c r="AY2977" s="105"/>
      <c r="AZ2977" s="220"/>
      <c r="BA2977" s="241"/>
      <c r="BE2977" s="107"/>
      <c r="BF2977" s="220"/>
    </row>
    <row r="2978" spans="49:58">
      <c r="AW2978" s="107"/>
      <c r="AX2978" s="195"/>
      <c r="AY2978" s="105"/>
      <c r="AZ2978" s="220"/>
      <c r="BA2978" s="241"/>
      <c r="BE2978" s="107"/>
      <c r="BF2978" s="220"/>
    </row>
    <row r="2979" spans="49:58">
      <c r="AW2979" s="107"/>
      <c r="AX2979" s="195"/>
      <c r="AY2979" s="105"/>
      <c r="AZ2979" s="220"/>
      <c r="BA2979" s="241"/>
      <c r="BE2979" s="107"/>
      <c r="BF2979" s="220"/>
    </row>
    <row r="2980" spans="49:58">
      <c r="AW2980" s="107"/>
      <c r="AX2980" s="195"/>
      <c r="AY2980" s="105"/>
      <c r="AZ2980" s="220"/>
      <c r="BA2980" s="241"/>
      <c r="BE2980" s="107"/>
      <c r="BF2980" s="220"/>
    </row>
    <row r="2981" spans="49:58">
      <c r="AW2981" s="107"/>
      <c r="AX2981" s="195"/>
      <c r="AY2981" s="105"/>
      <c r="AZ2981" s="220"/>
      <c r="BA2981" s="241"/>
      <c r="BE2981" s="107"/>
      <c r="BF2981" s="220"/>
    </row>
    <row r="2982" spans="49:58">
      <c r="AW2982" s="107"/>
      <c r="AX2982" s="195"/>
      <c r="AY2982" s="105"/>
      <c r="AZ2982" s="220"/>
      <c r="BA2982" s="241"/>
      <c r="BE2982" s="107"/>
      <c r="BF2982" s="220"/>
    </row>
    <row r="2983" spans="49:58">
      <c r="AW2983" s="107"/>
      <c r="AX2983" s="195"/>
      <c r="AY2983" s="105"/>
      <c r="AZ2983" s="220"/>
      <c r="BA2983" s="241"/>
      <c r="BE2983" s="107"/>
      <c r="BF2983" s="220"/>
    </row>
    <row r="2984" spans="49:58">
      <c r="AW2984" s="107"/>
      <c r="AX2984" s="195"/>
      <c r="AY2984" s="105"/>
      <c r="AZ2984" s="220"/>
      <c r="BA2984" s="241"/>
      <c r="BE2984" s="107"/>
      <c r="BF2984" s="220"/>
    </row>
    <row r="2985" spans="49:58">
      <c r="AW2985" s="107"/>
      <c r="AX2985" s="195"/>
      <c r="AY2985" s="105"/>
      <c r="AZ2985" s="220"/>
      <c r="BA2985" s="241"/>
      <c r="BE2985" s="107"/>
      <c r="BF2985" s="220"/>
    </row>
    <row r="2986" spans="49:58">
      <c r="AW2986" s="107"/>
      <c r="AX2986" s="195"/>
      <c r="AY2986" s="105"/>
      <c r="AZ2986" s="220"/>
      <c r="BA2986" s="241"/>
      <c r="BE2986" s="107"/>
      <c r="BF2986" s="220"/>
    </row>
    <row r="2987" spans="49:58">
      <c r="AW2987" s="107"/>
      <c r="AX2987" s="195"/>
      <c r="AY2987" s="105"/>
      <c r="AZ2987" s="220"/>
      <c r="BA2987" s="241"/>
      <c r="BE2987" s="107"/>
      <c r="BF2987" s="220"/>
    </row>
    <row r="2988" spans="49:58">
      <c r="AW2988" s="107"/>
      <c r="AX2988" s="195"/>
      <c r="AY2988" s="105"/>
      <c r="AZ2988" s="220"/>
      <c r="BA2988" s="241"/>
      <c r="BE2988" s="107"/>
      <c r="BF2988" s="220"/>
    </row>
    <row r="2989" spans="49:58">
      <c r="AW2989" s="107"/>
      <c r="AX2989" s="195"/>
      <c r="AY2989" s="105"/>
      <c r="AZ2989" s="220"/>
      <c r="BA2989" s="241"/>
      <c r="BE2989" s="107"/>
      <c r="BF2989" s="220"/>
    </row>
    <row r="2990" spans="49:58">
      <c r="AW2990" s="107"/>
      <c r="AX2990" s="195"/>
      <c r="AY2990" s="105"/>
      <c r="AZ2990" s="220"/>
      <c r="BA2990" s="241"/>
      <c r="BE2990" s="107"/>
      <c r="BF2990" s="220"/>
    </row>
    <row r="2991" spans="49:58">
      <c r="AW2991" s="107"/>
      <c r="AX2991" s="195"/>
      <c r="AY2991" s="105"/>
      <c r="AZ2991" s="220"/>
      <c r="BA2991" s="241"/>
      <c r="BE2991" s="107"/>
      <c r="BF2991" s="220"/>
    </row>
    <row r="2992" spans="49:58">
      <c r="AW2992" s="107"/>
      <c r="AX2992" s="195"/>
      <c r="AY2992" s="105"/>
      <c r="AZ2992" s="220"/>
      <c r="BA2992" s="241"/>
      <c r="BE2992" s="107"/>
      <c r="BF2992" s="220"/>
    </row>
    <row r="2993" spans="49:58">
      <c r="AW2993" s="107"/>
      <c r="AX2993" s="195"/>
      <c r="AY2993" s="105"/>
      <c r="AZ2993" s="220"/>
      <c r="BA2993" s="241"/>
      <c r="BE2993" s="107"/>
      <c r="BF2993" s="220"/>
    </row>
    <row r="2994" spans="49:58">
      <c r="AW2994" s="107"/>
      <c r="AX2994" s="195"/>
      <c r="AY2994" s="105"/>
      <c r="AZ2994" s="220"/>
      <c r="BA2994" s="241"/>
      <c r="BE2994" s="107"/>
      <c r="BF2994" s="220"/>
    </row>
    <row r="2995" spans="49:58">
      <c r="AW2995" s="107"/>
      <c r="AX2995" s="195"/>
      <c r="AY2995" s="105"/>
      <c r="AZ2995" s="220"/>
      <c r="BA2995" s="241"/>
      <c r="BE2995" s="107"/>
      <c r="BF2995" s="220"/>
    </row>
    <row r="2996" spans="49:58">
      <c r="AW2996" s="107"/>
      <c r="AX2996" s="195"/>
      <c r="AY2996" s="105"/>
      <c r="AZ2996" s="220"/>
      <c r="BA2996" s="241"/>
      <c r="BE2996" s="107"/>
      <c r="BF2996" s="220"/>
    </row>
    <row r="2997" spans="49:58">
      <c r="AW2997" s="107"/>
      <c r="AX2997" s="195"/>
      <c r="AY2997" s="105"/>
      <c r="AZ2997" s="220"/>
      <c r="BA2997" s="241"/>
      <c r="BE2997" s="107"/>
      <c r="BF2997" s="220"/>
    </row>
    <row r="2998" spans="49:58">
      <c r="AW2998" s="107"/>
      <c r="AX2998" s="195"/>
      <c r="AY2998" s="105"/>
      <c r="AZ2998" s="220"/>
      <c r="BA2998" s="241"/>
      <c r="BE2998" s="107"/>
      <c r="BF2998" s="220"/>
    </row>
    <row r="2999" spans="49:58">
      <c r="AW2999" s="107"/>
      <c r="AX2999" s="195"/>
      <c r="AY2999" s="105"/>
      <c r="AZ2999" s="220"/>
      <c r="BA2999" s="241"/>
      <c r="BE2999" s="107"/>
      <c r="BF2999" s="220"/>
    </row>
    <row r="3000" spans="49:58">
      <c r="AW3000" s="107"/>
      <c r="AX3000" s="195"/>
      <c r="AY3000" s="105"/>
      <c r="AZ3000" s="220"/>
      <c r="BA3000" s="241"/>
      <c r="BE3000" s="107"/>
      <c r="BF3000" s="220"/>
    </row>
    <row r="3001" spans="49:58">
      <c r="AW3001" s="107"/>
      <c r="AX3001" s="195"/>
      <c r="AY3001" s="105"/>
      <c r="AZ3001" s="220"/>
      <c r="BA3001" s="241"/>
      <c r="BE3001" s="107"/>
      <c r="BF3001" s="220"/>
    </row>
    <row r="3002" spans="49:58">
      <c r="AW3002" s="107"/>
      <c r="AX3002" s="195"/>
      <c r="AY3002" s="105"/>
      <c r="AZ3002" s="220"/>
      <c r="BA3002" s="241"/>
      <c r="BE3002" s="107"/>
      <c r="BF3002" s="220"/>
    </row>
    <row r="3003" spans="49:58">
      <c r="AW3003" s="107"/>
      <c r="AX3003" s="195"/>
      <c r="AY3003" s="105"/>
      <c r="AZ3003" s="220"/>
      <c r="BA3003" s="241"/>
      <c r="BE3003" s="107"/>
      <c r="BF3003" s="220"/>
    </row>
    <row r="3004" spans="49:58">
      <c r="AW3004" s="107"/>
      <c r="AX3004" s="195"/>
      <c r="AY3004" s="105"/>
      <c r="AZ3004" s="220"/>
      <c r="BA3004" s="241"/>
      <c r="BE3004" s="107"/>
      <c r="BF3004" s="220"/>
    </row>
    <row r="3005" spans="49:58">
      <c r="AW3005" s="107"/>
      <c r="AX3005" s="195"/>
      <c r="AY3005" s="105"/>
      <c r="AZ3005" s="220"/>
      <c r="BA3005" s="241"/>
      <c r="BE3005" s="107"/>
      <c r="BF3005" s="220"/>
    </row>
    <row r="3006" spans="49:58">
      <c r="AW3006" s="107"/>
      <c r="AX3006" s="195"/>
      <c r="AY3006" s="105"/>
      <c r="AZ3006" s="220"/>
      <c r="BA3006" s="241"/>
      <c r="BE3006" s="107"/>
      <c r="BF3006" s="220"/>
    </row>
    <row r="3007" spans="49:58">
      <c r="AW3007" s="107"/>
      <c r="AX3007" s="195"/>
      <c r="AY3007" s="105"/>
      <c r="AZ3007" s="220"/>
      <c r="BA3007" s="241"/>
      <c r="BE3007" s="107"/>
      <c r="BF3007" s="220"/>
    </row>
    <row r="3008" spans="49:58">
      <c r="AW3008" s="107"/>
      <c r="AX3008" s="195"/>
      <c r="AY3008" s="105"/>
      <c r="AZ3008" s="220"/>
      <c r="BA3008" s="241"/>
      <c r="BE3008" s="107"/>
      <c r="BF3008" s="220"/>
    </row>
    <row r="3009" spans="49:58">
      <c r="AW3009" s="107"/>
      <c r="AX3009" s="195"/>
      <c r="AY3009" s="105"/>
      <c r="AZ3009" s="220"/>
      <c r="BA3009" s="241"/>
      <c r="BE3009" s="107"/>
      <c r="BF3009" s="220"/>
    </row>
    <row r="3010" spans="49:58">
      <c r="AW3010" s="107"/>
      <c r="AX3010" s="195"/>
      <c r="AY3010" s="105"/>
      <c r="AZ3010" s="220"/>
      <c r="BA3010" s="241"/>
      <c r="BE3010" s="107"/>
      <c r="BF3010" s="220"/>
    </row>
    <row r="3011" spans="49:58">
      <c r="AW3011" s="107"/>
      <c r="AX3011" s="195"/>
      <c r="AY3011" s="105"/>
      <c r="AZ3011" s="220"/>
      <c r="BA3011" s="241"/>
      <c r="BE3011" s="107"/>
      <c r="BF3011" s="220"/>
    </row>
    <row r="3012" spans="49:58">
      <c r="AW3012" s="107"/>
      <c r="AX3012" s="195"/>
      <c r="AY3012" s="105"/>
      <c r="AZ3012" s="220"/>
      <c r="BA3012" s="241"/>
      <c r="BE3012" s="107"/>
      <c r="BF3012" s="220"/>
    </row>
    <row r="3013" spans="49:58">
      <c r="AW3013" s="107"/>
      <c r="AX3013" s="195"/>
      <c r="AY3013" s="105"/>
      <c r="AZ3013" s="220"/>
      <c r="BA3013" s="241"/>
      <c r="BE3013" s="107"/>
      <c r="BF3013" s="220"/>
    </row>
    <row r="3014" spans="49:58">
      <c r="AW3014" s="107"/>
      <c r="AX3014" s="195"/>
      <c r="AY3014" s="105"/>
      <c r="AZ3014" s="220"/>
      <c r="BA3014" s="241"/>
      <c r="BE3014" s="107"/>
      <c r="BF3014" s="220"/>
    </row>
    <row r="3015" spans="49:58">
      <c r="AW3015" s="107"/>
      <c r="AX3015" s="195"/>
      <c r="AY3015" s="105"/>
      <c r="AZ3015" s="220"/>
      <c r="BA3015" s="241"/>
      <c r="BE3015" s="107"/>
      <c r="BF3015" s="220"/>
    </row>
    <row r="3016" spans="49:58">
      <c r="AW3016" s="107"/>
      <c r="AX3016" s="195"/>
      <c r="AY3016" s="105"/>
      <c r="AZ3016" s="220"/>
      <c r="BA3016" s="241"/>
      <c r="BE3016" s="107"/>
      <c r="BF3016" s="220"/>
    </row>
    <row r="3017" spans="49:58">
      <c r="AW3017" s="107"/>
      <c r="AX3017" s="195"/>
      <c r="AY3017" s="105"/>
      <c r="AZ3017" s="220"/>
      <c r="BA3017" s="241"/>
      <c r="BE3017" s="107"/>
      <c r="BF3017" s="220"/>
    </row>
    <row r="3018" spans="49:58">
      <c r="AW3018" s="107"/>
      <c r="AX3018" s="195"/>
      <c r="AY3018" s="105"/>
      <c r="AZ3018" s="220"/>
      <c r="BA3018" s="241"/>
      <c r="BE3018" s="107"/>
      <c r="BF3018" s="220"/>
    </row>
    <row r="3019" spans="49:58">
      <c r="AW3019" s="107"/>
      <c r="AX3019" s="195"/>
      <c r="AY3019" s="105"/>
      <c r="AZ3019" s="220"/>
      <c r="BA3019" s="241"/>
      <c r="BE3019" s="107"/>
      <c r="BF3019" s="220"/>
    </row>
    <row r="3020" spans="49:58">
      <c r="AW3020" s="107"/>
      <c r="AX3020" s="195"/>
      <c r="AY3020" s="105"/>
      <c r="AZ3020" s="220"/>
      <c r="BA3020" s="241"/>
      <c r="BE3020" s="107"/>
      <c r="BF3020" s="220"/>
    </row>
    <row r="3021" spans="49:58">
      <c r="AW3021" s="107"/>
      <c r="AX3021" s="195"/>
      <c r="AY3021" s="105"/>
      <c r="AZ3021" s="220"/>
      <c r="BA3021" s="241"/>
      <c r="BE3021" s="107"/>
      <c r="BF3021" s="220"/>
    </row>
    <row r="3022" spans="49:58">
      <c r="AW3022" s="107"/>
      <c r="AX3022" s="195"/>
      <c r="AY3022" s="105"/>
      <c r="AZ3022" s="220"/>
      <c r="BA3022" s="241"/>
      <c r="BE3022" s="107"/>
      <c r="BF3022" s="220"/>
    </row>
    <row r="3023" spans="49:58">
      <c r="AW3023" s="107"/>
      <c r="AX3023" s="195"/>
      <c r="AY3023" s="105"/>
      <c r="AZ3023" s="220"/>
      <c r="BA3023" s="241"/>
      <c r="BE3023" s="107"/>
      <c r="BF3023" s="220"/>
    </row>
    <row r="3024" spans="49:58">
      <c r="AW3024" s="107"/>
      <c r="AX3024" s="195"/>
      <c r="AY3024" s="105"/>
      <c r="AZ3024" s="220"/>
      <c r="BA3024" s="241"/>
      <c r="BE3024" s="107"/>
      <c r="BF3024" s="220"/>
    </row>
    <row r="3025" spans="49:58">
      <c r="AW3025" s="107"/>
      <c r="AX3025" s="195"/>
      <c r="AY3025" s="105"/>
      <c r="AZ3025" s="220"/>
      <c r="BA3025" s="241"/>
      <c r="BE3025" s="107"/>
      <c r="BF3025" s="220"/>
    </row>
    <row r="3026" spans="49:58">
      <c r="AW3026" s="107"/>
      <c r="AX3026" s="195"/>
      <c r="AY3026" s="105"/>
      <c r="AZ3026" s="220"/>
      <c r="BA3026" s="241"/>
      <c r="BE3026" s="107"/>
      <c r="BF3026" s="220"/>
    </row>
    <row r="3027" spans="49:58">
      <c r="AW3027" s="107"/>
      <c r="AX3027" s="195"/>
      <c r="AY3027" s="105"/>
      <c r="AZ3027" s="220"/>
      <c r="BA3027" s="241"/>
      <c r="BE3027" s="107"/>
      <c r="BF3027" s="220"/>
    </row>
    <row r="3028" spans="49:58">
      <c r="AW3028" s="107"/>
      <c r="AX3028" s="195"/>
      <c r="AY3028" s="105"/>
      <c r="AZ3028" s="220"/>
      <c r="BA3028" s="241"/>
      <c r="BE3028" s="107"/>
      <c r="BF3028" s="220"/>
    </row>
    <row r="3029" spans="49:58">
      <c r="AW3029" s="107"/>
      <c r="AX3029" s="195"/>
      <c r="AY3029" s="105"/>
      <c r="AZ3029" s="220"/>
      <c r="BA3029" s="241"/>
      <c r="BE3029" s="107"/>
      <c r="BF3029" s="220"/>
    </row>
    <row r="3030" spans="49:58">
      <c r="AW3030" s="107"/>
      <c r="AX3030" s="195"/>
      <c r="AY3030" s="105"/>
      <c r="AZ3030" s="220"/>
      <c r="BA3030" s="241"/>
      <c r="BE3030" s="107"/>
      <c r="BF3030" s="220"/>
    </row>
    <row r="3031" spans="49:58">
      <c r="AW3031" s="107"/>
      <c r="AX3031" s="195"/>
      <c r="AY3031" s="105"/>
      <c r="AZ3031" s="220"/>
      <c r="BA3031" s="241"/>
      <c r="BE3031" s="107"/>
      <c r="BF3031" s="220"/>
    </row>
    <row r="3032" spans="49:58">
      <c r="AW3032" s="107"/>
      <c r="AX3032" s="195"/>
      <c r="AY3032" s="105"/>
      <c r="AZ3032" s="220"/>
      <c r="BA3032" s="241"/>
      <c r="BE3032" s="107"/>
      <c r="BF3032" s="220"/>
    </row>
    <row r="3033" spans="49:58">
      <c r="AW3033" s="107"/>
      <c r="AX3033" s="195"/>
      <c r="AY3033" s="105"/>
      <c r="AZ3033" s="220"/>
      <c r="BA3033" s="241"/>
      <c r="BE3033" s="107"/>
      <c r="BF3033" s="220"/>
    </row>
    <row r="3034" spans="49:58">
      <c r="AW3034" s="107"/>
      <c r="AX3034" s="195"/>
      <c r="AY3034" s="105"/>
      <c r="AZ3034" s="220"/>
      <c r="BA3034" s="241"/>
      <c r="BE3034" s="107"/>
      <c r="BF3034" s="220"/>
    </row>
    <row r="3035" spans="49:58">
      <c r="AW3035" s="107"/>
      <c r="AX3035" s="195"/>
      <c r="AY3035" s="105"/>
      <c r="AZ3035" s="220"/>
      <c r="BA3035" s="241"/>
      <c r="BE3035" s="107"/>
      <c r="BF3035" s="220"/>
    </row>
    <row r="3036" spans="49:58">
      <c r="AW3036" s="107"/>
      <c r="AX3036" s="195"/>
      <c r="AY3036" s="105"/>
      <c r="AZ3036" s="220"/>
      <c r="BA3036" s="241"/>
      <c r="BE3036" s="107"/>
      <c r="BF3036" s="220"/>
    </row>
    <row r="3037" spans="49:58">
      <c r="AW3037" s="107"/>
      <c r="AX3037" s="195"/>
      <c r="AY3037" s="105"/>
      <c r="AZ3037" s="220"/>
      <c r="BA3037" s="241"/>
      <c r="BE3037" s="107"/>
      <c r="BF3037" s="220"/>
    </row>
    <row r="3038" spans="49:58">
      <c r="AW3038" s="107"/>
      <c r="AX3038" s="195"/>
      <c r="AY3038" s="105"/>
      <c r="AZ3038" s="220"/>
      <c r="BA3038" s="241"/>
      <c r="BE3038" s="107"/>
      <c r="BF3038" s="220"/>
    </row>
    <row r="3039" spans="49:58">
      <c r="AW3039" s="107"/>
      <c r="AX3039" s="195"/>
      <c r="AY3039" s="105"/>
      <c r="AZ3039" s="220"/>
      <c r="BA3039" s="241"/>
      <c r="BE3039" s="107"/>
      <c r="BF3039" s="220"/>
    </row>
    <row r="3040" spans="49:58">
      <c r="AW3040" s="107"/>
      <c r="AX3040" s="195"/>
      <c r="AY3040" s="105"/>
      <c r="AZ3040" s="220"/>
      <c r="BA3040" s="241"/>
      <c r="BE3040" s="107"/>
      <c r="BF3040" s="220"/>
    </row>
    <row r="3041" spans="49:58">
      <c r="AW3041" s="107"/>
      <c r="AX3041" s="195"/>
      <c r="AY3041" s="105"/>
      <c r="AZ3041" s="220"/>
      <c r="BA3041" s="241"/>
      <c r="BE3041" s="107"/>
      <c r="BF3041" s="220"/>
    </row>
    <row r="3042" spans="49:58">
      <c r="AW3042" s="107"/>
      <c r="AX3042" s="195"/>
      <c r="AY3042" s="105"/>
      <c r="AZ3042" s="220"/>
      <c r="BA3042" s="241"/>
      <c r="BE3042" s="107"/>
      <c r="BF3042" s="220"/>
    </row>
    <row r="3043" spans="49:58">
      <c r="AW3043" s="107"/>
      <c r="AX3043" s="195"/>
      <c r="AY3043" s="105"/>
      <c r="AZ3043" s="220"/>
      <c r="BA3043" s="241"/>
      <c r="BE3043" s="107"/>
      <c r="BF3043" s="220"/>
    </row>
    <row r="3044" spans="49:58">
      <c r="AW3044" s="107"/>
      <c r="AX3044" s="195"/>
      <c r="AY3044" s="105"/>
      <c r="AZ3044" s="220"/>
      <c r="BA3044" s="241"/>
      <c r="BE3044" s="107"/>
      <c r="BF3044" s="220"/>
    </row>
    <row r="3045" spans="49:58">
      <c r="AW3045" s="107"/>
      <c r="AX3045" s="195"/>
      <c r="AY3045" s="105"/>
      <c r="AZ3045" s="220"/>
      <c r="BA3045" s="241"/>
      <c r="BE3045" s="107"/>
      <c r="BF3045" s="220"/>
    </row>
    <row r="3046" spans="49:58">
      <c r="AW3046" s="107"/>
      <c r="AX3046" s="195"/>
      <c r="AY3046" s="105"/>
      <c r="AZ3046" s="220"/>
      <c r="BA3046" s="241"/>
      <c r="BE3046" s="107"/>
      <c r="BF3046" s="220"/>
    </row>
    <row r="3047" spans="49:58">
      <c r="AW3047" s="107"/>
      <c r="AX3047" s="195"/>
      <c r="AY3047" s="105"/>
      <c r="AZ3047" s="220"/>
      <c r="BA3047" s="241"/>
      <c r="BE3047" s="107"/>
      <c r="BF3047" s="220"/>
    </row>
    <row r="3048" spans="49:58">
      <c r="AW3048" s="107"/>
      <c r="AX3048" s="195"/>
      <c r="AY3048" s="105"/>
      <c r="AZ3048" s="220"/>
      <c r="BA3048" s="241"/>
      <c r="BE3048" s="107"/>
      <c r="BF3048" s="220"/>
    </row>
    <row r="3049" spans="49:58">
      <c r="AW3049" s="107"/>
      <c r="AX3049" s="195"/>
      <c r="AY3049" s="105"/>
      <c r="AZ3049" s="220"/>
      <c r="BA3049" s="241"/>
      <c r="BE3049" s="107"/>
      <c r="BF3049" s="220"/>
    </row>
    <row r="3050" spans="49:58">
      <c r="AW3050" s="107"/>
      <c r="AX3050" s="195"/>
      <c r="AY3050" s="105"/>
      <c r="AZ3050" s="220"/>
      <c r="BA3050" s="241"/>
      <c r="BE3050" s="107"/>
      <c r="BF3050" s="220"/>
    </row>
    <row r="3051" spans="49:58">
      <c r="AW3051" s="107"/>
      <c r="AX3051" s="195"/>
      <c r="AY3051" s="105"/>
      <c r="AZ3051" s="220"/>
      <c r="BA3051" s="241"/>
      <c r="BE3051" s="107"/>
      <c r="BF3051" s="220"/>
    </row>
    <row r="3052" spans="49:58">
      <c r="AW3052" s="107"/>
      <c r="AX3052" s="195"/>
      <c r="AY3052" s="105"/>
      <c r="AZ3052" s="220"/>
      <c r="BA3052" s="241"/>
      <c r="BE3052" s="107"/>
      <c r="BF3052" s="220"/>
    </row>
    <row r="3053" spans="49:58">
      <c r="AW3053" s="107"/>
      <c r="AX3053" s="195"/>
      <c r="AY3053" s="105"/>
      <c r="AZ3053" s="220"/>
      <c r="BA3053" s="241"/>
      <c r="BE3053" s="107"/>
      <c r="BF3053" s="220"/>
    </row>
    <row r="3054" spans="49:58">
      <c r="AW3054" s="107"/>
      <c r="AX3054" s="195"/>
      <c r="AY3054" s="105"/>
      <c r="AZ3054" s="220"/>
      <c r="BA3054" s="241"/>
      <c r="BE3054" s="107"/>
      <c r="BF3054" s="220"/>
    </row>
    <row r="3055" spans="49:58">
      <c r="AW3055" s="107"/>
      <c r="AX3055" s="195"/>
      <c r="AY3055" s="105"/>
      <c r="AZ3055" s="220"/>
      <c r="BA3055" s="241"/>
      <c r="BE3055" s="107"/>
      <c r="BF3055" s="220"/>
    </row>
    <row r="3056" spans="49:58">
      <c r="AW3056" s="107"/>
      <c r="AX3056" s="195"/>
      <c r="AY3056" s="105"/>
      <c r="AZ3056" s="220"/>
      <c r="BA3056" s="241"/>
      <c r="BE3056" s="107"/>
      <c r="BF3056" s="220"/>
    </row>
    <row r="3057" spans="49:58">
      <c r="AW3057" s="107"/>
      <c r="AX3057" s="195"/>
      <c r="AY3057" s="105"/>
      <c r="AZ3057" s="220"/>
      <c r="BA3057" s="241"/>
      <c r="BE3057" s="107"/>
      <c r="BF3057" s="220"/>
    </row>
    <row r="3058" spans="49:58">
      <c r="AW3058" s="107"/>
      <c r="AX3058" s="195"/>
      <c r="AY3058" s="105"/>
      <c r="AZ3058" s="220"/>
      <c r="BA3058" s="241"/>
      <c r="BE3058" s="107"/>
      <c r="BF3058" s="220"/>
    </row>
    <row r="3059" spans="49:58">
      <c r="AW3059" s="107"/>
      <c r="AX3059" s="195"/>
      <c r="AY3059" s="105"/>
      <c r="AZ3059" s="220"/>
      <c r="BA3059" s="241"/>
      <c r="BE3059" s="107"/>
      <c r="BF3059" s="220"/>
    </row>
    <row r="3060" spans="49:58">
      <c r="AW3060" s="107"/>
      <c r="AX3060" s="195"/>
      <c r="AY3060" s="105"/>
      <c r="AZ3060" s="220"/>
      <c r="BA3060" s="241"/>
      <c r="BE3060" s="107"/>
      <c r="BF3060" s="220"/>
    </row>
    <row r="3061" spans="49:58">
      <c r="AW3061" s="107"/>
      <c r="AX3061" s="195"/>
      <c r="AY3061" s="105"/>
      <c r="AZ3061" s="220"/>
      <c r="BA3061" s="241"/>
      <c r="BE3061" s="107"/>
      <c r="BF3061" s="220"/>
    </row>
    <row r="3062" spans="49:58">
      <c r="AW3062" s="107"/>
      <c r="AX3062" s="195"/>
      <c r="AY3062" s="105"/>
      <c r="AZ3062" s="220"/>
      <c r="BA3062" s="241"/>
      <c r="BE3062" s="107"/>
      <c r="BF3062" s="220"/>
    </row>
    <row r="3063" spans="49:58">
      <c r="AW3063" s="107"/>
      <c r="AX3063" s="195"/>
      <c r="AY3063" s="105"/>
      <c r="AZ3063" s="220"/>
      <c r="BA3063" s="241"/>
      <c r="BE3063" s="107"/>
      <c r="BF3063" s="220"/>
    </row>
    <row r="3064" spans="49:58">
      <c r="AW3064" s="107"/>
      <c r="AX3064" s="195"/>
      <c r="AY3064" s="105"/>
      <c r="AZ3064" s="220"/>
      <c r="BA3064" s="241"/>
      <c r="BE3064" s="107"/>
      <c r="BF3064" s="220"/>
    </row>
    <row r="3065" spans="49:58">
      <c r="AW3065" s="107"/>
      <c r="AX3065" s="195"/>
      <c r="AY3065" s="105"/>
      <c r="AZ3065" s="220"/>
      <c r="BA3065" s="241"/>
      <c r="BE3065" s="107"/>
      <c r="BF3065" s="220"/>
    </row>
    <row r="3066" spans="49:58">
      <c r="AW3066" s="107"/>
      <c r="AX3066" s="195"/>
      <c r="AY3066" s="105"/>
      <c r="AZ3066" s="220"/>
      <c r="BA3066" s="241"/>
      <c r="BE3066" s="107"/>
      <c r="BF3066" s="220"/>
    </row>
    <row r="3067" spans="49:58">
      <c r="AW3067" s="107"/>
      <c r="AX3067" s="195"/>
      <c r="AY3067" s="105"/>
      <c r="AZ3067" s="220"/>
      <c r="BA3067" s="241"/>
      <c r="BE3067" s="107"/>
      <c r="BF3067" s="220"/>
    </row>
    <row r="3068" spans="49:58">
      <c r="AW3068" s="107"/>
      <c r="AX3068" s="195"/>
      <c r="AY3068" s="105"/>
      <c r="AZ3068" s="220"/>
      <c r="BA3068" s="241"/>
      <c r="BE3068" s="107"/>
      <c r="BF3068" s="220"/>
    </row>
    <row r="3069" spans="49:58">
      <c r="AW3069" s="107"/>
      <c r="AX3069" s="195"/>
      <c r="AY3069" s="105"/>
      <c r="AZ3069" s="220"/>
      <c r="BA3069" s="241"/>
      <c r="BE3069" s="107"/>
      <c r="BF3069" s="220"/>
    </row>
    <row r="3070" spans="49:58">
      <c r="AW3070" s="107"/>
      <c r="AX3070" s="195"/>
      <c r="AY3070" s="105"/>
      <c r="AZ3070" s="220"/>
      <c r="BA3070" s="241"/>
      <c r="BE3070" s="107"/>
      <c r="BF3070" s="220"/>
    </row>
    <row r="3071" spans="49:58">
      <c r="AW3071" s="107"/>
      <c r="AX3071" s="195"/>
      <c r="AY3071" s="105"/>
      <c r="AZ3071" s="220"/>
      <c r="BA3071" s="241"/>
      <c r="BE3071" s="107"/>
      <c r="BF3071" s="220"/>
    </row>
    <row r="3072" spans="49:58">
      <c r="AW3072" s="107"/>
      <c r="AX3072" s="195"/>
      <c r="AY3072" s="105"/>
      <c r="AZ3072" s="220"/>
      <c r="BA3072" s="241"/>
      <c r="BE3072" s="107"/>
      <c r="BF3072" s="220"/>
    </row>
    <row r="3073" spans="49:58">
      <c r="AW3073" s="107"/>
      <c r="AX3073" s="195"/>
      <c r="AY3073" s="105"/>
      <c r="AZ3073" s="220"/>
      <c r="BA3073" s="241"/>
      <c r="BE3073" s="107"/>
      <c r="BF3073" s="220"/>
    </row>
    <row r="3074" spans="49:58">
      <c r="AW3074" s="107"/>
      <c r="AX3074" s="195"/>
      <c r="AY3074" s="105"/>
      <c r="AZ3074" s="220"/>
      <c r="BA3074" s="241"/>
      <c r="BE3074" s="107"/>
      <c r="BF3074" s="220"/>
    </row>
    <row r="3075" spans="49:58">
      <c r="AW3075" s="107"/>
      <c r="AX3075" s="195"/>
      <c r="AY3075" s="105"/>
      <c r="AZ3075" s="220"/>
      <c r="BA3075" s="241"/>
      <c r="BE3075" s="107"/>
      <c r="BF3075" s="220"/>
    </row>
    <row r="3076" spans="49:58">
      <c r="AW3076" s="107"/>
      <c r="AX3076" s="195"/>
      <c r="AY3076" s="105"/>
      <c r="AZ3076" s="220"/>
      <c r="BA3076" s="241"/>
      <c r="BE3076" s="107"/>
      <c r="BF3076" s="220"/>
    </row>
    <row r="3077" spans="49:58">
      <c r="AW3077" s="107"/>
      <c r="AX3077" s="195"/>
      <c r="AY3077" s="105"/>
      <c r="AZ3077" s="220"/>
      <c r="BA3077" s="241"/>
      <c r="BE3077" s="107"/>
      <c r="BF3077" s="220"/>
    </row>
    <row r="3078" spans="49:58">
      <c r="AW3078" s="107"/>
      <c r="AX3078" s="195"/>
      <c r="AY3078" s="105"/>
      <c r="AZ3078" s="220"/>
      <c r="BA3078" s="241"/>
      <c r="BE3078" s="107"/>
      <c r="BF3078" s="220"/>
    </row>
    <row r="3079" spans="49:58">
      <c r="AW3079" s="107"/>
      <c r="AX3079" s="195"/>
      <c r="AY3079" s="105"/>
      <c r="AZ3079" s="220"/>
      <c r="BA3079" s="241"/>
      <c r="BE3079" s="107"/>
      <c r="BF3079" s="220"/>
    </row>
    <row r="3080" spans="49:58">
      <c r="AW3080" s="107"/>
      <c r="AX3080" s="195"/>
      <c r="AY3080" s="105"/>
      <c r="AZ3080" s="220"/>
      <c r="BA3080" s="241"/>
      <c r="BE3080" s="107"/>
      <c r="BF3080" s="220"/>
    </row>
    <row r="3081" spans="49:58">
      <c r="AW3081" s="107"/>
      <c r="AX3081" s="195"/>
      <c r="AY3081" s="105"/>
      <c r="AZ3081" s="220"/>
      <c r="BA3081" s="241"/>
      <c r="BE3081" s="107"/>
      <c r="BF3081" s="220"/>
    </row>
    <row r="3082" spans="49:58">
      <c r="AW3082" s="107"/>
      <c r="AX3082" s="195"/>
      <c r="AY3082" s="105"/>
      <c r="AZ3082" s="220"/>
      <c r="BA3082" s="241"/>
      <c r="BE3082" s="107"/>
      <c r="BF3082" s="220"/>
    </row>
    <row r="3083" spans="49:58">
      <c r="AW3083" s="107"/>
      <c r="AX3083" s="195"/>
      <c r="AY3083" s="105"/>
      <c r="AZ3083" s="220"/>
      <c r="BA3083" s="241"/>
      <c r="BE3083" s="107"/>
      <c r="BF3083" s="220"/>
    </row>
    <row r="3084" spans="49:58">
      <c r="AW3084" s="107"/>
      <c r="AX3084" s="195"/>
      <c r="AY3084" s="105"/>
      <c r="AZ3084" s="220"/>
      <c r="BA3084" s="241"/>
      <c r="BE3084" s="107"/>
      <c r="BF3084" s="220"/>
    </row>
    <row r="3085" spans="49:58">
      <c r="AW3085" s="107"/>
      <c r="AX3085" s="195"/>
      <c r="AY3085" s="105"/>
      <c r="AZ3085" s="220"/>
      <c r="BA3085" s="241"/>
      <c r="BE3085" s="107"/>
      <c r="BF3085" s="220"/>
    </row>
    <row r="3086" spans="49:58">
      <c r="AW3086" s="107"/>
      <c r="AX3086" s="195"/>
      <c r="AY3086" s="105"/>
      <c r="AZ3086" s="220"/>
      <c r="BA3086" s="241"/>
      <c r="BE3086" s="107"/>
      <c r="BF3086" s="220"/>
    </row>
    <row r="3087" spans="49:58">
      <c r="AW3087" s="107"/>
      <c r="AX3087" s="195"/>
      <c r="AY3087" s="105"/>
      <c r="AZ3087" s="220"/>
      <c r="BA3087" s="241"/>
      <c r="BE3087" s="107"/>
      <c r="BF3087" s="220"/>
    </row>
    <row r="3088" spans="49:58">
      <c r="AW3088" s="107"/>
      <c r="AX3088" s="195"/>
      <c r="AY3088" s="105"/>
      <c r="AZ3088" s="220"/>
      <c r="BA3088" s="241"/>
      <c r="BE3088" s="107"/>
      <c r="BF3088" s="220"/>
    </row>
    <row r="3089" spans="49:58">
      <c r="AW3089" s="107"/>
      <c r="AX3089" s="195"/>
      <c r="AY3089" s="105"/>
      <c r="AZ3089" s="220"/>
      <c r="BA3089" s="241"/>
      <c r="BE3089" s="107"/>
      <c r="BF3089" s="220"/>
    </row>
    <row r="3090" spans="49:58">
      <c r="AW3090" s="107"/>
      <c r="AX3090" s="195"/>
      <c r="AY3090" s="105"/>
      <c r="AZ3090" s="220"/>
      <c r="BA3090" s="241"/>
      <c r="BE3090" s="107"/>
      <c r="BF3090" s="220"/>
    </row>
    <row r="3091" spans="49:58">
      <c r="AW3091" s="107"/>
      <c r="AX3091" s="195"/>
      <c r="AY3091" s="105"/>
      <c r="AZ3091" s="220"/>
      <c r="BA3091" s="241"/>
      <c r="BE3091" s="107"/>
      <c r="BF3091" s="220"/>
    </row>
    <row r="3092" spans="49:58">
      <c r="AW3092" s="107"/>
      <c r="AX3092" s="195"/>
      <c r="AY3092" s="105"/>
      <c r="AZ3092" s="220"/>
      <c r="BA3092" s="241"/>
      <c r="BE3092" s="107"/>
      <c r="BF3092" s="220"/>
    </row>
    <row r="3093" spans="49:58">
      <c r="AW3093" s="107"/>
      <c r="AX3093" s="195"/>
      <c r="AY3093" s="105"/>
      <c r="AZ3093" s="220"/>
      <c r="BA3093" s="241"/>
      <c r="BE3093" s="107"/>
      <c r="BF3093" s="220"/>
    </row>
    <row r="3094" spans="49:58">
      <c r="AW3094" s="107"/>
      <c r="AX3094" s="195"/>
      <c r="AY3094" s="105"/>
      <c r="AZ3094" s="220"/>
      <c r="BA3094" s="241"/>
      <c r="BE3094" s="107"/>
      <c r="BF3094" s="220"/>
    </row>
    <row r="3095" spans="49:58">
      <c r="AW3095" s="107"/>
      <c r="AX3095" s="195"/>
      <c r="AY3095" s="105"/>
      <c r="AZ3095" s="220"/>
      <c r="BA3095" s="241"/>
      <c r="BE3095" s="107"/>
      <c r="BF3095" s="220"/>
    </row>
    <row r="3096" spans="49:58">
      <c r="AW3096" s="107"/>
      <c r="AX3096" s="195"/>
      <c r="AY3096" s="105"/>
      <c r="AZ3096" s="220"/>
      <c r="BA3096" s="241"/>
      <c r="BE3096" s="107"/>
      <c r="BF3096" s="220"/>
    </row>
    <row r="3097" spans="49:58">
      <c r="AW3097" s="107"/>
      <c r="AX3097" s="195"/>
      <c r="AY3097" s="105"/>
      <c r="AZ3097" s="220"/>
      <c r="BA3097" s="241"/>
      <c r="BE3097" s="107"/>
      <c r="BF3097" s="220"/>
    </row>
    <row r="3098" spans="49:58">
      <c r="AW3098" s="107"/>
      <c r="AX3098" s="195"/>
      <c r="AY3098" s="105"/>
      <c r="AZ3098" s="220"/>
      <c r="BA3098" s="241"/>
      <c r="BE3098" s="107"/>
      <c r="BF3098" s="220"/>
    </row>
    <row r="3099" spans="49:58">
      <c r="AW3099" s="107"/>
      <c r="AX3099" s="195"/>
      <c r="AY3099" s="105"/>
      <c r="AZ3099" s="220"/>
      <c r="BA3099" s="241"/>
      <c r="BE3099" s="107"/>
      <c r="BF3099" s="220"/>
    </row>
    <row r="3100" spans="49:58">
      <c r="AW3100" s="107"/>
      <c r="AX3100" s="195"/>
      <c r="AY3100" s="105"/>
      <c r="AZ3100" s="220"/>
      <c r="BA3100" s="241"/>
      <c r="BE3100" s="107"/>
      <c r="BF3100" s="220"/>
    </row>
    <row r="3101" spans="49:58">
      <c r="AW3101" s="107"/>
      <c r="AX3101" s="195"/>
      <c r="AY3101" s="105"/>
      <c r="AZ3101" s="220"/>
      <c r="BA3101" s="241"/>
      <c r="BE3101" s="107"/>
      <c r="BF3101" s="220"/>
    </row>
    <row r="3102" spans="49:58">
      <c r="AW3102" s="107"/>
      <c r="AX3102" s="195"/>
      <c r="AY3102" s="105"/>
      <c r="AZ3102" s="220"/>
      <c r="BA3102" s="241"/>
      <c r="BE3102" s="107"/>
      <c r="BF3102" s="220"/>
    </row>
    <row r="3103" spans="49:58">
      <c r="AW3103" s="107"/>
      <c r="AX3103" s="195"/>
      <c r="AY3103" s="105"/>
      <c r="AZ3103" s="220"/>
      <c r="BA3103" s="241"/>
      <c r="BE3103" s="107"/>
      <c r="BF3103" s="220"/>
    </row>
    <row r="3104" spans="49:58">
      <c r="AW3104" s="107"/>
      <c r="AX3104" s="195"/>
      <c r="AY3104" s="105"/>
      <c r="AZ3104" s="220"/>
      <c r="BA3104" s="241"/>
      <c r="BE3104" s="107"/>
      <c r="BF3104" s="220"/>
    </row>
    <row r="3105" spans="49:58">
      <c r="AW3105" s="107"/>
      <c r="AX3105" s="195"/>
      <c r="AY3105" s="105"/>
      <c r="AZ3105" s="220"/>
      <c r="BA3105" s="241"/>
      <c r="BE3105" s="107"/>
      <c r="BF3105" s="220"/>
    </row>
    <row r="3106" spans="49:58">
      <c r="AW3106" s="107"/>
      <c r="AX3106" s="195"/>
      <c r="AY3106" s="105"/>
      <c r="AZ3106" s="220"/>
      <c r="BA3106" s="241"/>
      <c r="BE3106" s="107"/>
      <c r="BF3106" s="220"/>
    </row>
    <row r="3107" spans="49:58">
      <c r="AW3107" s="107"/>
      <c r="AX3107" s="195"/>
      <c r="AY3107" s="105"/>
      <c r="AZ3107" s="220"/>
      <c r="BA3107" s="241"/>
      <c r="BE3107" s="107"/>
      <c r="BF3107" s="220"/>
    </row>
    <row r="3108" spans="49:58">
      <c r="AW3108" s="107"/>
      <c r="AX3108" s="195"/>
      <c r="AY3108" s="105"/>
      <c r="AZ3108" s="220"/>
      <c r="BA3108" s="241"/>
      <c r="BE3108" s="107"/>
      <c r="BF3108" s="220"/>
    </row>
    <row r="3109" spans="49:58">
      <c r="AW3109" s="107"/>
      <c r="AX3109" s="195"/>
      <c r="AY3109" s="105"/>
      <c r="AZ3109" s="220"/>
      <c r="BA3109" s="241"/>
      <c r="BE3109" s="107"/>
      <c r="BF3109" s="220"/>
    </row>
    <row r="3110" spans="49:58">
      <c r="AW3110" s="107"/>
      <c r="AX3110" s="195"/>
      <c r="AY3110" s="105"/>
      <c r="AZ3110" s="220"/>
      <c r="BA3110" s="241"/>
      <c r="BE3110" s="107"/>
      <c r="BF3110" s="220"/>
    </row>
    <row r="3111" spans="49:58">
      <c r="AW3111" s="107"/>
      <c r="AX3111" s="195"/>
      <c r="AY3111" s="105"/>
      <c r="AZ3111" s="220"/>
      <c r="BA3111" s="241"/>
      <c r="BE3111" s="107"/>
      <c r="BF3111" s="220"/>
    </row>
    <row r="3112" spans="49:58">
      <c r="AW3112" s="107"/>
      <c r="AX3112" s="195"/>
      <c r="AY3112" s="105"/>
      <c r="AZ3112" s="220"/>
      <c r="BA3112" s="241"/>
      <c r="BE3112" s="107"/>
      <c r="BF3112" s="220"/>
    </row>
    <row r="3113" spans="49:58">
      <c r="AW3113" s="107"/>
      <c r="AX3113" s="195"/>
      <c r="AY3113" s="105"/>
      <c r="AZ3113" s="220"/>
      <c r="BA3113" s="241"/>
      <c r="BE3113" s="107"/>
      <c r="BF3113" s="220"/>
    </row>
    <row r="3114" spans="49:58">
      <c r="AW3114" s="107"/>
      <c r="AX3114" s="195"/>
      <c r="AY3114" s="105"/>
      <c r="AZ3114" s="220"/>
      <c r="BA3114" s="241"/>
      <c r="BE3114" s="107"/>
      <c r="BF3114" s="220"/>
    </row>
    <row r="3115" spans="49:58">
      <c r="AW3115" s="107"/>
      <c r="AX3115" s="195"/>
      <c r="AY3115" s="105"/>
      <c r="AZ3115" s="220"/>
      <c r="BA3115" s="241"/>
      <c r="BE3115" s="107"/>
      <c r="BF3115" s="220"/>
    </row>
    <row r="3116" spans="49:58">
      <c r="AW3116" s="107"/>
      <c r="AX3116" s="195"/>
      <c r="AY3116" s="105"/>
      <c r="AZ3116" s="220"/>
      <c r="BA3116" s="241"/>
      <c r="BE3116" s="107"/>
      <c r="BF3116" s="220"/>
    </row>
    <row r="3117" spans="49:58">
      <c r="AW3117" s="107"/>
      <c r="AX3117" s="195"/>
      <c r="AY3117" s="105"/>
      <c r="AZ3117" s="220"/>
      <c r="BA3117" s="241"/>
      <c r="BE3117" s="107"/>
      <c r="BF3117" s="220"/>
    </row>
    <row r="3118" spans="49:58">
      <c r="AW3118" s="107"/>
      <c r="AX3118" s="195"/>
      <c r="AY3118" s="105"/>
      <c r="AZ3118" s="220"/>
      <c r="BA3118" s="241"/>
      <c r="BE3118" s="107"/>
      <c r="BF3118" s="220"/>
    </row>
    <row r="3119" spans="49:58">
      <c r="AW3119" s="107"/>
      <c r="AX3119" s="195"/>
      <c r="AY3119" s="105"/>
      <c r="AZ3119" s="220"/>
      <c r="BA3119" s="241"/>
      <c r="BE3119" s="107"/>
      <c r="BF3119" s="220"/>
    </row>
    <row r="3120" spans="49:58">
      <c r="AW3120" s="107"/>
      <c r="AX3120" s="195"/>
      <c r="AY3120" s="105"/>
      <c r="AZ3120" s="220"/>
      <c r="BA3120" s="241"/>
      <c r="BE3120" s="107"/>
      <c r="BF3120" s="220"/>
    </row>
    <row r="3121" spans="49:58">
      <c r="AW3121" s="107"/>
      <c r="AX3121" s="195"/>
      <c r="AY3121" s="105"/>
      <c r="AZ3121" s="220"/>
      <c r="BA3121" s="241"/>
      <c r="BE3121" s="107"/>
      <c r="BF3121" s="220"/>
    </row>
    <row r="3122" spans="49:58">
      <c r="AW3122" s="107"/>
      <c r="AX3122" s="195"/>
      <c r="AY3122" s="105"/>
      <c r="AZ3122" s="220"/>
      <c r="BA3122" s="241"/>
      <c r="BE3122" s="107"/>
      <c r="BF3122" s="220"/>
    </row>
    <row r="3123" spans="49:58">
      <c r="AW3123" s="107"/>
      <c r="AX3123" s="195"/>
      <c r="AY3123" s="105"/>
      <c r="AZ3123" s="220"/>
      <c r="BA3123" s="241"/>
      <c r="BE3123" s="107"/>
      <c r="BF3123" s="220"/>
    </row>
    <row r="3124" spans="49:58">
      <c r="AW3124" s="107"/>
      <c r="AX3124" s="195"/>
      <c r="AY3124" s="105"/>
      <c r="AZ3124" s="220"/>
      <c r="BA3124" s="241"/>
      <c r="BE3124" s="107"/>
      <c r="BF3124" s="220"/>
    </row>
    <row r="3125" spans="49:58">
      <c r="AW3125" s="107"/>
      <c r="AX3125" s="195"/>
      <c r="AY3125" s="105"/>
      <c r="AZ3125" s="220"/>
      <c r="BA3125" s="241"/>
      <c r="BE3125" s="107"/>
      <c r="BF3125" s="220"/>
    </row>
    <row r="3126" spans="49:58">
      <c r="AW3126" s="107"/>
      <c r="AX3126" s="195"/>
      <c r="AY3126" s="105"/>
      <c r="AZ3126" s="220"/>
      <c r="BA3126" s="241"/>
      <c r="BE3126" s="107"/>
      <c r="BF3126" s="220"/>
    </row>
    <row r="3127" spans="49:58">
      <c r="AW3127" s="107"/>
      <c r="AX3127" s="195"/>
      <c r="AY3127" s="105"/>
      <c r="AZ3127" s="220"/>
      <c r="BA3127" s="241"/>
      <c r="BE3127" s="107"/>
      <c r="BF3127" s="220"/>
    </row>
    <row r="3128" spans="49:58">
      <c r="AW3128" s="107"/>
      <c r="AX3128" s="195"/>
      <c r="AY3128" s="105"/>
      <c r="AZ3128" s="220"/>
      <c r="BA3128" s="241"/>
      <c r="BE3128" s="107"/>
      <c r="BF3128" s="220"/>
    </row>
    <row r="3129" spans="49:58">
      <c r="AW3129" s="107"/>
      <c r="AX3129" s="195"/>
      <c r="AY3129" s="105"/>
      <c r="AZ3129" s="220"/>
      <c r="BA3129" s="241"/>
      <c r="BE3129" s="107"/>
      <c r="BF3129" s="220"/>
    </row>
    <row r="3130" spans="49:58">
      <c r="AW3130" s="107"/>
      <c r="AX3130" s="195"/>
      <c r="AY3130" s="105"/>
      <c r="AZ3130" s="220"/>
      <c r="BA3130" s="241"/>
      <c r="BE3130" s="107"/>
      <c r="BF3130" s="220"/>
    </row>
    <row r="3131" spans="49:58">
      <c r="AW3131" s="107"/>
      <c r="AX3131" s="195"/>
      <c r="AY3131" s="105"/>
      <c r="AZ3131" s="220"/>
      <c r="BA3131" s="241"/>
      <c r="BE3131" s="107"/>
      <c r="BF3131" s="220"/>
    </row>
    <row r="3132" spans="49:58">
      <c r="AW3132" s="107"/>
      <c r="AX3132" s="195"/>
      <c r="AY3132" s="105"/>
      <c r="AZ3132" s="220"/>
      <c r="BA3132" s="241"/>
      <c r="BE3132" s="107"/>
      <c r="BF3132" s="220"/>
    </row>
    <row r="3133" spans="49:58">
      <c r="AW3133" s="107"/>
      <c r="AX3133" s="195"/>
      <c r="AY3133" s="105"/>
      <c r="AZ3133" s="220"/>
      <c r="BA3133" s="241"/>
      <c r="BE3133" s="107"/>
      <c r="BF3133" s="220"/>
    </row>
    <row r="3134" spans="49:58">
      <c r="AW3134" s="107"/>
      <c r="AX3134" s="195"/>
      <c r="AY3134" s="105"/>
      <c r="AZ3134" s="220"/>
      <c r="BA3134" s="241"/>
      <c r="BE3134" s="107"/>
      <c r="BF3134" s="220"/>
    </row>
    <row r="3135" spans="49:58">
      <c r="AW3135" s="107"/>
      <c r="AX3135" s="195"/>
      <c r="AY3135" s="105"/>
      <c r="AZ3135" s="220"/>
      <c r="BA3135" s="241"/>
      <c r="BE3135" s="107"/>
      <c r="BF3135" s="220"/>
    </row>
    <row r="3136" spans="49:58">
      <c r="AW3136" s="107"/>
      <c r="AX3136" s="195"/>
      <c r="AY3136" s="105"/>
      <c r="AZ3136" s="220"/>
      <c r="BA3136" s="241"/>
      <c r="BE3136" s="107"/>
      <c r="BF3136" s="220"/>
    </row>
    <row r="3137" spans="49:58">
      <c r="AW3137" s="107"/>
      <c r="AX3137" s="195"/>
      <c r="AY3137" s="105"/>
      <c r="AZ3137" s="220"/>
      <c r="BA3137" s="241"/>
      <c r="BE3137" s="107"/>
      <c r="BF3137" s="220"/>
    </row>
    <row r="3138" spans="49:58">
      <c r="AW3138" s="107"/>
      <c r="AX3138" s="195"/>
      <c r="AY3138" s="105"/>
      <c r="AZ3138" s="220"/>
      <c r="BA3138" s="241"/>
      <c r="BE3138" s="107"/>
      <c r="BF3138" s="220"/>
    </row>
    <row r="3139" spans="49:58">
      <c r="AW3139" s="107"/>
      <c r="AX3139" s="195"/>
      <c r="AY3139" s="105"/>
      <c r="AZ3139" s="220"/>
      <c r="BA3139" s="241"/>
      <c r="BE3139" s="107"/>
      <c r="BF3139" s="220"/>
    </row>
    <row r="3140" spans="49:58">
      <c r="AW3140" s="107"/>
      <c r="AX3140" s="195"/>
      <c r="AY3140" s="105"/>
      <c r="AZ3140" s="220"/>
      <c r="BA3140" s="241"/>
      <c r="BE3140" s="107"/>
      <c r="BF3140" s="220"/>
    </row>
    <row r="3141" spans="49:58">
      <c r="AW3141" s="107"/>
      <c r="AX3141" s="195"/>
      <c r="AY3141" s="105"/>
      <c r="AZ3141" s="220"/>
      <c r="BA3141" s="241"/>
      <c r="BE3141" s="107"/>
      <c r="BF3141" s="220"/>
    </row>
    <row r="3142" spans="49:58">
      <c r="AW3142" s="107"/>
      <c r="AX3142" s="195"/>
      <c r="AY3142" s="105"/>
      <c r="AZ3142" s="220"/>
      <c r="BA3142" s="241"/>
      <c r="BE3142" s="107"/>
      <c r="BF3142" s="220"/>
    </row>
    <row r="3143" spans="49:58">
      <c r="AW3143" s="107"/>
      <c r="AX3143" s="195"/>
      <c r="AY3143" s="105"/>
      <c r="AZ3143" s="220"/>
      <c r="BA3143" s="241"/>
      <c r="BE3143" s="107"/>
      <c r="BF3143" s="220"/>
    </row>
    <row r="3144" spans="49:58">
      <c r="AW3144" s="107"/>
      <c r="AX3144" s="195"/>
      <c r="AY3144" s="105"/>
      <c r="AZ3144" s="220"/>
      <c r="BA3144" s="241"/>
      <c r="BE3144" s="107"/>
      <c r="BF3144" s="220"/>
    </row>
    <row r="3145" spans="49:58">
      <c r="AW3145" s="107"/>
      <c r="AX3145" s="195"/>
      <c r="AY3145" s="105"/>
      <c r="AZ3145" s="220"/>
      <c r="BA3145" s="241"/>
      <c r="BE3145" s="107"/>
      <c r="BF3145" s="220"/>
    </row>
    <row r="3146" spans="49:58">
      <c r="AW3146" s="107"/>
      <c r="AX3146" s="195"/>
      <c r="AY3146" s="105"/>
      <c r="AZ3146" s="220"/>
      <c r="BA3146" s="241"/>
      <c r="BE3146" s="107"/>
      <c r="BF3146" s="220"/>
    </row>
    <row r="3147" spans="49:58">
      <c r="AW3147" s="107"/>
      <c r="AX3147" s="195"/>
      <c r="AY3147" s="105"/>
      <c r="AZ3147" s="220"/>
      <c r="BA3147" s="241"/>
      <c r="BE3147" s="107"/>
      <c r="BF3147" s="220"/>
    </row>
    <row r="3148" spans="49:58">
      <c r="AW3148" s="107"/>
      <c r="AX3148" s="195"/>
      <c r="AY3148" s="105"/>
      <c r="AZ3148" s="220"/>
      <c r="BA3148" s="241"/>
      <c r="BE3148" s="107"/>
      <c r="BF3148" s="220"/>
    </row>
    <row r="3149" spans="49:58">
      <c r="AW3149" s="107"/>
      <c r="AX3149" s="195"/>
      <c r="AY3149" s="105"/>
      <c r="AZ3149" s="220"/>
      <c r="BA3149" s="241"/>
      <c r="BE3149" s="107"/>
      <c r="BF3149" s="220"/>
    </row>
    <row r="3150" spans="49:58">
      <c r="AW3150" s="107"/>
      <c r="AX3150" s="195"/>
      <c r="AY3150" s="105"/>
      <c r="AZ3150" s="220"/>
      <c r="BA3150" s="241"/>
      <c r="BE3150" s="107"/>
      <c r="BF3150" s="220"/>
    </row>
    <row r="3151" spans="49:58">
      <c r="AW3151" s="107"/>
      <c r="AX3151" s="195"/>
      <c r="AY3151" s="105"/>
      <c r="AZ3151" s="220"/>
      <c r="BA3151" s="241"/>
      <c r="BE3151" s="107"/>
      <c r="BF3151" s="220"/>
    </row>
    <row r="3152" spans="49:58">
      <c r="AW3152" s="107"/>
      <c r="AX3152" s="195"/>
      <c r="AY3152" s="105"/>
      <c r="AZ3152" s="220"/>
      <c r="BA3152" s="241"/>
      <c r="BE3152" s="107"/>
      <c r="BF3152" s="220"/>
    </row>
    <row r="3153" spans="49:58">
      <c r="AW3153" s="107"/>
      <c r="AX3153" s="195"/>
      <c r="AY3153" s="105"/>
      <c r="AZ3153" s="220"/>
      <c r="BA3153" s="241"/>
      <c r="BE3153" s="107"/>
      <c r="BF3153" s="220"/>
    </row>
    <row r="3154" spans="49:58">
      <c r="AW3154" s="107"/>
      <c r="AX3154" s="195"/>
      <c r="AY3154" s="105"/>
      <c r="AZ3154" s="220"/>
      <c r="BA3154" s="241"/>
      <c r="BE3154" s="107"/>
      <c r="BF3154" s="220"/>
    </row>
    <row r="3155" spans="49:58">
      <c r="AW3155" s="107"/>
      <c r="AX3155" s="195"/>
      <c r="AY3155" s="105"/>
      <c r="AZ3155" s="220"/>
      <c r="BA3155" s="241"/>
      <c r="BE3155" s="107"/>
      <c r="BF3155" s="220"/>
    </row>
    <row r="3156" spans="49:58">
      <c r="AW3156" s="107"/>
      <c r="AX3156" s="195"/>
      <c r="AY3156" s="105"/>
      <c r="AZ3156" s="220"/>
      <c r="BA3156" s="241"/>
      <c r="BE3156" s="107"/>
      <c r="BF3156" s="220"/>
    </row>
    <row r="3157" spans="49:58">
      <c r="AW3157" s="107"/>
      <c r="AX3157" s="195"/>
      <c r="AY3157" s="105"/>
      <c r="AZ3157" s="220"/>
      <c r="BA3157" s="241"/>
      <c r="BE3157" s="107"/>
      <c r="BF3157" s="220"/>
    </row>
    <row r="3158" spans="49:58">
      <c r="AW3158" s="107"/>
      <c r="AX3158" s="195"/>
      <c r="AY3158" s="105"/>
      <c r="AZ3158" s="220"/>
      <c r="BA3158" s="241"/>
      <c r="BE3158" s="107"/>
      <c r="BF3158" s="220"/>
    </row>
    <row r="3159" spans="49:58">
      <c r="AW3159" s="107"/>
      <c r="AX3159" s="195"/>
      <c r="AY3159" s="105"/>
      <c r="AZ3159" s="220"/>
      <c r="BA3159" s="241"/>
      <c r="BE3159" s="107"/>
      <c r="BF3159" s="220"/>
    </row>
    <row r="3160" spans="49:58">
      <c r="AW3160" s="107"/>
      <c r="AX3160" s="195"/>
      <c r="AY3160" s="105"/>
      <c r="AZ3160" s="220"/>
      <c r="BA3160" s="241"/>
      <c r="BE3160" s="107"/>
      <c r="BF3160" s="220"/>
    </row>
    <row r="3161" spans="49:58">
      <c r="AW3161" s="107"/>
      <c r="AX3161" s="195"/>
      <c r="AY3161" s="105"/>
      <c r="AZ3161" s="220"/>
      <c r="BA3161" s="241"/>
      <c r="BE3161" s="107"/>
      <c r="BF3161" s="220"/>
    </row>
    <row r="3162" spans="49:58">
      <c r="AW3162" s="107"/>
      <c r="AX3162" s="195"/>
      <c r="AY3162" s="105"/>
      <c r="AZ3162" s="220"/>
      <c r="BA3162" s="241"/>
      <c r="BE3162" s="107"/>
      <c r="BF3162" s="220"/>
    </row>
    <row r="3163" spans="49:58">
      <c r="AW3163" s="107"/>
      <c r="AX3163" s="195"/>
      <c r="AY3163" s="105"/>
      <c r="AZ3163" s="220"/>
      <c r="BA3163" s="241"/>
      <c r="BE3163" s="107"/>
      <c r="BF3163" s="220"/>
    </row>
    <row r="3164" spans="49:58">
      <c r="AW3164" s="107"/>
      <c r="AX3164" s="195"/>
      <c r="AY3164" s="105"/>
      <c r="AZ3164" s="220"/>
      <c r="BA3164" s="241"/>
      <c r="BE3164" s="107"/>
      <c r="BF3164" s="220"/>
    </row>
    <row r="3165" spans="49:58">
      <c r="AW3165" s="107"/>
      <c r="AX3165" s="195"/>
      <c r="AY3165" s="105"/>
      <c r="AZ3165" s="220"/>
      <c r="BA3165" s="241"/>
      <c r="BE3165" s="107"/>
      <c r="BF3165" s="220"/>
    </row>
    <row r="3166" spans="49:58">
      <c r="AW3166" s="107"/>
      <c r="AX3166" s="195"/>
      <c r="AY3166" s="105"/>
      <c r="AZ3166" s="220"/>
      <c r="BA3166" s="241"/>
      <c r="BE3166" s="107"/>
      <c r="BF3166" s="220"/>
    </row>
    <row r="3167" spans="49:58">
      <c r="AW3167" s="107"/>
      <c r="AX3167" s="195"/>
      <c r="AY3167" s="105"/>
      <c r="AZ3167" s="220"/>
      <c r="BA3167" s="241"/>
      <c r="BE3167" s="107"/>
      <c r="BF3167" s="220"/>
    </row>
    <row r="3168" spans="49:58">
      <c r="AW3168" s="107"/>
      <c r="AX3168" s="195"/>
      <c r="AY3168" s="105"/>
      <c r="AZ3168" s="220"/>
      <c r="BA3168" s="241"/>
      <c r="BE3168" s="107"/>
      <c r="BF3168" s="220"/>
    </row>
    <row r="3169" spans="49:58">
      <c r="AW3169" s="107"/>
      <c r="AX3169" s="195"/>
      <c r="AY3169" s="105"/>
      <c r="AZ3169" s="220"/>
      <c r="BA3169" s="241"/>
      <c r="BE3169" s="107"/>
      <c r="BF3169" s="220"/>
    </row>
    <row r="3170" spans="49:58">
      <c r="AW3170" s="107"/>
      <c r="AX3170" s="195"/>
      <c r="AY3170" s="105"/>
      <c r="AZ3170" s="220"/>
      <c r="BA3170" s="241"/>
      <c r="BE3170" s="107"/>
      <c r="BF3170" s="220"/>
    </row>
    <row r="3171" spans="49:58">
      <c r="AW3171" s="107"/>
      <c r="AX3171" s="195"/>
      <c r="AY3171" s="105"/>
      <c r="AZ3171" s="220"/>
      <c r="BA3171" s="241"/>
      <c r="BE3171" s="107"/>
      <c r="BF3171" s="220"/>
    </row>
    <row r="3172" spans="49:58">
      <c r="AW3172" s="107"/>
      <c r="AX3172" s="195"/>
      <c r="AY3172" s="105"/>
      <c r="AZ3172" s="220"/>
      <c r="BA3172" s="241"/>
      <c r="BE3172" s="107"/>
      <c r="BF3172" s="220"/>
    </row>
    <row r="3173" spans="49:58">
      <c r="AW3173" s="107"/>
      <c r="AX3173" s="195"/>
      <c r="AY3173" s="105"/>
      <c r="AZ3173" s="220"/>
      <c r="BA3173" s="241"/>
      <c r="BE3173" s="107"/>
      <c r="BF3173" s="220"/>
    </row>
    <row r="3174" spans="49:58">
      <c r="AW3174" s="107"/>
      <c r="AX3174" s="195"/>
      <c r="AY3174" s="105"/>
      <c r="AZ3174" s="220"/>
      <c r="BA3174" s="241"/>
      <c r="BE3174" s="107"/>
      <c r="BF3174" s="220"/>
    </row>
    <row r="3175" spans="49:58">
      <c r="AW3175" s="107"/>
      <c r="AX3175" s="195"/>
      <c r="AY3175" s="105"/>
      <c r="AZ3175" s="220"/>
      <c r="BA3175" s="241"/>
      <c r="BE3175" s="107"/>
      <c r="BF3175" s="220"/>
    </row>
    <row r="3176" spans="49:58">
      <c r="AW3176" s="107"/>
      <c r="AX3176" s="195"/>
      <c r="AY3176" s="105"/>
      <c r="AZ3176" s="220"/>
      <c r="BA3176" s="241"/>
      <c r="BE3176" s="107"/>
      <c r="BF3176" s="220"/>
    </row>
    <row r="3177" spans="49:58">
      <c r="AW3177" s="107"/>
      <c r="AX3177" s="195"/>
      <c r="AY3177" s="105"/>
      <c r="AZ3177" s="220"/>
      <c r="BA3177" s="241"/>
      <c r="BE3177" s="107"/>
      <c r="BF3177" s="220"/>
    </row>
    <row r="3178" spans="49:58">
      <c r="AW3178" s="107"/>
      <c r="AX3178" s="195"/>
      <c r="AY3178" s="105"/>
      <c r="AZ3178" s="220"/>
      <c r="BA3178" s="241"/>
      <c r="BE3178" s="107"/>
      <c r="BF3178" s="220"/>
    </row>
    <row r="3179" spans="49:58">
      <c r="AW3179" s="107"/>
      <c r="AX3179" s="195"/>
      <c r="AY3179" s="105"/>
      <c r="AZ3179" s="220"/>
      <c r="BA3179" s="241"/>
      <c r="BE3179" s="107"/>
      <c r="BF3179" s="220"/>
    </row>
    <row r="3180" spans="49:58">
      <c r="AW3180" s="107"/>
      <c r="AX3180" s="195"/>
      <c r="AY3180" s="105"/>
      <c r="AZ3180" s="220"/>
      <c r="BA3180" s="241"/>
      <c r="BE3180" s="107"/>
      <c r="BF3180" s="220"/>
    </row>
    <row r="3181" spans="49:58">
      <c r="AW3181" s="107"/>
      <c r="AX3181" s="195"/>
      <c r="AY3181" s="105"/>
      <c r="AZ3181" s="220"/>
      <c r="BA3181" s="241"/>
      <c r="BE3181" s="107"/>
      <c r="BF3181" s="220"/>
    </row>
    <row r="3182" spans="49:58">
      <c r="AW3182" s="107"/>
      <c r="AX3182" s="195"/>
      <c r="AY3182" s="105"/>
      <c r="AZ3182" s="220"/>
      <c r="BA3182" s="241"/>
      <c r="BE3182" s="107"/>
      <c r="BF3182" s="220"/>
    </row>
    <row r="3183" spans="49:58">
      <c r="AW3183" s="107"/>
      <c r="AX3183" s="195"/>
      <c r="AY3183" s="105"/>
      <c r="AZ3183" s="220"/>
      <c r="BA3183" s="241"/>
      <c r="BE3183" s="107"/>
      <c r="BF3183" s="220"/>
    </row>
    <row r="3184" spans="49:58">
      <c r="AW3184" s="107"/>
      <c r="AX3184" s="195"/>
      <c r="AY3184" s="105"/>
      <c r="AZ3184" s="220"/>
      <c r="BA3184" s="241"/>
      <c r="BE3184" s="107"/>
      <c r="BF3184" s="220"/>
    </row>
    <row r="3185" spans="49:58">
      <c r="AW3185" s="107"/>
      <c r="AX3185" s="195"/>
      <c r="AY3185" s="105"/>
      <c r="AZ3185" s="220"/>
      <c r="BA3185" s="241"/>
      <c r="BE3185" s="107"/>
      <c r="BF3185" s="220"/>
    </row>
    <row r="3186" spans="49:58">
      <c r="AW3186" s="107"/>
      <c r="AX3186" s="195"/>
      <c r="AY3186" s="105"/>
      <c r="AZ3186" s="220"/>
      <c r="BA3186" s="241"/>
      <c r="BE3186" s="107"/>
      <c r="BF3186" s="220"/>
    </row>
    <row r="3187" spans="49:58">
      <c r="AW3187" s="107"/>
      <c r="AX3187" s="195"/>
      <c r="AY3187" s="105"/>
      <c r="AZ3187" s="220"/>
      <c r="BA3187" s="241"/>
      <c r="BE3187" s="107"/>
      <c r="BF3187" s="220"/>
    </row>
    <row r="3188" spans="49:58">
      <c r="AW3188" s="107"/>
      <c r="AX3188" s="195"/>
      <c r="AY3188" s="105"/>
      <c r="AZ3188" s="220"/>
      <c r="BA3188" s="241"/>
      <c r="BE3188" s="107"/>
      <c r="BF3188" s="220"/>
    </row>
    <row r="3189" spans="49:58">
      <c r="AW3189" s="107"/>
      <c r="AX3189" s="195"/>
      <c r="AY3189" s="105"/>
      <c r="AZ3189" s="220"/>
      <c r="BA3189" s="241"/>
      <c r="BE3189" s="107"/>
      <c r="BF3189" s="220"/>
    </row>
    <row r="3190" spans="49:58">
      <c r="AW3190" s="107"/>
      <c r="AX3190" s="195"/>
      <c r="AY3190" s="105"/>
      <c r="AZ3190" s="220"/>
      <c r="BA3190" s="241"/>
      <c r="BE3190" s="107"/>
      <c r="BF3190" s="220"/>
    </row>
    <row r="3191" spans="49:58">
      <c r="AW3191" s="107"/>
      <c r="AX3191" s="195"/>
      <c r="AY3191" s="105"/>
      <c r="AZ3191" s="220"/>
      <c r="BA3191" s="241"/>
      <c r="BE3191" s="107"/>
      <c r="BF3191" s="220"/>
    </row>
    <row r="3192" spans="49:58">
      <c r="AW3192" s="107"/>
      <c r="AX3192" s="195"/>
      <c r="AY3192" s="105"/>
      <c r="AZ3192" s="220"/>
      <c r="BA3192" s="241"/>
      <c r="BE3192" s="107"/>
      <c r="BF3192" s="220"/>
    </row>
    <row r="3193" spans="49:58">
      <c r="AW3193" s="107"/>
      <c r="AX3193" s="195"/>
      <c r="AY3193" s="105"/>
      <c r="AZ3193" s="220"/>
      <c r="BA3193" s="241"/>
      <c r="BE3193" s="107"/>
      <c r="BF3193" s="220"/>
    </row>
    <row r="3194" spans="49:58">
      <c r="AW3194" s="107"/>
      <c r="AX3194" s="195"/>
      <c r="AY3194" s="105"/>
      <c r="AZ3194" s="220"/>
      <c r="BA3194" s="241"/>
      <c r="BE3194" s="107"/>
      <c r="BF3194" s="220"/>
    </row>
    <row r="3195" spans="49:58">
      <c r="AW3195" s="107"/>
      <c r="AX3195" s="195"/>
      <c r="AY3195" s="105"/>
      <c r="AZ3195" s="220"/>
      <c r="BA3195" s="241"/>
      <c r="BE3195" s="107"/>
      <c r="BF3195" s="220"/>
    </row>
    <row r="3196" spans="49:58">
      <c r="AW3196" s="107"/>
      <c r="AX3196" s="195"/>
      <c r="AY3196" s="105"/>
      <c r="AZ3196" s="220"/>
      <c r="BA3196" s="241"/>
      <c r="BE3196" s="107"/>
      <c r="BF3196" s="220"/>
    </row>
    <row r="3197" spans="49:58">
      <c r="AW3197" s="107"/>
      <c r="AX3197" s="195"/>
      <c r="AY3197" s="105"/>
      <c r="AZ3197" s="220"/>
      <c r="BA3197" s="241"/>
      <c r="BE3197" s="107"/>
      <c r="BF3197" s="220"/>
    </row>
    <row r="3198" spans="49:58">
      <c r="AW3198" s="107"/>
      <c r="AX3198" s="195"/>
      <c r="AY3198" s="105"/>
      <c r="AZ3198" s="220"/>
      <c r="BA3198" s="241"/>
      <c r="BE3198" s="107"/>
      <c r="BF3198" s="220"/>
    </row>
    <row r="3199" spans="49:58">
      <c r="AW3199" s="107"/>
      <c r="AX3199" s="195"/>
      <c r="AY3199" s="105"/>
      <c r="AZ3199" s="220"/>
      <c r="BA3199" s="241"/>
      <c r="BE3199" s="107"/>
      <c r="BF3199" s="220"/>
    </row>
    <row r="3200" spans="49:58">
      <c r="AW3200" s="107"/>
      <c r="AX3200" s="195"/>
      <c r="AY3200" s="105"/>
      <c r="AZ3200" s="220"/>
      <c r="BA3200" s="241"/>
      <c r="BE3200" s="107"/>
      <c r="BF3200" s="220"/>
    </row>
    <row r="3201" spans="49:58">
      <c r="AW3201" s="107"/>
      <c r="AX3201" s="195"/>
      <c r="AY3201" s="105"/>
      <c r="AZ3201" s="220"/>
      <c r="BA3201" s="241"/>
      <c r="BE3201" s="107"/>
      <c r="BF3201" s="220"/>
    </row>
    <row r="3202" spans="49:58">
      <c r="AW3202" s="107"/>
      <c r="AX3202" s="195"/>
      <c r="AY3202" s="105"/>
      <c r="AZ3202" s="220"/>
      <c r="BA3202" s="241"/>
      <c r="BE3202" s="107"/>
      <c r="BF3202" s="220"/>
    </row>
    <row r="3203" spans="49:58">
      <c r="AW3203" s="107"/>
      <c r="AX3203" s="195"/>
      <c r="AY3203" s="105"/>
      <c r="AZ3203" s="220"/>
      <c r="BA3203" s="241"/>
      <c r="BE3203" s="107"/>
      <c r="BF3203" s="220"/>
    </row>
    <row r="3204" spans="49:58">
      <c r="AW3204" s="107"/>
      <c r="AX3204" s="195"/>
      <c r="AY3204" s="105"/>
      <c r="AZ3204" s="220"/>
      <c r="BA3204" s="241"/>
      <c r="BE3204" s="107"/>
      <c r="BF3204" s="220"/>
    </row>
    <row r="3205" spans="49:58">
      <c r="AW3205" s="107"/>
      <c r="AX3205" s="195"/>
      <c r="AY3205" s="105"/>
      <c r="AZ3205" s="220"/>
      <c r="BA3205" s="241"/>
      <c r="BE3205" s="107"/>
      <c r="BF3205" s="220"/>
    </row>
    <row r="3206" spans="49:58">
      <c r="AW3206" s="107"/>
      <c r="AX3206" s="195"/>
      <c r="AY3206" s="105"/>
      <c r="AZ3206" s="220"/>
      <c r="BA3206" s="241"/>
      <c r="BE3206" s="107"/>
      <c r="BF3206" s="220"/>
    </row>
    <row r="3207" spans="49:58">
      <c r="AW3207" s="107"/>
      <c r="AX3207" s="195"/>
      <c r="AY3207" s="105"/>
      <c r="AZ3207" s="220"/>
      <c r="BA3207" s="241"/>
      <c r="BE3207" s="107"/>
      <c r="BF3207" s="220"/>
    </row>
    <row r="3208" spans="49:58">
      <c r="AW3208" s="107"/>
      <c r="AX3208" s="195"/>
      <c r="AY3208" s="105"/>
      <c r="AZ3208" s="220"/>
      <c r="BA3208" s="241"/>
      <c r="BE3208" s="107"/>
      <c r="BF3208" s="220"/>
    </row>
    <row r="3209" spans="49:58">
      <c r="AW3209" s="107"/>
      <c r="AX3209" s="195"/>
      <c r="AY3209" s="105"/>
      <c r="AZ3209" s="220"/>
      <c r="BA3209" s="241"/>
      <c r="BE3209" s="107"/>
      <c r="BF3209" s="220"/>
    </row>
    <row r="3210" spans="49:58">
      <c r="AW3210" s="107"/>
      <c r="AX3210" s="195"/>
      <c r="AY3210" s="105"/>
      <c r="AZ3210" s="220"/>
      <c r="BA3210" s="241"/>
      <c r="BE3210" s="107"/>
      <c r="BF3210" s="220"/>
    </row>
    <row r="3211" spans="49:58">
      <c r="AW3211" s="107"/>
      <c r="AX3211" s="195"/>
      <c r="AY3211" s="105"/>
      <c r="AZ3211" s="220"/>
      <c r="BA3211" s="241"/>
      <c r="BE3211" s="107"/>
      <c r="BF3211" s="220"/>
    </row>
    <row r="3212" spans="49:58">
      <c r="AW3212" s="107"/>
      <c r="AX3212" s="195"/>
      <c r="AY3212" s="105"/>
      <c r="AZ3212" s="220"/>
      <c r="BA3212" s="241"/>
      <c r="BE3212" s="107"/>
      <c r="BF3212" s="220"/>
    </row>
    <row r="3213" spans="49:58">
      <c r="AW3213" s="107"/>
      <c r="AX3213" s="195"/>
      <c r="AY3213" s="105"/>
      <c r="AZ3213" s="220"/>
      <c r="BA3213" s="241"/>
      <c r="BE3213" s="107"/>
      <c r="BF3213" s="220"/>
    </row>
    <row r="3214" spans="49:58">
      <c r="AW3214" s="107"/>
      <c r="AX3214" s="195"/>
      <c r="AY3214" s="105"/>
      <c r="AZ3214" s="220"/>
      <c r="BA3214" s="241"/>
      <c r="BE3214" s="107"/>
      <c r="BF3214" s="220"/>
    </row>
    <row r="3215" spans="49:58">
      <c r="AW3215" s="107"/>
      <c r="AX3215" s="195"/>
      <c r="AY3215" s="105"/>
      <c r="AZ3215" s="220"/>
      <c r="BA3215" s="241"/>
      <c r="BE3215" s="107"/>
      <c r="BF3215" s="220"/>
    </row>
    <row r="3216" spans="49:58">
      <c r="AW3216" s="107"/>
      <c r="AX3216" s="195"/>
      <c r="AY3216" s="105"/>
      <c r="AZ3216" s="220"/>
      <c r="BA3216" s="241"/>
      <c r="BE3216" s="107"/>
      <c r="BF3216" s="220"/>
    </row>
    <row r="3217" spans="49:58">
      <c r="AW3217" s="107"/>
      <c r="AX3217" s="195"/>
      <c r="AY3217" s="105"/>
      <c r="AZ3217" s="220"/>
      <c r="BA3217" s="241"/>
      <c r="BE3217" s="107"/>
      <c r="BF3217" s="220"/>
    </row>
    <row r="3218" spans="49:58">
      <c r="AW3218" s="107"/>
      <c r="AX3218" s="195"/>
      <c r="AY3218" s="105"/>
      <c r="AZ3218" s="220"/>
      <c r="BA3218" s="241"/>
      <c r="BE3218" s="107"/>
      <c r="BF3218" s="220"/>
    </row>
    <row r="3219" spans="49:58">
      <c r="AW3219" s="107"/>
      <c r="AX3219" s="195"/>
      <c r="AY3219" s="105"/>
      <c r="AZ3219" s="220"/>
      <c r="BA3219" s="241"/>
      <c r="BE3219" s="107"/>
      <c r="BF3219" s="220"/>
    </row>
    <row r="3220" spans="49:58">
      <c r="AW3220" s="107"/>
      <c r="AX3220" s="195"/>
      <c r="AY3220" s="105"/>
      <c r="AZ3220" s="220"/>
      <c r="BA3220" s="241"/>
      <c r="BE3220" s="107"/>
      <c r="BF3220" s="220"/>
    </row>
    <row r="3221" spans="49:58">
      <c r="AW3221" s="107"/>
      <c r="AX3221" s="195"/>
      <c r="AY3221" s="105"/>
      <c r="AZ3221" s="220"/>
      <c r="BA3221" s="241"/>
      <c r="BE3221" s="107"/>
      <c r="BF3221" s="220"/>
    </row>
    <row r="3222" spans="49:58">
      <c r="AW3222" s="107"/>
      <c r="AX3222" s="195"/>
      <c r="AY3222" s="105"/>
      <c r="AZ3222" s="220"/>
      <c r="BA3222" s="241"/>
      <c r="BE3222" s="107"/>
      <c r="BF3222" s="220"/>
    </row>
    <row r="3223" spans="49:58">
      <c r="AW3223" s="107"/>
      <c r="AX3223" s="195"/>
      <c r="AY3223" s="105"/>
      <c r="AZ3223" s="220"/>
      <c r="BA3223" s="241"/>
      <c r="BE3223" s="107"/>
      <c r="BF3223" s="220"/>
    </row>
    <row r="3224" spans="49:58">
      <c r="AW3224" s="107"/>
      <c r="AX3224" s="195"/>
      <c r="AY3224" s="105"/>
      <c r="AZ3224" s="220"/>
      <c r="BA3224" s="241"/>
      <c r="BE3224" s="107"/>
      <c r="BF3224" s="220"/>
    </row>
    <row r="3225" spans="49:58">
      <c r="AW3225" s="107"/>
      <c r="AX3225" s="195"/>
      <c r="AY3225" s="105"/>
      <c r="AZ3225" s="220"/>
      <c r="BA3225" s="241"/>
      <c r="BE3225" s="107"/>
      <c r="BF3225" s="220"/>
    </row>
    <row r="3226" spans="49:58">
      <c r="AW3226" s="107"/>
      <c r="AX3226" s="195"/>
      <c r="AY3226" s="105"/>
      <c r="AZ3226" s="220"/>
      <c r="BA3226" s="241"/>
      <c r="BE3226" s="107"/>
      <c r="BF3226" s="220"/>
    </row>
    <row r="3227" spans="49:58">
      <c r="AW3227" s="107"/>
      <c r="AX3227" s="195"/>
      <c r="AY3227" s="105"/>
      <c r="AZ3227" s="220"/>
      <c r="BA3227" s="241"/>
      <c r="BE3227" s="107"/>
      <c r="BF3227" s="220"/>
    </row>
    <row r="3228" spans="49:58">
      <c r="AW3228" s="107"/>
      <c r="AX3228" s="195"/>
      <c r="AY3228" s="105"/>
      <c r="AZ3228" s="220"/>
      <c r="BA3228" s="241"/>
      <c r="BE3228" s="107"/>
      <c r="BF3228" s="220"/>
    </row>
    <row r="3229" spans="49:58">
      <c r="AW3229" s="107"/>
      <c r="AX3229" s="195"/>
      <c r="AY3229" s="105"/>
      <c r="AZ3229" s="220"/>
      <c r="BA3229" s="241"/>
      <c r="BE3229" s="107"/>
      <c r="BF3229" s="220"/>
    </row>
    <row r="3230" spans="49:58">
      <c r="AW3230" s="107"/>
      <c r="AX3230" s="195"/>
      <c r="AY3230" s="105"/>
      <c r="AZ3230" s="220"/>
      <c r="BA3230" s="241"/>
      <c r="BE3230" s="107"/>
      <c r="BF3230" s="220"/>
    </row>
    <row r="3231" spans="49:58">
      <c r="AW3231" s="107"/>
      <c r="AX3231" s="195"/>
      <c r="AY3231" s="105"/>
      <c r="AZ3231" s="220"/>
      <c r="BA3231" s="241"/>
      <c r="BE3231" s="107"/>
      <c r="BF3231" s="220"/>
    </row>
    <row r="3232" spans="49:58">
      <c r="AW3232" s="107"/>
      <c r="AX3232" s="195"/>
      <c r="AY3232" s="105"/>
      <c r="AZ3232" s="220"/>
      <c r="BA3232" s="241"/>
      <c r="BE3232" s="107"/>
      <c r="BF3232" s="220"/>
    </row>
    <row r="3233" spans="49:58">
      <c r="AW3233" s="107"/>
      <c r="AX3233" s="195"/>
      <c r="AY3233" s="105"/>
      <c r="AZ3233" s="220"/>
      <c r="BA3233" s="241"/>
      <c r="BE3233" s="107"/>
      <c r="BF3233" s="220"/>
    </row>
    <row r="3234" spans="49:58">
      <c r="AW3234" s="107"/>
      <c r="AX3234" s="195"/>
      <c r="AY3234" s="105"/>
      <c r="AZ3234" s="220"/>
      <c r="BA3234" s="241"/>
      <c r="BE3234" s="107"/>
      <c r="BF3234" s="220"/>
    </row>
    <row r="3235" spans="49:58">
      <c r="AW3235" s="107"/>
      <c r="AX3235" s="195"/>
      <c r="AY3235" s="105"/>
      <c r="AZ3235" s="220"/>
      <c r="BA3235" s="241"/>
      <c r="BE3235" s="107"/>
      <c r="BF3235" s="220"/>
    </row>
    <row r="3236" spans="49:58">
      <c r="AW3236" s="107"/>
      <c r="AX3236" s="195"/>
      <c r="AY3236" s="105"/>
      <c r="AZ3236" s="220"/>
      <c r="BA3236" s="241"/>
      <c r="BE3236" s="107"/>
      <c r="BF3236" s="220"/>
    </row>
    <row r="3237" spans="49:58">
      <c r="AW3237" s="107"/>
      <c r="AX3237" s="195"/>
      <c r="AY3237" s="105"/>
      <c r="AZ3237" s="220"/>
      <c r="BA3237" s="241"/>
      <c r="BE3237" s="107"/>
      <c r="BF3237" s="220"/>
    </row>
    <row r="3238" spans="49:58">
      <c r="AW3238" s="107"/>
      <c r="AX3238" s="195"/>
      <c r="AY3238" s="105"/>
      <c r="AZ3238" s="220"/>
      <c r="BA3238" s="241"/>
      <c r="BE3238" s="107"/>
      <c r="BF3238" s="220"/>
    </row>
    <row r="3239" spans="49:58">
      <c r="AW3239" s="107"/>
      <c r="AX3239" s="195"/>
      <c r="AY3239" s="105"/>
      <c r="AZ3239" s="220"/>
      <c r="BA3239" s="241"/>
      <c r="BE3239" s="107"/>
      <c r="BF3239" s="220"/>
    </row>
    <row r="3240" spans="49:58">
      <c r="AW3240" s="107"/>
      <c r="AX3240" s="195"/>
      <c r="AY3240" s="105"/>
      <c r="AZ3240" s="220"/>
      <c r="BA3240" s="241"/>
      <c r="BE3240" s="107"/>
      <c r="BF3240" s="220"/>
    </row>
    <row r="3241" spans="49:58">
      <c r="AW3241" s="107"/>
      <c r="AX3241" s="195"/>
      <c r="AY3241" s="105"/>
      <c r="AZ3241" s="220"/>
      <c r="BA3241" s="241"/>
      <c r="BE3241" s="107"/>
      <c r="BF3241" s="220"/>
    </row>
    <row r="3242" spans="49:58">
      <c r="AW3242" s="107"/>
      <c r="AX3242" s="195"/>
      <c r="AY3242" s="105"/>
      <c r="AZ3242" s="220"/>
      <c r="BA3242" s="241"/>
      <c r="BE3242" s="107"/>
      <c r="BF3242" s="220"/>
    </row>
    <row r="3243" spans="49:58">
      <c r="AW3243" s="107"/>
      <c r="AX3243" s="195"/>
      <c r="AY3243" s="105"/>
      <c r="AZ3243" s="220"/>
      <c r="BA3243" s="241"/>
      <c r="BE3243" s="107"/>
      <c r="BF3243" s="220"/>
    </row>
    <row r="3244" spans="49:58">
      <c r="AW3244" s="107"/>
      <c r="AX3244" s="195"/>
      <c r="AY3244" s="105"/>
      <c r="AZ3244" s="220"/>
      <c r="BA3244" s="241"/>
      <c r="BE3244" s="107"/>
      <c r="BF3244" s="220"/>
    </row>
    <row r="3245" spans="49:58">
      <c r="AW3245" s="107"/>
      <c r="AX3245" s="195"/>
      <c r="AY3245" s="105"/>
      <c r="AZ3245" s="220"/>
      <c r="BA3245" s="241"/>
      <c r="BE3245" s="107"/>
      <c r="BF3245" s="220"/>
    </row>
    <row r="3246" spans="49:58">
      <c r="AW3246" s="107"/>
      <c r="AX3246" s="195"/>
      <c r="AY3246" s="105"/>
      <c r="AZ3246" s="220"/>
      <c r="BA3246" s="241"/>
      <c r="BE3246" s="107"/>
      <c r="BF3246" s="220"/>
    </row>
    <row r="3247" spans="49:58">
      <c r="AW3247" s="107"/>
      <c r="AX3247" s="195"/>
      <c r="AY3247" s="105"/>
      <c r="AZ3247" s="220"/>
      <c r="BA3247" s="241"/>
      <c r="BE3247" s="107"/>
      <c r="BF3247" s="220"/>
    </row>
    <row r="3248" spans="49:58">
      <c r="AW3248" s="107"/>
      <c r="AX3248" s="195"/>
      <c r="AY3248" s="105"/>
      <c r="AZ3248" s="220"/>
      <c r="BA3248" s="241"/>
      <c r="BE3248" s="107"/>
      <c r="BF3248" s="220"/>
    </row>
    <row r="3249" spans="49:58">
      <c r="AW3249" s="107"/>
      <c r="AX3249" s="195"/>
      <c r="AY3249" s="105"/>
      <c r="AZ3249" s="220"/>
      <c r="BA3249" s="241"/>
      <c r="BE3249" s="107"/>
      <c r="BF3249" s="220"/>
    </row>
    <row r="3250" spans="49:58">
      <c r="AW3250" s="107"/>
      <c r="AX3250" s="195"/>
      <c r="AY3250" s="105"/>
      <c r="AZ3250" s="220"/>
      <c r="BA3250" s="241"/>
      <c r="BE3250" s="107"/>
      <c r="BF3250" s="220"/>
    </row>
    <row r="3251" spans="49:58">
      <c r="AW3251" s="107"/>
      <c r="AX3251" s="195"/>
      <c r="AY3251" s="105"/>
      <c r="AZ3251" s="220"/>
      <c r="BA3251" s="241"/>
      <c r="BE3251" s="107"/>
      <c r="BF3251" s="220"/>
    </row>
    <row r="3252" spans="49:58">
      <c r="AW3252" s="107"/>
      <c r="AX3252" s="195"/>
      <c r="AY3252" s="105"/>
      <c r="AZ3252" s="220"/>
      <c r="BA3252" s="241"/>
      <c r="BE3252" s="107"/>
      <c r="BF3252" s="220"/>
    </row>
    <row r="3253" spans="49:58">
      <c r="AW3253" s="107"/>
      <c r="AX3253" s="195"/>
      <c r="AY3253" s="105"/>
      <c r="AZ3253" s="220"/>
      <c r="BA3253" s="241"/>
      <c r="BE3253" s="107"/>
      <c r="BF3253" s="220"/>
    </row>
    <row r="3254" spans="49:58">
      <c r="AW3254" s="107"/>
      <c r="AX3254" s="195"/>
      <c r="AY3254" s="105"/>
      <c r="AZ3254" s="220"/>
      <c r="BA3254" s="241"/>
      <c r="BE3254" s="107"/>
      <c r="BF3254" s="220"/>
    </row>
    <row r="3255" spans="49:58">
      <c r="AW3255" s="107"/>
      <c r="AX3255" s="195"/>
      <c r="AY3255" s="105"/>
      <c r="AZ3255" s="220"/>
      <c r="BA3255" s="241"/>
      <c r="BE3255" s="107"/>
      <c r="BF3255" s="220"/>
    </row>
    <row r="3256" spans="49:58">
      <c r="AW3256" s="107"/>
      <c r="AX3256" s="195"/>
      <c r="AY3256" s="105"/>
      <c r="AZ3256" s="220"/>
      <c r="BA3256" s="241"/>
      <c r="BE3256" s="107"/>
      <c r="BF3256" s="220"/>
    </row>
    <row r="3257" spans="49:58">
      <c r="AW3257" s="107"/>
      <c r="AX3257" s="195"/>
      <c r="AY3257" s="105"/>
      <c r="AZ3257" s="220"/>
      <c r="BA3257" s="241"/>
      <c r="BE3257" s="107"/>
      <c r="BF3257" s="220"/>
    </row>
    <row r="3258" spans="49:58">
      <c r="AW3258" s="107"/>
      <c r="AX3258" s="195"/>
      <c r="AY3258" s="105"/>
      <c r="AZ3258" s="220"/>
      <c r="BA3258" s="241"/>
      <c r="BE3258" s="107"/>
      <c r="BF3258" s="220"/>
    </row>
    <row r="3259" spans="49:58">
      <c r="AW3259" s="107"/>
      <c r="AX3259" s="195"/>
      <c r="AY3259" s="105"/>
      <c r="AZ3259" s="220"/>
      <c r="BA3259" s="241"/>
      <c r="BE3259" s="107"/>
      <c r="BF3259" s="220"/>
    </row>
    <row r="3260" spans="49:58">
      <c r="AW3260" s="107"/>
      <c r="AX3260" s="195"/>
      <c r="AY3260" s="105"/>
      <c r="AZ3260" s="220"/>
      <c r="BA3260" s="241"/>
      <c r="BE3260" s="107"/>
      <c r="BF3260" s="220"/>
    </row>
    <row r="3261" spans="49:58">
      <c r="AW3261" s="107"/>
      <c r="AX3261" s="195"/>
      <c r="AY3261" s="105"/>
      <c r="AZ3261" s="220"/>
      <c r="BA3261" s="241"/>
      <c r="BE3261" s="107"/>
      <c r="BF3261" s="220"/>
    </row>
    <row r="3262" spans="49:58">
      <c r="AW3262" s="107"/>
      <c r="AX3262" s="195"/>
      <c r="AY3262" s="105"/>
      <c r="AZ3262" s="220"/>
      <c r="BA3262" s="241"/>
      <c r="BE3262" s="107"/>
      <c r="BF3262" s="220"/>
    </row>
    <row r="3263" spans="49:58">
      <c r="AW3263" s="107"/>
      <c r="AX3263" s="195"/>
      <c r="AY3263" s="105"/>
      <c r="AZ3263" s="220"/>
      <c r="BA3263" s="241"/>
      <c r="BE3263" s="107"/>
      <c r="BF3263" s="220"/>
    </row>
    <row r="3264" spans="49:58">
      <c r="AW3264" s="107"/>
      <c r="AX3264" s="195"/>
      <c r="AY3264" s="105"/>
      <c r="AZ3264" s="220"/>
      <c r="BA3264" s="241"/>
      <c r="BE3264" s="107"/>
      <c r="BF3264" s="220"/>
    </row>
    <row r="3265" spans="49:58">
      <c r="AW3265" s="107"/>
      <c r="AX3265" s="195"/>
      <c r="AY3265" s="105"/>
      <c r="AZ3265" s="220"/>
      <c r="BA3265" s="241"/>
      <c r="BE3265" s="107"/>
      <c r="BF3265" s="220"/>
    </row>
    <row r="3266" spans="49:58">
      <c r="AW3266" s="107"/>
      <c r="AX3266" s="195"/>
      <c r="AY3266" s="105"/>
      <c r="AZ3266" s="220"/>
      <c r="BA3266" s="241"/>
      <c r="BE3266" s="107"/>
      <c r="BF3266" s="220"/>
    </row>
    <row r="3267" spans="49:58">
      <c r="AW3267" s="107"/>
      <c r="AX3267" s="195"/>
      <c r="AY3267" s="105"/>
      <c r="AZ3267" s="220"/>
      <c r="BA3267" s="241"/>
      <c r="BE3267" s="107"/>
      <c r="BF3267" s="220"/>
    </row>
    <row r="3268" spans="49:58">
      <c r="AW3268" s="107"/>
      <c r="AX3268" s="195"/>
      <c r="AY3268" s="105"/>
      <c r="AZ3268" s="220"/>
      <c r="BA3268" s="241"/>
      <c r="BE3268" s="107"/>
      <c r="BF3268" s="220"/>
    </row>
    <row r="3269" spans="49:58">
      <c r="AW3269" s="107"/>
      <c r="AX3269" s="195"/>
      <c r="AY3269" s="105"/>
      <c r="AZ3269" s="220"/>
      <c r="BA3269" s="241"/>
      <c r="BE3269" s="107"/>
      <c r="BF3269" s="220"/>
    </row>
    <row r="3270" spans="49:58">
      <c r="AW3270" s="107"/>
      <c r="AX3270" s="195"/>
      <c r="AY3270" s="105"/>
      <c r="AZ3270" s="220"/>
      <c r="BA3270" s="241"/>
      <c r="BE3270" s="107"/>
      <c r="BF3270" s="220"/>
    </row>
    <row r="3271" spans="49:58">
      <c r="AW3271" s="107"/>
      <c r="AX3271" s="195"/>
      <c r="AY3271" s="105"/>
      <c r="AZ3271" s="220"/>
      <c r="BA3271" s="241"/>
      <c r="BE3271" s="107"/>
      <c r="BF3271" s="220"/>
    </row>
    <row r="3272" spans="49:58">
      <c r="AW3272" s="107"/>
      <c r="AX3272" s="195"/>
      <c r="AY3272" s="105"/>
      <c r="AZ3272" s="220"/>
      <c r="BA3272" s="241"/>
      <c r="BE3272" s="107"/>
      <c r="BF3272" s="220"/>
    </row>
    <row r="3273" spans="49:58">
      <c r="AW3273" s="107"/>
      <c r="AX3273" s="195"/>
      <c r="AY3273" s="105"/>
      <c r="AZ3273" s="220"/>
      <c r="BA3273" s="241"/>
      <c r="BE3273" s="107"/>
      <c r="BF3273" s="220"/>
    </row>
    <row r="3274" spans="49:58">
      <c r="AW3274" s="107"/>
      <c r="AX3274" s="195"/>
      <c r="AY3274" s="105"/>
      <c r="AZ3274" s="220"/>
      <c r="BA3274" s="241"/>
      <c r="BE3274" s="107"/>
      <c r="BF3274" s="220"/>
    </row>
    <row r="3275" spans="49:58">
      <c r="AW3275" s="107"/>
      <c r="AX3275" s="195"/>
      <c r="AY3275" s="105"/>
      <c r="AZ3275" s="220"/>
      <c r="BA3275" s="241"/>
      <c r="BE3275" s="107"/>
      <c r="BF3275" s="220"/>
    </row>
    <row r="3276" spans="49:58">
      <c r="AW3276" s="107"/>
      <c r="AX3276" s="195"/>
      <c r="AY3276" s="105"/>
      <c r="AZ3276" s="220"/>
      <c r="BA3276" s="241"/>
      <c r="BE3276" s="107"/>
      <c r="BF3276" s="220"/>
    </row>
    <row r="3277" spans="49:58">
      <c r="AW3277" s="107"/>
      <c r="AX3277" s="195"/>
      <c r="AY3277" s="105"/>
      <c r="AZ3277" s="220"/>
      <c r="BA3277" s="241"/>
      <c r="BE3277" s="107"/>
      <c r="BF3277" s="220"/>
    </row>
    <row r="3278" spans="49:58">
      <c r="AW3278" s="107"/>
      <c r="AX3278" s="195"/>
      <c r="AY3278" s="105"/>
      <c r="AZ3278" s="220"/>
      <c r="BA3278" s="241"/>
      <c r="BE3278" s="107"/>
      <c r="BF3278" s="220"/>
    </row>
    <row r="3279" spans="49:58">
      <c r="AW3279" s="107"/>
      <c r="AX3279" s="195"/>
      <c r="AY3279" s="105"/>
      <c r="AZ3279" s="220"/>
      <c r="BA3279" s="241"/>
      <c r="BE3279" s="107"/>
      <c r="BF3279" s="220"/>
    </row>
    <row r="3280" spans="49:58">
      <c r="AW3280" s="107"/>
      <c r="AX3280" s="195"/>
      <c r="AY3280" s="105"/>
      <c r="AZ3280" s="220"/>
      <c r="BA3280" s="241"/>
      <c r="BE3280" s="107"/>
      <c r="BF3280" s="220"/>
    </row>
    <row r="3281" spans="49:58">
      <c r="AW3281" s="107"/>
      <c r="AX3281" s="195"/>
      <c r="AY3281" s="105"/>
      <c r="AZ3281" s="220"/>
      <c r="BA3281" s="241"/>
      <c r="BE3281" s="107"/>
      <c r="BF3281" s="220"/>
    </row>
    <row r="3282" spans="49:58">
      <c r="AW3282" s="107"/>
      <c r="AX3282" s="195"/>
      <c r="AY3282" s="105"/>
      <c r="AZ3282" s="220"/>
      <c r="BA3282" s="241"/>
      <c r="BE3282" s="107"/>
      <c r="BF3282" s="220"/>
    </row>
    <row r="3283" spans="49:58">
      <c r="AW3283" s="107"/>
      <c r="AX3283" s="195"/>
      <c r="AY3283" s="105"/>
      <c r="AZ3283" s="220"/>
      <c r="BA3283" s="241"/>
      <c r="BE3283" s="107"/>
      <c r="BF3283" s="220"/>
    </row>
    <row r="3284" spans="49:58">
      <c r="AW3284" s="107"/>
      <c r="AX3284" s="195"/>
      <c r="AY3284" s="105"/>
      <c r="AZ3284" s="220"/>
      <c r="BA3284" s="241"/>
      <c r="BE3284" s="107"/>
      <c r="BF3284" s="220"/>
    </row>
    <row r="3285" spans="49:58">
      <c r="AW3285" s="107"/>
      <c r="AX3285" s="195"/>
      <c r="AY3285" s="105"/>
      <c r="AZ3285" s="220"/>
      <c r="BA3285" s="241"/>
      <c r="BE3285" s="107"/>
      <c r="BF3285" s="220"/>
    </row>
    <row r="3286" spans="49:58">
      <c r="AW3286" s="107"/>
      <c r="AX3286" s="195"/>
      <c r="AY3286" s="105"/>
      <c r="AZ3286" s="220"/>
      <c r="BA3286" s="241"/>
      <c r="BE3286" s="107"/>
      <c r="BF3286" s="220"/>
    </row>
    <row r="3287" spans="49:58">
      <c r="AW3287" s="107"/>
      <c r="AX3287" s="195"/>
      <c r="AY3287" s="105"/>
      <c r="AZ3287" s="220"/>
      <c r="BA3287" s="241"/>
      <c r="BE3287" s="107"/>
      <c r="BF3287" s="220"/>
    </row>
    <row r="3288" spans="49:58">
      <c r="AW3288" s="107"/>
      <c r="AX3288" s="195"/>
      <c r="AY3288" s="105"/>
      <c r="AZ3288" s="220"/>
      <c r="BA3288" s="241"/>
      <c r="BE3288" s="107"/>
      <c r="BF3288" s="220"/>
    </row>
    <row r="3289" spans="49:58">
      <c r="AW3289" s="107"/>
      <c r="AX3289" s="195"/>
      <c r="AY3289" s="105"/>
      <c r="AZ3289" s="220"/>
      <c r="BA3289" s="241"/>
      <c r="BE3289" s="107"/>
      <c r="BF3289" s="220"/>
    </row>
    <row r="3290" spans="49:58">
      <c r="AW3290" s="107"/>
      <c r="AX3290" s="195"/>
      <c r="AY3290" s="105"/>
      <c r="AZ3290" s="220"/>
      <c r="BA3290" s="241"/>
      <c r="BE3290" s="107"/>
      <c r="BF3290" s="220"/>
    </row>
    <row r="3291" spans="49:58">
      <c r="AW3291" s="107"/>
      <c r="AX3291" s="195"/>
      <c r="AY3291" s="105"/>
      <c r="AZ3291" s="220"/>
      <c r="BA3291" s="241"/>
      <c r="BE3291" s="107"/>
      <c r="BF3291" s="220"/>
    </row>
    <row r="3292" spans="49:58">
      <c r="AW3292" s="107"/>
      <c r="AX3292" s="195"/>
      <c r="AY3292" s="105"/>
      <c r="AZ3292" s="220"/>
      <c r="BA3292" s="241"/>
      <c r="BE3292" s="107"/>
      <c r="BF3292" s="220"/>
    </row>
    <row r="3293" spans="49:58">
      <c r="AW3293" s="107"/>
      <c r="AX3293" s="195"/>
      <c r="AY3293" s="105"/>
      <c r="AZ3293" s="220"/>
      <c r="BA3293" s="241"/>
      <c r="BE3293" s="107"/>
      <c r="BF3293" s="220"/>
    </row>
    <row r="3294" spans="49:58">
      <c r="AW3294" s="107"/>
      <c r="AX3294" s="195"/>
      <c r="AY3294" s="105"/>
      <c r="AZ3294" s="220"/>
      <c r="BA3294" s="241"/>
      <c r="BE3294" s="107"/>
      <c r="BF3294" s="220"/>
    </row>
    <row r="3295" spans="49:58">
      <c r="AW3295" s="107"/>
      <c r="AX3295" s="195"/>
      <c r="AY3295" s="105"/>
      <c r="AZ3295" s="220"/>
      <c r="BA3295" s="241"/>
      <c r="BE3295" s="107"/>
      <c r="BF3295" s="220"/>
    </row>
    <row r="3296" spans="49:58">
      <c r="AW3296" s="107"/>
      <c r="AX3296" s="195"/>
      <c r="AY3296" s="105"/>
      <c r="AZ3296" s="220"/>
      <c r="BA3296" s="241"/>
      <c r="BE3296" s="107"/>
      <c r="BF3296" s="220"/>
    </row>
    <row r="3297" spans="49:58">
      <c r="AW3297" s="107"/>
      <c r="AX3297" s="195"/>
      <c r="AY3297" s="105"/>
      <c r="AZ3297" s="220"/>
      <c r="BA3297" s="241"/>
      <c r="BE3297" s="107"/>
      <c r="BF3297" s="220"/>
    </row>
    <row r="3298" spans="49:58">
      <c r="AW3298" s="107"/>
      <c r="AX3298" s="195"/>
      <c r="AY3298" s="105"/>
      <c r="AZ3298" s="220"/>
      <c r="BA3298" s="241"/>
      <c r="BE3298" s="107"/>
      <c r="BF3298" s="220"/>
    </row>
    <row r="3299" spans="49:58">
      <c r="AW3299" s="107"/>
      <c r="AX3299" s="195"/>
      <c r="AY3299" s="105"/>
      <c r="AZ3299" s="220"/>
      <c r="BA3299" s="241"/>
      <c r="BE3299" s="107"/>
      <c r="BF3299" s="220"/>
    </row>
    <row r="3300" spans="49:58">
      <c r="AW3300" s="107"/>
      <c r="AX3300" s="195"/>
      <c r="AY3300" s="105"/>
      <c r="AZ3300" s="220"/>
      <c r="BA3300" s="241"/>
      <c r="BE3300" s="107"/>
      <c r="BF3300" s="220"/>
    </row>
    <row r="3301" spans="49:58">
      <c r="AW3301" s="107"/>
      <c r="AX3301" s="195"/>
      <c r="AY3301" s="105"/>
      <c r="AZ3301" s="220"/>
      <c r="BA3301" s="241"/>
      <c r="BE3301" s="107"/>
      <c r="BF3301" s="220"/>
    </row>
    <row r="3302" spans="49:58">
      <c r="AW3302" s="107"/>
      <c r="AX3302" s="195"/>
      <c r="AY3302" s="105"/>
      <c r="AZ3302" s="220"/>
      <c r="BA3302" s="241"/>
      <c r="BE3302" s="107"/>
      <c r="BF3302" s="220"/>
    </row>
    <row r="3303" spans="49:58">
      <c r="AW3303" s="107"/>
      <c r="AX3303" s="195"/>
      <c r="AY3303" s="105"/>
      <c r="AZ3303" s="220"/>
      <c r="BA3303" s="241"/>
      <c r="BE3303" s="107"/>
      <c r="BF3303" s="220"/>
    </row>
    <row r="3304" spans="49:58">
      <c r="AW3304" s="107"/>
      <c r="AX3304" s="195"/>
      <c r="AY3304" s="105"/>
      <c r="AZ3304" s="220"/>
      <c r="BA3304" s="241"/>
      <c r="BE3304" s="107"/>
      <c r="BF3304" s="220"/>
    </row>
    <row r="3305" spans="49:58">
      <c r="AW3305" s="107"/>
      <c r="AX3305" s="195"/>
      <c r="AY3305" s="105"/>
      <c r="AZ3305" s="220"/>
      <c r="BA3305" s="241"/>
      <c r="BE3305" s="107"/>
      <c r="BF3305" s="220"/>
    </row>
    <row r="3306" spans="49:58">
      <c r="AW3306" s="107"/>
      <c r="AX3306" s="195"/>
      <c r="AY3306" s="105"/>
      <c r="AZ3306" s="220"/>
      <c r="BA3306" s="241"/>
      <c r="BE3306" s="107"/>
      <c r="BF3306" s="220"/>
    </row>
    <row r="3307" spans="49:58">
      <c r="AW3307" s="107"/>
      <c r="AX3307" s="195"/>
      <c r="AY3307" s="105"/>
      <c r="AZ3307" s="220"/>
      <c r="BA3307" s="241"/>
      <c r="BE3307" s="107"/>
      <c r="BF3307" s="220"/>
    </row>
    <row r="3308" spans="49:58">
      <c r="AW3308" s="107"/>
      <c r="AX3308" s="195"/>
      <c r="AY3308" s="105"/>
      <c r="AZ3308" s="220"/>
      <c r="BA3308" s="241"/>
      <c r="BE3308" s="107"/>
      <c r="BF3308" s="220"/>
    </row>
    <row r="3309" spans="49:58">
      <c r="AW3309" s="107"/>
      <c r="AX3309" s="195"/>
      <c r="AY3309" s="105"/>
      <c r="AZ3309" s="220"/>
      <c r="BA3309" s="241"/>
      <c r="BE3309" s="107"/>
      <c r="BF3309" s="220"/>
    </row>
    <row r="3310" spans="49:58">
      <c r="AW3310" s="107"/>
      <c r="AX3310" s="195"/>
      <c r="AY3310" s="105"/>
      <c r="AZ3310" s="220"/>
      <c r="BA3310" s="241"/>
      <c r="BE3310" s="107"/>
      <c r="BF3310" s="220"/>
    </row>
    <row r="3311" spans="49:58">
      <c r="AW3311" s="107"/>
      <c r="AX3311" s="195"/>
      <c r="AY3311" s="105"/>
      <c r="AZ3311" s="220"/>
      <c r="BA3311" s="241"/>
      <c r="BE3311" s="107"/>
      <c r="BF3311" s="220"/>
    </row>
    <row r="3312" spans="49:58">
      <c r="AW3312" s="107"/>
      <c r="AX3312" s="195"/>
      <c r="AY3312" s="105"/>
      <c r="AZ3312" s="220"/>
      <c r="BA3312" s="241"/>
      <c r="BE3312" s="107"/>
      <c r="BF3312" s="220"/>
    </row>
    <row r="3313" spans="49:58">
      <c r="AW3313" s="107"/>
      <c r="AX3313" s="195"/>
      <c r="AY3313" s="105"/>
      <c r="AZ3313" s="220"/>
      <c r="BA3313" s="241"/>
      <c r="BE3313" s="107"/>
      <c r="BF3313" s="220"/>
    </row>
    <row r="3314" spans="49:58">
      <c r="AW3314" s="107"/>
      <c r="AX3314" s="195"/>
      <c r="AY3314" s="105"/>
      <c r="AZ3314" s="220"/>
      <c r="BA3314" s="241"/>
      <c r="BE3314" s="107"/>
      <c r="BF3314" s="220"/>
    </row>
    <row r="3315" spans="49:58">
      <c r="AW3315" s="107"/>
      <c r="AX3315" s="195"/>
      <c r="AY3315" s="105"/>
      <c r="AZ3315" s="220"/>
      <c r="BA3315" s="241"/>
      <c r="BE3315" s="107"/>
      <c r="BF3315" s="220"/>
    </row>
    <row r="3316" spans="49:58">
      <c r="AW3316" s="107"/>
      <c r="AX3316" s="195"/>
      <c r="AY3316" s="105"/>
      <c r="AZ3316" s="220"/>
      <c r="BA3316" s="241"/>
      <c r="BE3316" s="107"/>
      <c r="BF3316" s="220"/>
    </row>
    <row r="3317" spans="49:58">
      <c r="AW3317" s="107"/>
      <c r="AX3317" s="195"/>
      <c r="AY3317" s="105"/>
      <c r="AZ3317" s="220"/>
      <c r="BA3317" s="241"/>
      <c r="BE3317" s="107"/>
      <c r="BF3317" s="220"/>
    </row>
    <row r="3318" spans="49:58">
      <c r="AW3318" s="107"/>
      <c r="AX3318" s="195"/>
      <c r="AY3318" s="105"/>
      <c r="AZ3318" s="220"/>
      <c r="BA3318" s="241"/>
      <c r="BE3318" s="107"/>
      <c r="BF3318" s="220"/>
    </row>
    <row r="3319" spans="49:58">
      <c r="AW3319" s="107"/>
      <c r="AX3319" s="195"/>
      <c r="AY3319" s="105"/>
      <c r="AZ3319" s="220"/>
      <c r="BA3319" s="241"/>
      <c r="BE3319" s="107"/>
      <c r="BF3319" s="220"/>
    </row>
    <row r="3320" spans="49:58">
      <c r="AW3320" s="107"/>
      <c r="AX3320" s="195"/>
      <c r="AY3320" s="105"/>
      <c r="AZ3320" s="220"/>
      <c r="BA3320" s="241"/>
      <c r="BE3320" s="107"/>
      <c r="BF3320" s="220"/>
    </row>
    <row r="3321" spans="49:58">
      <c r="AW3321" s="107"/>
      <c r="AX3321" s="195"/>
      <c r="AY3321" s="105"/>
      <c r="AZ3321" s="220"/>
      <c r="BA3321" s="241"/>
      <c r="BE3321" s="107"/>
      <c r="BF3321" s="220"/>
    </row>
    <row r="3322" spans="49:58">
      <c r="AW3322" s="107"/>
      <c r="AX3322" s="195"/>
      <c r="AY3322" s="105"/>
      <c r="AZ3322" s="220"/>
      <c r="BA3322" s="241"/>
      <c r="BE3322" s="107"/>
      <c r="BF3322" s="220"/>
    </row>
    <row r="3323" spans="49:58">
      <c r="AW3323" s="107"/>
      <c r="AX3323" s="195"/>
      <c r="AY3323" s="105"/>
      <c r="AZ3323" s="220"/>
      <c r="BA3323" s="241"/>
      <c r="BE3323" s="107"/>
      <c r="BF3323" s="220"/>
    </row>
    <row r="3324" spans="49:58">
      <c r="AW3324" s="107"/>
      <c r="AX3324" s="195"/>
      <c r="AY3324" s="105"/>
      <c r="AZ3324" s="220"/>
      <c r="BA3324" s="241"/>
      <c r="BE3324" s="107"/>
      <c r="BF3324" s="220"/>
    </row>
    <row r="3325" spans="49:58">
      <c r="AW3325" s="107"/>
      <c r="AX3325" s="195"/>
      <c r="AY3325" s="105"/>
      <c r="AZ3325" s="220"/>
      <c r="BA3325" s="241"/>
      <c r="BE3325" s="107"/>
      <c r="BF3325" s="220"/>
    </row>
    <row r="3326" spans="49:58">
      <c r="AW3326" s="107"/>
      <c r="AX3326" s="195"/>
      <c r="AY3326" s="105"/>
      <c r="AZ3326" s="220"/>
      <c r="BA3326" s="241"/>
      <c r="BE3326" s="107"/>
      <c r="BF3326" s="220"/>
    </row>
    <row r="3327" spans="49:58">
      <c r="AW3327" s="107"/>
      <c r="AX3327" s="195"/>
      <c r="AY3327" s="105"/>
      <c r="AZ3327" s="220"/>
      <c r="BA3327" s="241"/>
      <c r="BE3327" s="107"/>
      <c r="BF3327" s="220"/>
    </row>
    <row r="3328" spans="49:58">
      <c r="AW3328" s="107"/>
      <c r="AX3328" s="195"/>
      <c r="AY3328" s="105"/>
      <c r="AZ3328" s="220"/>
      <c r="BA3328" s="241"/>
      <c r="BE3328" s="107"/>
      <c r="BF3328" s="220"/>
    </row>
    <row r="3329" spans="49:58">
      <c r="AW3329" s="107"/>
      <c r="AX3329" s="195"/>
      <c r="AY3329" s="105"/>
      <c r="AZ3329" s="220"/>
      <c r="BA3329" s="241"/>
      <c r="BE3329" s="107"/>
      <c r="BF3329" s="220"/>
    </row>
    <row r="3330" spans="49:58">
      <c r="AW3330" s="107"/>
      <c r="AX3330" s="195"/>
      <c r="AY3330" s="105"/>
      <c r="AZ3330" s="220"/>
      <c r="BA3330" s="241"/>
      <c r="BE3330" s="107"/>
      <c r="BF3330" s="220"/>
    </row>
    <row r="3331" spans="49:58">
      <c r="AW3331" s="107"/>
      <c r="AX3331" s="195"/>
      <c r="AY3331" s="105"/>
      <c r="AZ3331" s="220"/>
      <c r="BA3331" s="241"/>
      <c r="BE3331" s="107"/>
      <c r="BF3331" s="220"/>
    </row>
    <row r="3332" spans="49:58">
      <c r="AW3332" s="107"/>
      <c r="AX3332" s="195"/>
      <c r="AY3332" s="105"/>
      <c r="AZ3332" s="220"/>
      <c r="BA3332" s="241"/>
      <c r="BE3332" s="107"/>
      <c r="BF3332" s="220"/>
    </row>
    <row r="3333" spans="49:58">
      <c r="AW3333" s="107"/>
      <c r="AX3333" s="195"/>
      <c r="AY3333" s="105"/>
      <c r="AZ3333" s="220"/>
      <c r="BA3333" s="241"/>
      <c r="BE3333" s="107"/>
      <c r="BF3333" s="220"/>
    </row>
    <row r="3334" spans="49:58">
      <c r="AW3334" s="107"/>
      <c r="AX3334" s="195"/>
      <c r="AY3334" s="105"/>
      <c r="AZ3334" s="220"/>
      <c r="BA3334" s="241"/>
      <c r="BE3334" s="107"/>
      <c r="BF3334" s="220"/>
    </row>
    <row r="3335" spans="49:58">
      <c r="AW3335" s="107"/>
      <c r="AX3335" s="195"/>
      <c r="AY3335" s="105"/>
      <c r="AZ3335" s="220"/>
      <c r="BA3335" s="241"/>
      <c r="BE3335" s="107"/>
      <c r="BF3335" s="220"/>
    </row>
    <row r="3336" spans="49:58">
      <c r="AW3336" s="107"/>
      <c r="AX3336" s="195"/>
      <c r="AY3336" s="105"/>
      <c r="AZ3336" s="220"/>
      <c r="BA3336" s="241"/>
      <c r="BE3336" s="107"/>
      <c r="BF3336" s="220"/>
    </row>
    <row r="3337" spans="49:58">
      <c r="AW3337" s="107"/>
      <c r="AX3337" s="195"/>
      <c r="AY3337" s="105"/>
      <c r="AZ3337" s="220"/>
      <c r="BA3337" s="241"/>
      <c r="BE3337" s="107"/>
      <c r="BF3337" s="220"/>
    </row>
    <row r="3338" spans="49:58">
      <c r="AW3338" s="107"/>
      <c r="AX3338" s="195"/>
      <c r="AY3338" s="105"/>
      <c r="AZ3338" s="220"/>
      <c r="BA3338" s="241"/>
      <c r="BE3338" s="107"/>
      <c r="BF3338" s="220"/>
    </row>
    <row r="3339" spans="49:58">
      <c r="AW3339" s="107"/>
      <c r="AX3339" s="195"/>
      <c r="AY3339" s="105"/>
      <c r="AZ3339" s="220"/>
      <c r="BA3339" s="241"/>
      <c r="BE3339" s="107"/>
      <c r="BF3339" s="220"/>
    </row>
    <row r="3340" spans="49:58">
      <c r="AW3340" s="107"/>
      <c r="AX3340" s="195"/>
      <c r="AY3340" s="105"/>
      <c r="AZ3340" s="220"/>
      <c r="BA3340" s="241"/>
      <c r="BE3340" s="107"/>
      <c r="BF3340" s="220"/>
    </row>
    <row r="3341" spans="49:58">
      <c r="AW3341" s="107"/>
      <c r="AX3341" s="195"/>
      <c r="AY3341" s="105"/>
      <c r="AZ3341" s="220"/>
      <c r="BA3341" s="241"/>
      <c r="BE3341" s="107"/>
      <c r="BF3341" s="220"/>
    </row>
    <row r="3342" spans="49:58">
      <c r="AW3342" s="107"/>
      <c r="AX3342" s="195"/>
      <c r="AY3342" s="105"/>
      <c r="AZ3342" s="220"/>
      <c r="BA3342" s="241"/>
      <c r="BE3342" s="107"/>
      <c r="BF3342" s="220"/>
    </row>
    <row r="3343" spans="49:58">
      <c r="AW3343" s="107"/>
      <c r="AX3343" s="195"/>
      <c r="AY3343" s="105"/>
      <c r="AZ3343" s="220"/>
      <c r="BA3343" s="241"/>
      <c r="BE3343" s="107"/>
      <c r="BF3343" s="220"/>
    </row>
    <row r="3344" spans="49:58">
      <c r="AW3344" s="107"/>
      <c r="AX3344" s="195"/>
      <c r="AY3344" s="105"/>
      <c r="AZ3344" s="220"/>
      <c r="BA3344" s="241"/>
      <c r="BE3344" s="107"/>
      <c r="BF3344" s="220"/>
    </row>
    <row r="3345" spans="49:58">
      <c r="AW3345" s="107"/>
      <c r="AX3345" s="195"/>
      <c r="AY3345" s="105"/>
      <c r="AZ3345" s="220"/>
      <c r="BA3345" s="241"/>
      <c r="BE3345" s="107"/>
      <c r="BF3345" s="220"/>
    </row>
    <row r="3346" spans="49:58">
      <c r="AW3346" s="107"/>
      <c r="AX3346" s="195"/>
      <c r="AY3346" s="105"/>
      <c r="AZ3346" s="220"/>
      <c r="BA3346" s="241"/>
      <c r="BE3346" s="107"/>
      <c r="BF3346" s="220"/>
    </row>
    <row r="3347" spans="49:58">
      <c r="AW3347" s="107"/>
      <c r="AX3347" s="195"/>
      <c r="AY3347" s="105"/>
      <c r="AZ3347" s="220"/>
      <c r="BA3347" s="241"/>
      <c r="BE3347" s="107"/>
      <c r="BF3347" s="220"/>
    </row>
    <row r="3348" spans="49:58">
      <c r="AW3348" s="107"/>
      <c r="AX3348" s="195"/>
      <c r="AY3348" s="105"/>
      <c r="AZ3348" s="220"/>
      <c r="BA3348" s="241"/>
      <c r="BE3348" s="107"/>
      <c r="BF3348" s="220"/>
    </row>
    <row r="3349" spans="49:58">
      <c r="AW3349" s="107"/>
      <c r="AX3349" s="195"/>
      <c r="AY3349" s="105"/>
      <c r="AZ3349" s="220"/>
      <c r="BA3349" s="241"/>
      <c r="BE3349" s="107"/>
      <c r="BF3349" s="220"/>
    </row>
    <row r="3350" spans="49:58">
      <c r="AW3350" s="107"/>
      <c r="AX3350" s="195"/>
      <c r="AY3350" s="105"/>
      <c r="AZ3350" s="220"/>
      <c r="BA3350" s="241"/>
      <c r="BE3350" s="107"/>
      <c r="BF3350" s="220"/>
    </row>
    <row r="3351" spans="49:58">
      <c r="AW3351" s="107"/>
      <c r="AX3351" s="195"/>
      <c r="AY3351" s="105"/>
      <c r="AZ3351" s="220"/>
      <c r="BA3351" s="241"/>
      <c r="BE3351" s="107"/>
      <c r="BF3351" s="220"/>
    </row>
    <row r="3352" spans="49:58">
      <c r="AW3352" s="107"/>
      <c r="AX3352" s="195"/>
      <c r="AY3352" s="105"/>
      <c r="AZ3352" s="220"/>
      <c r="BA3352" s="241"/>
      <c r="BE3352" s="107"/>
      <c r="BF3352" s="220"/>
    </row>
    <row r="3353" spans="49:58">
      <c r="AW3353" s="107"/>
      <c r="AX3353" s="195"/>
      <c r="AY3353" s="105"/>
      <c r="AZ3353" s="220"/>
      <c r="BA3353" s="241"/>
      <c r="BE3353" s="107"/>
      <c r="BF3353" s="220"/>
    </row>
    <row r="3354" spans="49:58">
      <c r="AW3354" s="107"/>
      <c r="AX3354" s="195"/>
      <c r="AY3354" s="105"/>
      <c r="AZ3354" s="220"/>
      <c r="BA3354" s="241"/>
      <c r="BE3354" s="107"/>
      <c r="BF3354" s="220"/>
    </row>
    <row r="3355" spans="49:58">
      <c r="AW3355" s="107"/>
      <c r="AX3355" s="195"/>
      <c r="AY3355" s="105"/>
      <c r="AZ3355" s="220"/>
      <c r="BA3355" s="241"/>
      <c r="BE3355" s="107"/>
      <c r="BF3355" s="220"/>
    </row>
    <row r="3356" spans="49:58">
      <c r="AW3356" s="107"/>
      <c r="AX3356" s="195"/>
      <c r="AY3356" s="105"/>
      <c r="AZ3356" s="220"/>
      <c r="BA3356" s="241"/>
      <c r="BE3356" s="107"/>
      <c r="BF3356" s="220"/>
    </row>
    <row r="3357" spans="49:58">
      <c r="AW3357" s="107"/>
      <c r="AX3357" s="195"/>
      <c r="AY3357" s="105"/>
      <c r="AZ3357" s="220"/>
      <c r="BA3357" s="241"/>
      <c r="BE3357" s="107"/>
      <c r="BF3357" s="220"/>
    </row>
    <row r="3358" spans="49:58">
      <c r="AW3358" s="107"/>
      <c r="AX3358" s="195"/>
      <c r="AY3358" s="105"/>
      <c r="AZ3358" s="220"/>
      <c r="BA3358" s="241"/>
      <c r="BE3358" s="107"/>
      <c r="BF3358" s="220"/>
    </row>
    <row r="3359" spans="49:58">
      <c r="AW3359" s="107"/>
      <c r="AX3359" s="195"/>
      <c r="AY3359" s="105"/>
      <c r="AZ3359" s="220"/>
      <c r="BA3359" s="241"/>
      <c r="BE3359" s="107"/>
      <c r="BF3359" s="220"/>
    </row>
    <row r="3360" spans="49:58">
      <c r="AW3360" s="107"/>
      <c r="AX3360" s="195"/>
      <c r="AY3360" s="105"/>
      <c r="AZ3360" s="220"/>
      <c r="BA3360" s="241"/>
      <c r="BE3360" s="107"/>
      <c r="BF3360" s="220"/>
    </row>
    <row r="3361" spans="49:58">
      <c r="AW3361" s="107"/>
      <c r="AX3361" s="195"/>
      <c r="AY3361" s="105"/>
      <c r="AZ3361" s="220"/>
      <c r="BA3361" s="241"/>
      <c r="BE3361" s="107"/>
      <c r="BF3361" s="220"/>
    </row>
    <row r="3362" spans="49:58">
      <c r="AW3362" s="107"/>
      <c r="AX3362" s="195"/>
      <c r="AY3362" s="105"/>
      <c r="AZ3362" s="220"/>
      <c r="BA3362" s="241"/>
      <c r="BE3362" s="107"/>
      <c r="BF3362" s="220"/>
    </row>
    <row r="3363" spans="49:58">
      <c r="AW3363" s="107"/>
      <c r="AX3363" s="195"/>
      <c r="AY3363" s="105"/>
      <c r="AZ3363" s="220"/>
      <c r="BA3363" s="241"/>
      <c r="BE3363" s="107"/>
      <c r="BF3363" s="220"/>
    </row>
    <row r="3364" spans="49:58">
      <c r="AW3364" s="107"/>
      <c r="AX3364" s="195"/>
      <c r="AY3364" s="105"/>
      <c r="AZ3364" s="220"/>
      <c r="BA3364" s="241"/>
      <c r="BE3364" s="107"/>
      <c r="BF3364" s="220"/>
    </row>
    <row r="3365" spans="49:58">
      <c r="AW3365" s="107"/>
      <c r="AX3365" s="195"/>
      <c r="AY3365" s="105"/>
      <c r="AZ3365" s="220"/>
      <c r="BA3365" s="241"/>
      <c r="BE3365" s="107"/>
      <c r="BF3365" s="220"/>
    </row>
    <row r="3366" spans="49:58">
      <c r="AW3366" s="107"/>
      <c r="AX3366" s="195"/>
      <c r="AY3366" s="105"/>
      <c r="AZ3366" s="220"/>
      <c r="BA3366" s="241"/>
      <c r="BE3366" s="107"/>
      <c r="BF3366" s="220"/>
    </row>
    <row r="3367" spans="49:58">
      <c r="AW3367" s="107"/>
      <c r="AX3367" s="195"/>
      <c r="AY3367" s="105"/>
      <c r="AZ3367" s="220"/>
      <c r="BA3367" s="241"/>
      <c r="BE3367" s="107"/>
      <c r="BF3367" s="220"/>
    </row>
    <row r="3368" spans="49:58">
      <c r="AW3368" s="107"/>
      <c r="AX3368" s="195"/>
      <c r="AY3368" s="105"/>
      <c r="AZ3368" s="220"/>
      <c r="BA3368" s="241"/>
      <c r="BE3368" s="107"/>
      <c r="BF3368" s="220"/>
    </row>
    <row r="3369" spans="49:58">
      <c r="AW3369" s="107"/>
      <c r="AX3369" s="195"/>
      <c r="AY3369" s="105"/>
      <c r="AZ3369" s="220"/>
      <c r="BA3369" s="241"/>
      <c r="BE3369" s="107"/>
      <c r="BF3369" s="220"/>
    </row>
    <row r="3370" spans="49:58">
      <c r="AW3370" s="107"/>
      <c r="AX3370" s="195"/>
      <c r="AY3370" s="105"/>
      <c r="AZ3370" s="220"/>
      <c r="BA3370" s="241"/>
      <c r="BE3370" s="107"/>
      <c r="BF3370" s="220"/>
    </row>
    <row r="3371" spans="49:58">
      <c r="AW3371" s="107"/>
      <c r="AX3371" s="195"/>
      <c r="AY3371" s="105"/>
      <c r="AZ3371" s="220"/>
      <c r="BA3371" s="241"/>
      <c r="BE3371" s="107"/>
      <c r="BF3371" s="220"/>
    </row>
    <row r="3372" spans="49:58">
      <c r="AW3372" s="107"/>
      <c r="AX3372" s="195"/>
      <c r="AY3372" s="105"/>
      <c r="AZ3372" s="220"/>
      <c r="BA3372" s="241"/>
      <c r="BE3372" s="107"/>
      <c r="BF3372" s="220"/>
    </row>
    <row r="3373" spans="49:58">
      <c r="AW3373" s="107"/>
      <c r="AX3373" s="195"/>
      <c r="AY3373" s="105"/>
      <c r="AZ3373" s="220"/>
      <c r="BA3373" s="241"/>
      <c r="BE3373" s="107"/>
      <c r="BF3373" s="220"/>
    </row>
    <row r="3374" spans="49:58">
      <c r="AW3374" s="107"/>
      <c r="AX3374" s="195"/>
      <c r="AY3374" s="105"/>
      <c r="AZ3374" s="220"/>
      <c r="BA3374" s="241"/>
      <c r="BE3374" s="107"/>
      <c r="BF3374" s="220"/>
    </row>
    <row r="3375" spans="49:58">
      <c r="AW3375" s="107"/>
      <c r="AX3375" s="195"/>
      <c r="AY3375" s="105"/>
      <c r="AZ3375" s="220"/>
      <c r="BA3375" s="241"/>
      <c r="BE3375" s="107"/>
      <c r="BF3375" s="220"/>
    </row>
    <row r="3376" spans="49:58">
      <c r="AW3376" s="107"/>
      <c r="AX3376" s="195"/>
      <c r="AY3376" s="105"/>
      <c r="AZ3376" s="220"/>
      <c r="BA3376" s="241"/>
      <c r="BE3376" s="107"/>
      <c r="BF3376" s="220"/>
    </row>
    <row r="3377" spans="49:58">
      <c r="AW3377" s="107"/>
      <c r="AX3377" s="195"/>
      <c r="AY3377" s="105"/>
      <c r="AZ3377" s="220"/>
      <c r="BA3377" s="241"/>
      <c r="BE3377" s="107"/>
      <c r="BF3377" s="220"/>
    </row>
    <row r="3378" spans="49:58">
      <c r="AW3378" s="107"/>
      <c r="AX3378" s="195"/>
      <c r="AY3378" s="105"/>
      <c r="AZ3378" s="220"/>
      <c r="BA3378" s="241"/>
      <c r="BE3378" s="107"/>
      <c r="BF3378" s="220"/>
    </row>
    <row r="3379" spans="49:58">
      <c r="AW3379" s="107"/>
      <c r="AX3379" s="195"/>
      <c r="AY3379" s="105"/>
      <c r="AZ3379" s="220"/>
      <c r="BA3379" s="241"/>
      <c r="BE3379" s="107"/>
      <c r="BF3379" s="220"/>
    </row>
    <row r="3380" spans="49:58">
      <c r="AW3380" s="107"/>
      <c r="AX3380" s="195"/>
      <c r="AY3380" s="105"/>
      <c r="AZ3380" s="220"/>
      <c r="BA3380" s="241"/>
      <c r="BE3380" s="107"/>
      <c r="BF3380" s="220"/>
    </row>
    <row r="3381" spans="49:58">
      <c r="AW3381" s="107"/>
      <c r="AX3381" s="195"/>
      <c r="AY3381" s="105"/>
      <c r="AZ3381" s="220"/>
      <c r="BA3381" s="241"/>
      <c r="BE3381" s="107"/>
      <c r="BF3381" s="220"/>
    </row>
    <row r="3382" spans="49:58">
      <c r="AW3382" s="107"/>
      <c r="AX3382" s="195"/>
      <c r="AY3382" s="105"/>
      <c r="AZ3382" s="220"/>
      <c r="BA3382" s="241"/>
      <c r="BE3382" s="107"/>
      <c r="BF3382" s="220"/>
    </row>
    <row r="3383" spans="49:58">
      <c r="AW3383" s="107"/>
      <c r="AX3383" s="195"/>
      <c r="AY3383" s="105"/>
      <c r="AZ3383" s="220"/>
      <c r="BA3383" s="241"/>
      <c r="BE3383" s="107"/>
      <c r="BF3383" s="220"/>
    </row>
    <row r="3384" spans="49:58">
      <c r="AW3384" s="107"/>
      <c r="AX3384" s="195"/>
      <c r="AY3384" s="105"/>
      <c r="AZ3384" s="220"/>
      <c r="BA3384" s="241"/>
      <c r="BE3384" s="107"/>
      <c r="BF3384" s="220"/>
    </row>
    <row r="3385" spans="49:58">
      <c r="AW3385" s="107"/>
      <c r="AX3385" s="195"/>
      <c r="AY3385" s="105"/>
      <c r="AZ3385" s="220"/>
      <c r="BA3385" s="241"/>
      <c r="BE3385" s="107"/>
      <c r="BF3385" s="220"/>
    </row>
    <row r="3386" spans="49:58">
      <c r="AW3386" s="107"/>
      <c r="AX3386" s="195"/>
      <c r="AY3386" s="105"/>
      <c r="AZ3386" s="220"/>
      <c r="BA3386" s="241"/>
      <c r="BE3386" s="107"/>
      <c r="BF3386" s="220"/>
    </row>
    <row r="3387" spans="49:58">
      <c r="AW3387" s="107"/>
      <c r="AX3387" s="195"/>
      <c r="AY3387" s="105"/>
      <c r="AZ3387" s="220"/>
      <c r="BA3387" s="241"/>
      <c r="BE3387" s="107"/>
      <c r="BF3387" s="220"/>
    </row>
    <row r="3388" spans="49:58">
      <c r="AW3388" s="107"/>
      <c r="AX3388" s="195"/>
      <c r="AY3388" s="105"/>
      <c r="AZ3388" s="220"/>
      <c r="BA3388" s="241"/>
      <c r="BE3388" s="107"/>
      <c r="BF3388" s="220"/>
    </row>
    <row r="3389" spans="49:58">
      <c r="AW3389" s="107"/>
      <c r="AX3389" s="195"/>
      <c r="AY3389" s="105"/>
      <c r="AZ3389" s="220"/>
      <c r="BA3389" s="241"/>
      <c r="BE3389" s="107"/>
      <c r="BF3389" s="220"/>
    </row>
    <row r="3390" spans="49:58">
      <c r="AW3390" s="107"/>
      <c r="AX3390" s="195"/>
      <c r="AY3390" s="105"/>
      <c r="AZ3390" s="220"/>
      <c r="BA3390" s="241"/>
      <c r="BE3390" s="107"/>
      <c r="BF3390" s="220"/>
    </row>
    <row r="3391" spans="49:58">
      <c r="AW3391" s="107"/>
      <c r="AX3391" s="195"/>
      <c r="AY3391" s="105"/>
      <c r="AZ3391" s="220"/>
      <c r="BA3391" s="241"/>
      <c r="BE3391" s="107"/>
      <c r="BF3391" s="220"/>
    </row>
    <row r="3392" spans="49:58">
      <c r="AW3392" s="107"/>
      <c r="AX3392" s="195"/>
      <c r="AY3392" s="105"/>
      <c r="AZ3392" s="220"/>
      <c r="BA3392" s="241"/>
      <c r="BE3392" s="107"/>
      <c r="BF3392" s="220"/>
    </row>
    <row r="3393" spans="49:58">
      <c r="AW3393" s="107"/>
      <c r="AX3393" s="195"/>
      <c r="AY3393" s="105"/>
      <c r="AZ3393" s="220"/>
      <c r="BA3393" s="241"/>
      <c r="BE3393" s="107"/>
      <c r="BF3393" s="220"/>
    </row>
    <row r="3394" spans="49:58">
      <c r="AW3394" s="107"/>
      <c r="AX3394" s="195"/>
      <c r="AY3394" s="105"/>
      <c r="AZ3394" s="220"/>
      <c r="BA3394" s="241"/>
      <c r="BE3394" s="107"/>
      <c r="BF3394" s="220"/>
    </row>
    <row r="3395" spans="49:58">
      <c r="AW3395" s="107"/>
      <c r="AX3395" s="195"/>
      <c r="AY3395" s="105"/>
      <c r="AZ3395" s="220"/>
      <c r="BA3395" s="241"/>
      <c r="BE3395" s="107"/>
      <c r="BF3395" s="220"/>
    </row>
    <row r="3396" spans="49:58">
      <c r="AW3396" s="107"/>
      <c r="AX3396" s="195"/>
      <c r="AY3396" s="105"/>
      <c r="AZ3396" s="220"/>
      <c r="BA3396" s="241"/>
      <c r="BE3396" s="107"/>
      <c r="BF3396" s="220"/>
    </row>
    <row r="3397" spans="49:58">
      <c r="AW3397" s="107"/>
      <c r="AX3397" s="195"/>
      <c r="AY3397" s="105"/>
      <c r="AZ3397" s="220"/>
      <c r="BA3397" s="241"/>
      <c r="BE3397" s="107"/>
      <c r="BF3397" s="220"/>
    </row>
    <row r="3398" spans="49:58">
      <c r="AW3398" s="107"/>
      <c r="AX3398" s="195"/>
      <c r="AY3398" s="105"/>
      <c r="AZ3398" s="220"/>
      <c r="BA3398" s="241"/>
      <c r="BE3398" s="107"/>
      <c r="BF3398" s="220"/>
    </row>
    <row r="3399" spans="49:58">
      <c r="AW3399" s="107"/>
      <c r="AX3399" s="195"/>
      <c r="AY3399" s="105"/>
      <c r="AZ3399" s="220"/>
      <c r="BA3399" s="241"/>
      <c r="BE3399" s="107"/>
      <c r="BF3399" s="220"/>
    </row>
    <row r="3400" spans="49:58">
      <c r="AW3400" s="107"/>
      <c r="AX3400" s="195"/>
      <c r="AY3400" s="105"/>
      <c r="AZ3400" s="220"/>
      <c r="BA3400" s="241"/>
      <c r="BE3400" s="107"/>
      <c r="BF3400" s="220"/>
    </row>
    <row r="3401" spans="49:58">
      <c r="AW3401" s="107"/>
      <c r="AX3401" s="195"/>
      <c r="AY3401" s="105"/>
      <c r="AZ3401" s="220"/>
      <c r="BA3401" s="241"/>
      <c r="BE3401" s="107"/>
      <c r="BF3401" s="220"/>
    </row>
    <row r="3402" spans="49:58">
      <c r="AW3402" s="107"/>
      <c r="AX3402" s="195"/>
      <c r="AY3402" s="105"/>
      <c r="AZ3402" s="220"/>
      <c r="BA3402" s="241"/>
      <c r="BE3402" s="107"/>
      <c r="BF3402" s="220"/>
    </row>
    <row r="3403" spans="49:58">
      <c r="AW3403" s="107"/>
      <c r="AX3403" s="195"/>
      <c r="AY3403" s="105"/>
      <c r="AZ3403" s="220"/>
      <c r="BA3403" s="241"/>
      <c r="BE3403" s="107"/>
      <c r="BF3403" s="220"/>
    </row>
    <row r="3404" spans="49:58">
      <c r="AW3404" s="107"/>
      <c r="AX3404" s="195"/>
      <c r="AY3404" s="105"/>
      <c r="AZ3404" s="220"/>
      <c r="BA3404" s="241"/>
      <c r="BE3404" s="107"/>
      <c r="BF3404" s="220"/>
    </row>
    <row r="3405" spans="49:58">
      <c r="AW3405" s="107"/>
      <c r="AX3405" s="195"/>
      <c r="AY3405" s="105"/>
      <c r="AZ3405" s="220"/>
      <c r="BA3405" s="241"/>
      <c r="BE3405" s="107"/>
      <c r="BF3405" s="220"/>
    </row>
    <row r="3406" spans="49:58">
      <c r="AW3406" s="107"/>
      <c r="AX3406" s="195"/>
      <c r="AY3406" s="105"/>
      <c r="AZ3406" s="220"/>
      <c r="BA3406" s="241"/>
      <c r="BE3406" s="107"/>
      <c r="BF3406" s="220"/>
    </row>
    <row r="3407" spans="49:58">
      <c r="AW3407" s="107"/>
      <c r="AX3407" s="195"/>
      <c r="AY3407" s="105"/>
      <c r="AZ3407" s="220"/>
      <c r="BA3407" s="241"/>
      <c r="BE3407" s="107"/>
      <c r="BF3407" s="220"/>
    </row>
    <row r="3408" spans="49:58">
      <c r="AW3408" s="107"/>
      <c r="AX3408" s="195"/>
      <c r="AY3408" s="105"/>
      <c r="AZ3408" s="220"/>
      <c r="BA3408" s="241"/>
      <c r="BE3408" s="107"/>
      <c r="BF3408" s="220"/>
    </row>
    <row r="3409" spans="49:58">
      <c r="AW3409" s="107"/>
      <c r="AX3409" s="195"/>
      <c r="AY3409" s="105"/>
      <c r="AZ3409" s="220"/>
      <c r="BA3409" s="241"/>
      <c r="BE3409" s="107"/>
      <c r="BF3409" s="220"/>
    </row>
    <row r="3410" spans="49:58">
      <c r="AW3410" s="107"/>
      <c r="AX3410" s="195"/>
      <c r="AY3410" s="105"/>
      <c r="AZ3410" s="220"/>
      <c r="BA3410" s="241"/>
      <c r="BE3410" s="107"/>
      <c r="BF3410" s="220"/>
    </row>
    <row r="3411" spans="49:58">
      <c r="AW3411" s="107"/>
      <c r="AX3411" s="195"/>
      <c r="AY3411" s="105"/>
      <c r="AZ3411" s="220"/>
      <c r="BA3411" s="241"/>
      <c r="BE3411" s="107"/>
      <c r="BF3411" s="220"/>
    </row>
    <row r="3412" spans="49:58">
      <c r="AW3412" s="107"/>
      <c r="AX3412" s="195"/>
      <c r="AY3412" s="105"/>
      <c r="AZ3412" s="220"/>
      <c r="BA3412" s="241"/>
      <c r="BE3412" s="107"/>
      <c r="BF3412" s="220"/>
    </row>
    <row r="3413" spans="49:58">
      <c r="AW3413" s="107"/>
      <c r="AX3413" s="195"/>
      <c r="AY3413" s="105"/>
      <c r="AZ3413" s="220"/>
      <c r="BA3413" s="241"/>
      <c r="BE3413" s="107"/>
      <c r="BF3413" s="220"/>
    </row>
    <row r="3414" spans="49:58">
      <c r="AW3414" s="107"/>
      <c r="AX3414" s="195"/>
      <c r="AY3414" s="105"/>
      <c r="AZ3414" s="220"/>
      <c r="BA3414" s="241"/>
      <c r="BE3414" s="107"/>
      <c r="BF3414" s="220"/>
    </row>
    <row r="3415" spans="49:58">
      <c r="AW3415" s="107"/>
      <c r="AX3415" s="195"/>
      <c r="AY3415" s="105"/>
      <c r="AZ3415" s="220"/>
      <c r="BA3415" s="241"/>
      <c r="BE3415" s="107"/>
      <c r="BF3415" s="220"/>
    </row>
    <row r="3416" spans="49:58">
      <c r="AW3416" s="107"/>
      <c r="AX3416" s="195"/>
      <c r="AY3416" s="105"/>
      <c r="AZ3416" s="220"/>
      <c r="BA3416" s="241"/>
      <c r="BE3416" s="107"/>
      <c r="BF3416" s="220"/>
    </row>
    <row r="3417" spans="49:58">
      <c r="AW3417" s="107"/>
      <c r="AX3417" s="195"/>
      <c r="AY3417" s="105"/>
      <c r="AZ3417" s="220"/>
      <c r="BA3417" s="241"/>
      <c r="BE3417" s="107"/>
      <c r="BF3417" s="220"/>
    </row>
    <row r="3418" spans="49:58">
      <c r="AW3418" s="107"/>
      <c r="AX3418" s="195"/>
      <c r="AY3418" s="105"/>
      <c r="AZ3418" s="220"/>
      <c r="BA3418" s="241"/>
      <c r="BE3418" s="107"/>
      <c r="BF3418" s="220"/>
    </row>
    <row r="3419" spans="49:58">
      <c r="AW3419" s="107"/>
      <c r="AX3419" s="195"/>
      <c r="AY3419" s="105"/>
      <c r="AZ3419" s="220"/>
      <c r="BA3419" s="241"/>
      <c r="BE3419" s="107"/>
      <c r="BF3419" s="220"/>
    </row>
    <row r="3420" spans="49:58">
      <c r="AW3420" s="107"/>
      <c r="AX3420" s="195"/>
      <c r="AY3420" s="105"/>
      <c r="AZ3420" s="220"/>
      <c r="BA3420" s="241"/>
      <c r="BE3420" s="107"/>
      <c r="BF3420" s="220"/>
    </row>
    <row r="3421" spans="49:58">
      <c r="AW3421" s="107"/>
      <c r="AX3421" s="195"/>
      <c r="AY3421" s="105"/>
      <c r="AZ3421" s="220"/>
      <c r="BA3421" s="241"/>
      <c r="BE3421" s="107"/>
      <c r="BF3421" s="220"/>
    </row>
    <row r="3422" spans="49:58">
      <c r="AW3422" s="107"/>
      <c r="AX3422" s="195"/>
      <c r="AY3422" s="105"/>
      <c r="AZ3422" s="220"/>
      <c r="BA3422" s="241"/>
      <c r="BE3422" s="107"/>
      <c r="BF3422" s="220"/>
    </row>
    <row r="3423" spans="49:58">
      <c r="AW3423" s="107"/>
      <c r="AX3423" s="195"/>
      <c r="AY3423" s="105"/>
      <c r="AZ3423" s="220"/>
      <c r="BA3423" s="241"/>
      <c r="BE3423" s="107"/>
      <c r="BF3423" s="220"/>
    </row>
    <row r="3424" spans="49:58">
      <c r="AW3424" s="107"/>
      <c r="AX3424" s="195"/>
      <c r="AY3424" s="105"/>
      <c r="AZ3424" s="220"/>
      <c r="BA3424" s="241"/>
      <c r="BE3424" s="107"/>
      <c r="BF3424" s="220"/>
    </row>
    <row r="3425" spans="49:58">
      <c r="AW3425" s="107"/>
      <c r="AX3425" s="195"/>
      <c r="AY3425" s="105"/>
      <c r="AZ3425" s="220"/>
      <c r="BA3425" s="241"/>
      <c r="BE3425" s="107"/>
      <c r="BF3425" s="220"/>
    </row>
    <row r="3426" spans="49:58">
      <c r="AW3426" s="107"/>
      <c r="AX3426" s="195"/>
      <c r="AY3426" s="105"/>
      <c r="AZ3426" s="220"/>
      <c r="BA3426" s="241"/>
      <c r="BE3426" s="107"/>
      <c r="BF3426" s="220"/>
    </row>
    <row r="3427" spans="49:58">
      <c r="AW3427" s="107"/>
      <c r="AX3427" s="195"/>
      <c r="AY3427" s="105"/>
      <c r="AZ3427" s="220"/>
      <c r="BA3427" s="241"/>
      <c r="BE3427" s="107"/>
      <c r="BF3427" s="220"/>
    </row>
    <row r="3428" spans="49:58">
      <c r="AW3428" s="107"/>
      <c r="AX3428" s="195"/>
      <c r="AY3428" s="105"/>
      <c r="AZ3428" s="220"/>
      <c r="BA3428" s="241"/>
      <c r="BE3428" s="107"/>
      <c r="BF3428" s="220"/>
    </row>
    <row r="3429" spans="49:58">
      <c r="AW3429" s="107"/>
      <c r="AX3429" s="195"/>
      <c r="AY3429" s="105"/>
      <c r="AZ3429" s="220"/>
      <c r="BA3429" s="241"/>
      <c r="BE3429" s="107"/>
      <c r="BF3429" s="220"/>
    </row>
    <row r="3430" spans="49:58">
      <c r="AW3430" s="107"/>
      <c r="AX3430" s="195"/>
      <c r="AY3430" s="105"/>
      <c r="AZ3430" s="220"/>
      <c r="BA3430" s="241"/>
      <c r="BE3430" s="107"/>
      <c r="BF3430" s="220"/>
    </row>
    <row r="3431" spans="49:58">
      <c r="AW3431" s="107"/>
      <c r="AX3431" s="195"/>
      <c r="AY3431" s="105"/>
      <c r="AZ3431" s="220"/>
      <c r="BA3431" s="241"/>
      <c r="BE3431" s="107"/>
      <c r="BF3431" s="220"/>
    </row>
    <row r="3432" spans="49:58">
      <c r="AW3432" s="107"/>
      <c r="AX3432" s="195"/>
      <c r="AY3432" s="105"/>
      <c r="AZ3432" s="220"/>
      <c r="BA3432" s="241"/>
      <c r="BE3432" s="107"/>
      <c r="BF3432" s="220"/>
    </row>
    <row r="3433" spans="49:58">
      <c r="AW3433" s="107"/>
      <c r="AX3433" s="195"/>
      <c r="AY3433" s="105"/>
      <c r="AZ3433" s="220"/>
      <c r="BA3433" s="241"/>
      <c r="BE3433" s="107"/>
      <c r="BF3433" s="220"/>
    </row>
    <row r="3434" spans="49:58">
      <c r="AW3434" s="107"/>
      <c r="AX3434" s="195"/>
      <c r="AY3434" s="105"/>
      <c r="AZ3434" s="220"/>
      <c r="BA3434" s="241"/>
      <c r="BE3434" s="107"/>
      <c r="BF3434" s="220"/>
    </row>
    <row r="3435" spans="49:58">
      <c r="AW3435" s="107"/>
      <c r="AX3435" s="195"/>
      <c r="AY3435" s="105"/>
      <c r="AZ3435" s="220"/>
      <c r="BA3435" s="241"/>
      <c r="BE3435" s="107"/>
      <c r="BF3435" s="220"/>
    </row>
    <row r="3436" spans="49:58">
      <c r="AW3436" s="107"/>
      <c r="AX3436" s="195"/>
      <c r="AY3436" s="105"/>
      <c r="AZ3436" s="220"/>
      <c r="BA3436" s="241"/>
      <c r="BE3436" s="107"/>
      <c r="BF3436" s="220"/>
    </row>
    <row r="3437" spans="49:58">
      <c r="AW3437" s="107"/>
      <c r="AX3437" s="195"/>
      <c r="AY3437" s="105"/>
      <c r="AZ3437" s="220"/>
      <c r="BA3437" s="241"/>
      <c r="BE3437" s="107"/>
      <c r="BF3437" s="220"/>
    </row>
    <row r="3438" spans="49:58">
      <c r="AW3438" s="107"/>
      <c r="AX3438" s="195"/>
      <c r="AY3438" s="105"/>
      <c r="AZ3438" s="220"/>
      <c r="BA3438" s="241"/>
      <c r="BE3438" s="107"/>
      <c r="BF3438" s="220"/>
    </row>
    <row r="3439" spans="49:58">
      <c r="AW3439" s="107"/>
      <c r="AX3439" s="195"/>
      <c r="AY3439" s="105"/>
      <c r="AZ3439" s="220"/>
      <c r="BA3439" s="241"/>
      <c r="BE3439" s="107"/>
      <c r="BF3439" s="220"/>
    </row>
    <row r="3440" spans="49:58">
      <c r="AW3440" s="107"/>
      <c r="AX3440" s="195"/>
      <c r="AY3440" s="105"/>
      <c r="AZ3440" s="220"/>
      <c r="BA3440" s="241"/>
      <c r="BE3440" s="107"/>
      <c r="BF3440" s="220"/>
    </row>
    <row r="3441" spans="49:58">
      <c r="AW3441" s="107"/>
      <c r="AX3441" s="195"/>
      <c r="AY3441" s="105"/>
      <c r="AZ3441" s="220"/>
      <c r="BA3441" s="241"/>
      <c r="BE3441" s="107"/>
      <c r="BF3441" s="220"/>
    </row>
    <row r="3442" spans="49:58">
      <c r="AW3442" s="107"/>
      <c r="AX3442" s="195"/>
      <c r="AY3442" s="105"/>
      <c r="AZ3442" s="220"/>
      <c r="BA3442" s="241"/>
      <c r="BE3442" s="107"/>
      <c r="BF3442" s="220"/>
    </row>
    <row r="3443" spans="49:58">
      <c r="AW3443" s="107"/>
      <c r="AX3443" s="195"/>
      <c r="AY3443" s="105"/>
      <c r="AZ3443" s="220"/>
      <c r="BA3443" s="241"/>
      <c r="BE3443" s="107"/>
      <c r="BF3443" s="220"/>
    </row>
    <row r="3444" spans="49:58">
      <c r="AW3444" s="107"/>
      <c r="AX3444" s="195"/>
      <c r="AY3444" s="105"/>
      <c r="AZ3444" s="220"/>
      <c r="BA3444" s="241"/>
      <c r="BE3444" s="107"/>
      <c r="BF3444" s="220"/>
    </row>
    <row r="3445" spans="49:58">
      <c r="AW3445" s="107"/>
      <c r="AX3445" s="195"/>
      <c r="AY3445" s="105"/>
      <c r="AZ3445" s="220"/>
      <c r="BA3445" s="241"/>
      <c r="BE3445" s="107"/>
      <c r="BF3445" s="220"/>
    </row>
    <row r="3446" spans="49:58">
      <c r="AW3446" s="107"/>
      <c r="AX3446" s="195"/>
      <c r="AY3446" s="105"/>
      <c r="AZ3446" s="220"/>
      <c r="BA3446" s="241"/>
      <c r="BE3446" s="107"/>
      <c r="BF3446" s="220"/>
    </row>
    <row r="3447" spans="49:58">
      <c r="AW3447" s="107"/>
      <c r="AX3447" s="195"/>
      <c r="AY3447" s="105"/>
      <c r="AZ3447" s="220"/>
      <c r="BA3447" s="241"/>
      <c r="BE3447" s="107"/>
      <c r="BF3447" s="220"/>
    </row>
    <row r="3448" spans="49:58">
      <c r="AW3448" s="107"/>
      <c r="AX3448" s="195"/>
      <c r="AY3448" s="105"/>
      <c r="AZ3448" s="220"/>
      <c r="BA3448" s="241"/>
      <c r="BE3448" s="107"/>
      <c r="BF3448" s="220"/>
    </row>
    <row r="3449" spans="49:58">
      <c r="AW3449" s="107"/>
      <c r="AX3449" s="195"/>
      <c r="AY3449" s="105"/>
      <c r="AZ3449" s="220"/>
      <c r="BA3449" s="241"/>
      <c r="BE3449" s="107"/>
      <c r="BF3449" s="220"/>
    </row>
    <row r="3450" spans="49:58">
      <c r="AW3450" s="107"/>
      <c r="AX3450" s="195"/>
      <c r="AY3450" s="105"/>
      <c r="AZ3450" s="220"/>
      <c r="BA3450" s="241"/>
      <c r="BE3450" s="107"/>
      <c r="BF3450" s="220"/>
    </row>
    <row r="3451" spans="49:58">
      <c r="AW3451" s="107"/>
      <c r="AX3451" s="195"/>
      <c r="AY3451" s="105"/>
      <c r="AZ3451" s="220"/>
      <c r="BA3451" s="241"/>
      <c r="BE3451" s="107"/>
      <c r="BF3451" s="220"/>
    </row>
    <row r="3452" spans="49:58">
      <c r="AW3452" s="107"/>
      <c r="AX3452" s="195"/>
      <c r="AY3452" s="105"/>
      <c r="AZ3452" s="220"/>
      <c r="BA3452" s="241"/>
      <c r="BE3452" s="107"/>
      <c r="BF3452" s="220"/>
    </row>
    <row r="3453" spans="49:58">
      <c r="AW3453" s="107"/>
      <c r="AX3453" s="195"/>
      <c r="AY3453" s="105"/>
      <c r="AZ3453" s="220"/>
      <c r="BA3453" s="241"/>
      <c r="BE3453" s="107"/>
      <c r="BF3453" s="220"/>
    </row>
    <row r="3454" spans="49:58">
      <c r="AW3454" s="107"/>
      <c r="AX3454" s="195"/>
      <c r="AY3454" s="105"/>
      <c r="AZ3454" s="220"/>
      <c r="BA3454" s="241"/>
      <c r="BE3454" s="107"/>
      <c r="BF3454" s="220"/>
    </row>
    <row r="3455" spans="49:58">
      <c r="AW3455" s="107"/>
      <c r="AX3455" s="195"/>
      <c r="AY3455" s="105"/>
      <c r="AZ3455" s="220"/>
      <c r="BA3455" s="241"/>
      <c r="BE3455" s="107"/>
      <c r="BF3455" s="220"/>
    </row>
    <row r="3456" spans="49:58">
      <c r="AW3456" s="107"/>
      <c r="AX3456" s="195"/>
      <c r="AY3456" s="105"/>
      <c r="AZ3456" s="220"/>
      <c r="BA3456" s="241"/>
      <c r="BE3456" s="107"/>
      <c r="BF3456" s="220"/>
    </row>
    <row r="3457" spans="49:58">
      <c r="AW3457" s="107"/>
      <c r="AX3457" s="195"/>
      <c r="AY3457" s="105"/>
      <c r="AZ3457" s="220"/>
      <c r="BA3457" s="241"/>
      <c r="BE3457" s="107"/>
      <c r="BF3457" s="220"/>
    </row>
    <row r="3458" spans="49:58">
      <c r="AW3458" s="107"/>
      <c r="AX3458" s="195"/>
      <c r="AY3458" s="105"/>
      <c r="AZ3458" s="220"/>
      <c r="BA3458" s="241"/>
      <c r="BE3458" s="107"/>
      <c r="BF3458" s="220"/>
    </row>
    <row r="3459" spans="49:58">
      <c r="AW3459" s="107"/>
      <c r="AX3459" s="195"/>
      <c r="AY3459" s="105"/>
      <c r="AZ3459" s="220"/>
      <c r="BA3459" s="241"/>
      <c r="BE3459" s="107"/>
      <c r="BF3459" s="220"/>
    </row>
    <row r="3460" spans="49:58">
      <c r="AW3460" s="107"/>
      <c r="AX3460" s="195"/>
      <c r="AY3460" s="105"/>
      <c r="AZ3460" s="220"/>
      <c r="BA3460" s="241"/>
      <c r="BE3460" s="107"/>
      <c r="BF3460" s="220"/>
    </row>
    <row r="3461" spans="49:58">
      <c r="AW3461" s="107"/>
      <c r="AX3461" s="195"/>
      <c r="AY3461" s="105"/>
      <c r="AZ3461" s="220"/>
      <c r="BA3461" s="241"/>
      <c r="BE3461" s="107"/>
      <c r="BF3461" s="220"/>
    </row>
    <row r="3462" spans="49:58">
      <c r="AW3462" s="107"/>
      <c r="AX3462" s="195"/>
      <c r="AY3462" s="105"/>
      <c r="AZ3462" s="220"/>
      <c r="BA3462" s="241"/>
      <c r="BE3462" s="107"/>
      <c r="BF3462" s="220"/>
    </row>
    <row r="3463" spans="49:58">
      <c r="AW3463" s="107"/>
      <c r="AX3463" s="195"/>
      <c r="AY3463" s="105"/>
      <c r="AZ3463" s="220"/>
      <c r="BA3463" s="241"/>
      <c r="BE3463" s="107"/>
      <c r="BF3463" s="220"/>
    </row>
    <row r="3464" spans="49:58">
      <c r="AW3464" s="107"/>
      <c r="AX3464" s="195"/>
      <c r="AY3464" s="105"/>
      <c r="AZ3464" s="220"/>
      <c r="BA3464" s="241"/>
      <c r="BE3464" s="107"/>
      <c r="BF3464" s="220"/>
    </row>
    <row r="3465" spans="49:58">
      <c r="AW3465" s="107"/>
      <c r="AX3465" s="195"/>
      <c r="AY3465" s="105"/>
      <c r="AZ3465" s="220"/>
      <c r="BA3465" s="241"/>
      <c r="BE3465" s="107"/>
      <c r="BF3465" s="220"/>
    </row>
    <row r="3466" spans="49:58">
      <c r="AW3466" s="107"/>
      <c r="AX3466" s="195"/>
      <c r="AY3466" s="105"/>
      <c r="AZ3466" s="220"/>
      <c r="BA3466" s="241"/>
      <c r="BE3466" s="107"/>
      <c r="BF3466" s="220"/>
    </row>
    <row r="3467" spans="49:58">
      <c r="AW3467" s="107"/>
      <c r="AX3467" s="195"/>
      <c r="AY3467" s="105"/>
      <c r="AZ3467" s="220"/>
      <c r="BA3467" s="241"/>
      <c r="BE3467" s="107"/>
      <c r="BF3467" s="220"/>
    </row>
    <row r="3468" spans="49:58">
      <c r="AW3468" s="107"/>
      <c r="AX3468" s="195"/>
      <c r="AY3468" s="105"/>
      <c r="AZ3468" s="220"/>
      <c r="BA3468" s="241"/>
      <c r="BE3468" s="107"/>
      <c r="BF3468" s="220"/>
    </row>
    <row r="3469" spans="49:58">
      <c r="AW3469" s="107"/>
      <c r="AX3469" s="195"/>
      <c r="AY3469" s="105"/>
      <c r="AZ3469" s="220"/>
      <c r="BA3469" s="241"/>
      <c r="BE3469" s="107"/>
      <c r="BF3469" s="220"/>
    </row>
    <row r="3470" spans="49:58">
      <c r="AW3470" s="107"/>
      <c r="AX3470" s="195"/>
      <c r="AY3470" s="105"/>
      <c r="AZ3470" s="220"/>
      <c r="BA3470" s="241"/>
      <c r="BE3470" s="107"/>
      <c r="BF3470" s="220"/>
    </row>
    <row r="3471" spans="49:58">
      <c r="AW3471" s="107"/>
      <c r="AX3471" s="195"/>
      <c r="AY3471" s="105"/>
      <c r="AZ3471" s="220"/>
      <c r="BA3471" s="241"/>
      <c r="BE3471" s="107"/>
      <c r="BF3471" s="220"/>
    </row>
    <row r="3472" spans="49:58">
      <c r="AW3472" s="107"/>
      <c r="AX3472" s="195"/>
      <c r="AY3472" s="105"/>
      <c r="AZ3472" s="220"/>
      <c r="BA3472" s="241"/>
      <c r="BE3472" s="107"/>
      <c r="BF3472" s="220"/>
    </row>
    <row r="3473" spans="49:58">
      <c r="AW3473" s="107"/>
      <c r="AX3473" s="195"/>
      <c r="AY3473" s="105"/>
      <c r="AZ3473" s="220"/>
      <c r="BA3473" s="241"/>
      <c r="BE3473" s="107"/>
      <c r="BF3473" s="220"/>
    </row>
    <row r="3474" spans="49:58">
      <c r="AW3474" s="107"/>
      <c r="AX3474" s="195"/>
      <c r="AY3474" s="105"/>
      <c r="AZ3474" s="220"/>
      <c r="BA3474" s="241"/>
      <c r="BE3474" s="107"/>
      <c r="BF3474" s="220"/>
    </row>
    <row r="3475" spans="49:58">
      <c r="AW3475" s="107"/>
      <c r="AX3475" s="195"/>
      <c r="AY3475" s="105"/>
      <c r="AZ3475" s="220"/>
      <c r="BA3475" s="241"/>
      <c r="BE3475" s="107"/>
      <c r="BF3475" s="220"/>
    </row>
    <row r="3476" spans="49:58">
      <c r="AW3476" s="107"/>
      <c r="AX3476" s="195"/>
      <c r="AY3476" s="105"/>
      <c r="AZ3476" s="220"/>
      <c r="BA3476" s="241"/>
      <c r="BE3476" s="107"/>
      <c r="BF3476" s="220"/>
    </row>
    <row r="3477" spans="49:58">
      <c r="AW3477" s="107"/>
      <c r="AX3477" s="195"/>
      <c r="AY3477" s="105"/>
      <c r="AZ3477" s="220"/>
      <c r="BA3477" s="241"/>
      <c r="BE3477" s="107"/>
      <c r="BF3477" s="220"/>
    </row>
    <row r="3478" spans="49:58">
      <c r="AW3478" s="107"/>
      <c r="AX3478" s="195"/>
      <c r="AY3478" s="105"/>
      <c r="AZ3478" s="220"/>
      <c r="BA3478" s="241"/>
      <c r="BE3478" s="107"/>
      <c r="BF3478" s="220"/>
    </row>
    <row r="3479" spans="49:58">
      <c r="AW3479" s="107"/>
      <c r="AX3479" s="195"/>
      <c r="AY3479" s="105"/>
      <c r="AZ3479" s="220"/>
      <c r="BA3479" s="241"/>
      <c r="BE3479" s="107"/>
      <c r="BF3479" s="220"/>
    </row>
    <row r="3480" spans="49:58">
      <c r="AW3480" s="107"/>
      <c r="AX3480" s="195"/>
      <c r="AY3480" s="105"/>
      <c r="AZ3480" s="220"/>
      <c r="BA3480" s="241"/>
      <c r="BE3480" s="107"/>
      <c r="BF3480" s="220"/>
    </row>
    <row r="3481" spans="49:58">
      <c r="AW3481" s="107"/>
      <c r="AX3481" s="195"/>
      <c r="AY3481" s="105"/>
      <c r="AZ3481" s="220"/>
      <c r="BA3481" s="241"/>
      <c r="BE3481" s="107"/>
      <c r="BF3481" s="220"/>
    </row>
    <row r="3482" spans="49:58">
      <c r="AW3482" s="107"/>
      <c r="AX3482" s="195"/>
      <c r="AY3482" s="105"/>
      <c r="AZ3482" s="220"/>
      <c r="BA3482" s="241"/>
      <c r="BE3482" s="107"/>
      <c r="BF3482" s="220"/>
    </row>
    <row r="3483" spans="49:58">
      <c r="AW3483" s="107"/>
      <c r="AX3483" s="195"/>
      <c r="AY3483" s="105"/>
      <c r="AZ3483" s="220"/>
      <c r="BA3483" s="241"/>
      <c r="BE3483" s="107"/>
      <c r="BF3483" s="220"/>
    </row>
    <row r="3484" spans="49:58">
      <c r="AW3484" s="107"/>
      <c r="AX3484" s="195"/>
      <c r="AY3484" s="105"/>
      <c r="AZ3484" s="220"/>
      <c r="BA3484" s="241"/>
      <c r="BE3484" s="107"/>
      <c r="BF3484" s="220"/>
    </row>
    <row r="3485" spans="49:58">
      <c r="AW3485" s="107"/>
      <c r="AX3485" s="195"/>
      <c r="AY3485" s="105"/>
      <c r="AZ3485" s="220"/>
      <c r="BA3485" s="241"/>
      <c r="BE3485" s="107"/>
      <c r="BF3485" s="220"/>
    </row>
    <row r="3486" spans="49:58">
      <c r="AW3486" s="107"/>
      <c r="AX3486" s="195"/>
      <c r="AY3486" s="105"/>
      <c r="AZ3486" s="220"/>
      <c r="BA3486" s="241"/>
      <c r="BE3486" s="107"/>
      <c r="BF3486" s="220"/>
    </row>
    <row r="3487" spans="49:58">
      <c r="AW3487" s="107"/>
      <c r="AX3487" s="195"/>
      <c r="AY3487" s="105"/>
      <c r="AZ3487" s="220"/>
      <c r="BA3487" s="241"/>
      <c r="BE3487" s="107"/>
      <c r="BF3487" s="220"/>
    </row>
    <row r="3488" spans="49:58">
      <c r="AW3488" s="107"/>
      <c r="AX3488" s="195"/>
      <c r="AY3488" s="105"/>
      <c r="AZ3488" s="220"/>
      <c r="BA3488" s="241"/>
      <c r="BE3488" s="107"/>
      <c r="BF3488" s="220"/>
    </row>
    <row r="3489" spans="49:58">
      <c r="AW3489" s="107"/>
      <c r="AX3489" s="195"/>
      <c r="AY3489" s="105"/>
      <c r="AZ3489" s="220"/>
      <c r="BA3489" s="241"/>
      <c r="BE3489" s="107"/>
      <c r="BF3489" s="220"/>
    </row>
    <row r="3490" spans="49:58">
      <c r="AW3490" s="107"/>
      <c r="AX3490" s="195"/>
      <c r="AY3490" s="105"/>
      <c r="AZ3490" s="220"/>
      <c r="BA3490" s="241"/>
      <c r="BE3490" s="107"/>
      <c r="BF3490" s="220"/>
    </row>
    <row r="3491" spans="49:58">
      <c r="AW3491" s="107"/>
      <c r="AX3491" s="195"/>
      <c r="AY3491" s="105"/>
      <c r="AZ3491" s="220"/>
      <c r="BA3491" s="241"/>
      <c r="BE3491" s="107"/>
      <c r="BF3491" s="220"/>
    </row>
    <row r="3492" spans="49:58">
      <c r="AW3492" s="107"/>
      <c r="AX3492" s="195"/>
      <c r="AY3492" s="105"/>
      <c r="AZ3492" s="220"/>
      <c r="BA3492" s="241"/>
      <c r="BE3492" s="107"/>
      <c r="BF3492" s="220"/>
    </row>
    <row r="3493" spans="49:58">
      <c r="AW3493" s="107"/>
      <c r="AX3493" s="195"/>
      <c r="AY3493" s="105"/>
      <c r="AZ3493" s="220"/>
      <c r="BA3493" s="241"/>
      <c r="BE3493" s="107"/>
      <c r="BF3493" s="220"/>
    </row>
    <row r="3494" spans="49:58">
      <c r="AW3494" s="107"/>
      <c r="AX3494" s="195"/>
      <c r="AY3494" s="105"/>
      <c r="AZ3494" s="220"/>
      <c r="BA3494" s="241"/>
      <c r="BE3494" s="107"/>
      <c r="BF3494" s="220"/>
    </row>
    <row r="3495" spans="49:58">
      <c r="AW3495" s="107"/>
      <c r="AX3495" s="195"/>
      <c r="AY3495" s="105"/>
      <c r="AZ3495" s="220"/>
      <c r="BA3495" s="241"/>
      <c r="BE3495" s="107"/>
      <c r="BF3495" s="220"/>
    </row>
    <row r="3496" spans="49:58">
      <c r="AW3496" s="107"/>
      <c r="AX3496" s="195"/>
      <c r="AY3496" s="105"/>
      <c r="AZ3496" s="220"/>
      <c r="BA3496" s="241"/>
      <c r="BE3496" s="107"/>
      <c r="BF3496" s="220"/>
    </row>
    <row r="3497" spans="49:58">
      <c r="AW3497" s="107"/>
      <c r="AX3497" s="195"/>
      <c r="AY3497" s="105"/>
      <c r="AZ3497" s="220"/>
      <c r="BA3497" s="241"/>
      <c r="BE3497" s="107"/>
      <c r="BF3497" s="220"/>
    </row>
    <row r="3498" spans="49:58">
      <c r="AW3498" s="107"/>
      <c r="AX3498" s="195"/>
      <c r="AY3498" s="105"/>
      <c r="AZ3498" s="220"/>
      <c r="BA3498" s="241"/>
      <c r="BE3498" s="107"/>
      <c r="BF3498" s="220"/>
    </row>
    <row r="3499" spans="49:58">
      <c r="AW3499" s="107"/>
      <c r="AX3499" s="195"/>
      <c r="AY3499" s="105"/>
      <c r="AZ3499" s="220"/>
      <c r="BA3499" s="241"/>
      <c r="BE3499" s="107"/>
      <c r="BF3499" s="220"/>
    </row>
    <row r="3500" spans="49:58">
      <c r="AW3500" s="107"/>
      <c r="AX3500" s="195"/>
      <c r="AY3500" s="105"/>
      <c r="AZ3500" s="220"/>
      <c r="BA3500" s="241"/>
      <c r="BE3500" s="107"/>
      <c r="BF3500" s="220"/>
    </row>
    <row r="3501" spans="49:58">
      <c r="AW3501" s="107"/>
      <c r="AX3501" s="195"/>
      <c r="AY3501" s="105"/>
      <c r="AZ3501" s="220"/>
      <c r="BA3501" s="241"/>
      <c r="BE3501" s="107"/>
      <c r="BF3501" s="220"/>
    </row>
    <row r="3502" spans="49:58">
      <c r="AW3502" s="107"/>
      <c r="AX3502" s="195"/>
      <c r="AY3502" s="105"/>
      <c r="AZ3502" s="220"/>
      <c r="BA3502" s="241"/>
      <c r="BE3502" s="107"/>
      <c r="BF3502" s="220"/>
    </row>
    <row r="3503" spans="49:58">
      <c r="AW3503" s="107"/>
      <c r="AX3503" s="195"/>
      <c r="AY3503" s="105"/>
      <c r="AZ3503" s="220"/>
      <c r="BA3503" s="241"/>
      <c r="BE3503" s="107"/>
      <c r="BF3503" s="220"/>
    </row>
    <row r="3504" spans="49:58">
      <c r="AW3504" s="107"/>
      <c r="AX3504" s="195"/>
      <c r="AY3504" s="105"/>
      <c r="AZ3504" s="220"/>
      <c r="BA3504" s="241"/>
      <c r="BE3504" s="107"/>
      <c r="BF3504" s="220"/>
    </row>
    <row r="3505" spans="49:58">
      <c r="AW3505" s="107"/>
      <c r="AX3505" s="195"/>
      <c r="AY3505" s="105"/>
      <c r="AZ3505" s="220"/>
      <c r="BA3505" s="241"/>
      <c r="BE3505" s="107"/>
      <c r="BF3505" s="220"/>
    </row>
    <row r="3506" spans="49:58">
      <c r="AW3506" s="107"/>
      <c r="AX3506" s="195"/>
      <c r="AY3506" s="105"/>
      <c r="AZ3506" s="220"/>
      <c r="BA3506" s="241"/>
      <c r="BE3506" s="107"/>
      <c r="BF3506" s="220"/>
    </row>
    <row r="3507" spans="49:58">
      <c r="AW3507" s="107"/>
      <c r="AX3507" s="195"/>
      <c r="AY3507" s="105"/>
      <c r="AZ3507" s="220"/>
      <c r="BA3507" s="241"/>
      <c r="BE3507" s="107"/>
      <c r="BF3507" s="220"/>
    </row>
    <row r="3508" spans="49:58">
      <c r="AW3508" s="107"/>
      <c r="AX3508" s="195"/>
      <c r="AY3508" s="105"/>
      <c r="AZ3508" s="220"/>
      <c r="BA3508" s="241"/>
      <c r="BE3508" s="107"/>
      <c r="BF3508" s="220"/>
    </row>
    <row r="3509" spans="49:58">
      <c r="AW3509" s="107"/>
      <c r="AX3509" s="195"/>
      <c r="AY3509" s="105"/>
      <c r="AZ3509" s="220"/>
      <c r="BA3509" s="241"/>
      <c r="BE3509" s="107"/>
      <c r="BF3509" s="220"/>
    </row>
    <row r="3510" spans="49:58">
      <c r="AW3510" s="107"/>
      <c r="AX3510" s="195"/>
      <c r="AY3510" s="105"/>
      <c r="AZ3510" s="220"/>
      <c r="BA3510" s="241"/>
      <c r="BE3510" s="107"/>
      <c r="BF3510" s="220"/>
    </row>
    <row r="3511" spans="49:58">
      <c r="AW3511" s="107"/>
      <c r="AX3511" s="195"/>
      <c r="AY3511" s="105"/>
      <c r="AZ3511" s="220"/>
      <c r="BA3511" s="241"/>
      <c r="BE3511" s="107"/>
      <c r="BF3511" s="220"/>
    </row>
    <row r="3512" spans="49:58">
      <c r="AW3512" s="107"/>
      <c r="AX3512" s="195"/>
      <c r="AY3512" s="105"/>
      <c r="AZ3512" s="220"/>
      <c r="BA3512" s="241"/>
      <c r="BE3512" s="107"/>
      <c r="BF3512" s="220"/>
    </row>
    <row r="3513" spans="49:58">
      <c r="AW3513" s="107"/>
      <c r="AX3513" s="195"/>
      <c r="AY3513" s="105"/>
      <c r="AZ3513" s="220"/>
      <c r="BA3513" s="241"/>
      <c r="BE3513" s="107"/>
      <c r="BF3513" s="220"/>
    </row>
    <row r="3514" spans="49:58">
      <c r="AW3514" s="107"/>
      <c r="AX3514" s="195"/>
      <c r="AY3514" s="105"/>
      <c r="AZ3514" s="220"/>
      <c r="BA3514" s="241"/>
      <c r="BE3514" s="107"/>
      <c r="BF3514" s="220"/>
    </row>
    <row r="3515" spans="49:58">
      <c r="AW3515" s="107"/>
      <c r="AX3515" s="195"/>
      <c r="AY3515" s="105"/>
      <c r="AZ3515" s="220"/>
      <c r="BA3515" s="241"/>
      <c r="BE3515" s="107"/>
      <c r="BF3515" s="220"/>
    </row>
    <row r="3516" spans="49:58">
      <c r="AW3516" s="107"/>
      <c r="AX3516" s="195"/>
      <c r="AY3516" s="105"/>
      <c r="AZ3516" s="220"/>
      <c r="BA3516" s="241"/>
      <c r="BE3516" s="107"/>
      <c r="BF3516" s="220"/>
    </row>
    <row r="3517" spans="49:58">
      <c r="AW3517" s="107"/>
      <c r="AX3517" s="195"/>
      <c r="AY3517" s="105"/>
      <c r="AZ3517" s="220"/>
      <c r="BA3517" s="241"/>
      <c r="BE3517" s="107"/>
      <c r="BF3517" s="220"/>
    </row>
    <row r="3518" spans="49:58">
      <c r="AW3518" s="107"/>
      <c r="AX3518" s="195"/>
      <c r="AY3518" s="105"/>
      <c r="AZ3518" s="220"/>
      <c r="BA3518" s="241"/>
      <c r="BE3518" s="107"/>
      <c r="BF3518" s="220"/>
    </row>
    <row r="3519" spans="49:58">
      <c r="AW3519" s="107"/>
      <c r="AX3519" s="195"/>
      <c r="AY3519" s="105"/>
      <c r="AZ3519" s="220"/>
      <c r="BA3519" s="241"/>
      <c r="BE3519" s="107"/>
      <c r="BF3519" s="220"/>
    </row>
    <row r="3520" spans="49:58">
      <c r="AW3520" s="107"/>
      <c r="AX3520" s="195"/>
      <c r="AY3520" s="105"/>
      <c r="AZ3520" s="220"/>
      <c r="BA3520" s="241"/>
      <c r="BE3520" s="107"/>
      <c r="BF3520" s="220"/>
    </row>
    <row r="3521" spans="49:58">
      <c r="AW3521" s="107"/>
      <c r="AX3521" s="195"/>
      <c r="AY3521" s="105"/>
      <c r="AZ3521" s="220"/>
      <c r="BA3521" s="241"/>
      <c r="BE3521" s="107"/>
      <c r="BF3521" s="220"/>
    </row>
    <row r="3522" spans="49:58">
      <c r="AW3522" s="107"/>
      <c r="AX3522" s="195"/>
      <c r="AY3522" s="105"/>
      <c r="AZ3522" s="220"/>
      <c r="BA3522" s="241"/>
      <c r="BE3522" s="107"/>
      <c r="BF3522" s="220"/>
    </row>
    <row r="3523" spans="49:58">
      <c r="AW3523" s="107"/>
      <c r="AX3523" s="195"/>
      <c r="AY3523" s="105"/>
      <c r="AZ3523" s="220"/>
      <c r="BA3523" s="241"/>
      <c r="BE3523" s="107"/>
      <c r="BF3523" s="220"/>
    </row>
    <row r="3524" spans="49:58">
      <c r="AW3524" s="107"/>
      <c r="AX3524" s="195"/>
      <c r="AY3524" s="105"/>
      <c r="AZ3524" s="220"/>
      <c r="BA3524" s="241"/>
      <c r="BE3524" s="107"/>
      <c r="BF3524" s="220"/>
    </row>
    <row r="3525" spans="49:58">
      <c r="AW3525" s="107"/>
      <c r="AX3525" s="195"/>
      <c r="AY3525" s="105"/>
      <c r="AZ3525" s="220"/>
      <c r="BA3525" s="241"/>
      <c r="BE3525" s="107"/>
      <c r="BF3525" s="220"/>
    </row>
    <row r="3526" spans="49:58">
      <c r="AW3526" s="107"/>
      <c r="AX3526" s="195"/>
      <c r="AY3526" s="105"/>
      <c r="AZ3526" s="220"/>
      <c r="BA3526" s="241"/>
      <c r="BE3526" s="107"/>
      <c r="BF3526" s="220"/>
    </row>
    <row r="3527" spans="49:58">
      <c r="AW3527" s="107"/>
      <c r="AX3527" s="195"/>
      <c r="AY3527" s="105"/>
      <c r="AZ3527" s="220"/>
      <c r="BA3527" s="241"/>
      <c r="BE3527" s="107"/>
      <c r="BF3527" s="220"/>
    </row>
    <row r="3528" spans="49:58">
      <c r="AW3528" s="107"/>
      <c r="AX3528" s="195"/>
      <c r="AY3528" s="105"/>
      <c r="AZ3528" s="220"/>
      <c r="BA3528" s="241"/>
      <c r="BE3528" s="107"/>
      <c r="BF3528" s="220"/>
    </row>
    <row r="3529" spans="49:58">
      <c r="AW3529" s="107"/>
      <c r="AX3529" s="195"/>
      <c r="AY3529" s="105"/>
      <c r="AZ3529" s="220"/>
      <c r="BA3529" s="241"/>
      <c r="BE3529" s="107"/>
      <c r="BF3529" s="220"/>
    </row>
    <row r="3530" spans="49:58">
      <c r="AW3530" s="107"/>
      <c r="AX3530" s="195"/>
      <c r="AY3530" s="105"/>
      <c r="AZ3530" s="220"/>
      <c r="BA3530" s="241"/>
      <c r="BE3530" s="107"/>
      <c r="BF3530" s="220"/>
    </row>
    <row r="3531" spans="49:58">
      <c r="AW3531" s="107"/>
      <c r="AX3531" s="195"/>
      <c r="AY3531" s="105"/>
      <c r="AZ3531" s="220"/>
      <c r="BA3531" s="241"/>
      <c r="BE3531" s="107"/>
      <c r="BF3531" s="220"/>
    </row>
    <row r="3532" spans="49:58">
      <c r="AW3532" s="107"/>
      <c r="AX3532" s="195"/>
      <c r="AY3532" s="105"/>
      <c r="AZ3532" s="220"/>
      <c r="BA3532" s="241"/>
      <c r="BE3532" s="107"/>
      <c r="BF3532" s="220"/>
    </row>
    <row r="3533" spans="49:58">
      <c r="AW3533" s="107"/>
      <c r="AX3533" s="195"/>
      <c r="AY3533" s="105"/>
      <c r="AZ3533" s="220"/>
      <c r="BA3533" s="241"/>
      <c r="BE3533" s="107"/>
      <c r="BF3533" s="220"/>
    </row>
    <row r="3534" spans="49:58">
      <c r="AW3534" s="107"/>
      <c r="AX3534" s="195"/>
      <c r="AY3534" s="105"/>
      <c r="AZ3534" s="220"/>
      <c r="BA3534" s="241"/>
      <c r="BE3534" s="107"/>
      <c r="BF3534" s="220"/>
    </row>
    <row r="3535" spans="49:58">
      <c r="AW3535" s="107"/>
      <c r="AX3535" s="195"/>
      <c r="AY3535" s="105"/>
      <c r="AZ3535" s="220"/>
      <c r="BA3535" s="241"/>
      <c r="BE3535" s="107"/>
      <c r="BF3535" s="220"/>
    </row>
    <row r="3536" spans="49:58">
      <c r="AW3536" s="107"/>
      <c r="AX3536" s="195"/>
      <c r="AY3536" s="105"/>
      <c r="AZ3536" s="220"/>
      <c r="BA3536" s="241"/>
      <c r="BE3536" s="107"/>
      <c r="BF3536" s="220"/>
    </row>
    <row r="3537" spans="49:58">
      <c r="AW3537" s="107"/>
      <c r="AX3537" s="195"/>
      <c r="AY3537" s="105"/>
      <c r="AZ3537" s="220"/>
      <c r="BA3537" s="241"/>
      <c r="BE3537" s="107"/>
      <c r="BF3537" s="220"/>
    </row>
    <row r="3538" spans="49:58">
      <c r="AW3538" s="107"/>
      <c r="AX3538" s="195"/>
      <c r="AY3538" s="105"/>
      <c r="AZ3538" s="220"/>
      <c r="BA3538" s="241"/>
      <c r="BE3538" s="107"/>
      <c r="BF3538" s="220"/>
    </row>
    <row r="3539" spans="49:58">
      <c r="AW3539" s="107"/>
      <c r="AX3539" s="195"/>
      <c r="AY3539" s="105"/>
      <c r="AZ3539" s="220"/>
      <c r="BA3539" s="241"/>
      <c r="BE3539" s="107"/>
      <c r="BF3539" s="220"/>
    </row>
    <row r="3540" spans="49:58">
      <c r="AW3540" s="107"/>
      <c r="AX3540" s="195"/>
      <c r="AY3540" s="105"/>
      <c r="AZ3540" s="220"/>
      <c r="BA3540" s="241"/>
      <c r="BE3540" s="107"/>
      <c r="BF3540" s="220"/>
    </row>
    <row r="3541" spans="49:58">
      <c r="AW3541" s="107"/>
      <c r="AX3541" s="195"/>
      <c r="AY3541" s="105"/>
      <c r="AZ3541" s="220"/>
      <c r="BA3541" s="241"/>
      <c r="BE3541" s="107"/>
      <c r="BF3541" s="220"/>
    </row>
    <row r="3542" spans="49:58">
      <c r="AW3542" s="107"/>
      <c r="AX3542" s="195"/>
      <c r="AY3542" s="105"/>
      <c r="AZ3542" s="220"/>
      <c r="BA3542" s="241"/>
      <c r="BE3542" s="107"/>
      <c r="BF3542" s="220"/>
    </row>
    <row r="3543" spans="49:58">
      <c r="AW3543" s="107"/>
      <c r="AX3543" s="195"/>
      <c r="AY3543" s="105"/>
      <c r="AZ3543" s="220"/>
      <c r="BA3543" s="241"/>
      <c r="BE3543" s="107"/>
      <c r="BF3543" s="220"/>
    </row>
    <row r="3544" spans="49:58">
      <c r="AW3544" s="107"/>
      <c r="AX3544" s="195"/>
      <c r="AY3544" s="105"/>
      <c r="AZ3544" s="220"/>
      <c r="BA3544" s="241"/>
      <c r="BE3544" s="107"/>
      <c r="BF3544" s="220"/>
    </row>
    <row r="3545" spans="49:58">
      <c r="AW3545" s="107"/>
      <c r="AX3545" s="195"/>
      <c r="AY3545" s="105"/>
      <c r="AZ3545" s="220"/>
      <c r="BA3545" s="241"/>
      <c r="BE3545" s="107"/>
      <c r="BF3545" s="220"/>
    </row>
    <row r="3546" spans="49:58">
      <c r="AW3546" s="107"/>
      <c r="AX3546" s="195"/>
      <c r="AY3546" s="105"/>
      <c r="AZ3546" s="220"/>
      <c r="BA3546" s="241"/>
      <c r="BE3546" s="107"/>
      <c r="BF3546" s="220"/>
    </row>
    <row r="3547" spans="49:58">
      <c r="AW3547" s="107"/>
      <c r="AX3547" s="195"/>
      <c r="AY3547" s="105"/>
      <c r="AZ3547" s="220"/>
      <c r="BA3547" s="241"/>
      <c r="BE3547" s="107"/>
      <c r="BF3547" s="220"/>
    </row>
    <row r="3548" spans="49:58">
      <c r="AW3548" s="107"/>
      <c r="AX3548" s="195"/>
      <c r="AY3548" s="105"/>
      <c r="AZ3548" s="220"/>
      <c r="BA3548" s="241"/>
      <c r="BE3548" s="107"/>
      <c r="BF3548" s="220"/>
    </row>
    <row r="3549" spans="49:58">
      <c r="AW3549" s="107"/>
      <c r="AX3549" s="195"/>
      <c r="AY3549" s="105"/>
      <c r="AZ3549" s="220"/>
      <c r="BA3549" s="241"/>
      <c r="BE3549" s="107"/>
      <c r="BF3549" s="220"/>
    </row>
    <row r="3550" spans="49:58">
      <c r="AW3550" s="107"/>
      <c r="AX3550" s="195"/>
      <c r="AY3550" s="105"/>
      <c r="AZ3550" s="220"/>
      <c r="BA3550" s="241"/>
      <c r="BE3550" s="107"/>
      <c r="BF3550" s="220"/>
    </row>
    <row r="3551" spans="49:58">
      <c r="AW3551" s="107"/>
      <c r="AX3551" s="195"/>
      <c r="AY3551" s="105"/>
      <c r="AZ3551" s="220"/>
      <c r="BA3551" s="241"/>
      <c r="BE3551" s="107"/>
      <c r="BF3551" s="220"/>
    </row>
    <row r="3552" spans="49:58">
      <c r="AW3552" s="107"/>
      <c r="AX3552" s="195"/>
      <c r="AY3552" s="105"/>
      <c r="AZ3552" s="220"/>
      <c r="BA3552" s="241"/>
      <c r="BE3552" s="107"/>
      <c r="BF3552" s="220"/>
    </row>
    <row r="3553" spans="49:58">
      <c r="AW3553" s="107"/>
      <c r="AX3553" s="195"/>
      <c r="AY3553" s="105"/>
      <c r="AZ3553" s="220"/>
      <c r="BA3553" s="241"/>
      <c r="BE3553" s="107"/>
      <c r="BF3553" s="220"/>
    </row>
    <row r="3554" spans="49:58">
      <c r="AW3554" s="107"/>
      <c r="AX3554" s="195"/>
      <c r="AY3554" s="105"/>
      <c r="AZ3554" s="220"/>
      <c r="BA3554" s="241"/>
      <c r="BE3554" s="107"/>
      <c r="BF3554" s="220"/>
    </row>
    <row r="3555" spans="49:58">
      <c r="AW3555" s="107"/>
      <c r="AX3555" s="195"/>
      <c r="AY3555" s="105"/>
      <c r="AZ3555" s="220"/>
      <c r="BA3555" s="241"/>
      <c r="BE3555" s="107"/>
      <c r="BF3555" s="220"/>
    </row>
    <row r="3556" spans="49:58">
      <c r="AW3556" s="107"/>
      <c r="AX3556" s="195"/>
      <c r="AY3556" s="105"/>
      <c r="AZ3556" s="220"/>
      <c r="BA3556" s="241"/>
      <c r="BE3556" s="107"/>
      <c r="BF3556" s="220"/>
    </row>
    <row r="3557" spans="49:58">
      <c r="AW3557" s="107"/>
      <c r="AX3557" s="195"/>
      <c r="AY3557" s="105"/>
      <c r="AZ3557" s="220"/>
      <c r="BA3557" s="241"/>
      <c r="BE3557" s="107"/>
      <c r="BF3557" s="220"/>
    </row>
    <row r="3558" spans="49:58">
      <c r="AW3558" s="107"/>
      <c r="AX3558" s="195"/>
      <c r="AY3558" s="105"/>
      <c r="AZ3558" s="220"/>
      <c r="BA3558" s="241"/>
      <c r="BE3558" s="107"/>
      <c r="BF3558" s="220"/>
    </row>
    <row r="3559" spans="49:58">
      <c r="AW3559" s="107"/>
      <c r="AX3559" s="195"/>
      <c r="AY3559" s="105"/>
      <c r="AZ3559" s="220"/>
      <c r="BA3559" s="241"/>
      <c r="BE3559" s="107"/>
      <c r="BF3559" s="220"/>
    </row>
    <row r="3560" spans="49:58">
      <c r="AW3560" s="107"/>
      <c r="AX3560" s="195"/>
      <c r="AY3560" s="105"/>
      <c r="AZ3560" s="220"/>
      <c r="BA3560" s="241"/>
      <c r="BE3560" s="107"/>
      <c r="BF3560" s="220"/>
    </row>
    <row r="3561" spans="49:58">
      <c r="AW3561" s="107"/>
      <c r="AX3561" s="195"/>
      <c r="AY3561" s="105"/>
      <c r="AZ3561" s="220"/>
      <c r="BA3561" s="241"/>
      <c r="BE3561" s="107"/>
      <c r="BF3561" s="220"/>
    </row>
    <row r="3562" spans="49:58">
      <c r="AW3562" s="107"/>
      <c r="AX3562" s="195"/>
      <c r="AY3562" s="105"/>
      <c r="AZ3562" s="220"/>
      <c r="BA3562" s="241"/>
      <c r="BE3562" s="107"/>
      <c r="BF3562" s="220"/>
    </row>
    <row r="3563" spans="49:58">
      <c r="AW3563" s="107"/>
      <c r="AX3563" s="195"/>
      <c r="AY3563" s="105"/>
      <c r="AZ3563" s="220"/>
      <c r="BA3563" s="241"/>
      <c r="BE3563" s="107"/>
      <c r="BF3563" s="220"/>
    </row>
    <row r="3564" spans="49:58">
      <c r="AW3564" s="107"/>
      <c r="AX3564" s="195"/>
      <c r="AY3564" s="105"/>
      <c r="AZ3564" s="220"/>
      <c r="BA3564" s="241"/>
      <c r="BE3564" s="107"/>
      <c r="BF3564" s="220"/>
    </row>
    <row r="3565" spans="49:58">
      <c r="AW3565" s="107"/>
      <c r="AX3565" s="195"/>
      <c r="AY3565" s="105"/>
      <c r="AZ3565" s="220"/>
      <c r="BA3565" s="241"/>
      <c r="BE3565" s="107"/>
      <c r="BF3565" s="220"/>
    </row>
    <row r="3566" spans="49:58">
      <c r="AW3566" s="107"/>
      <c r="AX3566" s="195"/>
      <c r="AY3566" s="105"/>
      <c r="AZ3566" s="220"/>
      <c r="BA3566" s="241"/>
      <c r="BE3566" s="107"/>
      <c r="BF3566" s="220"/>
    </row>
    <row r="3567" spans="49:58">
      <c r="AW3567" s="107"/>
      <c r="AX3567" s="195"/>
      <c r="AY3567" s="105"/>
      <c r="AZ3567" s="220"/>
      <c r="BA3567" s="241"/>
      <c r="BE3567" s="107"/>
      <c r="BF3567" s="220"/>
    </row>
    <row r="3568" spans="49:58">
      <c r="AW3568" s="107"/>
      <c r="AX3568" s="195"/>
      <c r="AY3568" s="105"/>
      <c r="AZ3568" s="220"/>
      <c r="BA3568" s="241"/>
      <c r="BE3568" s="107"/>
      <c r="BF3568" s="220"/>
    </row>
    <row r="3569" spans="49:58">
      <c r="AW3569" s="107"/>
      <c r="AX3569" s="195"/>
      <c r="AY3569" s="105"/>
      <c r="AZ3569" s="220"/>
      <c r="BA3569" s="241"/>
      <c r="BE3569" s="107"/>
      <c r="BF3569" s="220"/>
    </row>
    <row r="3570" spans="49:58">
      <c r="AW3570" s="107"/>
      <c r="AX3570" s="195"/>
      <c r="AY3570" s="105"/>
      <c r="AZ3570" s="220"/>
      <c r="BA3570" s="241"/>
      <c r="BE3570" s="107"/>
      <c r="BF3570" s="220"/>
    </row>
    <row r="3571" spans="49:58">
      <c r="AW3571" s="107"/>
      <c r="AX3571" s="195"/>
      <c r="AY3571" s="105"/>
      <c r="AZ3571" s="220"/>
      <c r="BA3571" s="241"/>
      <c r="BE3571" s="107"/>
      <c r="BF3571" s="220"/>
    </row>
    <row r="3572" spans="49:58">
      <c r="AW3572" s="107"/>
      <c r="AX3572" s="195"/>
      <c r="AY3572" s="105"/>
      <c r="AZ3572" s="220"/>
      <c r="BA3572" s="241"/>
      <c r="BE3572" s="107"/>
      <c r="BF3572" s="220"/>
    </row>
    <row r="3573" spans="49:58">
      <c r="AW3573" s="107"/>
      <c r="AX3573" s="195"/>
      <c r="AY3573" s="105"/>
      <c r="AZ3573" s="220"/>
      <c r="BA3573" s="241"/>
      <c r="BE3573" s="107"/>
      <c r="BF3573" s="220"/>
    </row>
    <row r="3574" spans="49:58">
      <c r="AW3574" s="107"/>
      <c r="AX3574" s="195"/>
      <c r="AY3574" s="105"/>
      <c r="AZ3574" s="220"/>
      <c r="BA3574" s="241"/>
      <c r="BE3574" s="107"/>
      <c r="BF3574" s="220"/>
    </row>
    <row r="3575" spans="49:58">
      <c r="AW3575" s="107"/>
      <c r="AX3575" s="195"/>
      <c r="AY3575" s="105"/>
      <c r="AZ3575" s="220"/>
      <c r="BA3575" s="241"/>
      <c r="BE3575" s="107"/>
      <c r="BF3575" s="220"/>
    </row>
    <row r="3576" spans="49:58">
      <c r="AW3576" s="107"/>
      <c r="AX3576" s="195"/>
      <c r="AY3576" s="105"/>
      <c r="AZ3576" s="220"/>
      <c r="BA3576" s="241"/>
      <c r="BE3576" s="107"/>
      <c r="BF3576" s="220"/>
    </row>
    <row r="3577" spans="49:58">
      <c r="AW3577" s="107"/>
      <c r="AX3577" s="195"/>
      <c r="AY3577" s="105"/>
      <c r="AZ3577" s="220"/>
      <c r="BA3577" s="241"/>
      <c r="BE3577" s="107"/>
      <c r="BF3577" s="220"/>
    </row>
    <row r="3578" spans="49:58">
      <c r="AW3578" s="107"/>
      <c r="AX3578" s="195"/>
      <c r="AY3578" s="105"/>
      <c r="AZ3578" s="220"/>
      <c r="BA3578" s="241"/>
      <c r="BE3578" s="107"/>
      <c r="BF3578" s="220"/>
    </row>
    <row r="3579" spans="49:58">
      <c r="AW3579" s="107"/>
      <c r="AX3579" s="195"/>
      <c r="AY3579" s="105"/>
      <c r="AZ3579" s="220"/>
      <c r="BA3579" s="241"/>
      <c r="BE3579" s="107"/>
      <c r="BF3579" s="220"/>
    </row>
    <row r="3580" spans="49:58">
      <c r="AW3580" s="107"/>
      <c r="AX3580" s="195"/>
      <c r="AY3580" s="105"/>
      <c r="AZ3580" s="220"/>
      <c r="BA3580" s="241"/>
      <c r="BE3580" s="107"/>
      <c r="BF3580" s="220"/>
    </row>
    <row r="3581" spans="49:58">
      <c r="AW3581" s="107"/>
      <c r="AX3581" s="195"/>
      <c r="AY3581" s="105"/>
      <c r="AZ3581" s="220"/>
      <c r="BA3581" s="241"/>
      <c r="BE3581" s="107"/>
      <c r="BF3581" s="220"/>
    </row>
    <row r="3582" spans="49:58">
      <c r="AW3582" s="107"/>
      <c r="AX3582" s="195"/>
      <c r="AY3582" s="105"/>
      <c r="AZ3582" s="220"/>
      <c r="BA3582" s="241"/>
      <c r="BE3582" s="107"/>
      <c r="BF3582" s="220"/>
    </row>
    <row r="3583" spans="49:58">
      <c r="AW3583" s="107"/>
      <c r="AX3583" s="195"/>
      <c r="AY3583" s="105"/>
      <c r="AZ3583" s="220"/>
      <c r="BA3583" s="241"/>
      <c r="BE3583" s="107"/>
      <c r="BF3583" s="220"/>
    </row>
    <row r="3584" spans="49:58">
      <c r="AW3584" s="107"/>
      <c r="AX3584" s="195"/>
      <c r="AY3584" s="105"/>
      <c r="AZ3584" s="220"/>
      <c r="BA3584" s="241"/>
      <c r="BE3584" s="107"/>
      <c r="BF3584" s="220"/>
    </row>
    <row r="3585" spans="49:58">
      <c r="AW3585" s="107"/>
      <c r="AX3585" s="195"/>
      <c r="AY3585" s="105"/>
      <c r="AZ3585" s="220"/>
      <c r="BA3585" s="241"/>
      <c r="BE3585" s="107"/>
      <c r="BF3585" s="220"/>
    </row>
    <row r="3586" spans="49:58">
      <c r="AW3586" s="107"/>
      <c r="AX3586" s="195"/>
      <c r="AY3586" s="105"/>
      <c r="AZ3586" s="220"/>
      <c r="BA3586" s="241"/>
      <c r="BE3586" s="107"/>
      <c r="BF3586" s="220"/>
    </row>
    <row r="3587" spans="49:58">
      <c r="AW3587" s="107"/>
      <c r="AX3587" s="195"/>
      <c r="AY3587" s="105"/>
      <c r="AZ3587" s="220"/>
      <c r="BA3587" s="241"/>
      <c r="BE3587" s="107"/>
      <c r="BF3587" s="220"/>
    </row>
    <row r="3588" spans="49:58">
      <c r="AW3588" s="107"/>
      <c r="AX3588" s="195"/>
      <c r="AY3588" s="105"/>
      <c r="AZ3588" s="220"/>
      <c r="BA3588" s="241"/>
      <c r="BE3588" s="107"/>
      <c r="BF3588" s="220"/>
    </row>
    <row r="3589" spans="49:58">
      <c r="AW3589" s="107"/>
      <c r="AX3589" s="195"/>
      <c r="AY3589" s="105"/>
      <c r="AZ3589" s="220"/>
      <c r="BA3589" s="241"/>
      <c r="BE3589" s="107"/>
      <c r="BF3589" s="220"/>
    </row>
    <row r="3590" spans="49:58">
      <c r="AW3590" s="107"/>
      <c r="AX3590" s="195"/>
      <c r="AY3590" s="105"/>
      <c r="AZ3590" s="220"/>
      <c r="BA3590" s="241"/>
      <c r="BE3590" s="107"/>
      <c r="BF3590" s="220"/>
    </row>
    <row r="3591" spans="49:58">
      <c r="AW3591" s="107"/>
      <c r="AX3591" s="195"/>
      <c r="AY3591" s="105"/>
      <c r="AZ3591" s="220"/>
      <c r="BA3591" s="241"/>
      <c r="BE3591" s="107"/>
      <c r="BF3591" s="220"/>
    </row>
    <row r="3592" spans="49:58">
      <c r="AW3592" s="107"/>
      <c r="AX3592" s="195"/>
      <c r="AY3592" s="105"/>
      <c r="AZ3592" s="220"/>
      <c r="BA3592" s="241"/>
      <c r="BE3592" s="107"/>
      <c r="BF3592" s="220"/>
    </row>
    <row r="3593" spans="49:58">
      <c r="AW3593" s="107"/>
      <c r="AX3593" s="195"/>
      <c r="AY3593" s="105"/>
      <c r="AZ3593" s="220"/>
      <c r="BA3593" s="241"/>
      <c r="BE3593" s="107"/>
      <c r="BF3593" s="220"/>
    </row>
    <row r="3594" spans="49:58">
      <c r="AW3594" s="107"/>
      <c r="AX3594" s="195"/>
      <c r="AY3594" s="105"/>
      <c r="AZ3594" s="220"/>
      <c r="BA3594" s="241"/>
      <c r="BE3594" s="107"/>
      <c r="BF3594" s="220"/>
    </row>
    <row r="3595" spans="49:58">
      <c r="AW3595" s="107"/>
      <c r="AX3595" s="195"/>
      <c r="AY3595" s="105"/>
      <c r="AZ3595" s="220"/>
      <c r="BA3595" s="241"/>
      <c r="BE3595" s="107"/>
      <c r="BF3595" s="220"/>
    </row>
    <row r="3596" spans="49:58">
      <c r="AW3596" s="107"/>
      <c r="AX3596" s="195"/>
      <c r="AY3596" s="105"/>
      <c r="AZ3596" s="220"/>
      <c r="BA3596" s="241"/>
      <c r="BE3596" s="107"/>
      <c r="BF3596" s="220"/>
    </row>
    <row r="3597" spans="49:58">
      <c r="AW3597" s="107"/>
      <c r="AX3597" s="195"/>
      <c r="AY3597" s="105"/>
      <c r="AZ3597" s="220"/>
      <c r="BA3597" s="241"/>
      <c r="BE3597" s="107"/>
      <c r="BF3597" s="220"/>
    </row>
    <row r="3598" spans="49:58">
      <c r="AW3598" s="107"/>
      <c r="AX3598" s="195"/>
      <c r="AY3598" s="105"/>
      <c r="AZ3598" s="220"/>
      <c r="BA3598" s="241"/>
      <c r="BE3598" s="107"/>
      <c r="BF3598" s="220"/>
    </row>
    <row r="3599" spans="49:58">
      <c r="AW3599" s="107"/>
      <c r="AX3599" s="195"/>
      <c r="AY3599" s="105"/>
      <c r="AZ3599" s="220"/>
      <c r="BA3599" s="241"/>
      <c r="BE3599" s="107"/>
      <c r="BF3599" s="220"/>
    </row>
    <row r="3600" spans="49:58">
      <c r="AW3600" s="107"/>
      <c r="AX3600" s="195"/>
      <c r="AY3600" s="105"/>
      <c r="AZ3600" s="220"/>
      <c r="BA3600" s="241"/>
      <c r="BE3600" s="107"/>
      <c r="BF3600" s="220"/>
    </row>
    <row r="3601" spans="49:58">
      <c r="AW3601" s="107"/>
      <c r="AX3601" s="195"/>
      <c r="AY3601" s="105"/>
      <c r="AZ3601" s="220"/>
      <c r="BA3601" s="241"/>
      <c r="BE3601" s="107"/>
      <c r="BF3601" s="220"/>
    </row>
    <row r="3602" spans="49:58">
      <c r="AW3602" s="107"/>
      <c r="AX3602" s="195"/>
      <c r="AY3602" s="105"/>
      <c r="AZ3602" s="220"/>
      <c r="BA3602" s="241"/>
      <c r="BE3602" s="107"/>
      <c r="BF3602" s="220"/>
    </row>
    <row r="3603" spans="49:58">
      <c r="AW3603" s="107"/>
      <c r="AX3603" s="195"/>
      <c r="AY3603" s="105"/>
      <c r="AZ3603" s="220"/>
      <c r="BA3603" s="241"/>
      <c r="BE3603" s="107"/>
      <c r="BF3603" s="220"/>
    </row>
    <row r="3604" spans="49:58">
      <c r="AW3604" s="107"/>
      <c r="AX3604" s="195"/>
      <c r="AY3604" s="105"/>
      <c r="AZ3604" s="220"/>
      <c r="BA3604" s="241"/>
      <c r="BE3604" s="107"/>
      <c r="BF3604" s="220"/>
    </row>
    <row r="3605" spans="49:58">
      <c r="AW3605" s="107"/>
      <c r="AX3605" s="195"/>
      <c r="AY3605" s="105"/>
      <c r="AZ3605" s="220"/>
      <c r="BA3605" s="241"/>
      <c r="BE3605" s="107"/>
      <c r="BF3605" s="220"/>
    </row>
    <row r="3606" spans="49:58">
      <c r="AW3606" s="107"/>
      <c r="AX3606" s="195"/>
      <c r="AY3606" s="105"/>
      <c r="AZ3606" s="220"/>
      <c r="BA3606" s="241"/>
      <c r="BE3606" s="107"/>
      <c r="BF3606" s="220"/>
    </row>
    <row r="3607" spans="49:58">
      <c r="AW3607" s="107"/>
      <c r="AX3607" s="195"/>
      <c r="AY3607" s="105"/>
      <c r="AZ3607" s="220"/>
      <c r="BA3607" s="241"/>
      <c r="BE3607" s="107"/>
      <c r="BF3607" s="220"/>
    </row>
    <row r="3608" spans="49:58">
      <c r="AW3608" s="107"/>
      <c r="AX3608" s="195"/>
      <c r="AY3608" s="105"/>
      <c r="AZ3608" s="220"/>
      <c r="BA3608" s="241"/>
      <c r="BE3608" s="107"/>
      <c r="BF3608" s="220"/>
    </row>
    <row r="3609" spans="49:58">
      <c r="AW3609" s="107"/>
      <c r="AX3609" s="195"/>
      <c r="AY3609" s="105"/>
      <c r="AZ3609" s="220"/>
      <c r="BA3609" s="241"/>
      <c r="BE3609" s="107"/>
      <c r="BF3609" s="220"/>
    </row>
    <row r="3610" spans="49:58">
      <c r="AW3610" s="107"/>
      <c r="AX3610" s="195"/>
      <c r="AY3610" s="105"/>
      <c r="AZ3610" s="220"/>
      <c r="BA3610" s="241"/>
      <c r="BE3610" s="107"/>
      <c r="BF3610" s="220"/>
    </row>
    <row r="3611" spans="49:58">
      <c r="AW3611" s="107"/>
      <c r="AX3611" s="195"/>
      <c r="AY3611" s="105"/>
      <c r="AZ3611" s="220"/>
      <c r="BA3611" s="241"/>
      <c r="BE3611" s="107"/>
      <c r="BF3611" s="220"/>
    </row>
    <row r="3612" spans="49:58">
      <c r="AW3612" s="107"/>
      <c r="AX3612" s="195"/>
      <c r="AY3612" s="105"/>
      <c r="AZ3612" s="220"/>
      <c r="BA3612" s="241"/>
      <c r="BE3612" s="107"/>
      <c r="BF3612" s="220"/>
    </row>
    <row r="3613" spans="49:58">
      <c r="AW3613" s="107"/>
      <c r="AX3613" s="195"/>
      <c r="AY3613" s="105"/>
      <c r="AZ3613" s="220"/>
      <c r="BA3613" s="241"/>
      <c r="BE3613" s="107"/>
      <c r="BF3613" s="220"/>
    </row>
    <row r="3614" spans="49:58">
      <c r="AW3614" s="107"/>
      <c r="AX3614" s="195"/>
      <c r="AY3614" s="105"/>
      <c r="AZ3614" s="220"/>
      <c r="BA3614" s="241"/>
      <c r="BE3614" s="107"/>
      <c r="BF3614" s="220"/>
    </row>
    <row r="3615" spans="49:58">
      <c r="AW3615" s="107"/>
      <c r="AX3615" s="195"/>
      <c r="AY3615" s="105"/>
      <c r="AZ3615" s="220"/>
      <c r="BA3615" s="241"/>
      <c r="BE3615" s="107"/>
      <c r="BF3615" s="220"/>
    </row>
    <row r="3616" spans="49:58">
      <c r="AW3616" s="107"/>
      <c r="AX3616" s="195"/>
      <c r="AY3616" s="105"/>
      <c r="AZ3616" s="220"/>
      <c r="BA3616" s="241"/>
      <c r="BE3616" s="107"/>
      <c r="BF3616" s="220"/>
    </row>
    <row r="3617" spans="49:58">
      <c r="AW3617" s="107"/>
      <c r="AX3617" s="195"/>
      <c r="AY3617" s="105"/>
      <c r="AZ3617" s="220"/>
      <c r="BA3617" s="241"/>
      <c r="BE3617" s="107"/>
      <c r="BF3617" s="220"/>
    </row>
    <row r="3618" spans="49:58">
      <c r="AW3618" s="107"/>
      <c r="AX3618" s="195"/>
      <c r="AY3618" s="105"/>
      <c r="AZ3618" s="220"/>
      <c r="BA3618" s="241"/>
      <c r="BE3618" s="107"/>
      <c r="BF3618" s="220"/>
    </row>
    <row r="3619" spans="49:58">
      <c r="AW3619" s="107"/>
      <c r="AX3619" s="195"/>
      <c r="AY3619" s="105"/>
      <c r="AZ3619" s="220"/>
      <c r="BA3619" s="241"/>
      <c r="BE3619" s="107"/>
      <c r="BF3619" s="220"/>
    </row>
    <row r="3620" spans="49:58">
      <c r="AW3620" s="107"/>
      <c r="AX3620" s="195"/>
      <c r="AY3620" s="105"/>
      <c r="AZ3620" s="220"/>
      <c r="BA3620" s="241"/>
      <c r="BE3620" s="107"/>
      <c r="BF3620" s="220"/>
    </row>
    <row r="3621" spans="49:58">
      <c r="AW3621" s="107"/>
      <c r="AX3621" s="195"/>
      <c r="AY3621" s="105"/>
      <c r="AZ3621" s="220"/>
      <c r="BA3621" s="241"/>
      <c r="BE3621" s="107"/>
      <c r="BF3621" s="220"/>
    </row>
    <row r="3622" spans="49:58">
      <c r="AW3622" s="107"/>
      <c r="AX3622" s="195"/>
      <c r="AY3622" s="105"/>
      <c r="AZ3622" s="220"/>
      <c r="BA3622" s="241"/>
      <c r="BE3622" s="107"/>
      <c r="BF3622" s="220"/>
    </row>
    <row r="3623" spans="49:58">
      <c r="AW3623" s="107"/>
      <c r="AX3623" s="195"/>
      <c r="AY3623" s="105"/>
      <c r="AZ3623" s="220"/>
      <c r="BA3623" s="241"/>
      <c r="BE3623" s="107"/>
      <c r="BF3623" s="220"/>
    </row>
    <row r="3624" spans="49:58">
      <c r="AW3624" s="107"/>
      <c r="AX3624" s="195"/>
      <c r="AY3624" s="105"/>
      <c r="AZ3624" s="220"/>
      <c r="BA3624" s="241"/>
      <c r="BE3624" s="107"/>
      <c r="BF3624" s="220"/>
    </row>
    <row r="3625" spans="49:58">
      <c r="AW3625" s="107"/>
      <c r="AX3625" s="195"/>
      <c r="AY3625" s="105"/>
      <c r="AZ3625" s="220"/>
      <c r="BA3625" s="241"/>
      <c r="BE3625" s="107"/>
      <c r="BF3625" s="220"/>
    </row>
    <row r="3626" spans="49:58">
      <c r="AW3626" s="107"/>
      <c r="AX3626" s="195"/>
      <c r="AY3626" s="105"/>
      <c r="AZ3626" s="220"/>
      <c r="BA3626" s="241"/>
      <c r="BE3626" s="107"/>
      <c r="BF3626" s="220"/>
    </row>
    <row r="3627" spans="49:58">
      <c r="AW3627" s="107"/>
      <c r="AX3627" s="195"/>
      <c r="AY3627" s="105"/>
      <c r="AZ3627" s="220"/>
      <c r="BA3627" s="241"/>
      <c r="BE3627" s="107"/>
      <c r="BF3627" s="220"/>
    </row>
    <row r="3628" spans="49:58">
      <c r="AW3628" s="107"/>
      <c r="AX3628" s="195"/>
      <c r="AY3628" s="105"/>
      <c r="AZ3628" s="220"/>
      <c r="BA3628" s="241"/>
      <c r="BE3628" s="107"/>
      <c r="BF3628" s="220"/>
    </row>
    <row r="3629" spans="49:58">
      <c r="AW3629" s="107"/>
      <c r="AX3629" s="195"/>
      <c r="AY3629" s="105"/>
      <c r="AZ3629" s="220"/>
      <c r="BA3629" s="241"/>
      <c r="BE3629" s="107"/>
      <c r="BF3629" s="220"/>
    </row>
    <row r="3630" spans="49:58">
      <c r="AW3630" s="107"/>
      <c r="AX3630" s="195"/>
      <c r="AY3630" s="105"/>
      <c r="AZ3630" s="220"/>
      <c r="BA3630" s="241"/>
      <c r="BE3630" s="107"/>
      <c r="BF3630" s="220"/>
    </row>
    <row r="3631" spans="49:58">
      <c r="AW3631" s="107"/>
      <c r="AX3631" s="195"/>
      <c r="AY3631" s="105"/>
      <c r="AZ3631" s="220"/>
      <c r="BA3631" s="241"/>
      <c r="BE3631" s="107"/>
      <c r="BF3631" s="220"/>
    </row>
    <row r="3632" spans="49:58">
      <c r="AW3632" s="107"/>
      <c r="AX3632" s="195"/>
      <c r="AY3632" s="105"/>
      <c r="AZ3632" s="220"/>
      <c r="BA3632" s="241"/>
      <c r="BE3632" s="107"/>
      <c r="BF3632" s="220"/>
    </row>
    <row r="3633" spans="49:58">
      <c r="AW3633" s="107"/>
      <c r="AX3633" s="195"/>
      <c r="AY3633" s="105"/>
      <c r="AZ3633" s="220"/>
      <c r="BA3633" s="241"/>
      <c r="BE3633" s="107"/>
      <c r="BF3633" s="220"/>
    </row>
    <row r="3634" spans="49:58">
      <c r="AW3634" s="107"/>
      <c r="AX3634" s="195"/>
      <c r="AY3634" s="105"/>
      <c r="AZ3634" s="220"/>
      <c r="BA3634" s="241"/>
      <c r="BE3634" s="107"/>
      <c r="BF3634" s="220"/>
    </row>
    <row r="3635" spans="49:58">
      <c r="AW3635" s="107"/>
      <c r="AX3635" s="195"/>
      <c r="AY3635" s="105"/>
      <c r="AZ3635" s="220"/>
      <c r="BA3635" s="241"/>
      <c r="BE3635" s="107"/>
      <c r="BF3635" s="220"/>
    </row>
    <row r="3636" spans="49:58">
      <c r="AW3636" s="107"/>
      <c r="AX3636" s="195"/>
      <c r="AY3636" s="105"/>
      <c r="AZ3636" s="220"/>
      <c r="BA3636" s="241"/>
      <c r="BE3636" s="107"/>
      <c r="BF3636" s="220"/>
    </row>
    <row r="3637" spans="49:58">
      <c r="AW3637" s="107"/>
      <c r="AX3637" s="195"/>
      <c r="AY3637" s="105"/>
      <c r="AZ3637" s="220"/>
      <c r="BA3637" s="241"/>
      <c r="BE3637" s="107"/>
      <c r="BF3637" s="220"/>
    </row>
    <row r="3638" spans="49:58">
      <c r="AW3638" s="107"/>
      <c r="AX3638" s="195"/>
      <c r="AY3638" s="105"/>
      <c r="AZ3638" s="220"/>
      <c r="BA3638" s="241"/>
      <c r="BE3638" s="107"/>
      <c r="BF3638" s="220"/>
    </row>
    <row r="3639" spans="49:58">
      <c r="AW3639" s="107"/>
      <c r="AX3639" s="195"/>
      <c r="AY3639" s="105"/>
      <c r="AZ3639" s="220"/>
      <c r="BA3639" s="241"/>
      <c r="BE3639" s="107"/>
      <c r="BF3639" s="220"/>
    </row>
    <row r="3640" spans="49:58">
      <c r="AW3640" s="107"/>
      <c r="AX3640" s="195"/>
      <c r="AY3640" s="105"/>
      <c r="AZ3640" s="220"/>
      <c r="BA3640" s="241"/>
      <c r="BE3640" s="107"/>
      <c r="BF3640" s="220"/>
    </row>
    <row r="3641" spans="49:58">
      <c r="AW3641" s="107"/>
      <c r="AX3641" s="195"/>
      <c r="AY3641" s="105"/>
      <c r="AZ3641" s="220"/>
      <c r="BA3641" s="241"/>
      <c r="BE3641" s="107"/>
      <c r="BF3641" s="220"/>
    </row>
    <row r="3642" spans="49:58">
      <c r="AW3642" s="107"/>
      <c r="AX3642" s="195"/>
      <c r="AY3642" s="105"/>
      <c r="AZ3642" s="220"/>
      <c r="BA3642" s="241"/>
      <c r="BE3642" s="107"/>
      <c r="BF3642" s="220"/>
    </row>
    <row r="3643" spans="49:58">
      <c r="AW3643" s="107"/>
      <c r="AX3643" s="195"/>
      <c r="AY3643" s="105"/>
      <c r="AZ3643" s="220"/>
      <c r="BA3643" s="241"/>
      <c r="BE3643" s="107"/>
      <c r="BF3643" s="220"/>
    </row>
    <row r="3644" spans="49:58">
      <c r="AW3644" s="107"/>
      <c r="AX3644" s="195"/>
      <c r="AY3644" s="105"/>
      <c r="AZ3644" s="220"/>
      <c r="BA3644" s="241"/>
      <c r="BE3644" s="107"/>
      <c r="BF3644" s="220"/>
    </row>
    <row r="3645" spans="49:58">
      <c r="AW3645" s="107"/>
      <c r="AX3645" s="195"/>
      <c r="AY3645" s="105"/>
      <c r="AZ3645" s="220"/>
      <c r="BA3645" s="241"/>
      <c r="BE3645" s="107"/>
      <c r="BF3645" s="220"/>
    </row>
    <row r="3646" spans="49:58">
      <c r="AW3646" s="107"/>
      <c r="AX3646" s="195"/>
      <c r="AY3646" s="105"/>
      <c r="AZ3646" s="220"/>
      <c r="BA3646" s="241"/>
      <c r="BE3646" s="107"/>
      <c r="BF3646" s="220"/>
    </row>
    <row r="3647" spans="49:58">
      <c r="AW3647" s="107"/>
      <c r="AX3647" s="195"/>
      <c r="AY3647" s="105"/>
      <c r="AZ3647" s="220"/>
      <c r="BA3647" s="241"/>
      <c r="BE3647" s="107"/>
      <c r="BF3647" s="220"/>
    </row>
    <row r="3648" spans="49:58">
      <c r="AW3648" s="107"/>
      <c r="AX3648" s="195"/>
      <c r="AY3648" s="105"/>
      <c r="AZ3648" s="220"/>
      <c r="BA3648" s="241"/>
      <c r="BE3648" s="107"/>
      <c r="BF3648" s="220"/>
    </row>
    <row r="3649" spans="49:58">
      <c r="AW3649" s="107"/>
      <c r="AX3649" s="195"/>
      <c r="AY3649" s="105"/>
      <c r="AZ3649" s="220"/>
      <c r="BA3649" s="241"/>
      <c r="BE3649" s="107"/>
      <c r="BF3649" s="220"/>
    </row>
    <row r="3650" spans="49:58">
      <c r="AW3650" s="107"/>
      <c r="AX3650" s="195"/>
      <c r="AY3650" s="105"/>
      <c r="AZ3650" s="220"/>
      <c r="BA3650" s="241"/>
      <c r="BE3650" s="107"/>
      <c r="BF3650" s="220"/>
    </row>
    <row r="3651" spans="49:58">
      <c r="AW3651" s="107"/>
      <c r="AX3651" s="195"/>
      <c r="AY3651" s="105"/>
      <c r="AZ3651" s="220"/>
      <c r="BA3651" s="241"/>
      <c r="BE3651" s="107"/>
      <c r="BF3651" s="220"/>
    </row>
    <row r="3652" spans="49:58">
      <c r="AW3652" s="107"/>
      <c r="AX3652" s="195"/>
      <c r="AY3652" s="105"/>
      <c r="AZ3652" s="220"/>
      <c r="BA3652" s="241"/>
      <c r="BE3652" s="107"/>
      <c r="BF3652" s="220"/>
    </row>
    <row r="3653" spans="49:58">
      <c r="AW3653" s="107"/>
      <c r="AX3653" s="195"/>
      <c r="AY3653" s="105"/>
      <c r="AZ3653" s="220"/>
      <c r="BA3653" s="241"/>
      <c r="BE3653" s="107"/>
      <c r="BF3653" s="220"/>
    </row>
    <row r="3654" spans="49:58">
      <c r="AW3654" s="107"/>
      <c r="AX3654" s="195"/>
      <c r="AY3654" s="105"/>
      <c r="AZ3654" s="220"/>
      <c r="BA3654" s="241"/>
      <c r="BE3654" s="107"/>
      <c r="BF3654" s="220"/>
    </row>
    <row r="3655" spans="49:58">
      <c r="AW3655" s="107"/>
      <c r="AX3655" s="195"/>
      <c r="AY3655" s="105"/>
      <c r="AZ3655" s="220"/>
      <c r="BA3655" s="241"/>
      <c r="BE3655" s="107"/>
      <c r="BF3655" s="220"/>
    </row>
    <row r="3656" spans="49:58">
      <c r="AW3656" s="107"/>
      <c r="AX3656" s="195"/>
      <c r="AY3656" s="105"/>
      <c r="AZ3656" s="220"/>
      <c r="BA3656" s="241"/>
      <c r="BE3656" s="107"/>
      <c r="BF3656" s="220"/>
    </row>
    <row r="3657" spans="49:58">
      <c r="AW3657" s="107"/>
      <c r="AX3657" s="195"/>
      <c r="AY3657" s="105"/>
      <c r="AZ3657" s="220"/>
      <c r="BA3657" s="241"/>
      <c r="BE3657" s="107"/>
      <c r="BF3657" s="220"/>
    </row>
    <row r="3658" spans="49:58">
      <c r="AW3658" s="107"/>
      <c r="AX3658" s="195"/>
      <c r="AY3658" s="105"/>
      <c r="AZ3658" s="220"/>
      <c r="BA3658" s="241"/>
      <c r="BE3658" s="107"/>
      <c r="BF3658" s="220"/>
    </row>
    <row r="3659" spans="49:58">
      <c r="AW3659" s="107"/>
      <c r="AX3659" s="195"/>
      <c r="AY3659" s="105"/>
      <c r="AZ3659" s="220"/>
      <c r="BA3659" s="241"/>
      <c r="BE3659" s="107"/>
      <c r="BF3659" s="220"/>
    </row>
    <row r="3660" spans="49:58">
      <c r="AW3660" s="107"/>
      <c r="AX3660" s="195"/>
      <c r="AY3660" s="105"/>
      <c r="AZ3660" s="220"/>
      <c r="BA3660" s="241"/>
      <c r="BE3660" s="107"/>
      <c r="BF3660" s="220"/>
    </row>
    <row r="3661" spans="49:58">
      <c r="AW3661" s="107"/>
      <c r="AX3661" s="195"/>
      <c r="AY3661" s="105"/>
      <c r="AZ3661" s="220"/>
      <c r="BA3661" s="241"/>
      <c r="BE3661" s="107"/>
      <c r="BF3661" s="220"/>
    </row>
    <row r="3662" spans="49:58">
      <c r="AW3662" s="107"/>
      <c r="AX3662" s="195"/>
      <c r="AY3662" s="105"/>
      <c r="AZ3662" s="220"/>
      <c r="BA3662" s="241"/>
      <c r="BE3662" s="107"/>
      <c r="BF3662" s="220"/>
    </row>
    <row r="3663" spans="49:58">
      <c r="AW3663" s="107"/>
      <c r="AX3663" s="195"/>
      <c r="AY3663" s="105"/>
      <c r="AZ3663" s="220"/>
      <c r="BA3663" s="241"/>
      <c r="BE3663" s="107"/>
      <c r="BF3663" s="220"/>
    </row>
    <row r="3664" spans="49:58">
      <c r="AW3664" s="107"/>
      <c r="AX3664" s="195"/>
      <c r="AY3664" s="105"/>
      <c r="AZ3664" s="220"/>
      <c r="BA3664" s="241"/>
      <c r="BE3664" s="107"/>
      <c r="BF3664" s="220"/>
    </row>
    <row r="3665" spans="49:58">
      <c r="AW3665" s="107"/>
      <c r="AX3665" s="195"/>
      <c r="AY3665" s="105"/>
      <c r="AZ3665" s="220"/>
      <c r="BA3665" s="241"/>
      <c r="BE3665" s="107"/>
      <c r="BF3665" s="220"/>
    </row>
    <row r="3666" spans="49:58">
      <c r="AW3666" s="107"/>
      <c r="AX3666" s="195"/>
      <c r="AY3666" s="105"/>
      <c r="AZ3666" s="220"/>
      <c r="BA3666" s="241"/>
      <c r="BE3666" s="107"/>
      <c r="BF3666" s="220"/>
    </row>
    <row r="3667" spans="49:58">
      <c r="AW3667" s="107"/>
      <c r="AX3667" s="195"/>
      <c r="AY3667" s="105"/>
      <c r="AZ3667" s="220"/>
      <c r="BA3667" s="241"/>
      <c r="BE3667" s="107"/>
      <c r="BF3667" s="220"/>
    </row>
    <row r="3668" spans="49:58">
      <c r="AW3668" s="107"/>
      <c r="AX3668" s="195"/>
      <c r="AY3668" s="105"/>
      <c r="AZ3668" s="220"/>
      <c r="BA3668" s="241"/>
      <c r="BE3668" s="107"/>
      <c r="BF3668" s="220"/>
    </row>
    <row r="3669" spans="49:58">
      <c r="AW3669" s="107"/>
      <c r="AX3669" s="195"/>
      <c r="AY3669" s="105"/>
      <c r="AZ3669" s="220"/>
      <c r="BA3669" s="241"/>
      <c r="BE3669" s="107"/>
      <c r="BF3669" s="220"/>
    </row>
    <row r="3670" spans="49:58">
      <c r="AW3670" s="107"/>
      <c r="AX3670" s="195"/>
      <c r="AY3670" s="105"/>
      <c r="AZ3670" s="220"/>
      <c r="BA3670" s="241"/>
      <c r="BE3670" s="107"/>
      <c r="BF3670" s="220"/>
    </row>
    <row r="3671" spans="49:58">
      <c r="AW3671" s="107"/>
      <c r="AX3671" s="195"/>
      <c r="AY3671" s="105"/>
      <c r="AZ3671" s="220"/>
      <c r="BA3671" s="241"/>
      <c r="BE3671" s="107"/>
      <c r="BF3671" s="220"/>
    </row>
    <row r="3672" spans="49:58">
      <c r="AW3672" s="107"/>
      <c r="AX3672" s="195"/>
      <c r="AY3672" s="105"/>
      <c r="AZ3672" s="220"/>
      <c r="BA3672" s="241"/>
      <c r="BE3672" s="107"/>
      <c r="BF3672" s="220"/>
    </row>
    <row r="3673" spans="49:58">
      <c r="AW3673" s="107"/>
      <c r="AX3673" s="195"/>
      <c r="AY3673" s="105"/>
      <c r="AZ3673" s="220"/>
      <c r="BA3673" s="241"/>
      <c r="BE3673" s="107"/>
      <c r="BF3673" s="220"/>
    </row>
    <row r="3674" spans="49:58">
      <c r="AW3674" s="107"/>
      <c r="AX3674" s="195"/>
      <c r="AY3674" s="105"/>
      <c r="AZ3674" s="220"/>
      <c r="BA3674" s="241"/>
      <c r="BE3674" s="107"/>
      <c r="BF3674" s="220"/>
    </row>
    <row r="3675" spans="49:58">
      <c r="AW3675" s="107"/>
      <c r="AX3675" s="195"/>
      <c r="AY3675" s="105"/>
      <c r="AZ3675" s="220"/>
      <c r="BA3675" s="241"/>
      <c r="BE3675" s="107"/>
      <c r="BF3675" s="220"/>
    </row>
    <row r="3676" spans="49:58">
      <c r="AW3676" s="107"/>
      <c r="AX3676" s="195"/>
      <c r="AY3676" s="105"/>
      <c r="AZ3676" s="220"/>
      <c r="BA3676" s="241"/>
      <c r="BE3676" s="107"/>
      <c r="BF3676" s="220"/>
    </row>
    <row r="3677" spans="49:58">
      <c r="AW3677" s="107"/>
      <c r="AX3677" s="195"/>
      <c r="AY3677" s="105"/>
      <c r="AZ3677" s="220"/>
      <c r="BA3677" s="241"/>
      <c r="BE3677" s="107"/>
      <c r="BF3677" s="220"/>
    </row>
    <row r="3678" spans="49:58">
      <c r="AW3678" s="107"/>
      <c r="AX3678" s="195"/>
      <c r="AY3678" s="105"/>
      <c r="AZ3678" s="220"/>
      <c r="BA3678" s="241"/>
      <c r="BE3678" s="107"/>
      <c r="BF3678" s="220"/>
    </row>
    <row r="3679" spans="49:58">
      <c r="AW3679" s="107"/>
      <c r="AX3679" s="195"/>
      <c r="AY3679" s="105"/>
      <c r="AZ3679" s="220"/>
      <c r="BA3679" s="241"/>
      <c r="BE3679" s="107"/>
      <c r="BF3679" s="220"/>
    </row>
    <row r="3680" spans="49:58">
      <c r="AW3680" s="107"/>
      <c r="AX3680" s="195"/>
      <c r="AY3680" s="105"/>
      <c r="AZ3680" s="220"/>
      <c r="BA3680" s="241"/>
      <c r="BE3680" s="107"/>
      <c r="BF3680" s="220"/>
    </row>
    <row r="3681" spans="49:58">
      <c r="AW3681" s="107"/>
      <c r="AX3681" s="195"/>
      <c r="AY3681" s="105"/>
      <c r="AZ3681" s="220"/>
      <c r="BA3681" s="241"/>
      <c r="BE3681" s="107"/>
      <c r="BF3681" s="220"/>
    </row>
    <row r="3682" spans="49:58">
      <c r="AW3682" s="107"/>
      <c r="AX3682" s="195"/>
      <c r="AY3682" s="105"/>
      <c r="AZ3682" s="220"/>
      <c r="BA3682" s="241"/>
      <c r="BE3682" s="107"/>
      <c r="BF3682" s="220"/>
    </row>
    <row r="3683" spans="49:58">
      <c r="AW3683" s="107"/>
      <c r="AX3683" s="195"/>
      <c r="AY3683" s="105"/>
      <c r="AZ3683" s="220"/>
      <c r="BA3683" s="241"/>
      <c r="BE3683" s="107"/>
      <c r="BF3683" s="220"/>
    </row>
    <row r="3684" spans="49:58">
      <c r="AW3684" s="107"/>
      <c r="AX3684" s="195"/>
      <c r="AY3684" s="105"/>
      <c r="AZ3684" s="220"/>
      <c r="BA3684" s="241"/>
      <c r="BE3684" s="107"/>
      <c r="BF3684" s="220"/>
    </row>
    <row r="3685" spans="49:58">
      <c r="AW3685" s="107"/>
      <c r="AX3685" s="195"/>
      <c r="AY3685" s="105"/>
      <c r="AZ3685" s="220"/>
      <c r="BA3685" s="241"/>
      <c r="BE3685" s="107"/>
      <c r="BF3685" s="220"/>
    </row>
    <row r="3686" spans="49:58">
      <c r="AW3686" s="107"/>
      <c r="AX3686" s="195"/>
      <c r="AY3686" s="105"/>
      <c r="AZ3686" s="220"/>
      <c r="BA3686" s="241"/>
      <c r="BE3686" s="107"/>
      <c r="BF3686" s="220"/>
    </row>
    <row r="3687" spans="49:58">
      <c r="AW3687" s="107"/>
      <c r="AX3687" s="195"/>
      <c r="AY3687" s="105"/>
      <c r="AZ3687" s="220"/>
      <c r="BA3687" s="241"/>
      <c r="BE3687" s="107"/>
      <c r="BF3687" s="220"/>
    </row>
    <row r="3688" spans="49:58">
      <c r="AW3688" s="107"/>
      <c r="AX3688" s="195"/>
      <c r="AY3688" s="105"/>
      <c r="AZ3688" s="220"/>
      <c r="BA3688" s="241"/>
      <c r="BE3688" s="107"/>
      <c r="BF3688" s="220"/>
    </row>
    <row r="3689" spans="49:58">
      <c r="AW3689" s="107"/>
      <c r="AX3689" s="195"/>
      <c r="AY3689" s="105"/>
      <c r="AZ3689" s="220"/>
      <c r="BA3689" s="241"/>
      <c r="BE3689" s="107"/>
      <c r="BF3689" s="220"/>
    </row>
    <row r="3690" spans="49:58">
      <c r="AW3690" s="107"/>
      <c r="AX3690" s="195"/>
      <c r="AY3690" s="105"/>
      <c r="AZ3690" s="220"/>
      <c r="BA3690" s="241"/>
      <c r="BE3690" s="107"/>
      <c r="BF3690" s="220"/>
    </row>
    <row r="3691" spans="49:58">
      <c r="AW3691" s="107"/>
      <c r="AX3691" s="195"/>
      <c r="AY3691" s="105"/>
      <c r="AZ3691" s="220"/>
      <c r="BA3691" s="241"/>
      <c r="BE3691" s="107"/>
      <c r="BF3691" s="220"/>
    </row>
    <row r="3692" spans="49:58">
      <c r="AW3692" s="107"/>
      <c r="AX3692" s="195"/>
      <c r="AY3692" s="105"/>
      <c r="AZ3692" s="220"/>
      <c r="BA3692" s="241"/>
      <c r="BE3692" s="107"/>
      <c r="BF3692" s="220"/>
    </row>
    <row r="3693" spans="49:58">
      <c r="AW3693" s="107"/>
      <c r="AX3693" s="195"/>
      <c r="AY3693" s="105"/>
      <c r="AZ3693" s="220"/>
      <c r="BA3693" s="241"/>
      <c r="BE3693" s="107"/>
      <c r="BF3693" s="220"/>
    </row>
    <row r="3694" spans="49:58">
      <c r="AW3694" s="107"/>
      <c r="AX3694" s="195"/>
      <c r="AY3694" s="105"/>
      <c r="AZ3694" s="220"/>
      <c r="BA3694" s="241"/>
      <c r="BE3694" s="107"/>
      <c r="BF3694" s="220"/>
    </row>
    <row r="3695" spans="49:58">
      <c r="AW3695" s="107"/>
      <c r="AX3695" s="195"/>
      <c r="AY3695" s="105"/>
      <c r="AZ3695" s="220"/>
      <c r="BA3695" s="241"/>
      <c r="BE3695" s="107"/>
      <c r="BF3695" s="220"/>
    </row>
    <row r="3696" spans="49:58">
      <c r="AW3696" s="107"/>
      <c r="AX3696" s="195"/>
      <c r="AY3696" s="105"/>
      <c r="AZ3696" s="220"/>
      <c r="BA3696" s="241"/>
      <c r="BE3696" s="107"/>
      <c r="BF3696" s="220"/>
    </row>
    <row r="3697" spans="49:58">
      <c r="AW3697" s="107"/>
      <c r="AX3697" s="195"/>
      <c r="AY3697" s="105"/>
      <c r="AZ3697" s="220"/>
      <c r="BA3697" s="241"/>
      <c r="BE3697" s="107"/>
      <c r="BF3697" s="220"/>
    </row>
    <row r="3698" spans="49:58">
      <c r="AW3698" s="107"/>
      <c r="AX3698" s="195"/>
      <c r="AY3698" s="105"/>
      <c r="AZ3698" s="220"/>
      <c r="BA3698" s="241"/>
      <c r="BE3698" s="107"/>
      <c r="BF3698" s="220"/>
    </row>
    <row r="3699" spans="49:58">
      <c r="AW3699" s="107"/>
      <c r="AX3699" s="195"/>
      <c r="AY3699" s="105"/>
      <c r="AZ3699" s="220"/>
      <c r="BA3699" s="241"/>
      <c r="BE3699" s="107"/>
      <c r="BF3699" s="220"/>
    </row>
    <row r="3700" spans="49:58">
      <c r="AW3700" s="107"/>
      <c r="AX3700" s="195"/>
      <c r="AY3700" s="105"/>
      <c r="AZ3700" s="220"/>
      <c r="BA3700" s="241"/>
      <c r="BE3700" s="107"/>
      <c r="BF3700" s="220"/>
    </row>
    <row r="3701" spans="49:58">
      <c r="AW3701" s="107"/>
      <c r="AX3701" s="195"/>
      <c r="AY3701" s="105"/>
      <c r="AZ3701" s="220"/>
      <c r="BA3701" s="241"/>
      <c r="BE3701" s="107"/>
      <c r="BF3701" s="220"/>
    </row>
    <row r="3702" spans="49:58">
      <c r="AW3702" s="107"/>
      <c r="AX3702" s="195"/>
      <c r="AY3702" s="105"/>
      <c r="AZ3702" s="220"/>
      <c r="BA3702" s="241"/>
      <c r="BE3702" s="107"/>
      <c r="BF3702" s="220"/>
    </row>
    <row r="3703" spans="49:58">
      <c r="AW3703" s="107"/>
      <c r="AX3703" s="195"/>
      <c r="AY3703" s="105"/>
      <c r="AZ3703" s="220"/>
      <c r="BA3703" s="241"/>
      <c r="BE3703" s="107"/>
      <c r="BF3703" s="220"/>
    </row>
    <row r="3704" spans="49:58">
      <c r="AW3704" s="107"/>
      <c r="AX3704" s="195"/>
      <c r="AY3704" s="105"/>
      <c r="AZ3704" s="220"/>
      <c r="BA3704" s="241"/>
      <c r="BE3704" s="107"/>
      <c r="BF3704" s="220"/>
    </row>
    <row r="3705" spans="49:58">
      <c r="AW3705" s="107"/>
      <c r="AX3705" s="195"/>
      <c r="AY3705" s="105"/>
      <c r="AZ3705" s="220"/>
      <c r="BA3705" s="241"/>
      <c r="BE3705" s="107"/>
      <c r="BF3705" s="220"/>
    </row>
    <row r="3706" spans="49:58">
      <c r="AW3706" s="107"/>
      <c r="AX3706" s="195"/>
      <c r="AY3706" s="105"/>
      <c r="AZ3706" s="220"/>
      <c r="BA3706" s="241"/>
      <c r="BE3706" s="107"/>
      <c r="BF3706" s="220"/>
    </row>
    <row r="3707" spans="49:58">
      <c r="AW3707" s="107"/>
      <c r="AX3707" s="195"/>
      <c r="AY3707" s="105"/>
      <c r="AZ3707" s="220"/>
      <c r="BA3707" s="241"/>
      <c r="BE3707" s="107"/>
      <c r="BF3707" s="220"/>
    </row>
    <row r="3708" spans="49:58">
      <c r="AW3708" s="107"/>
      <c r="AX3708" s="195"/>
      <c r="AY3708" s="105"/>
      <c r="AZ3708" s="220"/>
      <c r="BA3708" s="241"/>
      <c r="BE3708" s="107"/>
      <c r="BF3708" s="220"/>
    </row>
    <row r="3709" spans="49:58">
      <c r="AW3709" s="107"/>
      <c r="AX3709" s="195"/>
      <c r="AY3709" s="105"/>
      <c r="AZ3709" s="220"/>
      <c r="BA3709" s="241"/>
      <c r="BE3709" s="107"/>
      <c r="BF3709" s="220"/>
    </row>
    <row r="3710" spans="49:58">
      <c r="AW3710" s="107"/>
      <c r="AX3710" s="195"/>
      <c r="AY3710" s="105"/>
      <c r="AZ3710" s="220"/>
      <c r="BA3710" s="241"/>
      <c r="BE3710" s="107"/>
      <c r="BF3710" s="220"/>
    </row>
    <row r="3711" spans="49:58">
      <c r="AW3711" s="107"/>
      <c r="AX3711" s="195"/>
      <c r="AY3711" s="105"/>
      <c r="AZ3711" s="220"/>
      <c r="BA3711" s="241"/>
      <c r="BE3711" s="107"/>
      <c r="BF3711" s="220"/>
    </row>
    <row r="3712" spans="49:58">
      <c r="AW3712" s="107"/>
      <c r="AX3712" s="195"/>
      <c r="AY3712" s="105"/>
      <c r="AZ3712" s="220"/>
      <c r="BA3712" s="241"/>
      <c r="BE3712" s="107"/>
      <c r="BF3712" s="220"/>
    </row>
    <row r="3713" spans="49:58">
      <c r="AW3713" s="107"/>
      <c r="AX3713" s="195"/>
      <c r="AY3713" s="105"/>
      <c r="AZ3713" s="220"/>
      <c r="BA3713" s="241"/>
      <c r="BE3713" s="107"/>
      <c r="BF3713" s="220"/>
    </row>
    <row r="3714" spans="49:58">
      <c r="AW3714" s="107"/>
      <c r="AX3714" s="195"/>
      <c r="AY3714" s="105"/>
      <c r="AZ3714" s="220"/>
      <c r="BA3714" s="241"/>
      <c r="BE3714" s="107"/>
      <c r="BF3714" s="220"/>
    </row>
    <row r="3715" spans="49:58">
      <c r="AW3715" s="107"/>
      <c r="AX3715" s="195"/>
      <c r="AY3715" s="105"/>
      <c r="AZ3715" s="220"/>
      <c r="BA3715" s="241"/>
      <c r="BE3715" s="107"/>
      <c r="BF3715" s="220"/>
    </row>
    <row r="3716" spans="49:58">
      <c r="AW3716" s="107"/>
      <c r="AX3716" s="195"/>
      <c r="AY3716" s="105"/>
      <c r="AZ3716" s="220"/>
      <c r="BA3716" s="241"/>
      <c r="BE3716" s="107"/>
      <c r="BF3716" s="220"/>
    </row>
    <row r="3717" spans="49:58">
      <c r="AW3717" s="107"/>
      <c r="AX3717" s="195"/>
      <c r="AY3717" s="105"/>
      <c r="AZ3717" s="220"/>
      <c r="BA3717" s="241"/>
      <c r="BE3717" s="107"/>
      <c r="BF3717" s="220"/>
    </row>
    <row r="3718" spans="49:58">
      <c r="AW3718" s="107"/>
      <c r="AX3718" s="195"/>
      <c r="AY3718" s="105"/>
      <c r="AZ3718" s="220"/>
      <c r="BA3718" s="241"/>
      <c r="BE3718" s="107"/>
      <c r="BF3718" s="220"/>
    </row>
    <row r="3719" spans="49:58">
      <c r="AW3719" s="107"/>
      <c r="AX3719" s="195"/>
      <c r="AY3719" s="105"/>
      <c r="AZ3719" s="220"/>
      <c r="BA3719" s="241"/>
      <c r="BE3719" s="107"/>
      <c r="BF3719" s="220"/>
    </row>
    <row r="3720" spans="49:58">
      <c r="AW3720" s="107"/>
      <c r="AX3720" s="195"/>
      <c r="AY3720" s="105"/>
      <c r="AZ3720" s="220"/>
      <c r="BA3720" s="241"/>
      <c r="BE3720" s="107"/>
      <c r="BF3720" s="220"/>
    </row>
    <row r="3721" spans="49:58">
      <c r="AW3721" s="107"/>
      <c r="AX3721" s="195"/>
      <c r="AY3721" s="105"/>
      <c r="AZ3721" s="220"/>
      <c r="BA3721" s="241"/>
      <c r="BE3721" s="107"/>
      <c r="BF3721" s="220"/>
    </row>
    <row r="3722" spans="49:58">
      <c r="AW3722" s="107"/>
      <c r="AX3722" s="195"/>
      <c r="AY3722" s="105"/>
      <c r="AZ3722" s="220"/>
      <c r="BA3722" s="241"/>
      <c r="BE3722" s="107"/>
      <c r="BF3722" s="220"/>
    </row>
    <row r="3723" spans="49:58">
      <c r="AW3723" s="107"/>
      <c r="AX3723" s="195"/>
      <c r="AY3723" s="105"/>
      <c r="AZ3723" s="220"/>
      <c r="BA3723" s="241"/>
      <c r="BE3723" s="107"/>
      <c r="BF3723" s="220"/>
    </row>
    <row r="3724" spans="49:58">
      <c r="AW3724" s="107"/>
      <c r="AX3724" s="195"/>
      <c r="AY3724" s="105"/>
      <c r="AZ3724" s="220"/>
      <c r="BA3724" s="241"/>
      <c r="BE3724" s="107"/>
      <c r="BF3724" s="220"/>
    </row>
    <row r="3725" spans="49:58">
      <c r="AW3725" s="107"/>
      <c r="AX3725" s="195"/>
      <c r="AY3725" s="105"/>
      <c r="AZ3725" s="220"/>
      <c r="BA3725" s="241"/>
      <c r="BE3725" s="107"/>
      <c r="BF3725" s="220"/>
    </row>
    <row r="3726" spans="49:58">
      <c r="AW3726" s="107"/>
      <c r="AX3726" s="195"/>
      <c r="AY3726" s="105"/>
      <c r="AZ3726" s="220"/>
      <c r="BA3726" s="241"/>
      <c r="BE3726" s="107"/>
      <c r="BF3726" s="220"/>
    </row>
    <row r="3727" spans="49:58">
      <c r="AW3727" s="107"/>
      <c r="AX3727" s="195"/>
      <c r="AY3727" s="105"/>
      <c r="AZ3727" s="220"/>
      <c r="BA3727" s="241"/>
      <c r="BE3727" s="107"/>
      <c r="BF3727" s="220"/>
    </row>
    <row r="3728" spans="49:58">
      <c r="AW3728" s="107"/>
      <c r="AX3728" s="195"/>
      <c r="AY3728" s="105"/>
      <c r="AZ3728" s="220"/>
      <c r="BA3728" s="241"/>
      <c r="BE3728" s="107"/>
      <c r="BF3728" s="220"/>
    </row>
    <row r="3729" spans="49:58">
      <c r="AW3729" s="107"/>
      <c r="AX3729" s="195"/>
      <c r="AY3729" s="105"/>
      <c r="AZ3729" s="220"/>
      <c r="BA3729" s="241"/>
      <c r="BE3729" s="107"/>
      <c r="BF3729" s="220"/>
    </row>
    <row r="3730" spans="49:58">
      <c r="AW3730" s="107"/>
      <c r="AX3730" s="195"/>
      <c r="AY3730" s="105"/>
      <c r="AZ3730" s="220"/>
      <c r="BA3730" s="241"/>
      <c r="BE3730" s="107"/>
      <c r="BF3730" s="220"/>
    </row>
    <row r="3731" spans="49:58">
      <c r="AW3731" s="107"/>
      <c r="AX3731" s="195"/>
      <c r="AY3731" s="105"/>
      <c r="AZ3731" s="220"/>
      <c r="BA3731" s="241"/>
      <c r="BE3731" s="107"/>
      <c r="BF3731" s="220"/>
    </row>
    <row r="3732" spans="49:58">
      <c r="AW3732" s="107"/>
      <c r="AX3732" s="195"/>
      <c r="AY3732" s="105"/>
      <c r="AZ3732" s="220"/>
      <c r="BA3732" s="241"/>
      <c r="BE3732" s="107"/>
      <c r="BF3732" s="220"/>
    </row>
    <row r="3733" spans="49:58">
      <c r="AW3733" s="107"/>
      <c r="AX3733" s="195"/>
      <c r="AY3733" s="105"/>
      <c r="AZ3733" s="220"/>
      <c r="BA3733" s="241"/>
      <c r="BE3733" s="107"/>
      <c r="BF3733" s="220"/>
    </row>
    <row r="3734" spans="49:58">
      <c r="AW3734" s="107"/>
      <c r="AX3734" s="195"/>
      <c r="AY3734" s="105"/>
      <c r="AZ3734" s="220"/>
      <c r="BA3734" s="241"/>
      <c r="BE3734" s="107"/>
      <c r="BF3734" s="220"/>
    </row>
    <row r="3735" spans="49:58">
      <c r="AW3735" s="107"/>
      <c r="AX3735" s="195"/>
      <c r="AY3735" s="105"/>
      <c r="AZ3735" s="220"/>
      <c r="BA3735" s="241"/>
      <c r="BE3735" s="107"/>
      <c r="BF3735" s="220"/>
    </row>
    <row r="3736" spans="49:58">
      <c r="AW3736" s="107"/>
      <c r="AX3736" s="195"/>
      <c r="AY3736" s="105"/>
      <c r="AZ3736" s="220"/>
      <c r="BA3736" s="241"/>
      <c r="BE3736" s="107"/>
      <c r="BF3736" s="220"/>
    </row>
    <row r="3737" spans="49:58">
      <c r="AW3737" s="107"/>
      <c r="AX3737" s="195"/>
      <c r="AY3737" s="105"/>
      <c r="AZ3737" s="220"/>
      <c r="BA3737" s="241"/>
      <c r="BE3737" s="107"/>
      <c r="BF3737" s="220"/>
    </row>
    <row r="3738" spans="49:58">
      <c r="AW3738" s="107"/>
      <c r="AX3738" s="195"/>
      <c r="AY3738" s="105"/>
      <c r="AZ3738" s="220"/>
      <c r="BA3738" s="241"/>
      <c r="BE3738" s="107"/>
      <c r="BF3738" s="220"/>
    </row>
    <row r="3739" spans="49:58">
      <c r="AW3739" s="107"/>
      <c r="AX3739" s="195"/>
      <c r="AY3739" s="105"/>
      <c r="AZ3739" s="220"/>
      <c r="BA3739" s="241"/>
      <c r="BE3739" s="107"/>
      <c r="BF3739" s="220"/>
    </row>
    <row r="3740" spans="49:58">
      <c r="AW3740" s="107"/>
      <c r="AX3740" s="195"/>
      <c r="AY3740" s="105"/>
      <c r="AZ3740" s="220"/>
      <c r="BA3740" s="241"/>
      <c r="BE3740" s="107"/>
      <c r="BF3740" s="220"/>
    </row>
    <row r="3741" spans="49:58">
      <c r="AW3741" s="107"/>
      <c r="AX3741" s="195"/>
      <c r="AY3741" s="105"/>
      <c r="AZ3741" s="220"/>
      <c r="BA3741" s="241"/>
      <c r="BE3741" s="107"/>
      <c r="BF3741" s="220"/>
    </row>
    <row r="3742" spans="49:58">
      <c r="AW3742" s="107"/>
      <c r="AX3742" s="195"/>
      <c r="AY3742" s="105"/>
      <c r="AZ3742" s="220"/>
      <c r="BA3742" s="241"/>
      <c r="BE3742" s="107"/>
      <c r="BF3742" s="220"/>
    </row>
    <row r="3743" spans="49:58">
      <c r="AW3743" s="107"/>
      <c r="AX3743" s="195"/>
      <c r="AY3743" s="105"/>
      <c r="AZ3743" s="220"/>
      <c r="BA3743" s="241"/>
      <c r="BE3743" s="107"/>
      <c r="BF3743" s="220"/>
    </row>
    <row r="3744" spans="49:58">
      <c r="AW3744" s="107"/>
      <c r="AX3744" s="195"/>
      <c r="AY3744" s="105"/>
      <c r="AZ3744" s="220"/>
      <c r="BA3744" s="241"/>
      <c r="BE3744" s="107"/>
      <c r="BF3744" s="220"/>
    </row>
    <row r="3745" spans="49:58">
      <c r="AW3745" s="107"/>
      <c r="AX3745" s="195"/>
      <c r="AY3745" s="105"/>
      <c r="AZ3745" s="220"/>
      <c r="BA3745" s="241"/>
      <c r="BE3745" s="107"/>
      <c r="BF3745" s="220"/>
    </row>
    <row r="3746" spans="49:58">
      <c r="AW3746" s="107"/>
      <c r="AX3746" s="195"/>
      <c r="AY3746" s="105"/>
      <c r="AZ3746" s="220"/>
      <c r="BA3746" s="241"/>
      <c r="BE3746" s="107"/>
      <c r="BF3746" s="220"/>
    </row>
    <row r="3747" spans="49:58">
      <c r="AW3747" s="107"/>
      <c r="AX3747" s="195"/>
      <c r="AY3747" s="105"/>
      <c r="AZ3747" s="220"/>
      <c r="BA3747" s="241"/>
      <c r="BE3747" s="107"/>
      <c r="BF3747" s="220"/>
    </row>
    <row r="3748" spans="49:58">
      <c r="AW3748" s="107"/>
      <c r="AX3748" s="195"/>
      <c r="AY3748" s="105"/>
      <c r="AZ3748" s="220"/>
      <c r="BA3748" s="241"/>
      <c r="BE3748" s="107"/>
      <c r="BF3748" s="220"/>
    </row>
    <row r="3749" spans="49:58">
      <c r="AW3749" s="107"/>
      <c r="AX3749" s="195"/>
      <c r="AY3749" s="105"/>
      <c r="AZ3749" s="220"/>
      <c r="BA3749" s="241"/>
      <c r="BE3749" s="107"/>
      <c r="BF3749" s="220"/>
    </row>
    <row r="3750" spans="49:58">
      <c r="AW3750" s="107"/>
      <c r="AX3750" s="195"/>
      <c r="AY3750" s="105"/>
      <c r="AZ3750" s="220"/>
      <c r="BA3750" s="241"/>
      <c r="BE3750" s="107"/>
      <c r="BF3750" s="220"/>
    </row>
    <row r="3751" spans="49:58">
      <c r="AW3751" s="107"/>
      <c r="AX3751" s="195"/>
      <c r="AY3751" s="105"/>
      <c r="AZ3751" s="220"/>
      <c r="BA3751" s="241"/>
      <c r="BE3751" s="107"/>
      <c r="BF3751" s="220"/>
    </row>
    <row r="3752" spans="49:58">
      <c r="AW3752" s="107"/>
      <c r="AX3752" s="195"/>
      <c r="AY3752" s="105"/>
      <c r="AZ3752" s="220"/>
      <c r="BA3752" s="241"/>
      <c r="BE3752" s="107"/>
      <c r="BF3752" s="220"/>
    </row>
    <row r="3753" spans="49:58">
      <c r="AW3753" s="107"/>
      <c r="AX3753" s="195"/>
      <c r="AY3753" s="105"/>
      <c r="AZ3753" s="220"/>
      <c r="BA3753" s="241"/>
      <c r="BE3753" s="107"/>
      <c r="BF3753" s="220"/>
    </row>
    <row r="3754" spans="49:58">
      <c r="AW3754" s="107"/>
      <c r="AX3754" s="195"/>
      <c r="AY3754" s="105"/>
      <c r="AZ3754" s="220"/>
      <c r="BA3754" s="241"/>
      <c r="BE3754" s="107"/>
      <c r="BF3754" s="220"/>
    </row>
    <row r="3755" spans="49:58">
      <c r="AW3755" s="107"/>
      <c r="AX3755" s="195"/>
      <c r="AY3755" s="105"/>
      <c r="AZ3755" s="220"/>
      <c r="BA3755" s="241"/>
      <c r="BE3755" s="107"/>
      <c r="BF3755" s="220"/>
    </row>
    <row r="3756" spans="49:58">
      <c r="AW3756" s="107"/>
      <c r="AX3756" s="195"/>
      <c r="AY3756" s="105"/>
      <c r="AZ3756" s="220"/>
      <c r="BA3756" s="241"/>
      <c r="BE3756" s="107"/>
      <c r="BF3756" s="220"/>
    </row>
    <row r="3757" spans="49:58">
      <c r="AW3757" s="107"/>
      <c r="AX3757" s="195"/>
      <c r="AY3757" s="105"/>
      <c r="AZ3757" s="220"/>
      <c r="BA3757" s="241"/>
      <c r="BE3757" s="107"/>
      <c r="BF3757" s="220"/>
    </row>
    <row r="3758" spans="49:58">
      <c r="AW3758" s="107"/>
      <c r="AX3758" s="195"/>
      <c r="AY3758" s="105"/>
      <c r="AZ3758" s="220"/>
      <c r="BA3758" s="241"/>
      <c r="BE3758" s="107"/>
      <c r="BF3758" s="220"/>
    </row>
    <row r="3759" spans="49:58">
      <c r="AW3759" s="107"/>
      <c r="AX3759" s="195"/>
      <c r="AY3759" s="105"/>
      <c r="AZ3759" s="220"/>
      <c r="BA3759" s="241"/>
      <c r="BE3759" s="107"/>
      <c r="BF3759" s="220"/>
    </row>
    <row r="3760" spans="49:58">
      <c r="AW3760" s="107"/>
      <c r="AX3760" s="195"/>
      <c r="AY3760" s="105"/>
      <c r="AZ3760" s="220"/>
      <c r="BA3760" s="241"/>
      <c r="BE3760" s="107"/>
      <c r="BF3760" s="220"/>
    </row>
    <row r="3761" spans="49:58">
      <c r="AW3761" s="107"/>
      <c r="AX3761" s="195"/>
      <c r="AY3761" s="105"/>
      <c r="AZ3761" s="220"/>
      <c r="BA3761" s="241"/>
      <c r="BE3761" s="107"/>
      <c r="BF3761" s="220"/>
    </row>
    <row r="3762" spans="49:58">
      <c r="AW3762" s="107"/>
      <c r="AX3762" s="195"/>
      <c r="AY3762" s="105"/>
      <c r="AZ3762" s="220"/>
      <c r="BA3762" s="241"/>
      <c r="BE3762" s="107"/>
      <c r="BF3762" s="220"/>
    </row>
    <row r="3763" spans="49:58">
      <c r="AW3763" s="107"/>
      <c r="AX3763" s="195"/>
      <c r="AY3763" s="105"/>
      <c r="AZ3763" s="220"/>
      <c r="BA3763" s="241"/>
      <c r="BE3763" s="107"/>
      <c r="BF3763" s="220"/>
    </row>
    <row r="3764" spans="49:58">
      <c r="AW3764" s="107"/>
      <c r="AX3764" s="195"/>
      <c r="AY3764" s="105"/>
      <c r="AZ3764" s="220"/>
      <c r="BA3764" s="241"/>
      <c r="BE3764" s="107"/>
      <c r="BF3764" s="220"/>
    </row>
    <row r="3765" spans="49:58">
      <c r="AW3765" s="107"/>
      <c r="AX3765" s="195"/>
      <c r="AY3765" s="105"/>
      <c r="AZ3765" s="220"/>
      <c r="BA3765" s="241"/>
      <c r="BE3765" s="107"/>
      <c r="BF3765" s="220"/>
    </row>
    <row r="3766" spans="49:58">
      <c r="AW3766" s="107"/>
      <c r="AX3766" s="195"/>
      <c r="AY3766" s="105"/>
      <c r="AZ3766" s="220"/>
      <c r="BA3766" s="241"/>
      <c r="BE3766" s="107"/>
      <c r="BF3766" s="220"/>
    </row>
    <row r="3767" spans="49:58">
      <c r="AW3767" s="107"/>
      <c r="AX3767" s="195"/>
      <c r="AY3767" s="105"/>
      <c r="AZ3767" s="220"/>
      <c r="BA3767" s="241"/>
      <c r="BE3767" s="107"/>
      <c r="BF3767" s="220"/>
    </row>
    <row r="3768" spans="49:58">
      <c r="AW3768" s="107"/>
      <c r="AX3768" s="195"/>
      <c r="AY3768" s="105"/>
      <c r="AZ3768" s="220"/>
      <c r="BA3768" s="241"/>
      <c r="BE3768" s="107"/>
      <c r="BF3768" s="220"/>
    </row>
    <row r="3769" spans="49:58">
      <c r="AW3769" s="107"/>
      <c r="AX3769" s="195"/>
      <c r="AY3769" s="105"/>
      <c r="AZ3769" s="220"/>
      <c r="BA3769" s="241"/>
      <c r="BE3769" s="107"/>
      <c r="BF3769" s="220"/>
    </row>
    <row r="3770" spans="49:58">
      <c r="AW3770" s="107"/>
      <c r="AX3770" s="195"/>
      <c r="AY3770" s="105"/>
      <c r="AZ3770" s="220"/>
      <c r="BA3770" s="241"/>
      <c r="BE3770" s="107"/>
      <c r="BF3770" s="220"/>
    </row>
    <row r="3771" spans="49:58">
      <c r="AW3771" s="107"/>
      <c r="AX3771" s="195"/>
      <c r="AY3771" s="105"/>
      <c r="AZ3771" s="220"/>
      <c r="BA3771" s="241"/>
      <c r="BE3771" s="107"/>
      <c r="BF3771" s="220"/>
    </row>
    <row r="3772" spans="49:58">
      <c r="AW3772" s="107"/>
      <c r="AX3772" s="195"/>
      <c r="AY3772" s="105"/>
      <c r="AZ3772" s="220"/>
      <c r="BA3772" s="241"/>
      <c r="BE3772" s="107"/>
      <c r="BF3772" s="220"/>
    </row>
    <row r="3773" spans="49:58">
      <c r="AW3773" s="107"/>
      <c r="AX3773" s="195"/>
      <c r="AY3773" s="105"/>
      <c r="AZ3773" s="220"/>
      <c r="BA3773" s="241"/>
      <c r="BE3773" s="107"/>
      <c r="BF3773" s="220"/>
    </row>
    <row r="3774" spans="49:58">
      <c r="AW3774" s="107"/>
      <c r="AX3774" s="195"/>
      <c r="AY3774" s="105"/>
      <c r="AZ3774" s="220"/>
      <c r="BA3774" s="241"/>
      <c r="BE3774" s="107"/>
      <c r="BF3774" s="220"/>
    </row>
    <row r="3775" spans="49:58">
      <c r="AW3775" s="107"/>
      <c r="AX3775" s="195"/>
      <c r="AY3775" s="105"/>
      <c r="AZ3775" s="220"/>
      <c r="BA3775" s="241"/>
      <c r="BE3775" s="107"/>
      <c r="BF3775" s="220"/>
    </row>
    <row r="3776" spans="49:58">
      <c r="AW3776" s="107"/>
      <c r="AX3776" s="195"/>
      <c r="AY3776" s="105"/>
      <c r="AZ3776" s="220"/>
      <c r="BA3776" s="241"/>
      <c r="BE3776" s="107"/>
      <c r="BF3776" s="220"/>
    </row>
    <row r="3777" spans="49:58">
      <c r="AW3777" s="107"/>
      <c r="AX3777" s="195"/>
      <c r="AY3777" s="105"/>
      <c r="AZ3777" s="220"/>
      <c r="BA3777" s="241"/>
      <c r="BE3777" s="107"/>
      <c r="BF3777" s="220"/>
    </row>
    <row r="3778" spans="49:58">
      <c r="AW3778" s="107"/>
      <c r="AX3778" s="195"/>
      <c r="AY3778" s="105"/>
      <c r="AZ3778" s="220"/>
      <c r="BA3778" s="241"/>
      <c r="BE3778" s="107"/>
      <c r="BF3778" s="220"/>
    </row>
    <row r="3779" spans="49:58">
      <c r="AW3779" s="107"/>
      <c r="AX3779" s="195"/>
      <c r="AY3779" s="105"/>
      <c r="AZ3779" s="220"/>
      <c r="BA3779" s="241"/>
      <c r="BE3779" s="107"/>
      <c r="BF3779" s="220"/>
    </row>
    <row r="3780" spans="49:58">
      <c r="AW3780" s="107"/>
      <c r="AX3780" s="195"/>
      <c r="AY3780" s="105"/>
      <c r="AZ3780" s="220"/>
      <c r="BA3780" s="241"/>
      <c r="BE3780" s="107"/>
      <c r="BF3780" s="220"/>
    </row>
    <row r="3781" spans="49:58">
      <c r="AW3781" s="107"/>
      <c r="AX3781" s="195"/>
      <c r="AY3781" s="105"/>
      <c r="AZ3781" s="220"/>
      <c r="BA3781" s="241"/>
      <c r="BE3781" s="107"/>
      <c r="BF3781" s="220"/>
    </row>
    <row r="3782" spans="49:58">
      <c r="AW3782" s="107"/>
      <c r="AX3782" s="195"/>
      <c r="AY3782" s="105"/>
      <c r="AZ3782" s="220"/>
      <c r="BA3782" s="241"/>
      <c r="BE3782" s="107"/>
      <c r="BF3782" s="220"/>
    </row>
    <row r="3783" spans="49:58">
      <c r="AW3783" s="107"/>
      <c r="AX3783" s="195"/>
      <c r="AY3783" s="105"/>
      <c r="AZ3783" s="220"/>
      <c r="BA3783" s="241"/>
      <c r="BE3783" s="107"/>
      <c r="BF3783" s="220"/>
    </row>
    <row r="3784" spans="49:58">
      <c r="AW3784" s="107"/>
      <c r="AX3784" s="195"/>
      <c r="AY3784" s="105"/>
      <c r="AZ3784" s="220"/>
      <c r="BA3784" s="241"/>
      <c r="BE3784" s="107"/>
      <c r="BF3784" s="220"/>
    </row>
    <row r="3785" spans="49:58">
      <c r="AW3785" s="107"/>
      <c r="AX3785" s="195"/>
      <c r="AY3785" s="105"/>
      <c r="AZ3785" s="220"/>
      <c r="BA3785" s="241"/>
      <c r="BE3785" s="107"/>
      <c r="BF3785" s="220"/>
    </row>
    <row r="3786" spans="49:58">
      <c r="AW3786" s="107"/>
      <c r="AX3786" s="195"/>
      <c r="AY3786" s="105"/>
      <c r="AZ3786" s="220"/>
      <c r="BA3786" s="241"/>
      <c r="BE3786" s="107"/>
      <c r="BF3786" s="220"/>
    </row>
    <row r="3787" spans="49:58">
      <c r="AW3787" s="107"/>
      <c r="AX3787" s="195"/>
      <c r="AY3787" s="105"/>
      <c r="AZ3787" s="220"/>
      <c r="BA3787" s="241"/>
      <c r="BE3787" s="107"/>
      <c r="BF3787" s="220"/>
    </row>
    <row r="3788" spans="49:58">
      <c r="AW3788" s="107"/>
      <c r="AX3788" s="195"/>
      <c r="AY3788" s="105"/>
      <c r="AZ3788" s="220"/>
      <c r="BA3788" s="241"/>
      <c r="BE3788" s="107"/>
      <c r="BF3788" s="220"/>
    </row>
    <row r="3789" spans="49:58">
      <c r="AW3789" s="107"/>
      <c r="AX3789" s="195"/>
      <c r="AY3789" s="105"/>
      <c r="AZ3789" s="220"/>
      <c r="BA3789" s="241"/>
      <c r="BE3789" s="107"/>
      <c r="BF3789" s="220"/>
    </row>
    <row r="3790" spans="49:58">
      <c r="AW3790" s="107"/>
      <c r="AX3790" s="195"/>
      <c r="AY3790" s="105"/>
      <c r="AZ3790" s="220"/>
      <c r="BA3790" s="241"/>
      <c r="BE3790" s="107"/>
      <c r="BF3790" s="220"/>
    </row>
    <row r="3791" spans="49:58">
      <c r="AW3791" s="107"/>
      <c r="AX3791" s="195"/>
      <c r="AY3791" s="105"/>
      <c r="AZ3791" s="220"/>
      <c r="BA3791" s="241"/>
      <c r="BE3791" s="107"/>
      <c r="BF3791" s="220"/>
    </row>
    <row r="3792" spans="49:58">
      <c r="AW3792" s="107"/>
      <c r="AX3792" s="195"/>
      <c r="AY3792" s="105"/>
      <c r="AZ3792" s="220"/>
      <c r="BA3792" s="241"/>
      <c r="BE3792" s="107"/>
      <c r="BF3792" s="220"/>
    </row>
    <row r="3793" spans="49:58">
      <c r="AW3793" s="107"/>
      <c r="AX3793" s="195"/>
      <c r="AY3793" s="105"/>
      <c r="AZ3793" s="220"/>
      <c r="BA3793" s="241"/>
      <c r="BE3793" s="107"/>
      <c r="BF3793" s="220"/>
    </row>
    <row r="3794" spans="49:58">
      <c r="AW3794" s="107"/>
      <c r="AX3794" s="195"/>
      <c r="AY3794" s="105"/>
      <c r="AZ3794" s="220"/>
      <c r="BA3794" s="241"/>
      <c r="BE3794" s="107"/>
      <c r="BF3794" s="220"/>
    </row>
    <row r="3795" spans="49:58">
      <c r="AW3795" s="107"/>
      <c r="AX3795" s="195"/>
      <c r="AY3795" s="105"/>
      <c r="AZ3795" s="220"/>
      <c r="BA3795" s="241"/>
      <c r="BE3795" s="107"/>
      <c r="BF3795" s="220"/>
    </row>
    <row r="3796" spans="49:58">
      <c r="AW3796" s="107"/>
      <c r="AX3796" s="195"/>
      <c r="AY3796" s="105"/>
      <c r="AZ3796" s="220"/>
      <c r="BA3796" s="241"/>
      <c r="BE3796" s="107"/>
      <c r="BF3796" s="220"/>
    </row>
    <row r="3797" spans="49:58">
      <c r="AW3797" s="107"/>
      <c r="AX3797" s="195"/>
      <c r="AY3797" s="105"/>
      <c r="AZ3797" s="220"/>
      <c r="BA3797" s="241"/>
      <c r="BE3797" s="107"/>
      <c r="BF3797" s="220"/>
    </row>
    <row r="3798" spans="49:58">
      <c r="AW3798" s="107"/>
      <c r="AX3798" s="195"/>
      <c r="AY3798" s="105"/>
      <c r="AZ3798" s="220"/>
      <c r="BA3798" s="241"/>
      <c r="BE3798" s="107"/>
      <c r="BF3798" s="220"/>
    </row>
    <row r="3799" spans="49:58">
      <c r="AW3799" s="107"/>
      <c r="AX3799" s="195"/>
      <c r="AY3799" s="105"/>
      <c r="AZ3799" s="220"/>
      <c r="BA3799" s="241"/>
      <c r="BE3799" s="107"/>
      <c r="BF3799" s="220"/>
    </row>
    <row r="3800" spans="49:58">
      <c r="AW3800" s="107"/>
      <c r="AX3800" s="195"/>
      <c r="AY3800" s="105"/>
      <c r="AZ3800" s="220"/>
      <c r="BA3800" s="241"/>
      <c r="BE3800" s="107"/>
      <c r="BF3800" s="220"/>
    </row>
    <row r="3801" spans="49:58">
      <c r="AW3801" s="107"/>
      <c r="AX3801" s="195"/>
      <c r="AY3801" s="105"/>
      <c r="AZ3801" s="220"/>
      <c r="BA3801" s="241"/>
      <c r="BE3801" s="107"/>
      <c r="BF3801" s="220"/>
    </row>
    <row r="3802" spans="49:58">
      <c r="AW3802" s="107"/>
      <c r="AX3802" s="195"/>
      <c r="AY3802" s="105"/>
      <c r="AZ3802" s="220"/>
      <c r="BA3802" s="241"/>
      <c r="BE3802" s="107"/>
      <c r="BF3802" s="220"/>
    </row>
    <row r="3803" spans="49:58">
      <c r="AW3803" s="107"/>
      <c r="AX3803" s="195"/>
      <c r="AY3803" s="105"/>
      <c r="AZ3803" s="220"/>
      <c r="BA3803" s="241"/>
      <c r="BE3803" s="107"/>
      <c r="BF3803" s="220"/>
    </row>
    <row r="3804" spans="49:58">
      <c r="AW3804" s="107"/>
      <c r="AX3804" s="195"/>
      <c r="AY3804" s="105"/>
      <c r="AZ3804" s="220"/>
      <c r="BA3804" s="241"/>
      <c r="BE3804" s="107"/>
      <c r="BF3804" s="220"/>
    </row>
    <row r="3805" spans="49:58">
      <c r="AW3805" s="107"/>
      <c r="AX3805" s="195"/>
      <c r="AY3805" s="105"/>
      <c r="AZ3805" s="220"/>
      <c r="BA3805" s="241"/>
      <c r="BE3805" s="107"/>
      <c r="BF3805" s="220"/>
    </row>
    <row r="3806" spans="49:58">
      <c r="AW3806" s="107"/>
      <c r="AX3806" s="195"/>
      <c r="AY3806" s="105"/>
      <c r="AZ3806" s="220"/>
      <c r="BA3806" s="241"/>
      <c r="BE3806" s="107"/>
      <c r="BF3806" s="220"/>
    </row>
    <row r="3807" spans="49:58">
      <c r="AW3807" s="107"/>
      <c r="AX3807" s="195"/>
      <c r="AY3807" s="105"/>
      <c r="AZ3807" s="220"/>
      <c r="BA3807" s="241"/>
      <c r="BE3807" s="107"/>
      <c r="BF3807" s="220"/>
    </row>
    <row r="3808" spans="49:58">
      <c r="AW3808" s="107"/>
      <c r="AX3808" s="195"/>
      <c r="AY3808" s="105"/>
      <c r="AZ3808" s="220"/>
      <c r="BA3808" s="241"/>
      <c r="BE3808" s="107"/>
      <c r="BF3808" s="220"/>
    </row>
    <row r="3809" spans="49:58">
      <c r="AW3809" s="107"/>
      <c r="AX3809" s="195"/>
      <c r="AY3809" s="105"/>
      <c r="AZ3809" s="220"/>
      <c r="BA3809" s="241"/>
      <c r="BE3809" s="107"/>
      <c r="BF3809" s="220"/>
    </row>
    <row r="3810" spans="49:58">
      <c r="AW3810" s="107"/>
      <c r="AX3810" s="195"/>
      <c r="AY3810" s="105"/>
      <c r="AZ3810" s="220"/>
      <c r="BA3810" s="241"/>
      <c r="BE3810" s="107"/>
      <c r="BF3810" s="220"/>
    </row>
    <row r="3811" spans="49:58">
      <c r="AW3811" s="107"/>
      <c r="AX3811" s="195"/>
      <c r="AY3811" s="105"/>
      <c r="AZ3811" s="220"/>
      <c r="BA3811" s="241"/>
      <c r="BE3811" s="107"/>
      <c r="BF3811" s="220"/>
    </row>
    <row r="3812" spans="49:58">
      <c r="AW3812" s="107"/>
      <c r="AX3812" s="195"/>
      <c r="AY3812" s="105"/>
      <c r="AZ3812" s="220"/>
      <c r="BA3812" s="241"/>
      <c r="BE3812" s="107"/>
      <c r="BF3812" s="220"/>
    </row>
    <row r="3813" spans="49:58">
      <c r="AW3813" s="107"/>
      <c r="AX3813" s="195"/>
      <c r="AY3813" s="105"/>
      <c r="AZ3813" s="220"/>
      <c r="BA3813" s="241"/>
      <c r="BE3813" s="107"/>
      <c r="BF3813" s="220"/>
    </row>
    <row r="3814" spans="49:58">
      <c r="AW3814" s="107"/>
      <c r="AX3814" s="195"/>
      <c r="AY3814" s="105"/>
      <c r="AZ3814" s="220"/>
      <c r="BA3814" s="241"/>
      <c r="BE3814" s="107"/>
      <c r="BF3814" s="220"/>
    </row>
    <row r="3815" spans="49:58">
      <c r="AW3815" s="107"/>
      <c r="AX3815" s="195"/>
      <c r="AY3815" s="105"/>
      <c r="AZ3815" s="220"/>
      <c r="BA3815" s="241"/>
      <c r="BE3815" s="107"/>
      <c r="BF3815" s="220"/>
    </row>
    <row r="3816" spans="49:58">
      <c r="AW3816" s="107"/>
      <c r="AX3816" s="195"/>
      <c r="AY3816" s="105"/>
      <c r="AZ3816" s="220"/>
      <c r="BA3816" s="241"/>
      <c r="BE3816" s="107"/>
      <c r="BF3816" s="220"/>
    </row>
    <row r="3817" spans="49:58">
      <c r="AW3817" s="107"/>
      <c r="AX3817" s="195"/>
      <c r="AY3817" s="105"/>
      <c r="AZ3817" s="220"/>
      <c r="BA3817" s="241"/>
      <c r="BE3817" s="107"/>
      <c r="BF3817" s="220"/>
    </row>
    <row r="3818" spans="49:58">
      <c r="AW3818" s="107"/>
      <c r="AX3818" s="195"/>
      <c r="AY3818" s="105"/>
      <c r="AZ3818" s="220"/>
      <c r="BA3818" s="241"/>
      <c r="BE3818" s="107"/>
      <c r="BF3818" s="220"/>
    </row>
    <row r="3819" spans="49:58">
      <c r="AW3819" s="107"/>
      <c r="AX3819" s="195"/>
      <c r="AY3819" s="105"/>
      <c r="AZ3819" s="220"/>
      <c r="BA3819" s="241"/>
      <c r="BE3819" s="107"/>
      <c r="BF3819" s="220"/>
    </row>
    <row r="3820" spans="49:58">
      <c r="AW3820" s="107"/>
      <c r="AX3820" s="195"/>
      <c r="AY3820" s="105"/>
      <c r="AZ3820" s="220"/>
      <c r="BA3820" s="241"/>
      <c r="BE3820" s="107"/>
      <c r="BF3820" s="220"/>
    </row>
    <row r="3821" spans="49:58">
      <c r="AW3821" s="107"/>
      <c r="AX3821" s="195"/>
      <c r="AY3821" s="105"/>
      <c r="AZ3821" s="220"/>
      <c r="BA3821" s="241"/>
      <c r="BE3821" s="107"/>
      <c r="BF3821" s="220"/>
    </row>
    <row r="3822" spans="49:58">
      <c r="AW3822" s="107"/>
      <c r="AX3822" s="195"/>
      <c r="AY3822" s="105"/>
      <c r="AZ3822" s="220"/>
      <c r="BA3822" s="241"/>
      <c r="BE3822" s="107"/>
      <c r="BF3822" s="220"/>
    </row>
    <row r="3823" spans="49:58">
      <c r="AW3823" s="107"/>
      <c r="AX3823" s="195"/>
      <c r="AY3823" s="105"/>
      <c r="AZ3823" s="220"/>
      <c r="BA3823" s="241"/>
      <c r="BE3823" s="107"/>
      <c r="BF3823" s="220"/>
    </row>
    <row r="3824" spans="49:58">
      <c r="AW3824" s="107"/>
      <c r="AX3824" s="195"/>
      <c r="AY3824" s="105"/>
      <c r="AZ3824" s="220"/>
      <c r="BA3824" s="241"/>
      <c r="BE3824" s="107"/>
      <c r="BF3824" s="220"/>
    </row>
    <row r="3825" spans="49:58">
      <c r="AW3825" s="107"/>
      <c r="AX3825" s="195"/>
      <c r="AY3825" s="105"/>
      <c r="AZ3825" s="220"/>
      <c r="BA3825" s="241"/>
      <c r="BE3825" s="107"/>
      <c r="BF3825" s="220"/>
    </row>
    <row r="3826" spans="49:58">
      <c r="AW3826" s="107"/>
      <c r="AX3826" s="195"/>
      <c r="AY3826" s="105"/>
      <c r="AZ3826" s="220"/>
      <c r="BA3826" s="241"/>
      <c r="BE3826" s="107"/>
      <c r="BF3826" s="220"/>
    </row>
    <row r="3827" spans="49:58">
      <c r="AW3827" s="107"/>
      <c r="AX3827" s="195"/>
      <c r="AY3827" s="105"/>
      <c r="AZ3827" s="220"/>
      <c r="BA3827" s="241"/>
      <c r="BE3827" s="107"/>
      <c r="BF3827" s="220"/>
    </row>
    <row r="3828" spans="49:58">
      <c r="AW3828" s="107"/>
      <c r="AX3828" s="195"/>
      <c r="AY3828" s="105"/>
      <c r="AZ3828" s="220"/>
      <c r="BA3828" s="241"/>
      <c r="BE3828" s="107"/>
      <c r="BF3828" s="220"/>
    </row>
    <row r="3829" spans="49:58">
      <c r="AW3829" s="107"/>
      <c r="AX3829" s="195"/>
      <c r="AY3829" s="105"/>
      <c r="AZ3829" s="220"/>
      <c r="BA3829" s="241"/>
      <c r="BE3829" s="107"/>
      <c r="BF3829" s="220"/>
    </row>
    <row r="3830" spans="49:58">
      <c r="AW3830" s="107"/>
      <c r="AX3830" s="195"/>
      <c r="AY3830" s="105"/>
      <c r="AZ3830" s="220"/>
      <c r="BA3830" s="241"/>
      <c r="BE3830" s="107"/>
      <c r="BF3830" s="220"/>
    </row>
    <row r="3831" spans="49:58">
      <c r="AW3831" s="107"/>
      <c r="AX3831" s="195"/>
      <c r="AY3831" s="105"/>
      <c r="AZ3831" s="220"/>
      <c r="BA3831" s="241"/>
      <c r="BE3831" s="107"/>
      <c r="BF3831" s="220"/>
    </row>
    <row r="3832" spans="49:58">
      <c r="AW3832" s="107"/>
      <c r="AX3832" s="195"/>
      <c r="AY3832" s="105"/>
      <c r="AZ3832" s="220"/>
      <c r="BA3832" s="241"/>
      <c r="BE3832" s="107"/>
      <c r="BF3832" s="220"/>
    </row>
    <row r="3833" spans="49:58">
      <c r="AW3833" s="107"/>
      <c r="AX3833" s="195"/>
      <c r="AY3833" s="105"/>
      <c r="AZ3833" s="220"/>
      <c r="BA3833" s="241"/>
      <c r="BE3833" s="107"/>
      <c r="BF3833" s="220"/>
    </row>
    <row r="3834" spans="49:58">
      <c r="AW3834" s="107"/>
      <c r="AX3834" s="195"/>
      <c r="AY3834" s="105"/>
      <c r="AZ3834" s="220"/>
      <c r="BA3834" s="241"/>
      <c r="BE3834" s="107"/>
      <c r="BF3834" s="220"/>
    </row>
    <row r="3835" spans="49:58">
      <c r="AW3835" s="107"/>
      <c r="AX3835" s="195"/>
      <c r="AY3835" s="105"/>
      <c r="AZ3835" s="220"/>
      <c r="BA3835" s="241"/>
      <c r="BE3835" s="107"/>
      <c r="BF3835" s="220"/>
    </row>
    <row r="3836" spans="49:58">
      <c r="AW3836" s="107"/>
      <c r="AX3836" s="195"/>
      <c r="AY3836" s="105"/>
      <c r="AZ3836" s="220"/>
      <c r="BA3836" s="241"/>
      <c r="BE3836" s="107"/>
      <c r="BF3836" s="220"/>
    </row>
    <row r="3837" spans="49:58">
      <c r="AW3837" s="107"/>
      <c r="AX3837" s="195"/>
      <c r="AY3837" s="105"/>
      <c r="AZ3837" s="220"/>
      <c r="BA3837" s="241"/>
      <c r="BE3837" s="107"/>
      <c r="BF3837" s="220"/>
    </row>
    <row r="3838" spans="49:58">
      <c r="AW3838" s="107"/>
      <c r="AX3838" s="195"/>
      <c r="AY3838" s="105"/>
      <c r="AZ3838" s="220"/>
      <c r="BA3838" s="241"/>
      <c r="BE3838" s="107"/>
      <c r="BF3838" s="220"/>
    </row>
    <row r="3839" spans="49:58">
      <c r="AW3839" s="107"/>
      <c r="AX3839" s="195"/>
      <c r="AY3839" s="105"/>
      <c r="AZ3839" s="220"/>
      <c r="BA3839" s="241"/>
      <c r="BE3839" s="107"/>
      <c r="BF3839" s="220"/>
    </row>
    <row r="3840" spans="49:58">
      <c r="AW3840" s="107"/>
      <c r="AX3840" s="195"/>
      <c r="AY3840" s="105"/>
      <c r="AZ3840" s="220"/>
      <c r="BA3840" s="241"/>
      <c r="BE3840" s="107"/>
      <c r="BF3840" s="220"/>
    </row>
    <row r="3841" spans="49:58">
      <c r="AW3841" s="107"/>
      <c r="AX3841" s="195"/>
      <c r="AY3841" s="105"/>
      <c r="AZ3841" s="220"/>
      <c r="BA3841" s="241"/>
      <c r="BE3841" s="107"/>
      <c r="BF3841" s="220"/>
    </row>
    <row r="3842" spans="49:58">
      <c r="AW3842" s="107"/>
      <c r="AX3842" s="195"/>
      <c r="AY3842" s="105"/>
      <c r="AZ3842" s="220"/>
      <c r="BA3842" s="241"/>
      <c r="BE3842" s="107"/>
      <c r="BF3842" s="220"/>
    </row>
    <row r="3843" spans="49:58">
      <c r="AW3843" s="107"/>
      <c r="AX3843" s="195"/>
      <c r="AY3843" s="105"/>
      <c r="AZ3843" s="220"/>
      <c r="BA3843" s="241"/>
      <c r="BE3843" s="107"/>
      <c r="BF3843" s="220"/>
    </row>
    <row r="3844" spans="49:58">
      <c r="AW3844" s="107"/>
      <c r="AX3844" s="195"/>
      <c r="AY3844" s="105"/>
      <c r="AZ3844" s="220"/>
      <c r="BA3844" s="241"/>
      <c r="BE3844" s="107"/>
      <c r="BF3844" s="220"/>
    </row>
    <row r="3845" spans="49:58">
      <c r="AW3845" s="107"/>
      <c r="AX3845" s="195"/>
      <c r="AY3845" s="105"/>
      <c r="AZ3845" s="220"/>
      <c r="BA3845" s="241"/>
      <c r="BE3845" s="107"/>
      <c r="BF3845" s="220"/>
    </row>
    <row r="3846" spans="49:58">
      <c r="AW3846" s="107"/>
      <c r="AX3846" s="195"/>
      <c r="AY3846" s="105"/>
      <c r="AZ3846" s="220"/>
      <c r="BA3846" s="241"/>
      <c r="BE3846" s="107"/>
      <c r="BF3846" s="220"/>
    </row>
    <row r="3847" spans="49:58">
      <c r="AW3847" s="107"/>
      <c r="AX3847" s="195"/>
      <c r="AY3847" s="105"/>
      <c r="AZ3847" s="220"/>
      <c r="BA3847" s="241"/>
      <c r="BE3847" s="107"/>
      <c r="BF3847" s="220"/>
    </row>
    <row r="3848" spans="49:58">
      <c r="AW3848" s="107"/>
      <c r="AX3848" s="195"/>
      <c r="AY3848" s="105"/>
      <c r="AZ3848" s="220"/>
      <c r="BA3848" s="241"/>
      <c r="BE3848" s="107"/>
      <c r="BF3848" s="220"/>
    </row>
    <row r="3849" spans="49:58">
      <c r="AW3849" s="107"/>
      <c r="AX3849" s="195"/>
      <c r="AY3849" s="105"/>
      <c r="AZ3849" s="220"/>
      <c r="BA3849" s="241"/>
      <c r="BE3849" s="107"/>
      <c r="BF3849" s="220"/>
    </row>
    <row r="3850" spans="49:58">
      <c r="AW3850" s="107"/>
      <c r="AX3850" s="195"/>
      <c r="AY3850" s="105"/>
      <c r="AZ3850" s="220"/>
      <c r="BA3850" s="241"/>
      <c r="BE3850" s="107"/>
      <c r="BF3850" s="220"/>
    </row>
    <row r="3851" spans="49:58">
      <c r="AW3851" s="107"/>
      <c r="AX3851" s="195"/>
      <c r="AY3851" s="105"/>
      <c r="AZ3851" s="220"/>
      <c r="BA3851" s="241"/>
      <c r="BE3851" s="107"/>
      <c r="BF3851" s="220"/>
    </row>
    <row r="3852" spans="49:58">
      <c r="AW3852" s="107"/>
      <c r="AX3852" s="195"/>
      <c r="AY3852" s="105"/>
      <c r="AZ3852" s="220"/>
      <c r="BA3852" s="241"/>
      <c r="BE3852" s="107"/>
      <c r="BF3852" s="220"/>
    </row>
    <row r="3853" spans="49:58">
      <c r="AW3853" s="107"/>
      <c r="AX3853" s="195"/>
      <c r="AY3853" s="105"/>
      <c r="AZ3853" s="220"/>
      <c r="BA3853" s="241"/>
      <c r="BE3853" s="107"/>
      <c r="BF3853" s="220"/>
    </row>
    <row r="3854" spans="49:58">
      <c r="AW3854" s="107"/>
      <c r="AX3854" s="195"/>
      <c r="AY3854" s="105"/>
      <c r="AZ3854" s="220"/>
      <c r="BA3854" s="241"/>
      <c r="BE3854" s="107"/>
      <c r="BF3854" s="220"/>
    </row>
    <row r="3855" spans="49:58">
      <c r="AW3855" s="107"/>
      <c r="AX3855" s="195"/>
      <c r="AY3855" s="105"/>
      <c r="AZ3855" s="220"/>
      <c r="BA3855" s="241"/>
      <c r="BE3855" s="107"/>
      <c r="BF3855" s="220"/>
    </row>
    <row r="3856" spans="49:58">
      <c r="AW3856" s="107"/>
      <c r="AX3856" s="195"/>
      <c r="AY3856" s="105"/>
      <c r="AZ3856" s="220"/>
      <c r="BA3856" s="241"/>
      <c r="BE3856" s="107"/>
      <c r="BF3856" s="220"/>
    </row>
    <row r="3857" spans="49:58">
      <c r="AW3857" s="107"/>
      <c r="AX3857" s="195"/>
      <c r="AY3857" s="105"/>
      <c r="AZ3857" s="220"/>
      <c r="BA3857" s="241"/>
      <c r="BE3857" s="107"/>
      <c r="BF3857" s="220"/>
    </row>
    <row r="3858" spans="49:58">
      <c r="AW3858" s="107"/>
      <c r="AX3858" s="195"/>
      <c r="AY3858" s="105"/>
      <c r="AZ3858" s="220"/>
      <c r="BA3858" s="241"/>
      <c r="BE3858" s="107"/>
      <c r="BF3858" s="220"/>
    </row>
    <row r="3859" spans="49:58">
      <c r="AW3859" s="107"/>
      <c r="AX3859" s="195"/>
      <c r="AY3859" s="105"/>
      <c r="AZ3859" s="220"/>
      <c r="BA3859" s="241"/>
      <c r="BE3859" s="107"/>
      <c r="BF3859" s="220"/>
    </row>
    <row r="3860" spans="49:58">
      <c r="AW3860" s="107"/>
      <c r="AX3860" s="195"/>
      <c r="AY3860" s="105"/>
      <c r="AZ3860" s="220"/>
      <c r="BA3860" s="241"/>
      <c r="BE3860" s="107"/>
      <c r="BF3860" s="220"/>
    </row>
    <row r="3861" spans="49:58">
      <c r="AW3861" s="107"/>
      <c r="AX3861" s="195"/>
      <c r="AY3861" s="105"/>
      <c r="AZ3861" s="220"/>
      <c r="BA3861" s="241"/>
      <c r="BE3861" s="107"/>
      <c r="BF3861" s="220"/>
    </row>
    <row r="3862" spans="49:58">
      <c r="AW3862" s="107"/>
      <c r="AX3862" s="195"/>
      <c r="AY3862" s="105"/>
      <c r="AZ3862" s="220"/>
      <c r="BA3862" s="241"/>
      <c r="BE3862" s="107"/>
      <c r="BF3862" s="220"/>
    </row>
    <row r="3863" spans="49:58">
      <c r="AW3863" s="107"/>
      <c r="AX3863" s="195"/>
      <c r="AY3863" s="105"/>
      <c r="AZ3863" s="220"/>
      <c r="BA3863" s="241"/>
      <c r="BE3863" s="107"/>
      <c r="BF3863" s="220"/>
    </row>
    <row r="3864" spans="49:58">
      <c r="AW3864" s="107"/>
      <c r="AX3864" s="195"/>
      <c r="AY3864" s="105"/>
      <c r="AZ3864" s="220"/>
      <c r="BA3864" s="241"/>
      <c r="BE3864" s="107"/>
      <c r="BF3864" s="220"/>
    </row>
    <row r="3865" spans="49:58">
      <c r="AW3865" s="107"/>
      <c r="AX3865" s="195"/>
      <c r="AY3865" s="105"/>
      <c r="AZ3865" s="220"/>
      <c r="BA3865" s="241"/>
      <c r="BE3865" s="107"/>
      <c r="BF3865" s="220"/>
    </row>
    <row r="3866" spans="49:58">
      <c r="AW3866" s="107"/>
      <c r="AX3866" s="195"/>
      <c r="AY3866" s="105"/>
      <c r="AZ3866" s="220"/>
      <c r="BA3866" s="241"/>
      <c r="BE3866" s="107"/>
      <c r="BF3866" s="220"/>
    </row>
    <row r="3867" spans="49:58">
      <c r="AW3867" s="107"/>
      <c r="AX3867" s="195"/>
      <c r="AY3867" s="105"/>
      <c r="AZ3867" s="220"/>
      <c r="BA3867" s="241"/>
      <c r="BE3867" s="107"/>
      <c r="BF3867" s="220"/>
    </row>
    <row r="3868" spans="49:58">
      <c r="AW3868" s="107"/>
      <c r="AX3868" s="195"/>
      <c r="AY3868" s="105"/>
      <c r="AZ3868" s="220"/>
      <c r="BA3868" s="241"/>
      <c r="BE3868" s="107"/>
      <c r="BF3868" s="220"/>
    </row>
    <row r="3869" spans="49:58">
      <c r="AW3869" s="107"/>
      <c r="AX3869" s="195"/>
      <c r="AY3869" s="105"/>
      <c r="AZ3869" s="220"/>
      <c r="BA3869" s="241"/>
      <c r="BE3869" s="107"/>
      <c r="BF3869" s="220"/>
    </row>
    <row r="3870" spans="49:58">
      <c r="AW3870" s="107"/>
      <c r="AX3870" s="195"/>
      <c r="AY3870" s="105"/>
      <c r="AZ3870" s="220"/>
      <c r="BA3870" s="241"/>
      <c r="BE3870" s="107"/>
      <c r="BF3870" s="220"/>
    </row>
    <row r="3871" spans="49:58">
      <c r="AW3871" s="107"/>
      <c r="AX3871" s="195"/>
      <c r="AY3871" s="105"/>
      <c r="AZ3871" s="220"/>
      <c r="BA3871" s="241"/>
      <c r="BE3871" s="107"/>
      <c r="BF3871" s="220"/>
    </row>
    <row r="3872" spans="49:58">
      <c r="AW3872" s="107"/>
      <c r="AX3872" s="195"/>
      <c r="AY3872" s="105"/>
      <c r="AZ3872" s="220"/>
      <c r="BA3872" s="241"/>
      <c r="BE3872" s="107"/>
      <c r="BF3872" s="220"/>
    </row>
    <row r="3873" spans="49:58">
      <c r="AW3873" s="107"/>
      <c r="AX3873" s="195"/>
      <c r="AY3873" s="105"/>
      <c r="AZ3873" s="220"/>
      <c r="BA3873" s="241"/>
      <c r="BE3873" s="107"/>
      <c r="BF3873" s="220"/>
    </row>
    <row r="3874" spans="49:58">
      <c r="AW3874" s="107"/>
      <c r="AX3874" s="195"/>
      <c r="AY3874" s="105"/>
      <c r="AZ3874" s="220"/>
      <c r="BA3874" s="241"/>
      <c r="BE3874" s="107"/>
      <c r="BF3874" s="220"/>
    </row>
    <row r="3875" spans="49:58">
      <c r="AW3875" s="107"/>
      <c r="AX3875" s="195"/>
      <c r="AY3875" s="105"/>
      <c r="AZ3875" s="220"/>
      <c r="BA3875" s="241"/>
      <c r="BE3875" s="107"/>
      <c r="BF3875" s="220"/>
    </row>
    <row r="3876" spans="49:58">
      <c r="AW3876" s="107"/>
      <c r="AX3876" s="195"/>
      <c r="AY3876" s="105"/>
      <c r="AZ3876" s="220"/>
      <c r="BA3876" s="241"/>
      <c r="BE3876" s="107"/>
      <c r="BF3876" s="220"/>
    </row>
  </sheetData>
  <mergeCells count="1">
    <mergeCell ref="A2:B3"/>
  </mergeCells>
  <conditionalFormatting sqref="F1:BF1048576">
    <cfRule type="expression" dxfId="96" priority="3">
      <formula>AND(ISNUMBER(F1),F1&lt;0)</formula>
    </cfRule>
  </conditionalFormatting>
  <conditionalFormatting sqref="M1:M1048576">
    <cfRule type="expression" dxfId="95" priority="15">
      <formula>AND($L1&lt;&gt;$M1,ISNUMBER($M1))</formula>
    </cfRule>
  </conditionalFormatting>
  <conditionalFormatting sqref="Q1:AK1 AO1:AP1 BA1 BD1">
    <cfRule type="expression" dxfId="94" priority="3921">
      <formula>AND(ROW($Q1)&gt;14,$E1&lt;&gt;"",LEFT($B1,4)="_Mil")</formula>
    </cfRule>
  </conditionalFormatting>
  <conditionalFormatting sqref="Q2:AK1048576 AO2:AP1048576 BA2:BA1048576 BD2:BD1048576">
    <cfRule type="expression" dxfId="93" priority="4">
      <formula>AND(ROW($Q1)&gt;14,$E2&lt;&gt;"",LEFT($B2,4)="_Mil")</formula>
    </cfRule>
  </conditionalFormatting>
  <conditionalFormatting sqref="T1:T1048576 V1:V1048576 X1:Y1048576 AB1:AB1048576 AD1:AE1048576 AP1:AR1048576 AU1:AU1048576 AW1:AW1048576 AY1:AY1048576 BB1:BB1048576 BE1:BE1048576">
    <cfRule type="expression" dxfId="92" priority="7">
      <formula>AND(ISNUMBER(T1),T1&gt;1)</formula>
    </cfRule>
  </conditionalFormatting>
  <conditionalFormatting sqref="V1:V1048576 Y1:Y1048576 AB1:AB1048576 AD1:AD1048576 AY1:AY1048576 BB1:BB1048576 BE1:BE1048576">
    <cfRule type="expression" dxfId="91" priority="14">
      <formula>AND(ISNUMBER(V1),V1&lt;0.95)</formula>
    </cfRule>
  </conditionalFormatting>
  <conditionalFormatting sqref="X1:X1048576 AJ1:AJ1048576 AP1:AP1048576">
    <cfRule type="expression" dxfId="90" priority="16">
      <formula>AND(ISNUMBER(X1),X1&lt;0.9)</formula>
    </cfRule>
  </conditionalFormatting>
  <conditionalFormatting sqref="AI1:AI1048576">
    <cfRule type="expression" dxfId="89" priority="6">
      <formula>AND(ISNUMBER($AI1),ROW($AI1)&gt;14,SUM($AI1)=SUM($AH1))</formula>
    </cfRule>
    <cfRule type="expression" dxfId="88" priority="8">
      <formula>AND(ISNUMBER($AI1),ROW($AI1)&gt;14,SUM($AI1)=SUM($AG1))</formula>
    </cfRule>
  </conditionalFormatting>
  <conditionalFormatting sqref="AJ1:AJ1048576">
    <cfRule type="expression" dxfId="87" priority="13">
      <formula>AND(ISNUMBER(AJ1),AJ1&gt;1)</formula>
    </cfRule>
  </conditionalFormatting>
  <conditionalFormatting sqref="AQ1:AR1048576">
    <cfRule type="expression" dxfId="86" priority="12">
      <formula>AND(ISNUMBER(AQ1),AQ1&lt;0.98)</formula>
    </cfRule>
  </conditionalFormatting>
  <conditionalFormatting sqref="AU1:AU1048576">
    <cfRule type="expression" dxfId="85" priority="10">
      <formula>AND(ISNUMBER(AU1),AU1&lt;1)</formula>
    </cfRule>
  </conditionalFormatting>
  <conditionalFormatting sqref="AW1:AW1048576">
    <cfRule type="expression" dxfId="84"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C15" sqref="C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214" customWidth="1"/>
    <col min="6" max="6" width="11.796875" style="215" customWidth="1"/>
    <col min="7" max="7" width="11.796875" style="51" customWidth="1"/>
    <col min="8" max="8" width="11.796875" style="142" customWidth="1"/>
    <col min="9" max="9" width="11.796875" style="215" customWidth="1"/>
    <col min="10" max="10" width="11.796875" style="142" customWidth="1"/>
    <col min="11" max="11" width="11.796875" style="215" customWidth="1"/>
    <col min="12" max="12" width="11.796875" style="142" customWidth="1"/>
    <col min="13" max="14" width="11.796875" style="119" customWidth="1"/>
    <col min="15" max="15" width="11.796875" style="215" customWidth="1"/>
    <col min="16" max="16" width="11.796875" style="119" customWidth="1"/>
    <col min="17" max="17" width="11.796875" style="11" customWidth="1"/>
    <col min="18" max="18" width="11.796875" style="142" customWidth="1"/>
    <col min="19" max="20" width="11.796875" style="11" customWidth="1"/>
    <col min="21" max="22" width="11.796875" style="119" customWidth="1"/>
    <col min="23" max="23" width="11.796875" style="299" customWidth="1"/>
    <col min="24" max="24" width="11.796875" style="30" customWidth="1"/>
    <col min="25" max="25" width="11.796875" style="308" customWidth="1"/>
    <col min="26" max="26" width="11.796875" style="119" customWidth="1"/>
    <col min="27" max="27" width="11.796875" style="299" customWidth="1"/>
    <col min="28" max="28" width="11.796875" style="215" customWidth="1"/>
    <col min="29" max="29" width="11.796875" style="308" customWidth="1"/>
    <col min="30" max="30" width="11.796875" style="215" customWidth="1"/>
    <col min="31" max="31" width="11.796875" style="142" customWidth="1"/>
    <col min="32" max="32" width="11.796875" style="119" customWidth="1"/>
    <col min="33" max="34" width="11.796875" style="299" customWidth="1"/>
    <col min="35" max="36" width="11.796875" style="215" customWidth="1"/>
    <col min="37" max="37" width="11.796875" style="142" customWidth="1"/>
    <col min="38" max="38" width="11.796875" style="215" customWidth="1"/>
  </cols>
  <sheetData>
    <row r="1" spans="1:38" s="21" customFormat="1" ht="31.05" customHeight="1">
      <c r="A1" s="96" t="s">
        <v>176</v>
      </c>
      <c r="B1" s="4"/>
      <c r="C1" s="1"/>
      <c r="D1" s="1"/>
      <c r="E1" s="247" t="s">
        <v>18</v>
      </c>
      <c r="F1" s="160"/>
      <c r="G1" s="59"/>
      <c r="H1" s="247" t="s">
        <v>13</v>
      </c>
      <c r="I1" s="160"/>
      <c r="J1" s="247" t="s">
        <v>12</v>
      </c>
      <c r="K1" s="130"/>
      <c r="L1" s="247" t="s">
        <v>0</v>
      </c>
      <c r="M1" s="199"/>
      <c r="N1" s="199"/>
      <c r="O1" s="160"/>
      <c r="P1" s="269"/>
      <c r="Q1" s="60"/>
      <c r="R1" s="247" t="s">
        <v>1</v>
      </c>
      <c r="S1" s="60"/>
      <c r="T1" s="60"/>
      <c r="U1" s="269"/>
      <c r="V1" s="269"/>
      <c r="W1" s="293"/>
      <c r="X1" s="160"/>
      <c r="Y1" s="300" t="s">
        <v>22</v>
      </c>
      <c r="Z1" s="124"/>
      <c r="AA1" s="309"/>
      <c r="AB1" s="160"/>
      <c r="AC1" s="300" t="s">
        <v>21</v>
      </c>
      <c r="AD1" s="160"/>
      <c r="AE1" s="247" t="s">
        <v>92</v>
      </c>
      <c r="AF1" s="269"/>
      <c r="AG1" s="293"/>
      <c r="AH1" s="293"/>
      <c r="AI1" s="160"/>
      <c r="AJ1" s="160"/>
      <c r="AK1" s="247" t="s">
        <v>91</v>
      </c>
      <c r="AL1" s="160"/>
    </row>
    <row r="2" spans="1:38" s="20" customFormat="1" ht="18">
      <c r="A2" s="13"/>
      <c r="B2" s="2"/>
      <c r="C2" s="2"/>
      <c r="D2" s="2"/>
      <c r="E2" s="248" t="s">
        <v>401</v>
      </c>
      <c r="F2" s="249" t="s">
        <v>401</v>
      </c>
      <c r="G2" s="273" t="s">
        <v>401</v>
      </c>
      <c r="H2" s="161"/>
      <c r="I2" s="249" t="s">
        <v>401</v>
      </c>
      <c r="J2" s="161"/>
      <c r="K2" s="258" t="s">
        <v>401</v>
      </c>
      <c r="L2" s="161"/>
      <c r="M2" s="117"/>
      <c r="N2" s="117"/>
      <c r="O2" s="249" t="s">
        <v>401</v>
      </c>
      <c r="P2" s="270"/>
      <c r="Q2" s="279"/>
      <c r="R2" s="161"/>
      <c r="S2" s="3"/>
      <c r="T2" s="3"/>
      <c r="U2" s="272"/>
      <c r="V2" s="272"/>
      <c r="W2" s="146"/>
      <c r="X2" s="87" t="s">
        <v>401</v>
      </c>
      <c r="Y2" s="301"/>
      <c r="Z2" s="125"/>
      <c r="AA2" s="310"/>
      <c r="AB2" s="249" t="s">
        <v>401</v>
      </c>
      <c r="AC2" s="301"/>
      <c r="AD2" s="249" t="s">
        <v>401</v>
      </c>
      <c r="AE2" s="285"/>
      <c r="AF2" s="289"/>
      <c r="AG2" s="310"/>
      <c r="AH2" s="310"/>
      <c r="AI2" s="249" t="s">
        <v>401</v>
      </c>
      <c r="AJ2" s="249" t="s">
        <v>401</v>
      </c>
      <c r="AK2" s="285"/>
      <c r="AL2" s="249" t="s">
        <v>401</v>
      </c>
    </row>
    <row r="3" spans="1:38" s="24" customFormat="1" ht="117" customHeight="1">
      <c r="A3"/>
      <c r="B3"/>
      <c r="C3"/>
      <c r="D3" s="25"/>
      <c r="E3" s="250" t="s">
        <v>551</v>
      </c>
      <c r="F3" s="213" t="s">
        <v>552</v>
      </c>
      <c r="G3" s="274" t="s">
        <v>541</v>
      </c>
      <c r="H3" s="254" t="s">
        <v>553</v>
      </c>
      <c r="I3" s="213" t="s">
        <v>521</v>
      </c>
      <c r="J3" s="257" t="s">
        <v>554</v>
      </c>
      <c r="K3" s="259" t="s">
        <v>462</v>
      </c>
      <c r="L3" s="257" t="s">
        <v>598</v>
      </c>
      <c r="M3" s="267" t="s">
        <v>555</v>
      </c>
      <c r="N3" s="174" t="s">
        <v>556</v>
      </c>
      <c r="O3" s="213" t="s">
        <v>522</v>
      </c>
      <c r="P3" s="205" t="s">
        <v>523</v>
      </c>
      <c r="Q3" s="52" t="s">
        <v>524</v>
      </c>
      <c r="R3" s="257" t="s">
        <v>557</v>
      </c>
      <c r="S3" s="78" t="s">
        <v>496</v>
      </c>
      <c r="T3" s="78" t="s">
        <v>497</v>
      </c>
      <c r="U3" s="267" t="s">
        <v>525</v>
      </c>
      <c r="V3" s="267" t="s">
        <v>499</v>
      </c>
      <c r="W3" s="294" t="s">
        <v>500</v>
      </c>
      <c r="X3" s="28" t="s">
        <v>526</v>
      </c>
      <c r="Y3" s="302" t="s">
        <v>454</v>
      </c>
      <c r="Z3" s="280" t="s">
        <v>455</v>
      </c>
      <c r="AA3" s="311" t="s">
        <v>456</v>
      </c>
      <c r="AB3" s="236" t="s">
        <v>527</v>
      </c>
      <c r="AC3" s="302" t="s">
        <v>457</v>
      </c>
      <c r="AD3" s="236" t="s">
        <v>528</v>
      </c>
      <c r="AE3" s="286" t="s">
        <v>558</v>
      </c>
      <c r="AF3" s="290" t="s">
        <v>559</v>
      </c>
      <c r="AG3" s="317" t="s">
        <v>458</v>
      </c>
      <c r="AH3" s="317" t="s">
        <v>529</v>
      </c>
      <c r="AI3" s="236" t="s">
        <v>530</v>
      </c>
      <c r="AJ3" s="213" t="s">
        <v>531</v>
      </c>
      <c r="AK3" s="286" t="s">
        <v>560</v>
      </c>
      <c r="AL3" s="213" t="s">
        <v>532</v>
      </c>
    </row>
    <row r="4" spans="1:38" s="24" customFormat="1">
      <c r="A4" s="100"/>
      <c r="B4" s="26"/>
      <c r="C4" s="26" t="s">
        <v>2</v>
      </c>
      <c r="D4" s="26"/>
      <c r="E4" s="251">
        <f>SUBTOTAL(109,E$15:INDEX(E:E,COUNTA($B:$B)+14-COUNTA($B$1:$B$14)))</f>
        <v>0</v>
      </c>
      <c r="F4" s="252">
        <f>SUBTOTAL(109,F$15:INDEX(F:F,COUNTA($B:$B)+14-COUNTA($B$1:$B$14)))</f>
        <v>0</v>
      </c>
      <c r="G4" s="275" t="str">
        <f>IF($E$4=0,"",$F$4/$E$4)</f>
        <v/>
      </c>
      <c r="H4" s="251">
        <f>SUBTOTAL(109,H$15:INDEX(H:H,COUNTA($B:$B)+14-COUNTA($B$1:$B$14)))</f>
        <v>0</v>
      </c>
      <c r="I4" s="252">
        <f>SUBTOTAL(109,I$15:INDEX(I:I,COUNTA($B:$B)+14-COUNTA($B$1:$B$14)))</f>
        <v>0</v>
      </c>
      <c r="J4" s="251">
        <f>SUBTOTAL(109,J$15:INDEX(J:J,COUNTA($B:$B)+14-COUNTA($B$1:$B$14)))</f>
        <v>0</v>
      </c>
      <c r="K4" s="252">
        <f>SUBTOTAL(109,K$15:INDEX(K:K,COUNTA($B:$B)+14-COUNTA($B$1:$B$14)))</f>
        <v>0</v>
      </c>
      <c r="L4" s="263">
        <f>SUBTOTAL(109,L$15:INDEX(L:L,COUNTA($B:$B)+14-COUNTA($B$1:$B$14)))</f>
        <v>0</v>
      </c>
      <c r="M4" s="202">
        <f>SUBTOTAL(109,M$15:INDEX(M:M,COUNTA($B:$B)+14-COUNTA($B$1:$B$14)))</f>
        <v>0</v>
      </c>
      <c r="N4" s="202">
        <f>SUBTOTAL(109,N$15:INDEX(N:N,COUNTA($B:$B)+14-COUNTA($B$1:$B$14)))</f>
        <v>0</v>
      </c>
      <c r="O4" s="252">
        <f>SUBTOTAL(109,O$15:INDEX(O:O,COUNTA($B:$B)+14-COUNTA($B$1:$B$14)))</f>
        <v>0</v>
      </c>
      <c r="P4" s="133">
        <f>SUBTOTAL(109,P$15:INDEX(P:P,COUNTA($B:$B)+14-COUNTA($B$1:$B$14)))</f>
        <v>0</v>
      </c>
      <c r="Q4" s="18" t="str">
        <f>IF(SUM($F4)=0,"",SUM($P4)/$F4)</f>
        <v/>
      </c>
      <c r="R4" s="271">
        <f>SUBTOTAL(109,R$15:INDEX(R:R,COUNTA($B:$B)+14-COUNTA($B$1:$B$14)))</f>
        <v>0</v>
      </c>
      <c r="S4" s="40"/>
      <c r="T4" s="40"/>
      <c r="U4" s="133">
        <f>SUBTOTAL(109,U$15:INDEX(U:U,COUNTA($B:$B)+14-COUNTA($B$1:$B$14)))</f>
        <v>0</v>
      </c>
      <c r="V4" s="133">
        <f>SUBTOTAL(109,V$15:INDEX(V:V,COUNTA($B:$B)+14-COUNTA($B$1:$B$14)))</f>
        <v>0</v>
      </c>
      <c r="W4" s="295" t="str">
        <f>IF($V$4=0,"",$X$4/$V$4)</f>
        <v/>
      </c>
      <c r="X4" s="29">
        <f>SUBTOTAL(109,X$15:INDEX(X:X,COUNTA($B:$B)+14-COUNTA($B$1:$B$14)))</f>
        <v>0</v>
      </c>
      <c r="Y4" s="303" t="str">
        <f>IF($V$4=0,"",($Z$4-$N$4)/$V$4)</f>
        <v/>
      </c>
      <c r="Z4" s="281">
        <f>SUBTOTAL(109,Z$15:INDEX(Z:Z,COUNTA($B:$B)+14-COUNTA($B$1:$B$14)))</f>
        <v>0</v>
      </c>
      <c r="AA4" s="312" t="str">
        <f>IF($Z$4=0,"",$AB$4/$Z$4)</f>
        <v/>
      </c>
      <c r="AB4" s="252">
        <f>SUBTOTAL(109,AB$15:INDEX(AB:AB,COUNTA($B:$B)+14-COUNTA($B$1:$B$14)))</f>
        <v>0</v>
      </c>
      <c r="AC4" s="303" t="str">
        <f>IF($AB$4=0,"",$AD$4/$AB$4)</f>
        <v/>
      </c>
      <c r="AD4" s="252">
        <f>SUBTOTAL(109,AD$15:INDEX(AD:AD,COUNTA($B:$B)+14-COUNTA($B$1:$B$14)))</f>
        <v>0</v>
      </c>
      <c r="AE4" s="287">
        <f>SUBTOTAL(109,AE$15:INDEX(AE:AE,COUNTA($B:$B)+14-COUNTA($B$1:$B$14)))</f>
        <v>0</v>
      </c>
      <c r="AF4" s="133">
        <f>SUBTOTAL(109,AF$15:INDEX(AF:AF,COUNTA($B:$B)+14-COUNTA($B$1:$B$14)))</f>
        <v>0</v>
      </c>
      <c r="AG4" s="312" t="str">
        <f>IF($AI$4=0,"",$X$4/$AI$4)</f>
        <v/>
      </c>
      <c r="AH4" s="312" t="str">
        <f>IF(SUM($AI$4,$AJ$4)=0,"",$AI$4/SUM($AI$4,$AJ$4))</f>
        <v/>
      </c>
      <c r="AI4" s="252">
        <f>SUBTOTAL(109,AI$15:INDEX(AI:AI,COUNTA($B:$B)+14-COUNTA($B$1:$B$14)))</f>
        <v>0</v>
      </c>
      <c r="AJ4" s="252">
        <f>SUBTOTAL(109,AJ$15:INDEX(AJ:AJ,COUNTA($B:$B)+14-COUNTA($B$1:$B$14)))</f>
        <v>0</v>
      </c>
      <c r="AK4" s="287">
        <f>SUBTOTAL(109,AK$15:INDEX(AK:AK,COUNTA($B:$B)+14-COUNTA($B$1:$B$14)))</f>
        <v>0</v>
      </c>
      <c r="AL4" s="252">
        <f>SUBTOTAL(109,AL$15:INDEX(AL:AL,COUNTA($B:$B)+14-COUNTA($B$1:$B$14)))</f>
        <v>0</v>
      </c>
    </row>
    <row r="5" spans="1:38" s="24" customFormat="1">
      <c r="A5" s="24" t="s">
        <v>38</v>
      </c>
      <c r="B5" s="27" t="s">
        <v>38</v>
      </c>
      <c r="C5" s="27" t="s">
        <v>38</v>
      </c>
      <c r="D5" s="27" t="s">
        <v>38</v>
      </c>
      <c r="E5" s="214" t="s">
        <v>46</v>
      </c>
      <c r="F5" s="215" t="s">
        <v>46</v>
      </c>
      <c r="G5" s="51" t="s">
        <v>46</v>
      </c>
      <c r="H5" s="255" t="s">
        <v>49</v>
      </c>
      <c r="I5" s="215" t="s">
        <v>49</v>
      </c>
      <c r="J5" s="255" t="s">
        <v>49</v>
      </c>
      <c r="K5" s="260" t="s">
        <v>49</v>
      </c>
      <c r="L5" s="264" t="s">
        <v>49</v>
      </c>
      <c r="M5" s="198" t="s">
        <v>49</v>
      </c>
      <c r="N5" s="198" t="s">
        <v>38</v>
      </c>
      <c r="O5" s="215" t="s">
        <v>49</v>
      </c>
      <c r="P5" s="119" t="s">
        <v>38</v>
      </c>
      <c r="Q5" s="11" t="s">
        <v>38</v>
      </c>
      <c r="R5" s="255" t="s">
        <v>49</v>
      </c>
      <c r="S5" s="41" t="s">
        <v>38</v>
      </c>
      <c r="T5" s="41" t="s">
        <v>38</v>
      </c>
      <c r="U5" s="119" t="s">
        <v>38</v>
      </c>
      <c r="V5" s="119" t="s">
        <v>38</v>
      </c>
      <c r="W5" s="296" t="s">
        <v>38</v>
      </c>
      <c r="X5" s="30" t="s">
        <v>49</v>
      </c>
      <c r="Y5" s="304" t="s">
        <v>38</v>
      </c>
      <c r="Z5" s="282" t="s">
        <v>38</v>
      </c>
      <c r="AA5" s="313" t="s">
        <v>38</v>
      </c>
      <c r="AB5" s="215" t="s">
        <v>49</v>
      </c>
      <c r="AC5" s="304" t="s">
        <v>38</v>
      </c>
      <c r="AD5" s="215" t="s">
        <v>49</v>
      </c>
      <c r="AE5" s="142" t="s">
        <v>49</v>
      </c>
      <c r="AF5" s="119" t="s">
        <v>49</v>
      </c>
      <c r="AG5" s="313" t="s">
        <v>38</v>
      </c>
      <c r="AH5" s="313" t="s">
        <v>38</v>
      </c>
      <c r="AI5" s="215" t="s">
        <v>49</v>
      </c>
      <c r="AJ5" s="215" t="s">
        <v>49</v>
      </c>
      <c r="AK5" s="142" t="s">
        <v>49</v>
      </c>
      <c r="AL5" s="215" t="s">
        <v>49</v>
      </c>
    </row>
    <row r="6" spans="1:38" s="24" customFormat="1">
      <c r="A6" s="24" t="s">
        <v>87</v>
      </c>
      <c r="B6" s="27" t="s">
        <v>87</v>
      </c>
      <c r="C6" s="27" t="s">
        <v>87</v>
      </c>
      <c r="D6" s="27" t="s">
        <v>87</v>
      </c>
      <c r="E6" s="214" t="s">
        <v>32</v>
      </c>
      <c r="F6" s="215" t="s">
        <v>32</v>
      </c>
      <c r="G6" s="51" t="s">
        <v>32</v>
      </c>
      <c r="H6" s="255" t="s">
        <v>50</v>
      </c>
      <c r="I6" s="215" t="s">
        <v>32</v>
      </c>
      <c r="J6" s="255" t="s">
        <v>50</v>
      </c>
      <c r="K6" s="260" t="s">
        <v>32</v>
      </c>
      <c r="L6" s="264" t="s">
        <v>50</v>
      </c>
      <c r="M6" s="198" t="s">
        <v>50</v>
      </c>
      <c r="N6" s="198" t="s">
        <v>52</v>
      </c>
      <c r="O6" s="215" t="s">
        <v>32</v>
      </c>
      <c r="P6" s="119" t="s">
        <v>52</v>
      </c>
      <c r="Q6" s="11" t="s">
        <v>52</v>
      </c>
      <c r="R6" s="255" t="s">
        <v>50</v>
      </c>
      <c r="S6" s="41" t="s">
        <v>52</v>
      </c>
      <c r="T6" s="41" t="s">
        <v>52</v>
      </c>
      <c r="U6" s="119" t="s">
        <v>33</v>
      </c>
      <c r="V6" s="119" t="s">
        <v>33</v>
      </c>
      <c r="W6" s="296" t="s">
        <v>52</v>
      </c>
      <c r="X6" s="30" t="s">
        <v>32</v>
      </c>
      <c r="Y6" s="304" t="s">
        <v>52</v>
      </c>
      <c r="Z6" s="282" t="s">
        <v>33</v>
      </c>
      <c r="AA6" s="313" t="s">
        <v>52</v>
      </c>
      <c r="AB6" s="215" t="s">
        <v>32</v>
      </c>
      <c r="AC6" s="304" t="s">
        <v>52</v>
      </c>
      <c r="AD6" s="215" t="s">
        <v>32</v>
      </c>
      <c r="AE6" s="142" t="s">
        <v>50</v>
      </c>
      <c r="AF6" s="119" t="s">
        <v>50</v>
      </c>
      <c r="AG6" s="313" t="s">
        <v>52</v>
      </c>
      <c r="AH6" s="313" t="s">
        <v>51</v>
      </c>
      <c r="AI6" s="215" t="s">
        <v>32</v>
      </c>
      <c r="AJ6" s="215" t="s">
        <v>32</v>
      </c>
      <c r="AK6" s="142" t="s">
        <v>50</v>
      </c>
      <c r="AL6" s="215" t="s">
        <v>32</v>
      </c>
    </row>
    <row r="7" spans="1:38" s="24" customFormat="1">
      <c r="A7" s="24" t="s">
        <v>48</v>
      </c>
      <c r="B7" s="27" t="s">
        <v>48</v>
      </c>
      <c r="C7" s="27" t="s">
        <v>48</v>
      </c>
      <c r="D7" s="27" t="s">
        <v>48</v>
      </c>
      <c r="E7" s="214" t="s">
        <v>34</v>
      </c>
      <c r="F7" s="215" t="s">
        <v>34</v>
      </c>
      <c r="G7" s="51" t="s">
        <v>35</v>
      </c>
      <c r="H7" s="255" t="s">
        <v>34</v>
      </c>
      <c r="I7" s="215" t="s">
        <v>34</v>
      </c>
      <c r="J7" s="255" t="s">
        <v>34</v>
      </c>
      <c r="K7" s="260" t="s">
        <v>34</v>
      </c>
      <c r="L7" s="264" t="s">
        <v>34</v>
      </c>
      <c r="M7" s="198" t="s">
        <v>34</v>
      </c>
      <c r="N7" s="198" t="s">
        <v>34</v>
      </c>
      <c r="O7" s="215" t="s">
        <v>34</v>
      </c>
      <c r="P7" s="119" t="s">
        <v>34</v>
      </c>
      <c r="Q7" s="11" t="s">
        <v>35</v>
      </c>
      <c r="R7" s="255" t="s">
        <v>34</v>
      </c>
      <c r="S7" s="41" t="s">
        <v>35</v>
      </c>
      <c r="T7" s="41" t="s">
        <v>35</v>
      </c>
      <c r="U7" s="119" t="s">
        <v>34</v>
      </c>
      <c r="V7" s="119" t="s">
        <v>34</v>
      </c>
      <c r="W7" s="296" t="s">
        <v>35</v>
      </c>
      <c r="X7" s="30" t="s">
        <v>34</v>
      </c>
      <c r="Y7" s="304" t="s">
        <v>35</v>
      </c>
      <c r="Z7" s="282" t="s">
        <v>34</v>
      </c>
      <c r="AA7" s="313" t="s">
        <v>35</v>
      </c>
      <c r="AB7" s="215" t="s">
        <v>34</v>
      </c>
      <c r="AC7" s="304" t="s">
        <v>35</v>
      </c>
      <c r="AD7" s="215" t="s">
        <v>34</v>
      </c>
      <c r="AE7" s="142" t="s">
        <v>34</v>
      </c>
      <c r="AF7" s="119" t="s">
        <v>34</v>
      </c>
      <c r="AG7" s="313" t="s">
        <v>35</v>
      </c>
      <c r="AH7" s="313" t="s">
        <v>35</v>
      </c>
      <c r="AI7" s="215" t="s">
        <v>34</v>
      </c>
      <c r="AJ7" s="215" t="s">
        <v>34</v>
      </c>
      <c r="AK7" s="142" t="s">
        <v>34</v>
      </c>
      <c r="AL7" s="215" t="s">
        <v>34</v>
      </c>
    </row>
    <row r="8" spans="1:38" s="24" customFormat="1">
      <c r="B8" s="27"/>
      <c r="C8" s="27"/>
      <c r="D8" s="27"/>
      <c r="E8" s="216" t="s">
        <v>72</v>
      </c>
      <c r="F8" s="217" t="s">
        <v>114</v>
      </c>
      <c r="G8" s="276" t="s">
        <v>115</v>
      </c>
      <c r="H8" s="256" t="s">
        <v>79</v>
      </c>
      <c r="I8" s="217" t="s">
        <v>79</v>
      </c>
      <c r="J8" s="256" t="s">
        <v>73</v>
      </c>
      <c r="K8" s="261" t="s">
        <v>73</v>
      </c>
      <c r="L8" s="265" t="s">
        <v>345</v>
      </c>
      <c r="M8" s="268" t="s">
        <v>97</v>
      </c>
      <c r="N8" s="200"/>
      <c r="O8" s="217" t="s">
        <v>97</v>
      </c>
      <c r="P8" s="119"/>
      <c r="Q8" s="11"/>
      <c r="R8" s="256" t="s">
        <v>77</v>
      </c>
      <c r="S8" s="55"/>
      <c r="T8" s="55"/>
      <c r="U8" s="119"/>
      <c r="V8" s="119"/>
      <c r="W8" s="297"/>
      <c r="X8" s="89" t="s">
        <v>77</v>
      </c>
      <c r="Y8" s="305"/>
      <c r="Z8" s="283"/>
      <c r="AA8" s="314"/>
      <c r="AB8" s="217" t="s">
        <v>95</v>
      </c>
      <c r="AC8" s="305"/>
      <c r="AD8" s="217" t="s">
        <v>94</v>
      </c>
      <c r="AE8" s="288" t="s">
        <v>75</v>
      </c>
      <c r="AF8" s="186" t="s">
        <v>75</v>
      </c>
      <c r="AG8" s="314"/>
      <c r="AH8" s="314"/>
      <c r="AI8" s="291" t="s">
        <v>75</v>
      </c>
      <c r="AJ8" s="291" t="s">
        <v>75</v>
      </c>
      <c r="AK8" s="292" t="s">
        <v>103</v>
      </c>
      <c r="AL8" s="217" t="s">
        <v>103</v>
      </c>
    </row>
    <row r="9" spans="1:38" s="24" customFormat="1">
      <c r="B9" s="27"/>
      <c r="C9" s="27"/>
      <c r="D9" s="27"/>
      <c r="E9" s="216"/>
      <c r="F9" s="217"/>
      <c r="G9" s="276"/>
      <c r="H9" s="256" t="s">
        <v>80</v>
      </c>
      <c r="I9" s="217" t="s">
        <v>80</v>
      </c>
      <c r="J9" s="256" t="s">
        <v>74</v>
      </c>
      <c r="K9" s="261" t="s">
        <v>74</v>
      </c>
      <c r="L9" s="265" t="s">
        <v>346</v>
      </c>
      <c r="M9" s="268" t="s">
        <v>98</v>
      </c>
      <c r="N9" s="200"/>
      <c r="O9" s="217" t="s">
        <v>98</v>
      </c>
      <c r="P9" s="119"/>
      <c r="Q9" s="11"/>
      <c r="R9" s="256" t="s">
        <v>78</v>
      </c>
      <c r="S9" s="55"/>
      <c r="T9" s="55"/>
      <c r="U9" s="119"/>
      <c r="V9" s="119"/>
      <c r="W9" s="297"/>
      <c r="X9" s="89" t="s">
        <v>78</v>
      </c>
      <c r="Y9" s="305"/>
      <c r="Z9" s="283"/>
      <c r="AA9" s="314"/>
      <c r="AB9" s="217" t="s">
        <v>96</v>
      </c>
      <c r="AC9" s="305"/>
      <c r="AD9" s="217" t="s">
        <v>93</v>
      </c>
      <c r="AE9" s="288" t="s">
        <v>76</v>
      </c>
      <c r="AF9" s="186" t="s">
        <v>76</v>
      </c>
      <c r="AG9" s="314"/>
      <c r="AH9" s="314"/>
      <c r="AI9" s="291" t="s">
        <v>76</v>
      </c>
      <c r="AJ9" s="291" t="s">
        <v>76</v>
      </c>
      <c r="AK9" s="292" t="s">
        <v>102</v>
      </c>
      <c r="AL9" s="217" t="s">
        <v>102</v>
      </c>
    </row>
    <row r="10" spans="1:38" s="24" customFormat="1">
      <c r="B10" s="27"/>
      <c r="C10" s="27"/>
      <c r="D10" s="27"/>
      <c r="E10" s="216"/>
      <c r="F10" s="217" t="s">
        <v>44</v>
      </c>
      <c r="G10" s="276" t="s">
        <v>44</v>
      </c>
      <c r="H10" s="256"/>
      <c r="I10" s="217"/>
      <c r="J10" s="256"/>
      <c r="K10" s="261"/>
      <c r="L10" s="265" t="s">
        <v>44</v>
      </c>
      <c r="M10" s="268" t="s">
        <v>44</v>
      </c>
      <c r="N10" s="200"/>
      <c r="O10" s="217" t="s">
        <v>44</v>
      </c>
      <c r="P10" s="119"/>
      <c r="Q10" s="11"/>
      <c r="R10" s="256" t="s">
        <v>44</v>
      </c>
      <c r="S10" s="55"/>
      <c r="T10" s="55"/>
      <c r="U10" s="119"/>
      <c r="V10" s="119"/>
      <c r="W10" s="297"/>
      <c r="X10" s="89" t="s">
        <v>44</v>
      </c>
      <c r="Y10" s="305"/>
      <c r="Z10" s="283"/>
      <c r="AA10" s="314"/>
      <c r="AB10" s="217" t="s">
        <v>44</v>
      </c>
      <c r="AC10" s="305"/>
      <c r="AD10" s="217" t="s">
        <v>44</v>
      </c>
      <c r="AE10" s="288" t="s">
        <v>44</v>
      </c>
      <c r="AF10" s="186" t="s">
        <v>55</v>
      </c>
      <c r="AG10" s="314"/>
      <c r="AH10" s="314"/>
      <c r="AI10" s="217" t="s">
        <v>44</v>
      </c>
      <c r="AJ10" s="217" t="s">
        <v>55</v>
      </c>
      <c r="AK10" s="292"/>
      <c r="AL10" s="217"/>
    </row>
    <row r="11" spans="1:38" s="24" customFormat="1">
      <c r="B11" s="27"/>
      <c r="C11" s="27"/>
      <c r="D11" s="27"/>
      <c r="E11" s="214"/>
      <c r="F11" s="215"/>
      <c r="G11" s="277"/>
      <c r="H11" s="255"/>
      <c r="I11" s="215"/>
      <c r="J11" s="255"/>
      <c r="K11" s="262"/>
      <c r="L11" s="266"/>
      <c r="M11" s="200"/>
      <c r="N11" s="200"/>
      <c r="O11" s="215"/>
      <c r="P11" s="119"/>
      <c r="Q11" s="11"/>
      <c r="R11" s="255"/>
      <c r="S11" s="41"/>
      <c r="T11" s="41"/>
      <c r="U11" s="119"/>
      <c r="V11" s="119"/>
      <c r="W11" s="296"/>
      <c r="X11" s="30"/>
      <c r="Y11" s="304"/>
      <c r="Z11" s="282"/>
      <c r="AA11" s="313"/>
      <c r="AB11" s="215"/>
      <c r="AC11" s="304"/>
      <c r="AD11" s="215"/>
      <c r="AE11" s="142"/>
      <c r="AF11" s="119"/>
      <c r="AG11" s="313"/>
      <c r="AH11" s="313"/>
      <c r="AI11" s="215"/>
      <c r="AJ11" s="215"/>
      <c r="AK11" s="142"/>
      <c r="AL11" s="215"/>
    </row>
    <row r="12" spans="1:38" s="24" customFormat="1">
      <c r="B12" s="27"/>
      <c r="C12" s="27"/>
      <c r="D12" s="27"/>
      <c r="E12" s="214"/>
      <c r="F12" s="215"/>
      <c r="G12" s="51"/>
      <c r="H12" s="255"/>
      <c r="I12" s="215"/>
      <c r="J12" s="255"/>
      <c r="K12" s="260"/>
      <c r="L12" s="264"/>
      <c r="M12" s="198"/>
      <c r="N12" s="198"/>
      <c r="O12" s="215"/>
      <c r="P12" s="119"/>
      <c r="Q12" s="11"/>
      <c r="R12" s="255"/>
      <c r="S12" s="41"/>
      <c r="T12" s="41"/>
      <c r="U12" s="119"/>
      <c r="V12" s="119"/>
      <c r="W12" s="296"/>
      <c r="X12" s="30"/>
      <c r="Y12" s="304"/>
      <c r="Z12" s="282"/>
      <c r="AA12" s="313"/>
      <c r="AB12" s="215"/>
      <c r="AC12" s="304"/>
      <c r="AD12" s="215"/>
      <c r="AE12" s="142"/>
      <c r="AF12" s="119"/>
      <c r="AG12" s="313"/>
      <c r="AH12" s="313"/>
      <c r="AI12" s="215"/>
      <c r="AJ12" s="215"/>
      <c r="AK12" s="142"/>
      <c r="AL12" s="215"/>
    </row>
    <row r="13" spans="1:38" s="24" customFormat="1">
      <c r="B13" s="27"/>
      <c r="C13" s="27"/>
      <c r="D13" s="27"/>
      <c r="E13" s="214" t="s">
        <v>308</v>
      </c>
      <c r="F13" s="215" t="s">
        <v>308</v>
      </c>
      <c r="G13" s="51" t="s">
        <v>308</v>
      </c>
      <c r="H13" s="255" t="s">
        <v>308</v>
      </c>
      <c r="I13" s="215" t="s">
        <v>308</v>
      </c>
      <c r="J13" s="255" t="s">
        <v>308</v>
      </c>
      <c r="K13" s="215" t="s">
        <v>308</v>
      </c>
      <c r="L13" s="264" t="s">
        <v>308</v>
      </c>
      <c r="M13" s="198" t="s">
        <v>308</v>
      </c>
      <c r="N13" s="198" t="s">
        <v>308</v>
      </c>
      <c r="O13" s="215" t="s">
        <v>308</v>
      </c>
      <c r="P13" s="119" t="s">
        <v>308</v>
      </c>
      <c r="Q13" s="11" t="s">
        <v>308</v>
      </c>
      <c r="R13" s="255" t="s">
        <v>308</v>
      </c>
      <c r="S13" s="41" t="s">
        <v>308</v>
      </c>
      <c r="T13" s="41" t="s">
        <v>308</v>
      </c>
      <c r="U13" s="119" t="s">
        <v>308</v>
      </c>
      <c r="V13" s="119" t="s">
        <v>308</v>
      </c>
      <c r="W13" s="296" t="s">
        <v>308</v>
      </c>
      <c r="X13" s="30" t="s">
        <v>308</v>
      </c>
      <c r="Y13" s="304" t="s">
        <v>308</v>
      </c>
      <c r="Z13" s="282" t="s">
        <v>308</v>
      </c>
      <c r="AA13" s="313" t="s">
        <v>308</v>
      </c>
      <c r="AB13" s="215" t="s">
        <v>308</v>
      </c>
      <c r="AC13" s="304" t="s">
        <v>308</v>
      </c>
      <c r="AD13" s="215" t="s">
        <v>308</v>
      </c>
      <c r="AE13" s="142" t="s">
        <v>308</v>
      </c>
      <c r="AF13" s="119" t="s">
        <v>308</v>
      </c>
      <c r="AG13" s="313" t="s">
        <v>308</v>
      </c>
      <c r="AH13" s="313" t="s">
        <v>308</v>
      </c>
      <c r="AI13" s="215" t="s">
        <v>308</v>
      </c>
      <c r="AJ13" s="215" t="s">
        <v>308</v>
      </c>
      <c r="AK13" s="142" t="s">
        <v>308</v>
      </c>
      <c r="AL13" s="215" t="s">
        <v>308</v>
      </c>
    </row>
    <row r="14" spans="1:38" s="24" customFormat="1">
      <c r="A14" s="95" t="s">
        <v>24</v>
      </c>
      <c r="B14" s="71" t="s">
        <v>3</v>
      </c>
      <c r="C14" s="71" t="s">
        <v>25</v>
      </c>
      <c r="D14" s="71" t="s">
        <v>27</v>
      </c>
      <c r="E14" s="140" t="s">
        <v>427</v>
      </c>
      <c r="F14" s="253" t="s">
        <v>428</v>
      </c>
      <c r="G14" s="278" t="s">
        <v>429</v>
      </c>
      <c r="H14" s="188" t="s">
        <v>164</v>
      </c>
      <c r="I14" s="253" t="s">
        <v>165</v>
      </c>
      <c r="J14" s="188" t="s">
        <v>153</v>
      </c>
      <c r="K14" s="253" t="s">
        <v>154</v>
      </c>
      <c r="L14" s="188" t="s">
        <v>239</v>
      </c>
      <c r="M14" s="118" t="s">
        <v>240</v>
      </c>
      <c r="N14" s="118" t="s">
        <v>406</v>
      </c>
      <c r="O14" s="253" t="s">
        <v>160</v>
      </c>
      <c r="P14" s="118" t="s">
        <v>436</v>
      </c>
      <c r="Q14" s="64" t="s">
        <v>437</v>
      </c>
      <c r="R14" s="188" t="s">
        <v>158</v>
      </c>
      <c r="S14" s="64" t="s">
        <v>243</v>
      </c>
      <c r="T14" s="64" t="s">
        <v>242</v>
      </c>
      <c r="U14" s="118" t="s">
        <v>241</v>
      </c>
      <c r="V14" s="118" t="s">
        <v>407</v>
      </c>
      <c r="W14" s="147" t="s">
        <v>408</v>
      </c>
      <c r="X14" s="76" t="s">
        <v>159</v>
      </c>
      <c r="Y14" s="306" t="s">
        <v>398</v>
      </c>
      <c r="Z14" s="129" t="s">
        <v>399</v>
      </c>
      <c r="AA14" s="315" t="s">
        <v>409</v>
      </c>
      <c r="AB14" s="253" t="s">
        <v>161</v>
      </c>
      <c r="AC14" s="306" t="s">
        <v>162</v>
      </c>
      <c r="AD14" s="253" t="s">
        <v>163</v>
      </c>
      <c r="AE14" s="188" t="s">
        <v>331</v>
      </c>
      <c r="AF14" s="118" t="s">
        <v>332</v>
      </c>
      <c r="AG14" s="315" t="s">
        <v>244</v>
      </c>
      <c r="AH14" s="315" t="s">
        <v>245</v>
      </c>
      <c r="AI14" s="253" t="s">
        <v>155</v>
      </c>
      <c r="AJ14" s="253" t="s">
        <v>156</v>
      </c>
      <c r="AK14" s="188" t="s">
        <v>238</v>
      </c>
      <c r="AL14" s="253" t="s">
        <v>157</v>
      </c>
    </row>
    <row r="15" spans="1:38">
      <c r="A15" s="98" t="e">
        <f>INDEX(Prioritization!$D:$D,MATCH($B15,Prioritization!$A:$A,0))</f>
        <v>#N/A</v>
      </c>
      <c r="B15" s="19"/>
      <c r="C15" s="19"/>
      <c r="D15" s="19" t="str">
        <f>B15&amp;"|"&amp;C15</f>
        <v>|</v>
      </c>
      <c r="J15" s="214"/>
      <c r="K15" s="260"/>
      <c r="L15" s="141"/>
      <c r="M15" s="121"/>
      <c r="N15" s="121" t="str">
        <f>IF(MAX($L15,$M15)=0,"",MAX($L15,$M15))</f>
        <v/>
      </c>
      <c r="O15" s="215" t="str">
        <f>IF(SUM($N15)=0,"",SUM($N15))</f>
        <v/>
      </c>
      <c r="Q15" s="11" t="str">
        <f>IF(SUM($F15)=0,"",SUM($P15)/$F15)</f>
        <v/>
      </c>
      <c r="R15" s="141"/>
      <c r="S15" s="11">
        <v>0.98</v>
      </c>
      <c r="T15" s="11">
        <v>0.98</v>
      </c>
      <c r="U15" s="198" t="str">
        <f>IF(SUM($N15,$O15)=0,"",SUM($O15)-SUM($N15))</f>
        <v/>
      </c>
      <c r="V15" s="198" t="str">
        <f>IFERROR(1/(1/ROUND((SUM($O15)-(SUM($N15)*SUM($S15)))/$T15,0)),"")</f>
        <v/>
      </c>
      <c r="W15" s="298">
        <v>1</v>
      </c>
      <c r="X15" s="30" t="str">
        <f>IFERROR(1/(1/ROUND(SUM($V15)*SUM($W15),0)),"")</f>
        <v/>
      </c>
      <c r="Y15" s="307">
        <v>0.7</v>
      </c>
      <c r="Z15" s="284" t="str">
        <f>IFERROR(1/(1/ROUND($N15+(SUM($V15)*$Y15),0)),"")</f>
        <v/>
      </c>
      <c r="AA15" s="316">
        <v>0.95</v>
      </c>
      <c r="AB15" s="215" t="str">
        <f>IF(SUM($Z15)=0,"",ROUND($Z15*$AA15,0))</f>
        <v/>
      </c>
      <c r="AC15" s="307">
        <v>0.95</v>
      </c>
      <c r="AD15" s="215" t="str">
        <f>IF(SUM($AB15)=0,"",ROUND($AB15*$AC15,0))</f>
        <v/>
      </c>
      <c r="AG15" s="299">
        <v>0.95</v>
      </c>
      <c r="AI15" s="215" t="str">
        <f>IF(SUM($X15)=0,"",IF(AND(SUM($X15)&gt;0,$AG15=""),"ENTER LINKAGE RATE",ROUND($X15/$AG15,0)))</f>
        <v/>
      </c>
      <c r="AJ15" s="215" t="str">
        <f>IF(SUM($AI15)=0,"",IF(AND($AI15&gt;0,$AH15=""),"ENTER YIELD RATE",ROUND($AI15/$AH15-$AI15,0)))</f>
        <v/>
      </c>
    </row>
  </sheetData>
  <conditionalFormatting sqref="E1:G1048576">
    <cfRule type="expression" dxfId="83" priority="2">
      <formula>LEFT($B1,4)="_Mil"</formula>
    </cfRule>
  </conditionalFormatting>
  <conditionalFormatting sqref="E1:AL1048576">
    <cfRule type="expression" dxfId="82" priority="3">
      <formula>AND(ISNUMBER(E1),E1&lt;0)</formula>
    </cfRule>
  </conditionalFormatting>
  <conditionalFormatting sqref="G1:G1048576 S1:T1048576 W1:W1048576 Y1:Y1048576 AA1:AA1048576 AC1:AC1048576 AG1:AH1048576">
    <cfRule type="expression" dxfId="81" priority="4">
      <formula>AND(ISNUMBER(G1),G1&gt;1)</formula>
    </cfRule>
  </conditionalFormatting>
  <conditionalFormatting sqref="S1:S1048576">
    <cfRule type="expression" dxfId="80" priority="13">
      <formula>AND(ISNUMBER($S1),SUM($S1)&lt;98%)</formula>
    </cfRule>
  </conditionalFormatting>
  <conditionalFormatting sqref="T1:T1048576">
    <cfRule type="expression" dxfId="79" priority="19">
      <formula>AND(ISNUMBER($T1),SUM($T1)&lt;98%)</formula>
    </cfRule>
  </conditionalFormatting>
  <conditionalFormatting sqref="Y1:Y1048576">
    <cfRule type="expression" dxfId="78" priority="34">
      <formula>AND(ISNUMBER($Y1),ROUND(SUM($V1),0)&gt;0,ROUND(SUM($Y1),2)&lt;70%)</formula>
    </cfRule>
  </conditionalFormatting>
  <conditionalFormatting sqref="AG1:AG1048576 AA1:AA1048576 AC1:AC1048576">
    <cfRule type="expression" dxfId="77" priority="3836">
      <formula>AND(ISNUMBER(AA1),SUM(AA1)&lt;95%)</formula>
    </cfRule>
  </conditionalFormatting>
  <conditionalFormatting sqref="AG1:AG1048576">
    <cfRule type="expression" dxfId="76" priority="10">
      <formula>AND(ROW($AG1)&gt;14,$AI1="ENTER LINKAGE RATE")</formula>
    </cfRule>
  </conditionalFormatting>
  <conditionalFormatting sqref="AH1:AH1048576">
    <cfRule type="expression" dxfId="75"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5" sqref="B15"/>
    </sheetView>
  </sheetViews>
  <sheetFormatPr defaultColWidth="10.796875" defaultRowHeight="15.6"/>
  <cols>
    <col min="1" max="1" width="16.19921875" style="24" customWidth="1"/>
    <col min="2" max="2" width="30.796875" style="27" customWidth="1"/>
    <col min="3" max="3" width="11.796875" style="264" customWidth="1"/>
    <col min="4" max="4" width="11.796875" style="282" customWidth="1"/>
    <col min="5" max="5" width="11.796875" style="332" customWidth="1"/>
    <col min="6" max="6" width="11.796875" style="333" customWidth="1"/>
    <col min="7" max="10" width="11.796875" style="215" customWidth="1"/>
    <col min="11" max="11" width="11.796875" style="264" customWidth="1"/>
    <col min="12" max="12" width="11.796875" style="332" customWidth="1"/>
    <col min="13" max="13" width="11.796875" style="333" customWidth="1"/>
    <col min="14" max="17" width="11.796875" style="215" customWidth="1"/>
    <col min="18" max="18" width="11.796875" style="264" customWidth="1"/>
    <col min="19" max="19" width="11.796875" style="332" customWidth="1"/>
    <col min="20" max="20" width="11.796875" style="333" customWidth="1"/>
    <col min="21" max="24" width="11.796875" style="215" customWidth="1"/>
    <col min="25" max="25" width="11.796875" style="264" customWidth="1"/>
    <col min="26" max="26" width="11.796875" style="332" customWidth="1"/>
    <col min="27" max="27" width="11.796875" style="333" customWidth="1"/>
    <col min="28" max="31" width="11.796875" style="215" customWidth="1"/>
    <col min="32" max="32" width="11.796875" style="264" customWidth="1"/>
    <col min="33" max="33" width="11.796875" style="332" customWidth="1"/>
    <col min="34" max="34" width="11.796875" style="333" customWidth="1"/>
    <col min="35" max="38" width="11.796875" style="215" customWidth="1"/>
    <col min="39" max="39" width="11.796875" style="264" customWidth="1"/>
    <col min="40" max="40" width="11.796875" style="332" customWidth="1"/>
    <col min="41" max="41" width="11.796875" style="333" customWidth="1"/>
    <col min="42" max="45" width="11.796875" style="215" customWidth="1"/>
    <col min="46" max="46" width="11.796875" style="264" customWidth="1"/>
    <col min="47" max="47" width="11.796875" style="332" customWidth="1"/>
    <col min="48" max="48" width="11.796875" style="333" customWidth="1"/>
    <col min="49" max="52" width="11.796875" style="215" customWidth="1"/>
    <col min="53" max="53" width="11.796875" style="264" customWidth="1"/>
    <col min="54" max="54" width="11.796875" style="332" customWidth="1"/>
    <col min="55" max="55" width="11.796875" style="333" customWidth="1"/>
    <col min="56" max="59" width="11.796875" style="215" customWidth="1"/>
    <col min="60" max="16384" width="10.796875" style="24"/>
  </cols>
  <sheetData>
    <row r="1" spans="1:59" s="21" customFormat="1" ht="31.05" customHeight="1" thickBot="1">
      <c r="A1" s="96" t="s">
        <v>351</v>
      </c>
      <c r="B1" s="4"/>
      <c r="C1" s="247" t="s">
        <v>13</v>
      </c>
      <c r="D1" s="160"/>
      <c r="E1" s="318"/>
      <c r="F1" s="319"/>
      <c r="G1" s="160"/>
      <c r="H1" s="160"/>
      <c r="I1" s="160"/>
      <c r="J1" s="160"/>
      <c r="K1" s="247" t="s">
        <v>0</v>
      </c>
      <c r="L1" s="318"/>
      <c r="M1" s="319"/>
      <c r="N1" s="160"/>
      <c r="O1" s="160"/>
      <c r="P1" s="160"/>
      <c r="Q1" s="160"/>
      <c r="R1" s="247" t="s">
        <v>1</v>
      </c>
      <c r="S1" s="318"/>
      <c r="T1" s="319"/>
      <c r="U1" s="160"/>
      <c r="V1" s="160"/>
      <c r="W1" s="160"/>
      <c r="X1" s="160"/>
      <c r="Y1" s="247" t="s">
        <v>22</v>
      </c>
      <c r="Z1" s="318"/>
      <c r="AA1" s="319"/>
      <c r="AB1" s="160"/>
      <c r="AC1" s="160"/>
      <c r="AD1" s="160"/>
      <c r="AE1" s="160"/>
      <c r="AF1" s="247" t="s">
        <v>21</v>
      </c>
      <c r="AG1" s="318"/>
      <c r="AH1" s="319"/>
      <c r="AI1" s="160"/>
      <c r="AJ1" s="160"/>
      <c r="AK1" s="160"/>
      <c r="AL1" s="160"/>
      <c r="AM1" s="247" t="s">
        <v>236</v>
      </c>
      <c r="AN1" s="318"/>
      <c r="AO1" s="319"/>
      <c r="AP1" s="160"/>
      <c r="AQ1" s="160"/>
      <c r="AR1" s="160"/>
      <c r="AS1" s="160"/>
      <c r="AT1" s="247" t="s">
        <v>237</v>
      </c>
      <c r="AU1" s="318"/>
      <c r="AV1" s="319"/>
      <c r="AW1" s="160"/>
      <c r="AX1" s="160"/>
      <c r="AY1" s="160"/>
      <c r="AZ1" s="160"/>
      <c r="BA1" s="247" t="s">
        <v>91</v>
      </c>
      <c r="BB1" s="318"/>
      <c r="BC1" s="319"/>
      <c r="BD1" s="160"/>
      <c r="BE1" s="160"/>
      <c r="BF1" s="160"/>
      <c r="BG1" s="160"/>
    </row>
    <row r="2" spans="1:59" s="20" customFormat="1" ht="18">
      <c r="A2" s="154" t="s">
        <v>375</v>
      </c>
      <c r="B2" s="151"/>
      <c r="C2" s="161" t="s">
        <v>323</v>
      </c>
      <c r="D2" s="125"/>
      <c r="E2" s="320"/>
      <c r="F2" s="321" t="s">
        <v>235</v>
      </c>
      <c r="G2" s="322"/>
      <c r="H2" s="322"/>
      <c r="I2" s="323"/>
      <c r="J2" s="322"/>
      <c r="K2" s="161" t="s">
        <v>323</v>
      </c>
      <c r="L2" s="320"/>
      <c r="M2" s="321" t="s">
        <v>235</v>
      </c>
      <c r="N2" s="322"/>
      <c r="O2" s="322"/>
      <c r="P2" s="323"/>
      <c r="Q2" s="322"/>
      <c r="R2" s="161" t="s">
        <v>323</v>
      </c>
      <c r="S2" s="320"/>
      <c r="T2" s="321" t="s">
        <v>235</v>
      </c>
      <c r="U2" s="322"/>
      <c r="V2" s="322"/>
      <c r="W2" s="323"/>
      <c r="X2" s="322"/>
      <c r="Y2" s="161" t="s">
        <v>323</v>
      </c>
      <c r="Z2" s="320"/>
      <c r="AA2" s="321" t="s">
        <v>235</v>
      </c>
      <c r="AB2" s="322"/>
      <c r="AC2" s="322"/>
      <c r="AD2" s="323"/>
      <c r="AE2" s="322"/>
      <c r="AF2" s="161" t="s">
        <v>323</v>
      </c>
      <c r="AG2" s="320"/>
      <c r="AH2" s="321" t="s">
        <v>235</v>
      </c>
      <c r="AI2" s="322"/>
      <c r="AJ2" s="322"/>
      <c r="AK2" s="323"/>
      <c r="AL2" s="322"/>
      <c r="AM2" s="161" t="s">
        <v>323</v>
      </c>
      <c r="AN2" s="320"/>
      <c r="AO2" s="321" t="s">
        <v>235</v>
      </c>
      <c r="AP2" s="322"/>
      <c r="AQ2" s="322"/>
      <c r="AR2" s="323"/>
      <c r="AS2" s="322"/>
      <c r="AT2" s="161" t="s">
        <v>323</v>
      </c>
      <c r="AU2" s="320"/>
      <c r="AV2" s="321" t="s">
        <v>235</v>
      </c>
      <c r="AW2" s="322"/>
      <c r="AX2" s="322"/>
      <c r="AY2" s="323"/>
      <c r="AZ2" s="322"/>
      <c r="BA2" s="161" t="s">
        <v>323</v>
      </c>
      <c r="BB2" s="320"/>
      <c r="BC2" s="321" t="s">
        <v>235</v>
      </c>
      <c r="BD2" s="322"/>
      <c r="BE2" s="322"/>
      <c r="BF2" s="323"/>
      <c r="BG2" s="322"/>
    </row>
    <row r="3" spans="1:59" ht="117" customHeight="1" thickBot="1">
      <c r="A3" s="152"/>
      <c r="B3" s="153"/>
      <c r="C3" s="324" t="s">
        <v>472</v>
      </c>
      <c r="D3" s="325" t="s">
        <v>473</v>
      </c>
      <c r="E3" s="326" t="s">
        <v>474</v>
      </c>
      <c r="F3" s="327" t="s">
        <v>225</v>
      </c>
      <c r="G3" s="328" t="s">
        <v>226</v>
      </c>
      <c r="H3" s="328" t="s">
        <v>229</v>
      </c>
      <c r="I3" s="329" t="s">
        <v>227</v>
      </c>
      <c r="J3" s="329" t="s">
        <v>228</v>
      </c>
      <c r="K3" s="324" t="s">
        <v>472</v>
      </c>
      <c r="L3" s="326" t="s">
        <v>474</v>
      </c>
      <c r="M3" s="327" t="s">
        <v>225</v>
      </c>
      <c r="N3" s="328" t="s">
        <v>226</v>
      </c>
      <c r="O3" s="328" t="s">
        <v>229</v>
      </c>
      <c r="P3" s="329" t="s">
        <v>227</v>
      </c>
      <c r="Q3" s="329" t="s">
        <v>228</v>
      </c>
      <c r="R3" s="324" t="s">
        <v>472</v>
      </c>
      <c r="S3" s="326" t="s">
        <v>474</v>
      </c>
      <c r="T3" s="327" t="s">
        <v>225</v>
      </c>
      <c r="U3" s="328" t="s">
        <v>226</v>
      </c>
      <c r="V3" s="328" t="s">
        <v>229</v>
      </c>
      <c r="W3" s="329" t="s">
        <v>227</v>
      </c>
      <c r="X3" s="329" t="s">
        <v>228</v>
      </c>
      <c r="Y3" s="324" t="s">
        <v>472</v>
      </c>
      <c r="Z3" s="326" t="s">
        <v>474</v>
      </c>
      <c r="AA3" s="327" t="s">
        <v>225</v>
      </c>
      <c r="AB3" s="328" t="s">
        <v>226</v>
      </c>
      <c r="AC3" s="328" t="s">
        <v>229</v>
      </c>
      <c r="AD3" s="329" t="s">
        <v>227</v>
      </c>
      <c r="AE3" s="329" t="s">
        <v>228</v>
      </c>
      <c r="AF3" s="324" t="s">
        <v>472</v>
      </c>
      <c r="AG3" s="326" t="s">
        <v>474</v>
      </c>
      <c r="AH3" s="327" t="s">
        <v>225</v>
      </c>
      <c r="AI3" s="328" t="s">
        <v>226</v>
      </c>
      <c r="AJ3" s="328" t="s">
        <v>229</v>
      </c>
      <c r="AK3" s="329" t="s">
        <v>227</v>
      </c>
      <c r="AL3" s="329" t="s">
        <v>228</v>
      </c>
      <c r="AM3" s="324" t="s">
        <v>472</v>
      </c>
      <c r="AN3" s="326" t="s">
        <v>474</v>
      </c>
      <c r="AO3" s="327" t="s">
        <v>225</v>
      </c>
      <c r="AP3" s="328" t="s">
        <v>226</v>
      </c>
      <c r="AQ3" s="328" t="s">
        <v>229</v>
      </c>
      <c r="AR3" s="329" t="s">
        <v>227</v>
      </c>
      <c r="AS3" s="329" t="s">
        <v>228</v>
      </c>
      <c r="AT3" s="324" t="s">
        <v>472</v>
      </c>
      <c r="AU3" s="326" t="s">
        <v>474</v>
      </c>
      <c r="AV3" s="327" t="s">
        <v>225</v>
      </c>
      <c r="AW3" s="328" t="s">
        <v>226</v>
      </c>
      <c r="AX3" s="328" t="s">
        <v>229</v>
      </c>
      <c r="AY3" s="329" t="s">
        <v>227</v>
      </c>
      <c r="AZ3" s="329" t="s">
        <v>228</v>
      </c>
      <c r="BA3" s="324" t="s">
        <v>472</v>
      </c>
      <c r="BB3" s="326" t="s">
        <v>474</v>
      </c>
      <c r="BC3" s="327" t="s">
        <v>225</v>
      </c>
      <c r="BD3" s="328" t="s">
        <v>226</v>
      </c>
      <c r="BE3" s="328" t="s">
        <v>229</v>
      </c>
      <c r="BF3" s="329" t="s">
        <v>227</v>
      </c>
      <c r="BG3" s="329" t="s">
        <v>228</v>
      </c>
    </row>
    <row r="4" spans="1:59">
      <c r="A4" s="100"/>
      <c r="B4" s="26" t="s">
        <v>2</v>
      </c>
      <c r="C4" s="263">
        <f>SUBTOTAL(109,C$15:INDEX(C:C,COUNTA($B:$B)+14-COUNTA($B$1:$B$14)))</f>
        <v>0</v>
      </c>
      <c r="D4" s="281">
        <f>SUBTOTAL(109,D$15:INDEX(D:D,COUNTA($B:$B)+14-COUNTA($B$1:$B$14)))</f>
        <v>0</v>
      </c>
      <c r="E4" s="330">
        <f>SUBTOTAL(109,E$15:INDEX(E:E,COUNTA($B:$B)+14-COUNTA($B$1:$B$14)))</f>
        <v>0</v>
      </c>
      <c r="F4" s="331">
        <f>SUBTOTAL(109,F$15:INDEX(F:F,COUNTA($B:$B)+14-COUNTA($B$1:$B$14)))</f>
        <v>0</v>
      </c>
      <c r="G4" s="252">
        <f>SUBTOTAL(109,G$15:INDEX(G:G,COUNTA($B:$B)+14-COUNTA($B$1:$B$14)))</f>
        <v>0</v>
      </c>
      <c r="H4" s="252">
        <f>SUBTOTAL(109,H$15:INDEX(H:H,COUNTA($B:$B)+14-COUNTA($B$1:$B$14)))</f>
        <v>0</v>
      </c>
      <c r="I4" s="252">
        <f>SUBTOTAL(109,I$15:INDEX(I:I,COUNTA($B:$B)+14-COUNTA($B$1:$B$14)))</f>
        <v>0</v>
      </c>
      <c r="J4" s="252">
        <f>SUBTOTAL(109,J$15:INDEX(J:J,COUNTA($B:$B)+14-COUNTA($B$1:$B$14)))</f>
        <v>0</v>
      </c>
      <c r="K4" s="263">
        <f>SUBTOTAL(109,K$15:INDEX(K:K,COUNTA($B:$B)+14-COUNTA($B$1:$B$14)))</f>
        <v>0</v>
      </c>
      <c r="L4" s="330">
        <f>SUBTOTAL(109,L$15:INDEX(L:L,COUNTA($B:$B)+14-COUNTA($B$1:$B$14)))</f>
        <v>0</v>
      </c>
      <c r="M4" s="331">
        <f>SUBTOTAL(109,M$15:INDEX(M:M,COUNTA($B:$B)+14-COUNTA($B$1:$B$14)))</f>
        <v>0</v>
      </c>
      <c r="N4" s="252">
        <f>SUBTOTAL(109,N$15:INDEX(N:N,COUNTA($B:$B)+14-COUNTA($B$1:$B$14)))</f>
        <v>0</v>
      </c>
      <c r="O4" s="252">
        <f>SUBTOTAL(109,O$15:INDEX(O:O,COUNTA($B:$B)+14-COUNTA($B$1:$B$14)))</f>
        <v>0</v>
      </c>
      <c r="P4" s="252">
        <f>SUBTOTAL(109,P$15:INDEX(P:P,COUNTA($B:$B)+14-COUNTA($B$1:$B$14)))</f>
        <v>0</v>
      </c>
      <c r="Q4" s="252">
        <f>SUBTOTAL(109,Q$15:INDEX(Q:Q,COUNTA($B:$B)+14-COUNTA($B$1:$B$14)))</f>
        <v>0</v>
      </c>
      <c r="R4" s="263">
        <f>SUBTOTAL(109,R$15:INDEX(R:R,COUNTA($B:$B)+14-COUNTA($B$1:$B$14)))</f>
        <v>0</v>
      </c>
      <c r="S4" s="330">
        <f>SUBTOTAL(109,S$15:INDEX(S:S,COUNTA($B:$B)+14-COUNTA($B$1:$B$14)))</f>
        <v>0</v>
      </c>
      <c r="T4" s="331">
        <f>SUBTOTAL(109,T$15:INDEX(T:T,COUNTA($B:$B)+14-COUNTA($B$1:$B$14)))</f>
        <v>0</v>
      </c>
      <c r="U4" s="252">
        <f>SUBTOTAL(109,U$15:INDEX(U:U,COUNTA($B:$B)+14-COUNTA($B$1:$B$14)))</f>
        <v>0</v>
      </c>
      <c r="V4" s="252">
        <f>SUBTOTAL(109,V$15:INDEX(V:V,COUNTA($B:$B)+14-COUNTA($B$1:$B$14)))</f>
        <v>0</v>
      </c>
      <c r="W4" s="252">
        <f>SUBTOTAL(109,W$15:INDEX(W:W,COUNTA($B:$B)+14-COUNTA($B$1:$B$14)))</f>
        <v>0</v>
      </c>
      <c r="X4" s="252">
        <f>SUBTOTAL(109,X$15:INDEX(X:X,COUNTA($B:$B)+14-COUNTA($B$1:$B$14)))</f>
        <v>0</v>
      </c>
      <c r="Y4" s="263">
        <f>SUBTOTAL(109,Y$15:INDEX(Y:Y,COUNTA($B:$B)+14-COUNTA($B$1:$B$14)))</f>
        <v>0</v>
      </c>
      <c r="Z4" s="330">
        <f>SUBTOTAL(109,Z$15:INDEX(Z:Z,COUNTA($B:$B)+14-COUNTA($B$1:$B$14)))</f>
        <v>0</v>
      </c>
      <c r="AA4" s="331">
        <f>SUBTOTAL(109,AA$15:INDEX(AA:AA,COUNTA($B:$B)+14-COUNTA($B$1:$B$14)))</f>
        <v>0</v>
      </c>
      <c r="AB4" s="252">
        <f>SUBTOTAL(109,AB$15:INDEX(AB:AB,COUNTA($B:$B)+14-COUNTA($B$1:$B$14)))</f>
        <v>0</v>
      </c>
      <c r="AC4" s="252">
        <f>SUBTOTAL(109,AC$15:INDEX(AC:AC,COUNTA($B:$B)+14-COUNTA($B$1:$B$14)))</f>
        <v>0</v>
      </c>
      <c r="AD4" s="252">
        <f>SUBTOTAL(109,AD$15:INDEX(AD:AD,COUNTA($B:$B)+14-COUNTA($B$1:$B$14)))</f>
        <v>0</v>
      </c>
      <c r="AE4" s="252">
        <f>SUBTOTAL(109,AE$15:INDEX(AE:AE,COUNTA($B:$B)+14-COUNTA($B$1:$B$14)))</f>
        <v>0</v>
      </c>
      <c r="AF4" s="263">
        <f>SUBTOTAL(109,AF$15:INDEX(AF:AF,COUNTA($B:$B)+14-COUNTA($B$1:$B$14)))</f>
        <v>0</v>
      </c>
      <c r="AG4" s="330">
        <f>SUBTOTAL(109,AG$15:INDEX(AG:AG,COUNTA($B:$B)+14-COUNTA($B$1:$B$14)))</f>
        <v>0</v>
      </c>
      <c r="AH4" s="331">
        <f>SUBTOTAL(109,AH$15:INDEX(AH:AH,COUNTA($B:$B)+14-COUNTA($B$1:$B$14)))</f>
        <v>0</v>
      </c>
      <c r="AI4" s="252">
        <f>SUBTOTAL(109,AI$15:INDEX(AI:AI,COUNTA($B:$B)+14-COUNTA($B$1:$B$14)))</f>
        <v>0</v>
      </c>
      <c r="AJ4" s="252">
        <f>SUBTOTAL(109,AJ$15:INDEX(AJ:AJ,COUNTA($B:$B)+14-COUNTA($B$1:$B$14)))</f>
        <v>0</v>
      </c>
      <c r="AK4" s="252">
        <f>SUBTOTAL(109,AK$15:INDEX(AK:AK,COUNTA($B:$B)+14-COUNTA($B$1:$B$14)))</f>
        <v>0</v>
      </c>
      <c r="AL4" s="252">
        <f>SUBTOTAL(109,AL$15:INDEX(AL:AL,COUNTA($B:$B)+14-COUNTA($B$1:$B$14)))</f>
        <v>0</v>
      </c>
      <c r="AM4" s="263">
        <f>SUBTOTAL(109,AM$15:INDEX(AM:AM,COUNTA($B:$B)+14-COUNTA($B$1:$B$14)))</f>
        <v>0</v>
      </c>
      <c r="AN4" s="330">
        <f>SUBTOTAL(109,AN$15:INDEX(AN:AN,COUNTA($B:$B)+14-COUNTA($B$1:$B$14)))</f>
        <v>0</v>
      </c>
      <c r="AO4" s="331">
        <f>SUBTOTAL(109,AO$15:INDEX(AO:AO,COUNTA($B:$B)+14-COUNTA($B$1:$B$14)))</f>
        <v>0</v>
      </c>
      <c r="AP4" s="252">
        <f>SUBTOTAL(109,AP$15:INDEX(AP:AP,COUNTA($B:$B)+14-COUNTA($B$1:$B$14)))</f>
        <v>0</v>
      </c>
      <c r="AQ4" s="252">
        <f>SUBTOTAL(109,AQ$15:INDEX(AQ:AQ,COUNTA($B:$B)+14-COUNTA($B$1:$B$14)))</f>
        <v>0</v>
      </c>
      <c r="AR4" s="252">
        <f>SUBTOTAL(109,AR$15:INDEX(AR:AR,COUNTA($B:$B)+14-COUNTA($B$1:$B$14)))</f>
        <v>0</v>
      </c>
      <c r="AS4" s="252">
        <f>SUBTOTAL(109,AS$15:INDEX(AS:AS,COUNTA($B:$B)+14-COUNTA($B$1:$B$14)))</f>
        <v>0</v>
      </c>
      <c r="AT4" s="263">
        <f>SUBTOTAL(109,AT$15:INDEX(AT:AT,COUNTA($B:$B)+14-COUNTA($B$1:$B$14)))</f>
        <v>0</v>
      </c>
      <c r="AU4" s="330">
        <f>SUBTOTAL(109,AU$15:INDEX(AU:AU,COUNTA($B:$B)+14-COUNTA($B$1:$B$14)))</f>
        <v>0</v>
      </c>
      <c r="AV4" s="331">
        <f>SUBTOTAL(109,AV$15:INDEX(AV:AV,COUNTA($B:$B)+14-COUNTA($B$1:$B$14)))</f>
        <v>0</v>
      </c>
      <c r="AW4" s="252">
        <f>SUBTOTAL(109,AW$15:INDEX(AW:AW,COUNTA($B:$B)+14-COUNTA($B$1:$B$14)))</f>
        <v>0</v>
      </c>
      <c r="AX4" s="252">
        <f>SUBTOTAL(109,AX$15:INDEX(AX:AX,COUNTA($B:$B)+14-COUNTA($B$1:$B$14)))</f>
        <v>0</v>
      </c>
      <c r="AY4" s="252">
        <f>SUBTOTAL(109,AY$15:INDEX(AY:AY,COUNTA($B:$B)+14-COUNTA($B$1:$B$14)))</f>
        <v>0</v>
      </c>
      <c r="AZ4" s="252">
        <f>SUBTOTAL(109,AZ$15:INDEX(AZ:AZ,COUNTA($B:$B)+14-COUNTA($B$1:$B$14)))</f>
        <v>0</v>
      </c>
      <c r="BA4" s="263">
        <f>SUBTOTAL(109,BA$15:INDEX(BA:BA,COUNTA($B:$B)+14-COUNTA($B$1:$B$14)))</f>
        <v>0</v>
      </c>
      <c r="BB4" s="330">
        <f>SUBTOTAL(109,BB$15:INDEX(BB:BB,COUNTA($B:$B)+14-COUNTA($B$1:$B$14)))</f>
        <v>0</v>
      </c>
      <c r="BC4" s="331">
        <f>SUBTOTAL(109,BC$15:INDEX(BC:BC,COUNTA($B:$B)+14-COUNTA($B$1:$B$14)))</f>
        <v>0</v>
      </c>
      <c r="BD4" s="252">
        <f>SUBTOTAL(109,BD$15:INDEX(BD:BD,COUNTA($B:$B)+14-COUNTA($B$1:$B$14)))</f>
        <v>0</v>
      </c>
      <c r="BE4" s="252">
        <f>SUBTOTAL(109,BE$15:INDEX(BE:BE,COUNTA($B:$B)+14-COUNTA($B$1:$B$14)))</f>
        <v>0</v>
      </c>
      <c r="BF4" s="252">
        <f>SUBTOTAL(109,BF$15:INDEX(BF:BF,COUNTA($B:$B)+14-COUNTA($B$1:$B$14)))</f>
        <v>0</v>
      </c>
      <c r="BG4" s="252">
        <f>SUBTOTAL(109,BG$15:INDEX(BG:BG,COUNTA($B:$B)+14-COUNTA($B$1:$B$14)))</f>
        <v>0</v>
      </c>
    </row>
    <row r="5" spans="1:59">
      <c r="A5" s="24" t="s">
        <v>38</v>
      </c>
      <c r="B5" s="27" t="s">
        <v>38</v>
      </c>
      <c r="C5" s="264" t="s">
        <v>38</v>
      </c>
      <c r="D5" s="282" t="s">
        <v>38</v>
      </c>
      <c r="E5" s="332" t="s">
        <v>38</v>
      </c>
      <c r="F5" s="333" t="s">
        <v>38</v>
      </c>
      <c r="G5" s="215" t="s">
        <v>38</v>
      </c>
      <c r="H5" s="215" t="s">
        <v>38</v>
      </c>
      <c r="I5" s="215" t="s">
        <v>38</v>
      </c>
      <c r="J5" s="215" t="s">
        <v>38</v>
      </c>
      <c r="K5" s="264" t="s">
        <v>38</v>
      </c>
      <c r="L5" s="332" t="s">
        <v>38</v>
      </c>
      <c r="M5" s="333" t="s">
        <v>38</v>
      </c>
      <c r="N5" s="215" t="s">
        <v>38</v>
      </c>
      <c r="O5" s="215" t="s">
        <v>38</v>
      </c>
      <c r="P5" s="215" t="s">
        <v>38</v>
      </c>
      <c r="Q5" s="215" t="s">
        <v>38</v>
      </c>
      <c r="R5" s="264" t="s">
        <v>38</v>
      </c>
      <c r="S5" s="332" t="s">
        <v>38</v>
      </c>
      <c r="T5" s="333" t="s">
        <v>38</v>
      </c>
      <c r="U5" s="215" t="s">
        <v>38</v>
      </c>
      <c r="V5" s="215" t="s">
        <v>38</v>
      </c>
      <c r="W5" s="215" t="s">
        <v>38</v>
      </c>
      <c r="X5" s="215" t="s">
        <v>38</v>
      </c>
      <c r="Y5" s="264" t="s">
        <v>38</v>
      </c>
      <c r="Z5" s="332" t="s">
        <v>38</v>
      </c>
      <c r="AA5" s="333" t="s">
        <v>38</v>
      </c>
      <c r="AB5" s="215" t="s">
        <v>38</v>
      </c>
      <c r="AC5" s="215" t="s">
        <v>38</v>
      </c>
      <c r="AD5" s="215" t="s">
        <v>38</v>
      </c>
      <c r="AE5" s="215" t="s">
        <v>38</v>
      </c>
      <c r="AF5" s="264" t="s">
        <v>38</v>
      </c>
      <c r="AG5" s="332" t="s">
        <v>38</v>
      </c>
      <c r="AH5" s="333" t="s">
        <v>38</v>
      </c>
      <c r="AI5" s="215" t="s">
        <v>38</v>
      </c>
      <c r="AJ5" s="215" t="s">
        <v>38</v>
      </c>
      <c r="AK5" s="215" t="s">
        <v>38</v>
      </c>
      <c r="AL5" s="215" t="s">
        <v>38</v>
      </c>
      <c r="AM5" s="264" t="s">
        <v>38</v>
      </c>
      <c r="AN5" s="332" t="s">
        <v>38</v>
      </c>
      <c r="AO5" s="333" t="s">
        <v>38</v>
      </c>
      <c r="AP5" s="215" t="s">
        <v>38</v>
      </c>
      <c r="AQ5" s="215" t="s">
        <v>38</v>
      </c>
      <c r="AR5" s="215" t="s">
        <v>38</v>
      </c>
      <c r="AS5" s="215" t="s">
        <v>38</v>
      </c>
      <c r="AT5" s="264" t="s">
        <v>38</v>
      </c>
      <c r="AU5" s="332" t="s">
        <v>38</v>
      </c>
      <c r="AV5" s="333" t="s">
        <v>38</v>
      </c>
      <c r="AW5" s="215" t="s">
        <v>38</v>
      </c>
      <c r="AX5" s="215" t="s">
        <v>38</v>
      </c>
      <c r="AY5" s="215" t="s">
        <v>38</v>
      </c>
      <c r="AZ5" s="215" t="s">
        <v>38</v>
      </c>
      <c r="BA5" s="264" t="s">
        <v>38</v>
      </c>
      <c r="BB5" s="332" t="s">
        <v>38</v>
      </c>
      <c r="BC5" s="333" t="s">
        <v>38</v>
      </c>
      <c r="BD5" s="215" t="s">
        <v>38</v>
      </c>
      <c r="BE5" s="215" t="s">
        <v>38</v>
      </c>
      <c r="BF5" s="215" t="s">
        <v>38</v>
      </c>
      <c r="BG5" s="215" t="s">
        <v>38</v>
      </c>
    </row>
    <row r="6" spans="1:59">
      <c r="A6" s="24" t="s">
        <v>87</v>
      </c>
      <c r="B6" s="27" t="s">
        <v>87</v>
      </c>
      <c r="C6" s="264" t="s">
        <v>33</v>
      </c>
      <c r="D6" s="282" t="s">
        <v>33</v>
      </c>
      <c r="E6" s="332" t="s">
        <v>33</v>
      </c>
      <c r="F6" s="333" t="s">
        <v>33</v>
      </c>
      <c r="G6" s="215" t="s">
        <v>33</v>
      </c>
      <c r="H6" s="215" t="s">
        <v>33</v>
      </c>
      <c r="I6" s="215" t="s">
        <v>33</v>
      </c>
      <c r="J6" s="215" t="s">
        <v>33</v>
      </c>
      <c r="K6" s="264" t="s">
        <v>33</v>
      </c>
      <c r="L6" s="332" t="s">
        <v>33</v>
      </c>
      <c r="M6" s="333" t="s">
        <v>33</v>
      </c>
      <c r="N6" s="215" t="s">
        <v>33</v>
      </c>
      <c r="O6" s="215" t="s">
        <v>33</v>
      </c>
      <c r="P6" s="215" t="s">
        <v>33</v>
      </c>
      <c r="Q6" s="215" t="s">
        <v>33</v>
      </c>
      <c r="R6" s="264" t="s">
        <v>33</v>
      </c>
      <c r="S6" s="332" t="s">
        <v>33</v>
      </c>
      <c r="T6" s="333" t="s">
        <v>33</v>
      </c>
      <c r="U6" s="215" t="s">
        <v>33</v>
      </c>
      <c r="V6" s="215" t="s">
        <v>33</v>
      </c>
      <c r="W6" s="215" t="s">
        <v>33</v>
      </c>
      <c r="X6" s="215" t="s">
        <v>33</v>
      </c>
      <c r="Y6" s="264" t="s">
        <v>33</v>
      </c>
      <c r="Z6" s="332" t="s">
        <v>33</v>
      </c>
      <c r="AA6" s="333" t="s">
        <v>33</v>
      </c>
      <c r="AB6" s="215" t="s">
        <v>33</v>
      </c>
      <c r="AC6" s="215" t="s">
        <v>33</v>
      </c>
      <c r="AD6" s="215" t="s">
        <v>33</v>
      </c>
      <c r="AE6" s="215" t="s">
        <v>33</v>
      </c>
      <c r="AF6" s="264" t="s">
        <v>33</v>
      </c>
      <c r="AG6" s="332" t="s">
        <v>33</v>
      </c>
      <c r="AH6" s="333" t="s">
        <v>33</v>
      </c>
      <c r="AI6" s="215" t="s">
        <v>33</v>
      </c>
      <c r="AJ6" s="215" t="s">
        <v>33</v>
      </c>
      <c r="AK6" s="215" t="s">
        <v>33</v>
      </c>
      <c r="AL6" s="215" t="s">
        <v>33</v>
      </c>
      <c r="AM6" s="264" t="s">
        <v>33</v>
      </c>
      <c r="AN6" s="332" t="s">
        <v>33</v>
      </c>
      <c r="AO6" s="333" t="s">
        <v>33</v>
      </c>
      <c r="AP6" s="215" t="s">
        <v>33</v>
      </c>
      <c r="AQ6" s="215" t="s">
        <v>33</v>
      </c>
      <c r="AR6" s="215" t="s">
        <v>33</v>
      </c>
      <c r="AS6" s="215" t="s">
        <v>33</v>
      </c>
      <c r="AT6" s="264" t="s">
        <v>33</v>
      </c>
      <c r="AU6" s="332" t="s">
        <v>33</v>
      </c>
      <c r="AV6" s="333" t="s">
        <v>33</v>
      </c>
      <c r="AW6" s="215" t="s">
        <v>33</v>
      </c>
      <c r="AX6" s="215" t="s">
        <v>33</v>
      </c>
      <c r="AY6" s="215" t="s">
        <v>33</v>
      </c>
      <c r="AZ6" s="215" t="s">
        <v>33</v>
      </c>
      <c r="BA6" s="264" t="s">
        <v>33</v>
      </c>
      <c r="BB6" s="332" t="s">
        <v>33</v>
      </c>
      <c r="BC6" s="333" t="s">
        <v>33</v>
      </c>
      <c r="BD6" s="215" t="s">
        <v>33</v>
      </c>
      <c r="BE6" s="215" t="s">
        <v>33</v>
      </c>
      <c r="BF6" s="215" t="s">
        <v>33</v>
      </c>
      <c r="BG6" s="215" t="s">
        <v>33</v>
      </c>
    </row>
    <row r="7" spans="1:59">
      <c r="A7" s="24" t="s">
        <v>48</v>
      </c>
      <c r="B7" s="27" t="s">
        <v>48</v>
      </c>
      <c r="C7" s="266" t="s">
        <v>34</v>
      </c>
      <c r="D7" s="283" t="s">
        <v>34</v>
      </c>
      <c r="E7" s="334" t="s">
        <v>34</v>
      </c>
      <c r="F7" s="333" t="s">
        <v>34</v>
      </c>
      <c r="G7" s="215" t="s">
        <v>34</v>
      </c>
      <c r="H7" s="215" t="s">
        <v>34</v>
      </c>
      <c r="I7" s="215" t="s">
        <v>34</v>
      </c>
      <c r="J7" s="215" t="s">
        <v>34</v>
      </c>
      <c r="K7" s="266" t="s">
        <v>34</v>
      </c>
      <c r="L7" s="334" t="s">
        <v>34</v>
      </c>
      <c r="M7" s="333" t="s">
        <v>34</v>
      </c>
      <c r="N7" s="215" t="s">
        <v>34</v>
      </c>
      <c r="O7" s="215" t="s">
        <v>34</v>
      </c>
      <c r="P7" s="215" t="s">
        <v>34</v>
      </c>
      <c r="Q7" s="215" t="s">
        <v>34</v>
      </c>
      <c r="R7" s="266" t="s">
        <v>34</v>
      </c>
      <c r="S7" s="334" t="s">
        <v>34</v>
      </c>
      <c r="T7" s="333" t="s">
        <v>34</v>
      </c>
      <c r="U7" s="215" t="s">
        <v>34</v>
      </c>
      <c r="V7" s="215" t="s">
        <v>34</v>
      </c>
      <c r="W7" s="215" t="s">
        <v>34</v>
      </c>
      <c r="X7" s="215" t="s">
        <v>34</v>
      </c>
      <c r="Y7" s="266" t="s">
        <v>34</v>
      </c>
      <c r="Z7" s="334" t="s">
        <v>34</v>
      </c>
      <c r="AA7" s="333" t="s">
        <v>34</v>
      </c>
      <c r="AB7" s="215" t="s">
        <v>34</v>
      </c>
      <c r="AC7" s="215" t="s">
        <v>34</v>
      </c>
      <c r="AD7" s="215" t="s">
        <v>34</v>
      </c>
      <c r="AE7" s="215" t="s">
        <v>34</v>
      </c>
      <c r="AF7" s="266" t="s">
        <v>34</v>
      </c>
      <c r="AG7" s="334" t="s">
        <v>34</v>
      </c>
      <c r="AH7" s="333" t="s">
        <v>34</v>
      </c>
      <c r="AI7" s="215" t="s">
        <v>34</v>
      </c>
      <c r="AJ7" s="215" t="s">
        <v>34</v>
      </c>
      <c r="AK7" s="215" t="s">
        <v>34</v>
      </c>
      <c r="AL7" s="215" t="s">
        <v>34</v>
      </c>
      <c r="AM7" s="266" t="s">
        <v>34</v>
      </c>
      <c r="AN7" s="334" t="s">
        <v>34</v>
      </c>
      <c r="AO7" s="333" t="s">
        <v>34</v>
      </c>
      <c r="AP7" s="215" t="s">
        <v>34</v>
      </c>
      <c r="AQ7" s="215" t="s">
        <v>34</v>
      </c>
      <c r="AR7" s="215" t="s">
        <v>34</v>
      </c>
      <c r="AS7" s="215" t="s">
        <v>34</v>
      </c>
      <c r="AT7" s="266" t="s">
        <v>34</v>
      </c>
      <c r="AU7" s="334" t="s">
        <v>34</v>
      </c>
      <c r="AV7" s="333" t="s">
        <v>34</v>
      </c>
      <c r="AW7" s="215" t="s">
        <v>34</v>
      </c>
      <c r="AX7" s="215" t="s">
        <v>34</v>
      </c>
      <c r="AY7" s="215" t="s">
        <v>34</v>
      </c>
      <c r="AZ7" s="215" t="s">
        <v>34</v>
      </c>
      <c r="BA7" s="266" t="s">
        <v>34</v>
      </c>
      <c r="BB7" s="334" t="s">
        <v>34</v>
      </c>
      <c r="BC7" s="333" t="s">
        <v>34</v>
      </c>
      <c r="BD7" s="215" t="s">
        <v>34</v>
      </c>
      <c r="BE7" s="215" t="s">
        <v>34</v>
      </c>
      <c r="BF7" s="215" t="s">
        <v>34</v>
      </c>
      <c r="BG7" s="215" t="s">
        <v>34</v>
      </c>
    </row>
    <row r="8" spans="1:59">
      <c r="C8" s="266"/>
      <c r="D8" s="283"/>
      <c r="E8" s="334"/>
      <c r="K8" s="266"/>
      <c r="L8" s="334"/>
      <c r="R8" s="266"/>
      <c r="S8" s="334"/>
      <c r="Y8" s="266"/>
      <c r="Z8" s="334"/>
      <c r="AF8" s="266"/>
      <c r="AG8" s="334"/>
      <c r="AM8" s="266"/>
      <c r="AN8" s="334"/>
      <c r="AT8" s="266"/>
      <c r="AU8" s="334"/>
      <c r="BA8" s="266"/>
      <c r="BB8" s="334"/>
    </row>
    <row r="9" spans="1:59">
      <c r="C9" s="266"/>
      <c r="D9" s="283"/>
      <c r="E9" s="334"/>
      <c r="K9" s="266"/>
      <c r="L9" s="334"/>
      <c r="R9" s="266"/>
      <c r="S9" s="334"/>
      <c r="Y9" s="266"/>
      <c r="Z9" s="334"/>
      <c r="AF9" s="266"/>
      <c r="AG9" s="334"/>
      <c r="AM9" s="266"/>
      <c r="AN9" s="334"/>
      <c r="AT9" s="266"/>
      <c r="AU9" s="334"/>
      <c r="BA9" s="266"/>
      <c r="BB9" s="334"/>
    </row>
    <row r="10" spans="1:59">
      <c r="C10" s="266"/>
      <c r="D10" s="283"/>
      <c r="E10" s="334"/>
      <c r="K10" s="266"/>
      <c r="L10" s="334"/>
      <c r="R10" s="266"/>
      <c r="S10" s="334"/>
      <c r="Y10" s="266"/>
      <c r="Z10" s="334"/>
      <c r="AF10" s="266"/>
      <c r="AG10" s="334"/>
      <c r="AM10" s="266"/>
      <c r="AN10" s="334"/>
      <c r="AT10" s="266"/>
      <c r="AU10" s="334"/>
      <c r="BA10" s="266"/>
      <c r="BB10" s="334"/>
    </row>
    <row r="11" spans="1:59">
      <c r="C11" s="266"/>
      <c r="D11" s="283"/>
      <c r="E11" s="334"/>
      <c r="K11" s="266"/>
      <c r="L11" s="334"/>
      <c r="R11" s="266"/>
      <c r="S11" s="334"/>
      <c r="Y11" s="266"/>
      <c r="Z11" s="334"/>
      <c r="AF11" s="266"/>
      <c r="AG11" s="334"/>
      <c r="AM11" s="266"/>
      <c r="AN11" s="334"/>
      <c r="AT11" s="266"/>
      <c r="AU11" s="334"/>
      <c r="BA11" s="266"/>
      <c r="BB11" s="334"/>
    </row>
    <row r="14" spans="1:59">
      <c r="A14" s="95" t="s">
        <v>24</v>
      </c>
      <c r="B14" s="71" t="s">
        <v>3</v>
      </c>
      <c r="C14" s="188" t="s">
        <v>251</v>
      </c>
      <c r="D14" s="129" t="s">
        <v>330</v>
      </c>
      <c r="E14" s="335" t="s">
        <v>252</v>
      </c>
      <c r="F14" s="336" t="s">
        <v>253</v>
      </c>
      <c r="G14" s="218" t="s">
        <v>254</v>
      </c>
      <c r="H14" s="218" t="s">
        <v>255</v>
      </c>
      <c r="I14" s="253" t="s">
        <v>256</v>
      </c>
      <c r="J14" s="253" t="s">
        <v>257</v>
      </c>
      <c r="K14" s="188" t="s">
        <v>258</v>
      </c>
      <c r="L14" s="335" t="s">
        <v>259</v>
      </c>
      <c r="M14" s="336" t="s">
        <v>246</v>
      </c>
      <c r="N14" s="218" t="s">
        <v>247</v>
      </c>
      <c r="O14" s="218" t="s">
        <v>248</v>
      </c>
      <c r="P14" s="253" t="s">
        <v>249</v>
      </c>
      <c r="Q14" s="253" t="s">
        <v>250</v>
      </c>
      <c r="R14" s="188" t="s">
        <v>260</v>
      </c>
      <c r="S14" s="335" t="s">
        <v>261</v>
      </c>
      <c r="T14" s="336" t="s">
        <v>262</v>
      </c>
      <c r="U14" s="218" t="s">
        <v>263</v>
      </c>
      <c r="V14" s="218" t="s">
        <v>264</v>
      </c>
      <c r="W14" s="253" t="s">
        <v>265</v>
      </c>
      <c r="X14" s="253" t="s">
        <v>266</v>
      </c>
      <c r="Y14" s="188" t="s">
        <v>267</v>
      </c>
      <c r="Z14" s="335" t="s">
        <v>268</v>
      </c>
      <c r="AA14" s="336" t="s">
        <v>269</v>
      </c>
      <c r="AB14" s="218" t="s">
        <v>270</v>
      </c>
      <c r="AC14" s="218" t="s">
        <v>271</v>
      </c>
      <c r="AD14" s="253" t="s">
        <v>272</v>
      </c>
      <c r="AE14" s="253" t="s">
        <v>273</v>
      </c>
      <c r="AF14" s="188" t="s">
        <v>274</v>
      </c>
      <c r="AG14" s="335" t="s">
        <v>275</v>
      </c>
      <c r="AH14" s="336" t="s">
        <v>276</v>
      </c>
      <c r="AI14" s="218" t="s">
        <v>277</v>
      </c>
      <c r="AJ14" s="218" t="s">
        <v>278</v>
      </c>
      <c r="AK14" s="253" t="s">
        <v>279</v>
      </c>
      <c r="AL14" s="253" t="s">
        <v>280</v>
      </c>
      <c r="AM14" s="188" t="s">
        <v>281</v>
      </c>
      <c r="AN14" s="335" t="s">
        <v>282</v>
      </c>
      <c r="AO14" s="336" t="s">
        <v>283</v>
      </c>
      <c r="AP14" s="218" t="s">
        <v>284</v>
      </c>
      <c r="AQ14" s="218" t="s">
        <v>285</v>
      </c>
      <c r="AR14" s="253" t="s">
        <v>286</v>
      </c>
      <c r="AS14" s="253" t="s">
        <v>287</v>
      </c>
      <c r="AT14" s="188" t="s">
        <v>288</v>
      </c>
      <c r="AU14" s="335" t="s">
        <v>289</v>
      </c>
      <c r="AV14" s="336" t="s">
        <v>290</v>
      </c>
      <c r="AW14" s="218" t="s">
        <v>291</v>
      </c>
      <c r="AX14" s="218" t="s">
        <v>292</v>
      </c>
      <c r="AY14" s="253" t="s">
        <v>293</v>
      </c>
      <c r="AZ14" s="253" t="s">
        <v>294</v>
      </c>
      <c r="BA14" s="188" t="s">
        <v>295</v>
      </c>
      <c r="BB14" s="335" t="s">
        <v>296</v>
      </c>
      <c r="BC14" s="336" t="s">
        <v>297</v>
      </c>
      <c r="BD14" s="218" t="s">
        <v>298</v>
      </c>
      <c r="BE14" s="218" t="s">
        <v>299</v>
      </c>
      <c r="BF14" s="253" t="s">
        <v>300</v>
      </c>
      <c r="BG14" s="253" t="s">
        <v>301</v>
      </c>
    </row>
    <row r="15" spans="1:59" customFormat="1">
      <c r="A15" s="98" t="e">
        <f>INDEX(Prioritization!$D:$D,MATCH($B15,Prioritization!$A:$A,0))</f>
        <v>#N/A</v>
      </c>
      <c r="B15" s="19"/>
      <c r="C15" s="141" cm="1">
        <f t="array" ref="C15">SUM(SUMIFS(PrEP!$L:$L,PrEP!$B:$B,$B15,PrEP!$C:$C,{"15-24","25-34","35-49","50+"},PrEP!$D:$D,"Female"))</f>
        <v>0</v>
      </c>
      <c r="D15" s="128" cm="1">
        <f t="array" ref="D15">SUM(SUMIFS(PrEP!$L:$L,PrEP!$B:$B,$B15,PrEP!$C:$C,{"15-24","25-34"},PrEP!$D:$D,"Female"))</f>
        <v>0</v>
      </c>
      <c r="E15" s="337" cm="1">
        <f t="array" ref="E15">SUM(SUMIFS(PrEP!$L:$L,PrEP!$B:$B,$B15,PrEP!$C:$C,{"15-24","25-34","35-49","50+"},PrEP!$D:$D,"Male"))</f>
        <v>0</v>
      </c>
      <c r="F15" s="333" t="str">
        <f>_xlfn.IFNA(INDEX(KP!$I:$I,MATCH(($B15&amp;"|"&amp;F$3),KP!$D:$D,0)),"")</f>
        <v/>
      </c>
      <c r="G15" s="215" t="str">
        <f>_xlfn.IFNA(INDEX(KP!$I:$I,MATCH(($B15&amp;"|"&amp;G$3),KP!$D:$D,0)),"")</f>
        <v/>
      </c>
      <c r="H15" s="215" t="str">
        <f>_xlfn.IFNA(INDEX(KP!$I:$I,MATCH(($B15&amp;"|"&amp;H$3),KP!$D:$D,0)),"")</f>
        <v/>
      </c>
      <c r="I15" s="215" t="str">
        <f>_xlfn.IFNA(INDEX(KP!$I:$I,MATCH(($B15&amp;"|"&amp;I$3),KP!$D:$D,0)),"")</f>
        <v/>
      </c>
      <c r="J15" s="215" t="str">
        <f>_xlfn.IFNA(INDEX(KP!$I:$I,MATCH(($B15&amp;"|"&amp;J$3),KP!$D:$D,0)),"")</f>
        <v/>
      </c>
      <c r="K15" s="141" cm="1">
        <f t="array" ref="K15">SUM(SUMIFS(Cascade!$AN:$AN,Cascade!$B:$B,$B15,Cascade!$C:$C,{"15-24","25-34","35-49","50+"},Cascade!$D:$D,"Female"))</f>
        <v>0</v>
      </c>
      <c r="L15" s="337" cm="1">
        <f t="array" ref="L15">SUM(SUMIFS(Cascade!$AN:$AN,Cascade!$B:$B,$B15,Cascade!$C:$C,{"15-24","25-34","35-49","50+"},Cascade!$D:$D,"Male"))</f>
        <v>0</v>
      </c>
      <c r="M15" s="333" t="str">
        <f>_xlfn.IFNA(INDEX(KP!$O:$O,MATCH(($B15&amp;"|"&amp;M$3),KP!$D:$D,0)),"")</f>
        <v/>
      </c>
      <c r="N15" s="215" t="str">
        <f>_xlfn.IFNA(INDEX(KP!$O:$O,MATCH(($B15&amp;"|"&amp;N$3),KP!$D:$D,0)),"")</f>
        <v/>
      </c>
      <c r="O15" s="215" t="str">
        <f>_xlfn.IFNA(INDEX(KP!$O:$O,MATCH(($B15&amp;"|"&amp;O$3),KP!$D:$D,0)),"")</f>
        <v/>
      </c>
      <c r="P15" s="215" t="str">
        <f>_xlfn.IFNA(INDEX(KP!$O:$O,MATCH(($B15&amp;"|"&amp;P$3),KP!$D:$D,0)),"")</f>
        <v/>
      </c>
      <c r="Q15" s="215" t="str">
        <f>_xlfn.IFNA(INDEX(KP!$O:$O,MATCH(($B15&amp;"|"&amp;Q$3),KP!$D:$D,0)),"")</f>
        <v/>
      </c>
      <c r="R15" s="141" cm="1">
        <f t="array" ref="R15">SUM(SUMIFS(Cascade!$AV:$AV,Cascade!$B:$B,$B15,Cascade!$C:$C,{"15-24","25-34","35-49","50+"},Cascade!$D:$D,"Female"))</f>
        <v>0</v>
      </c>
      <c r="S15" s="337" cm="1">
        <f t="array" ref="S15">SUM(SUMIFS(Cascade!$AV:$AV,Cascade!$B:$B,$B15,Cascade!$C:$C,{"15-24","25-34","35-49","50+"},Cascade!$D:$D,"Male"))</f>
        <v>0</v>
      </c>
      <c r="T15" s="333" t="str">
        <f>_xlfn.IFNA(INDEX(KP!$X:$X,MATCH(($B15&amp;"|"&amp;T$3),KP!$D:$D,0)),"")</f>
        <v/>
      </c>
      <c r="U15" s="215" t="str">
        <f>_xlfn.IFNA(INDEX(KP!$X:$X,MATCH(($B15&amp;"|"&amp;U$3),KP!$D:$D,0)),"")</f>
        <v/>
      </c>
      <c r="V15" s="215" t="str">
        <f>_xlfn.IFNA(INDEX(KP!$X:$X,MATCH(($B15&amp;"|"&amp;V$3),KP!$D:$D,0)),"")</f>
        <v/>
      </c>
      <c r="W15" s="215" t="str">
        <f>_xlfn.IFNA(INDEX(KP!$X:$X,MATCH(($B15&amp;"|"&amp;W$3),KP!$D:$D,0)),"")</f>
        <v/>
      </c>
      <c r="X15" s="215" t="str">
        <f>_xlfn.IFNA(INDEX(KP!$X:$X,MATCH(($B15&amp;"|"&amp;X$3),KP!$D:$D,0)),"")</f>
        <v/>
      </c>
      <c r="Y15" s="141" cm="1">
        <f t="array" ref="Y15">SUM(SUMIFS(Cascade!$AZ:$AZ,Cascade!$B:$B,$B15,Cascade!$C:$C,{"15-24","25-34","35-49","50+"},Cascade!$D:$D,"Female"))</f>
        <v>0</v>
      </c>
      <c r="Z15" s="337" cm="1">
        <f t="array" ref="Z15">SUM(SUMIFS(Cascade!$AZ:$AZ,Cascade!$B:$B,$B15,Cascade!$C:$C,{"15-24","25-34","35-49","50+"},Cascade!$D:$D,"Male"))</f>
        <v>0</v>
      </c>
      <c r="AA15" s="333" t="str">
        <f>_xlfn.IFNA(INDEX(KP!$AB:$AB,MATCH(($B15&amp;"|"&amp;AA$3),KP!$D:$D,0)),"")</f>
        <v/>
      </c>
      <c r="AB15" s="215" t="str">
        <f>_xlfn.IFNA(INDEX(KP!$AB:$AB,MATCH(($B15&amp;"|"&amp;AB$3),KP!$D:$D,0)),"")</f>
        <v/>
      </c>
      <c r="AC15" s="215" t="str">
        <f>_xlfn.IFNA(INDEX(KP!$AB:$AB,MATCH(($B15&amp;"|"&amp;AC$3),KP!$D:$D,0)),"")</f>
        <v/>
      </c>
      <c r="AD15" s="215" t="str">
        <f>_xlfn.IFNA(INDEX(KP!$AB:$AB,MATCH(($B15&amp;"|"&amp;AD$3),KP!$D:$D,0)),"")</f>
        <v/>
      </c>
      <c r="AE15" s="215" t="str">
        <f>_xlfn.IFNA(INDEX(KP!$AB:$AB,MATCH(($B15&amp;"|"&amp;AE$3),KP!$D:$D,0)),"")</f>
        <v/>
      </c>
      <c r="AF15" s="141" cm="1">
        <f t="array" ref="AF15">SUM(SUMIFS(Cascade!$BC:$BC,Cascade!$B:$B,$B15,Cascade!$C:$C,{"15-24","25-34","35-49","50+"},Cascade!$D:$D,"Female"))</f>
        <v>0</v>
      </c>
      <c r="AG15" s="337" cm="1">
        <f t="array" ref="AG15">SUM(SUMIFS(Cascade!$BC:$BC,Cascade!$B:$B,$B15,Cascade!$C:$C,{"15-24","25-34","35-49","50+"},Cascade!$D:$D,"Male"))</f>
        <v>0</v>
      </c>
      <c r="AH15" s="333" t="str">
        <f>_xlfn.IFNA(INDEX(KP!$AD:$AD,MATCH(($B15&amp;"|"&amp;AH$3),KP!$D:$D,0)),"")</f>
        <v/>
      </c>
      <c r="AI15" s="215" t="str">
        <f>_xlfn.IFNA(INDEX(KP!$AD:$AD,MATCH(($B15&amp;"|"&amp;AI$3),KP!$D:$D,0)),"")</f>
        <v/>
      </c>
      <c r="AJ15" s="215" t="str">
        <f>_xlfn.IFNA(INDEX(KP!$AD:$AD,MATCH(($B15&amp;"|"&amp;AJ$3),KP!$D:$D,0)),"")</f>
        <v/>
      </c>
      <c r="AK15" s="215" t="str">
        <f>_xlfn.IFNA(INDEX(KP!$AD:$AD,MATCH(($B15&amp;"|"&amp;AK$3),KP!$D:$D,0)),"")</f>
        <v/>
      </c>
      <c r="AL15" s="215" t="str">
        <f>_xlfn.IFNA(INDEX(KP!$AD:$AD,MATCH(($B15&amp;"|"&amp;AL$3),KP!$D:$D,0)),"")</f>
        <v/>
      </c>
      <c r="AM15" s="141" cm="1">
        <f t="array" ref="AM15">SUM(SUMIFS(HTS!$M:$M,HTS!$B:$B,$B15,HTS!$C:$C,{"15-24","25-34","35-49","50+"},HTS!$D:$D,"Female"))</f>
        <v>0</v>
      </c>
      <c r="AN15" s="337" cm="1">
        <f t="array" ref="AN15">SUM(SUMIFS(HTS!$M:$M,HTS!$B:$B,$B15,HTS!$C:$C,{"15-24","25-34","35-49","50+"},HTS!$D:$D,"Male"))</f>
        <v>0</v>
      </c>
      <c r="AO15" s="333" t="str">
        <f>_xlfn.IFNA(INDEX(KP!$AI:$AI,MATCH(($B15&amp;"|"&amp;AO$3),KP!$D:$D,0)),"")</f>
        <v/>
      </c>
      <c r="AP15" s="215" t="str">
        <f>_xlfn.IFNA(INDEX(KP!$AI:$AI,MATCH(($B15&amp;"|"&amp;AP$3),KP!$D:$D,0)),"")</f>
        <v/>
      </c>
      <c r="AQ15" s="215" t="str">
        <f>_xlfn.IFNA(INDEX(KP!$AI:$AI,MATCH(($B15&amp;"|"&amp;AQ$3),KP!$D:$D,0)),"")</f>
        <v/>
      </c>
      <c r="AR15" s="215" t="str">
        <f>_xlfn.IFNA(INDEX(KP!$AI:$AI,MATCH(($B15&amp;"|"&amp;AR$3),KP!$D:$D,0)),"")</f>
        <v/>
      </c>
      <c r="AS15" s="215" t="str">
        <f>_xlfn.IFNA(INDEX(KP!$AI:$AI,MATCH(($B15&amp;"|"&amp;AS$3),KP!$D:$D,0)),"")</f>
        <v/>
      </c>
      <c r="AT15" s="141" cm="1">
        <f t="array" ref="AT15">SUM(SUMIFS(HTS!$O:$O,HTS!$B:$B,$B15,HTS!$C:$C,{"15-24","25-34","35-49","50+"},HTS!$D:$D,"Female"))</f>
        <v>0</v>
      </c>
      <c r="AU15" s="337" cm="1">
        <f t="array" ref="AU15">SUM(SUMIFS(HTS!$O:$O,HTS!$B:$B,$B15,HTS!$C:$C,{"15-24","25-34","35-49","50+"},HTS!$D:$D,"Male"))</f>
        <v>0</v>
      </c>
      <c r="AV15" s="333" t="str">
        <f>_xlfn.IFNA(INDEX(KP!$AJ:$AJ,MATCH(($B15&amp;"|"&amp;AV$3),KP!$D:$D,0)),"")</f>
        <v/>
      </c>
      <c r="AW15" s="215" t="str">
        <f>_xlfn.IFNA(INDEX(KP!$AJ:$AJ,MATCH(($B15&amp;"|"&amp;AW$3),KP!$D:$D,0)),"")</f>
        <v/>
      </c>
      <c r="AX15" s="215" t="str">
        <f>_xlfn.IFNA(INDEX(KP!$AJ:$AJ,MATCH(($B15&amp;"|"&amp;AX$3),KP!$D:$D,0)),"")</f>
        <v/>
      </c>
      <c r="AY15" s="215" t="str">
        <f>_xlfn.IFNA(INDEX(KP!$AJ:$AJ,MATCH(($B15&amp;"|"&amp;AY$3),KP!$D:$D,0)),"")</f>
        <v/>
      </c>
      <c r="AZ15" s="215" t="str">
        <f>_xlfn.IFNA(INDEX(KP!$AJ:$AJ,MATCH(($B15&amp;"|"&amp;AZ$3),KP!$D:$D,0)),"")</f>
        <v/>
      </c>
      <c r="BA15" s="141" cm="1">
        <f t="array" ref="BA15">SUM(SUMIFS(HTS!$S:$S,HTS!$B:$B,$B15,HTS!$C:$C,{"15-24","25-34","35-49","50+"},HTS!$D:$D,"Female"))</f>
        <v>0</v>
      </c>
      <c r="BB15" s="337" cm="1">
        <f t="array" ref="BB15">SUM(SUMIFS(HTS!$S:$S,HTS!$B:$B,$B15,HTS!$C:$C,{"15-24","25-34","35-49","50+"},HTS!$D:$D,"Male"))</f>
        <v>0</v>
      </c>
      <c r="BC15" s="333" t="str">
        <f>_xlfn.IFNA(INDEX(KP!$AL:$AL,MATCH(($B15&amp;"|"&amp;BC$3),KP!$D:$D,0)),"")</f>
        <v/>
      </c>
      <c r="BD15" s="215" t="str">
        <f>_xlfn.IFNA(INDEX(KP!$AL:$AL,MATCH(($B15&amp;"|"&amp;BD$3),KP!$D:$D,0)),"")</f>
        <v/>
      </c>
      <c r="BE15" s="215" t="str">
        <f>_xlfn.IFNA(INDEX(KP!$AL:$AL,MATCH(($B15&amp;"|"&amp;BE$3),KP!$D:$D,0)),"")</f>
        <v/>
      </c>
      <c r="BF15" s="215" t="str">
        <f>_xlfn.IFNA(INDEX(KP!$AL:$AL,MATCH(($B15&amp;"|"&amp;BF$3),KP!$D:$D,0)),"")</f>
        <v/>
      </c>
      <c r="BG15" s="215" t="str">
        <f>_xlfn.IFNA(INDEX(KP!$AL:$AL,MATCH(($B15&amp;"|"&amp;BG$3),KP!$D:$D,0)),"")</f>
        <v/>
      </c>
    </row>
    <row r="16" spans="1:59">
      <c r="A16" s="98"/>
      <c r="B16" s="19"/>
    </row>
    <row r="17" spans="1:2">
      <c r="A17" s="98"/>
      <c r="B17" s="19"/>
    </row>
    <row r="18" spans="1:2">
      <c r="A18" s="98"/>
      <c r="B18" s="19"/>
    </row>
    <row r="19" spans="1:2">
      <c r="A19" s="98"/>
      <c r="B19" s="19"/>
    </row>
    <row r="20" spans="1:2">
      <c r="A20" s="98"/>
      <c r="B20" s="19"/>
    </row>
    <row r="21" spans="1:2">
      <c r="A21" s="98"/>
      <c r="B21" s="19"/>
    </row>
    <row r="22" spans="1:2">
      <c r="A22" s="98"/>
      <c r="B22" s="19"/>
    </row>
    <row r="23" spans="1:2">
      <c r="A23" s="98"/>
      <c r="B23" s="19"/>
    </row>
    <row r="24" spans="1:2">
      <c r="A24" s="98"/>
      <c r="B24" s="19"/>
    </row>
    <row r="25" spans="1:2">
      <c r="A25" s="98"/>
      <c r="B25" s="19"/>
    </row>
    <row r="26" spans="1:2">
      <c r="A26" s="98"/>
      <c r="B26" s="19"/>
    </row>
    <row r="27" spans="1:2">
      <c r="A27" s="98"/>
      <c r="B27" s="19"/>
    </row>
    <row r="28" spans="1:2">
      <c r="A28" s="98"/>
      <c r="B28" s="19"/>
    </row>
    <row r="29" spans="1:2">
      <c r="A29" s="98"/>
      <c r="B29" s="19"/>
    </row>
    <row r="30" spans="1:2">
      <c r="A30" s="98"/>
      <c r="B30" s="19"/>
    </row>
    <row r="31" spans="1:2">
      <c r="A31" s="98"/>
      <c r="B31" s="19"/>
    </row>
    <row r="32" spans="1:2">
      <c r="A32" s="98"/>
      <c r="B32" s="19"/>
    </row>
    <row r="33" spans="1:2">
      <c r="A33" s="98"/>
      <c r="B33" s="19"/>
    </row>
    <row r="34" spans="1:2">
      <c r="A34" s="98"/>
      <c r="B34" s="19"/>
    </row>
    <row r="35" spans="1:2">
      <c r="A35" s="98"/>
      <c r="B35" s="19"/>
    </row>
    <row r="36" spans="1:2">
      <c r="A36" s="98"/>
      <c r="B36" s="19"/>
    </row>
    <row r="37" spans="1:2">
      <c r="A37" s="98"/>
      <c r="B37" s="19"/>
    </row>
    <row r="38" spans="1:2">
      <c r="A38" s="98"/>
      <c r="B38" s="19"/>
    </row>
    <row r="39" spans="1:2">
      <c r="A39" s="98"/>
      <c r="B39" s="19"/>
    </row>
    <row r="40" spans="1:2">
      <c r="A40" s="98"/>
      <c r="B40" s="19"/>
    </row>
    <row r="41" spans="1:2">
      <c r="A41" s="98"/>
      <c r="B41" s="19"/>
    </row>
    <row r="42" spans="1:2">
      <c r="A42" s="98"/>
      <c r="B42" s="19"/>
    </row>
    <row r="43" spans="1:2">
      <c r="A43" s="98"/>
      <c r="B43" s="19"/>
    </row>
    <row r="44" spans="1:2">
      <c r="A44" s="98"/>
      <c r="B44" s="19"/>
    </row>
    <row r="45" spans="1:2">
      <c r="A45" s="98"/>
      <c r="B45" s="19"/>
    </row>
    <row r="46" spans="1:2">
      <c r="A46" s="98"/>
      <c r="B46" s="19"/>
    </row>
    <row r="47" spans="1:2">
      <c r="A47" s="98"/>
      <c r="B47" s="19"/>
    </row>
    <row r="48" spans="1:2">
      <c r="A48" s="98"/>
      <c r="B48" s="19"/>
    </row>
    <row r="49" spans="1:2">
      <c r="A49" s="98"/>
      <c r="B49" s="19"/>
    </row>
    <row r="50" spans="1:2">
      <c r="A50" s="98"/>
      <c r="B50" s="19"/>
    </row>
    <row r="51" spans="1:2">
      <c r="A51" s="98"/>
      <c r="B51" s="19"/>
    </row>
    <row r="52" spans="1:2">
      <c r="A52" s="98"/>
      <c r="B52" s="19"/>
    </row>
    <row r="53" spans="1:2">
      <c r="A53" s="98"/>
      <c r="B53" s="19"/>
    </row>
    <row r="54" spans="1:2">
      <c r="A54" s="98"/>
      <c r="B54" s="19"/>
    </row>
    <row r="55" spans="1:2">
      <c r="A55" s="98"/>
      <c r="B55" s="19"/>
    </row>
    <row r="56" spans="1:2">
      <c r="A56" s="98"/>
      <c r="B56" s="19"/>
    </row>
    <row r="57" spans="1:2">
      <c r="A57" s="98"/>
      <c r="B57" s="19"/>
    </row>
    <row r="58" spans="1:2">
      <c r="A58" s="98"/>
      <c r="B58" s="19"/>
    </row>
    <row r="59" spans="1:2">
      <c r="A59" s="98"/>
      <c r="B59" s="19"/>
    </row>
    <row r="60" spans="1:2">
      <c r="A60" s="98"/>
      <c r="B60" s="19"/>
    </row>
    <row r="61" spans="1:2">
      <c r="A61" s="98"/>
      <c r="B61" s="19"/>
    </row>
    <row r="62" spans="1:2">
      <c r="A62" s="98"/>
      <c r="B62" s="19"/>
    </row>
    <row r="63" spans="1:2">
      <c r="A63" s="98"/>
      <c r="B63" s="19"/>
    </row>
  </sheetData>
  <mergeCells count="1">
    <mergeCell ref="A2:B3"/>
  </mergeCells>
  <conditionalFormatting sqref="C1:D1048576 F1:F1048576">
    <cfRule type="expression" dxfId="74" priority="9">
      <formula>AND(ROW($F1)&gt;14,SUM($F1)&gt;$C1)</formula>
    </cfRule>
  </conditionalFormatting>
  <conditionalFormatting sqref="C1:E1048576 H1:J1048576">
    <cfRule type="expression" dxfId="73" priority="11">
      <formula>(($C1-$F1)+($E1-$G1))&lt;SUM($H1:$J1)</formula>
    </cfRule>
  </conditionalFormatting>
  <conditionalFormatting sqref="E1:E1048576 G1:G1048576">
    <cfRule type="expression" dxfId="72" priority="8">
      <formula>AND(ROW($G1)&gt;14,SUM($G1)&gt;$E1)</formula>
    </cfRule>
  </conditionalFormatting>
  <conditionalFormatting sqref="K1:K1048576 M1:M1048576">
    <cfRule type="expression" dxfId="71" priority="13">
      <formula>AND(ROW($M1)&gt;14,SUM($M1)&gt;$K1)</formula>
    </cfRule>
  </conditionalFormatting>
  <conditionalFormatting sqref="K1:L1048576 O1:Q1048576">
    <cfRule type="expression" dxfId="70" priority="15">
      <formula>(($K1-$M1)+($L1-$N1))&lt;SUM($O1:$Q1)</formula>
    </cfRule>
  </conditionalFormatting>
  <conditionalFormatting sqref="L1:L1048576 N1:N1048576">
    <cfRule type="expression" dxfId="69" priority="12">
      <formula>AND(ROW($N1)&gt;14,SUM($N1)&gt;$L1)</formula>
    </cfRule>
  </conditionalFormatting>
  <conditionalFormatting sqref="R1:R1048576 T1:T1048576">
    <cfRule type="expression" dxfId="68" priority="16">
      <formula>AND(ROW($T1)&gt;14,SUM($T1)&gt;$R1)</formula>
    </cfRule>
  </conditionalFormatting>
  <conditionalFormatting sqref="R1:S1048576 V1:X1048576">
    <cfRule type="expression" dxfId="67" priority="19">
      <formula>(($R1-$T1)+($S1-$U1))&lt;SUM($V1:$X1)</formula>
    </cfRule>
  </conditionalFormatting>
  <conditionalFormatting sqref="S1:S1048576 U1:U1048576">
    <cfRule type="expression" dxfId="66" priority="17">
      <formula>AND(ROW($U1)&gt;14,SUM($U1)&gt;$S1)</formula>
    </cfRule>
  </conditionalFormatting>
  <conditionalFormatting sqref="Y1:Y1048576 AA1:AA1048576">
    <cfRule type="expression" dxfId="65" priority="20">
      <formula>AND(ROW($AA1)&gt;14,SUM($AA1)&gt;$Y1)</formula>
    </cfRule>
  </conditionalFormatting>
  <conditionalFormatting sqref="Y1:Z1048576 AC1:AE1048576">
    <cfRule type="expression" dxfId="64" priority="23">
      <formula>(($Y1-$AA1)+($Z1-$AB1))&lt;SUM($AC1:$AE1)</formula>
    </cfRule>
  </conditionalFormatting>
  <conditionalFormatting sqref="Z1:Z1048576 AB1:AB1048576">
    <cfRule type="expression" dxfId="63" priority="21">
      <formula>AND(ROW($AB1)&gt;14,SUM($AB1)&gt;$Z1)</formula>
    </cfRule>
  </conditionalFormatting>
  <conditionalFormatting sqref="AF1:AF1048576 AH1:AH1048576">
    <cfRule type="expression" dxfId="62" priority="24">
      <formula>AND(ROW($AH1)&gt;14,SUM($AH1)&gt;$AF1)</formula>
    </cfRule>
  </conditionalFormatting>
  <conditionalFormatting sqref="AF1:AG1048576 AJ1:AL1048576">
    <cfRule type="expression" dxfId="61" priority="27">
      <formula>(($AF1-$AH1)+($AG1-$AI1))&lt;SUM($AJ1:$AL1)</formula>
    </cfRule>
  </conditionalFormatting>
  <conditionalFormatting sqref="AG1:AG1048576 AI1:AI1048576">
    <cfRule type="expression" dxfId="60" priority="25">
      <formula>AND(ROW($AI1)&gt;14,SUM($AI1)&gt;$AG1)</formula>
    </cfRule>
  </conditionalFormatting>
  <conditionalFormatting sqref="AM1:AM1048576 AO1:AO1048576">
    <cfRule type="expression" dxfId="59" priority="28">
      <formula>AND(ROW($AO1)&gt;14,SUM($AO1)&gt;$AM1)</formula>
    </cfRule>
  </conditionalFormatting>
  <conditionalFormatting sqref="AM1:AN1048576 AQ1:AS1048576">
    <cfRule type="expression" dxfId="58" priority="31">
      <formula>(($AM1-$AO1)+($AN1-$AP1))&lt;SUM($AQ1:$AS1)</formula>
    </cfRule>
  </conditionalFormatting>
  <conditionalFormatting sqref="AN1:AN1048576 AP1:AP1048576">
    <cfRule type="expression" dxfId="57" priority="29">
      <formula>AND(ROW($AP1)&gt;14,SUM($AP1)&gt;$AN1)</formula>
    </cfRule>
  </conditionalFormatting>
  <conditionalFormatting sqref="AT1:AT14 AV1:AV1048576 AT16:AT1048576">
    <cfRule type="expression" dxfId="56" priority="32">
      <formula>AND(ROW($AV1)&gt;14,SUM($AV1)&gt;$AT1)</formula>
    </cfRule>
  </conditionalFormatting>
  <conditionalFormatting sqref="AT15">
    <cfRule type="expression" dxfId="55" priority="1">
      <formula>AND(ROW($AO15)&gt;14,SUM($AO15)&gt;$AM15)</formula>
    </cfRule>
  </conditionalFormatting>
  <conditionalFormatting sqref="AT1:AU14 AX1:AZ1048576 AT16:AU1048576">
    <cfRule type="expression" dxfId="54" priority="35">
      <formula>(($AT1-$AV1)+($AU1-$AW1))&lt;SUM($AX1:$AZ1)</formula>
    </cfRule>
  </conditionalFormatting>
  <conditionalFormatting sqref="AT15:AU15">
    <cfRule type="expression" dxfId="53" priority="3">
      <formula>(($AM15-$AO15)+($AN15-$AP15))&lt;SUM($AQ15:$AS15)</formula>
    </cfRule>
  </conditionalFormatting>
  <conditionalFormatting sqref="AU1:AU14 AW1:AW1048576 AU16:AU1048576">
    <cfRule type="expression" dxfId="52" priority="33">
      <formula>AND(ROW($AW1)&gt;14,SUM($AW1)&gt;$AU1)</formula>
    </cfRule>
  </conditionalFormatting>
  <conditionalFormatting sqref="AU15">
    <cfRule type="expression" dxfId="51" priority="2">
      <formula>AND(ROW($AP15)&gt;14,SUM($AP15)&gt;$AN15)</formula>
    </cfRule>
  </conditionalFormatting>
  <conditionalFormatting sqref="BA1:BA1048576">
    <cfRule type="expression" dxfId="50" priority="48">
      <formula>AND(ROW($BC1)&gt;14,SUM($BC1)&gt;$BA1)</formula>
    </cfRule>
  </conditionalFormatting>
  <conditionalFormatting sqref="BA1:BB1048576">
    <cfRule type="expression" dxfId="49" priority="1139">
      <formula>(($BA1-$BC1)+($BB1-$BD1))&lt;SUM($BE1:$BG1)</formula>
    </cfRule>
  </conditionalFormatting>
  <conditionalFormatting sqref="BB1:BB1048576">
    <cfRule type="expression" dxfId="48" priority="1138">
      <formula>AND(ROW($BD1)&gt;14,SUM($BD1)&gt;$BB1)</formula>
    </cfRule>
  </conditionalFormatting>
  <conditionalFormatting sqref="BC1:BC1048576">
    <cfRule type="expression" dxfId="47" priority="36">
      <formula>AND(ROW($BC1)&gt;14,SUM($BC1)&gt;$BA1)</formula>
    </cfRule>
  </conditionalFormatting>
  <conditionalFormatting sqref="BD1:BD1048576">
    <cfRule type="expression" dxfId="46" priority="37">
      <formula>AND(ROW($BD1)&gt;14,SUM($BD1)&gt;$BB1)</formula>
    </cfRule>
  </conditionalFormatting>
  <conditionalFormatting sqref="BE1:BG1048576">
    <cfRule type="expression" dxfId="45"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S21" sqref="S21"/>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214" customWidth="1"/>
    <col min="7" max="7" width="11.796875" style="215" customWidth="1"/>
    <col min="8" max="8" width="11.796875" style="51" customWidth="1"/>
    <col min="9" max="9" width="11.796875" style="215" customWidth="1"/>
    <col min="10" max="10" width="11.796875" style="51" customWidth="1"/>
    <col min="11" max="11" width="11.796875" style="215" customWidth="1"/>
    <col min="12" max="12" width="11.796875" style="119" customWidth="1"/>
    <col min="13" max="14" width="11.796875" style="342" customWidth="1"/>
    <col min="15" max="16" width="11.796875" style="11" customWidth="1"/>
    <col min="17" max="18" width="11.796875" style="260" customWidth="1"/>
    <col min="19" max="19" width="11.796875" style="53" customWidth="1"/>
    <col min="20" max="20" width="11.796875" style="41" customWidth="1"/>
    <col min="21" max="21" width="11.796875" style="215" customWidth="1"/>
  </cols>
  <sheetData>
    <row r="1" spans="1:21" s="21" customFormat="1" ht="31.05" customHeight="1" thickBot="1">
      <c r="A1" s="96" t="s">
        <v>6</v>
      </c>
      <c r="B1" s="4"/>
      <c r="C1" s="1"/>
      <c r="D1" s="1"/>
      <c r="E1" s="1"/>
      <c r="F1" s="247" t="s">
        <v>19</v>
      </c>
      <c r="G1" s="160"/>
      <c r="H1" s="61"/>
      <c r="I1" s="160"/>
      <c r="J1" s="61"/>
      <c r="K1" s="160"/>
      <c r="L1" s="269"/>
      <c r="M1" s="269"/>
      <c r="N1" s="269"/>
      <c r="O1" s="59"/>
      <c r="P1" s="59"/>
      <c r="Q1" s="130"/>
      <c r="R1" s="130"/>
      <c r="S1" s="75" t="s">
        <v>672</v>
      </c>
      <c r="T1" s="60"/>
      <c r="U1" s="160"/>
    </row>
    <row r="2" spans="1:21" s="20" customFormat="1" ht="19.05" customHeight="1">
      <c r="A2" s="154" t="s">
        <v>342</v>
      </c>
      <c r="B2" s="151"/>
      <c r="C2" s="2"/>
      <c r="D2" s="2"/>
      <c r="E2" s="2"/>
      <c r="F2" s="285"/>
      <c r="G2" s="289"/>
      <c r="H2" s="43"/>
      <c r="I2" s="289"/>
      <c r="J2" s="43"/>
      <c r="K2" s="289"/>
      <c r="L2" s="289"/>
      <c r="M2" s="339"/>
      <c r="N2" s="339"/>
      <c r="O2" s="3"/>
      <c r="P2" s="3"/>
      <c r="Q2" s="258" t="s">
        <v>401</v>
      </c>
      <c r="R2" s="258" t="s">
        <v>401</v>
      </c>
      <c r="S2" s="42"/>
      <c r="T2" s="3"/>
      <c r="U2" s="249" t="s">
        <v>401</v>
      </c>
    </row>
    <row r="3" spans="1:21" ht="117" customHeight="1" thickBot="1">
      <c r="A3" s="152"/>
      <c r="B3" s="153"/>
      <c r="C3" s="17"/>
      <c r="D3" s="17"/>
      <c r="E3" s="17"/>
      <c r="F3" s="324" t="s">
        <v>565</v>
      </c>
      <c r="G3" s="338" t="s">
        <v>540</v>
      </c>
      <c r="H3" s="346" t="s">
        <v>541</v>
      </c>
      <c r="I3" s="338" t="s">
        <v>542</v>
      </c>
      <c r="J3" s="346" t="s">
        <v>543</v>
      </c>
      <c r="K3" s="290" t="s">
        <v>599</v>
      </c>
      <c r="L3" s="290" t="s">
        <v>566</v>
      </c>
      <c r="M3" s="340" t="s">
        <v>567</v>
      </c>
      <c r="N3" s="340" t="s">
        <v>568</v>
      </c>
      <c r="O3" s="48" t="s">
        <v>569</v>
      </c>
      <c r="P3" s="78" t="s">
        <v>561</v>
      </c>
      <c r="Q3" s="259" t="s">
        <v>562</v>
      </c>
      <c r="R3" s="259" t="s">
        <v>563</v>
      </c>
      <c r="S3" s="82" t="s">
        <v>564</v>
      </c>
      <c r="T3" s="66" t="s">
        <v>402</v>
      </c>
      <c r="U3" s="213" t="s">
        <v>664</v>
      </c>
    </row>
    <row r="4" spans="1:21">
      <c r="A4" s="94"/>
      <c r="B4" s="15"/>
      <c r="C4" s="15"/>
      <c r="D4" s="15" t="s">
        <v>2</v>
      </c>
      <c r="E4" s="15"/>
      <c r="F4" s="287">
        <f>SUBTOTAL(109,F$15:INDEX(F:F,COUNTA($B:$B)+14-COUNTA($B$1:$B$14)))</f>
        <v>0</v>
      </c>
      <c r="G4" s="179">
        <f>SUBTOTAL(109,G$15:INDEX(G:G,COUNTA($B:$B)+14-COUNTA($B$1:$B$14)))</f>
        <v>0</v>
      </c>
      <c r="H4" s="50" t="str">
        <f>IF(SUM($F$4)=0,"",SUM($G$4)/$F$4)</f>
        <v/>
      </c>
      <c r="I4" s="179">
        <f>SUBTOTAL(109,I$15:INDEX(I:I,COUNTA($B:$B)+14-COUNTA($B$1:$B$14)))</f>
        <v>0</v>
      </c>
      <c r="J4" s="50" t="str">
        <f>IF(SUM($G$4)=0,"",SUM($I$4)/$G$4)</f>
        <v/>
      </c>
      <c r="K4" s="133">
        <f>SUBTOTAL(109,K$15:INDEX(K:K,COUNTA($B:$B)+14-COUNTA($B$1:$B$14)))</f>
        <v>0</v>
      </c>
      <c r="L4" s="133">
        <f>SUBTOTAL(109,L$15:INDEX(L:L,COUNTA($B:$B)+14-COUNTA($B$1:$B$14)))</f>
        <v>0</v>
      </c>
      <c r="M4" s="341">
        <f>SUBTOTAL(109,M$15:INDEX(M:M,COUNTA($B:$B)+14-COUNTA($B$1:$B$14)))</f>
        <v>0</v>
      </c>
      <c r="N4" s="341">
        <f>SUBTOTAL(109,N$15:INDEX(N:N,COUNTA($B:$B)+14-COUNTA($B$1:$B$14)))</f>
        <v>0</v>
      </c>
      <c r="O4" s="18" t="str">
        <f>IF($F$4=0,"",$N$4/$F$4)</f>
        <v/>
      </c>
      <c r="P4" s="18" t="str">
        <f>IF($F$4=0,"",$Q$4/$F$4)</f>
        <v/>
      </c>
      <c r="Q4" s="344">
        <f>SUBTOTAL(109,Q$15:INDEX(Q:Q,COUNTA($B:$B)+14-COUNTA($B$1:$B$14)))</f>
        <v>0</v>
      </c>
      <c r="R4" s="344">
        <f>SUBTOTAL(109,R$15:INDEX(R:R,COUNTA($B:$B)+14-COUNTA($B$1:$B$14)))</f>
        <v>0</v>
      </c>
      <c r="S4" s="54" t="str">
        <f>IF($R$4=0,"",$U$4/$R$4)</f>
        <v/>
      </c>
      <c r="T4" s="40"/>
      <c r="U4" s="252">
        <f>SUBTOTAL(109,U$15:INDEX(U:U,COUNTA($B:$B)+14-COUNTA($B$1:$B$14)))</f>
        <v>0</v>
      </c>
    </row>
    <row r="5" spans="1:21">
      <c r="A5" t="s">
        <v>38</v>
      </c>
      <c r="B5" s="5" t="s">
        <v>38</v>
      </c>
      <c r="C5" s="5" t="s">
        <v>38</v>
      </c>
      <c r="D5" s="5" t="s">
        <v>38</v>
      </c>
      <c r="E5" s="5" t="s">
        <v>38</v>
      </c>
      <c r="F5" s="142" t="s">
        <v>38</v>
      </c>
      <c r="G5" s="119" t="s">
        <v>38</v>
      </c>
      <c r="H5" s="11" t="s">
        <v>38</v>
      </c>
      <c r="I5" s="119" t="s">
        <v>38</v>
      </c>
      <c r="J5" s="11" t="s">
        <v>38</v>
      </c>
      <c r="K5" s="119" t="s">
        <v>49</v>
      </c>
      <c r="L5" s="119" t="s">
        <v>49</v>
      </c>
      <c r="M5" s="342" t="s">
        <v>47</v>
      </c>
      <c r="N5" s="342" t="s">
        <v>47</v>
      </c>
      <c r="O5" s="11" t="s">
        <v>38</v>
      </c>
      <c r="P5" s="11" t="s">
        <v>38</v>
      </c>
      <c r="Q5" s="260" t="s">
        <v>47</v>
      </c>
      <c r="R5" s="260" t="s">
        <v>47</v>
      </c>
      <c r="S5" s="53" t="s">
        <v>38</v>
      </c>
      <c r="T5" s="41" t="s">
        <v>38</v>
      </c>
      <c r="U5" s="215" t="s">
        <v>49</v>
      </c>
    </row>
    <row r="6" spans="1:21">
      <c r="A6" t="s">
        <v>87</v>
      </c>
      <c r="B6" s="5" t="s">
        <v>87</v>
      </c>
      <c r="C6" s="5" t="s">
        <v>87</v>
      </c>
      <c r="D6" s="5" t="s">
        <v>87</v>
      </c>
      <c r="E6" s="5" t="s">
        <v>87</v>
      </c>
      <c r="F6" s="142" t="s">
        <v>33</v>
      </c>
      <c r="G6" s="119" t="s">
        <v>33</v>
      </c>
      <c r="H6" s="11" t="s">
        <v>33</v>
      </c>
      <c r="I6" s="119" t="s">
        <v>33</v>
      </c>
      <c r="J6" s="11" t="s">
        <v>33</v>
      </c>
      <c r="K6" s="119" t="s">
        <v>50</v>
      </c>
      <c r="L6" s="119" t="s">
        <v>50</v>
      </c>
      <c r="M6" s="342" t="s">
        <v>32</v>
      </c>
      <c r="N6" s="342" t="s">
        <v>32</v>
      </c>
      <c r="O6" s="11" t="s">
        <v>33</v>
      </c>
      <c r="P6" s="11" t="s">
        <v>52</v>
      </c>
      <c r="Q6" s="260" t="s">
        <v>32</v>
      </c>
      <c r="R6" s="260" t="s">
        <v>32</v>
      </c>
      <c r="S6" s="53" t="s">
        <v>52</v>
      </c>
      <c r="T6" s="41" t="s">
        <v>52</v>
      </c>
      <c r="U6" s="215" t="s">
        <v>32</v>
      </c>
    </row>
    <row r="7" spans="1:21">
      <c r="A7" t="s">
        <v>48</v>
      </c>
      <c r="B7" s="5" t="s">
        <v>48</v>
      </c>
      <c r="C7" s="5" t="s">
        <v>48</v>
      </c>
      <c r="D7" s="5" t="s">
        <v>48</v>
      </c>
      <c r="E7" s="5" t="s">
        <v>48</v>
      </c>
      <c r="F7" s="142" t="s">
        <v>34</v>
      </c>
      <c r="G7" s="119" t="s">
        <v>34</v>
      </c>
      <c r="H7" s="11" t="s">
        <v>35</v>
      </c>
      <c r="I7" s="119" t="s">
        <v>34</v>
      </c>
      <c r="J7" s="11" t="s">
        <v>35</v>
      </c>
      <c r="K7" s="119" t="s">
        <v>34</v>
      </c>
      <c r="L7" s="119" t="s">
        <v>34</v>
      </c>
      <c r="M7" s="342" t="s">
        <v>34</v>
      </c>
      <c r="N7" s="342" t="s">
        <v>34</v>
      </c>
      <c r="O7" s="11" t="s">
        <v>35</v>
      </c>
      <c r="P7" s="11" t="s">
        <v>35</v>
      </c>
      <c r="Q7" s="260" t="s">
        <v>34</v>
      </c>
      <c r="R7" s="260" t="s">
        <v>34</v>
      </c>
      <c r="S7" s="53" t="s">
        <v>35</v>
      </c>
      <c r="T7" s="41" t="s">
        <v>35</v>
      </c>
      <c r="U7" s="215" t="s">
        <v>34</v>
      </c>
    </row>
    <row r="8" spans="1:21">
      <c r="F8" s="142"/>
      <c r="G8" s="119"/>
      <c r="H8" s="11"/>
      <c r="I8" s="119"/>
      <c r="J8" s="11"/>
      <c r="K8" s="186" t="s">
        <v>232</v>
      </c>
      <c r="L8" s="186" t="s">
        <v>58</v>
      </c>
      <c r="M8" s="343" t="s">
        <v>56</v>
      </c>
      <c r="N8" s="343" t="s">
        <v>57</v>
      </c>
      <c r="O8" s="47"/>
      <c r="P8" s="47"/>
      <c r="Q8" s="261" t="s">
        <v>57</v>
      </c>
      <c r="R8" s="261" t="s">
        <v>56</v>
      </c>
      <c r="U8" s="345" t="s">
        <v>58</v>
      </c>
    </row>
    <row r="9" spans="1:21">
      <c r="F9" s="142"/>
      <c r="G9" s="119"/>
      <c r="H9" s="11"/>
      <c r="I9" s="119"/>
      <c r="J9" s="11"/>
      <c r="K9" s="186" t="s">
        <v>233</v>
      </c>
      <c r="L9" s="186" t="s">
        <v>59</v>
      </c>
      <c r="M9" s="343"/>
      <c r="N9" s="343"/>
      <c r="O9" s="47"/>
      <c r="P9" s="47"/>
      <c r="Q9" s="261"/>
      <c r="R9" s="261"/>
      <c r="U9" s="345" t="s">
        <v>59</v>
      </c>
    </row>
    <row r="10" spans="1:21">
      <c r="F10" s="142"/>
      <c r="G10" s="119"/>
      <c r="H10" s="11"/>
      <c r="I10" s="119"/>
      <c r="J10" s="11"/>
      <c r="K10" s="186"/>
      <c r="L10" s="186"/>
      <c r="M10" s="343"/>
      <c r="N10" s="343"/>
      <c r="O10" s="47"/>
      <c r="P10" s="47"/>
      <c r="Q10" s="261"/>
      <c r="R10" s="261"/>
      <c r="U10" s="291" t="s">
        <v>60</v>
      </c>
    </row>
    <row r="11" spans="1:21">
      <c r="F11" s="142" t="s">
        <v>411</v>
      </c>
      <c r="G11" s="119" t="s">
        <v>411</v>
      </c>
      <c r="H11" s="11" t="s">
        <v>411</v>
      </c>
      <c r="I11" s="119" t="s">
        <v>411</v>
      </c>
      <c r="J11" s="11" t="s">
        <v>411</v>
      </c>
      <c r="K11" s="119" t="s">
        <v>411</v>
      </c>
      <c r="L11" s="119" t="s">
        <v>411</v>
      </c>
      <c r="M11" s="342" t="s">
        <v>411</v>
      </c>
      <c r="N11" s="342" t="s">
        <v>411</v>
      </c>
      <c r="O11" s="11" t="s">
        <v>411</v>
      </c>
      <c r="P11" s="11" t="s">
        <v>411</v>
      </c>
      <c r="Q11" s="260" t="s">
        <v>411</v>
      </c>
      <c r="R11" s="260" t="s">
        <v>411</v>
      </c>
      <c r="S11" s="53" t="s">
        <v>411</v>
      </c>
      <c r="T11" s="41" t="s">
        <v>411</v>
      </c>
      <c r="U11" s="215" t="s">
        <v>411</v>
      </c>
    </row>
    <row r="12" spans="1:21">
      <c r="F12" s="142" t="s">
        <v>303</v>
      </c>
      <c r="G12" s="119" t="s">
        <v>303</v>
      </c>
      <c r="H12" s="11" t="s">
        <v>303</v>
      </c>
      <c r="I12" s="119" t="s">
        <v>303</v>
      </c>
      <c r="J12" s="11" t="s">
        <v>303</v>
      </c>
      <c r="K12" s="119" t="s">
        <v>303</v>
      </c>
      <c r="L12" s="119" t="s">
        <v>303</v>
      </c>
      <c r="M12" s="342" t="s">
        <v>303</v>
      </c>
      <c r="N12" s="342" t="s">
        <v>303</v>
      </c>
      <c r="O12" s="11" t="s">
        <v>303</v>
      </c>
      <c r="P12" s="11" t="s">
        <v>303</v>
      </c>
      <c r="Q12" s="260" t="s">
        <v>303</v>
      </c>
      <c r="R12" s="260" t="s">
        <v>303</v>
      </c>
      <c r="S12" s="53" t="s">
        <v>303</v>
      </c>
      <c r="T12" s="41" t="s">
        <v>303</v>
      </c>
      <c r="U12" s="215" t="s">
        <v>303</v>
      </c>
    </row>
    <row r="13" spans="1:21">
      <c r="F13" s="142"/>
      <c r="G13" s="119"/>
      <c r="H13" s="11"/>
      <c r="I13" s="119"/>
      <c r="J13" s="11"/>
      <c r="K13" s="119"/>
    </row>
    <row r="14" spans="1:21">
      <c r="A14" s="95" t="s">
        <v>24</v>
      </c>
      <c r="B14" s="71" t="s">
        <v>3</v>
      </c>
      <c r="C14" s="71" t="s">
        <v>16</v>
      </c>
      <c r="D14" s="71" t="s">
        <v>4</v>
      </c>
      <c r="E14" s="71" t="s">
        <v>27</v>
      </c>
      <c r="F14" s="188" t="s">
        <v>126</v>
      </c>
      <c r="G14" s="118" t="s">
        <v>127</v>
      </c>
      <c r="H14" s="64" t="s">
        <v>129</v>
      </c>
      <c r="I14" s="118" t="s">
        <v>130</v>
      </c>
      <c r="J14" s="64" t="s">
        <v>391</v>
      </c>
      <c r="K14" s="129" t="s">
        <v>309</v>
      </c>
      <c r="L14" s="118" t="s">
        <v>310</v>
      </c>
      <c r="M14" s="129" t="s">
        <v>141</v>
      </c>
      <c r="N14" s="129" t="s">
        <v>142</v>
      </c>
      <c r="O14" s="64" t="s">
        <v>201</v>
      </c>
      <c r="P14" s="64" t="s">
        <v>200</v>
      </c>
      <c r="Q14" s="253" t="s">
        <v>144</v>
      </c>
      <c r="R14" s="253" t="s">
        <v>143</v>
      </c>
      <c r="S14" s="77" t="s">
        <v>199</v>
      </c>
      <c r="T14" s="64" t="s">
        <v>329</v>
      </c>
      <c r="U14" s="253" t="s">
        <v>198</v>
      </c>
    </row>
    <row r="15" spans="1:21">
      <c r="A15" t="e">
        <f>INDEX(Prioritization!$D:$D,MATCH($B15,Prioritization!$A:$A,0))</f>
        <v>#N/A</v>
      </c>
      <c r="E15" s="5" t="str">
        <f>B15&amp;"|"&amp;C15&amp;"|"&amp;D15</f>
        <v>||</v>
      </c>
      <c r="F15" s="141" t="str">
        <f>IF(LEFT($B15,4)="_Mil","",INDEX(Cascade!$Q:$Q,MATCH($E15,Cascade!$E:$E,0)))</f>
        <v/>
      </c>
      <c r="G15" s="121" t="str">
        <f>IF(LEFT($B15,4)="_Mil","",INDEX(Cascade!$R:$R,MATCH($E15,Cascade!$E:$E,0)))</f>
        <v/>
      </c>
      <c r="H15" s="11" t="str">
        <f>IF(LEFT($B15,4)="_Mil","",INDEX(Cascade!$T:$T,MATCH($E15,Cascade!$E:$E,0)))</f>
        <v/>
      </c>
      <c r="I15" s="121" t="str">
        <f>IF(LEFT($B15,4)="_Mil","",INDEX(Cascade!$W:$W,MATCH($E15,Cascade!$E:$E,0)))</f>
        <v/>
      </c>
      <c r="J15" s="11" t="str">
        <f>IF(LEFT($B15,4)="_Mil","",INDEX(Cascade!$X:$X,MATCH($E15,Cascade!$E:$E,0)))</f>
        <v/>
      </c>
      <c r="M15" s="342" t="str">
        <f>IF(LEFT($B15,4)="_Mil","",IFERROR(1/(1/ROUND(INDEX(Spectrum!$N:$N,MATCH(RIGHT($B15,13)&amp;"|"&amp;$C15&amp;"|"&amp;$D15&amp;"|"&amp;M$14&amp;"|"&amp;"CY2025Q3",Spectrum!$R:$R,0)),0)),IF(SUM($L15)=0,"",$L15)))</f>
        <v/>
      </c>
      <c r="N15" s="342" t="str">
        <f>IF(LEFT($B15,4)="_Mil","",IFERROR(1/(1/ROUND(INDEX(Spectrum!$N:$N,MATCH(RIGHT($B15,13)&amp;"|"&amp;$C15&amp;"|"&amp;$D15&amp;"|"&amp;N$14&amp;"|"&amp;"CY2025Q3",Spectrum!$R:$R,0)),0)),IF(SUM($M15)=0,"",$M15)))</f>
        <v/>
      </c>
      <c r="O15" s="11" t="str">
        <f>IF(OR(LEFT($B15,4)="_Mil",SUM($F15)=0),"",SUM($N15)/$F15)</f>
        <v/>
      </c>
      <c r="P15" s="11" t="str">
        <f>IF(OR(LEFT($B15,4)="_Mil",SUM($F15)=0),"",MAX(SUM($O15),80%))</f>
        <v/>
      </c>
      <c r="Q15" s="260" t="str">
        <f>IF(OR(LEFT($B15,4)="_Mil",SUM($F15)=0),"",ROUND(SUM($F15)*$P15,0))</f>
        <v/>
      </c>
      <c r="R15" s="260" t="str">
        <f>IF(OR(LEFT($B15,4)="_Mil",SUM($Q15)=0),"",ROUND(MAX($Q15-SUM($N15),0),0))</f>
        <v/>
      </c>
      <c r="S15" s="35" t="str">
        <f>IF(LEFT($B15,4)="_Mil","",IF(SUM($L15)=0,"",IF(SUM($M15)=0,1,$L15/$M15)))</f>
        <v/>
      </c>
      <c r="T15" s="11" t="str">
        <f>IF(LEFT($B15,4)="_Mil",0,"")</f>
        <v/>
      </c>
      <c r="U15" s="215" t="str">
        <f>IF(LEFT($B15,4)="_Mil",IF(SUM($L15)=0,"",ROUND($L15*(1+$T15),0)),IF(SUM($R15)=0,"",IF($S15="","ENTER IN COL S",ROUND($R15*$S15,0))))</f>
        <v/>
      </c>
    </row>
  </sheetData>
  <mergeCells count="1">
    <mergeCell ref="A2:B3"/>
  </mergeCells>
  <conditionalFormatting sqref="F1:J1048576 M1:S1048576">
    <cfRule type="expression" dxfId="44" priority="1">
      <formula>LEFT($B1,4)="_Mil"</formula>
    </cfRule>
  </conditionalFormatting>
  <conditionalFormatting sqref="F1:S1048576 U1:U1048576">
    <cfRule type="expression" dxfId="43" priority="7">
      <formula>AND(ISNUMBER(F1),F1&lt;0)</formula>
    </cfRule>
  </conditionalFormatting>
  <conditionalFormatting sqref="H1:H1048576 O1:P1048576 S1:S1048576">
    <cfRule type="expression" dxfId="42" priority="8">
      <formula>AND(ISNUMBER(H1),H1&gt;1)</formula>
    </cfRule>
  </conditionalFormatting>
  <conditionalFormatting sqref="M1:N1048576">
    <cfRule type="expression" dxfId="41" priority="3765">
      <formula>AND(ISNUMBER($M1),ISNUMBER($N1),$N1&lt;$M1)</formula>
    </cfRule>
  </conditionalFormatting>
  <conditionalFormatting sqref="P1:P1048576">
    <cfRule type="expression" dxfId="40" priority="3764">
      <formula>AND(ISNUMBER($P1),$P1&lt;0.8)</formula>
    </cfRule>
  </conditionalFormatting>
  <conditionalFormatting sqref="Q1:Q1048576">
    <cfRule type="expression" dxfId="39" priority="29">
      <formula>AND(ISNUMBER($Q1),$Q1&lt;$N1)</formula>
    </cfRule>
  </conditionalFormatting>
  <conditionalFormatting sqref="S1:S1048576">
    <cfRule type="expression" dxfId="38" priority="3">
      <formula>AND(SUM($R1)&lt;&gt;0,$S1="",LEFT($B1,4)&lt;&gt;"_Mil")</formula>
    </cfRule>
  </conditionalFormatting>
  <conditionalFormatting sqref="T1:T1048576">
    <cfRule type="expression" dxfId="37"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35" customWidth="1"/>
    <col min="7" max="7" width="12.59765625" style="119" customWidth="1"/>
    <col min="8" max="8" width="13.3984375" style="119" customWidth="1"/>
    <col min="9" max="9" width="11.796875" style="11" customWidth="1"/>
    <col min="10" max="12" width="11.796875" style="119" customWidth="1"/>
    <col min="13" max="13" width="12.8984375" style="142" customWidth="1"/>
    <col min="14" max="14" width="11.796875" style="45" customWidth="1"/>
    <col min="15" max="15" width="13.19921875" style="215" customWidth="1"/>
    <col min="16" max="16" width="11.796875" style="215" customWidth="1"/>
    <col min="17" max="17" width="11.796875" style="142" customWidth="1"/>
    <col min="18" max="18" width="11.796875" style="11" customWidth="1"/>
    <col min="19" max="19" width="11.796875" style="215" customWidth="1"/>
  </cols>
  <sheetData>
    <row r="1" spans="1:19" s="21" customFormat="1" ht="31.05" customHeight="1" thickBot="1">
      <c r="A1" s="96" t="s">
        <v>7</v>
      </c>
      <c r="B1" s="4"/>
      <c r="C1" s="1"/>
      <c r="D1" s="1"/>
      <c r="E1" s="1"/>
      <c r="F1" s="75" t="s">
        <v>234</v>
      </c>
      <c r="G1" s="124"/>
      <c r="H1" s="124"/>
      <c r="I1" s="61"/>
      <c r="J1" s="124"/>
      <c r="K1" s="124"/>
      <c r="L1" s="160"/>
      <c r="M1" s="135" t="s">
        <v>613</v>
      </c>
      <c r="N1" s="61"/>
      <c r="O1" s="160"/>
      <c r="P1" s="124"/>
      <c r="Q1" s="135" t="s">
        <v>23</v>
      </c>
      <c r="R1" s="59"/>
      <c r="S1" s="160"/>
    </row>
    <row r="2" spans="1:19" s="20" customFormat="1" ht="19.05" customHeight="1">
      <c r="A2" s="154" t="s">
        <v>663</v>
      </c>
      <c r="B2" s="151"/>
      <c r="C2" s="2"/>
      <c r="D2" s="2"/>
      <c r="E2" s="2"/>
      <c r="F2" s="42"/>
      <c r="G2" s="125"/>
      <c r="H2" s="125"/>
      <c r="I2" s="43"/>
      <c r="J2" s="125"/>
      <c r="K2" s="125"/>
      <c r="L2" s="289"/>
      <c r="M2" s="136" t="s">
        <v>401</v>
      </c>
      <c r="N2" s="43"/>
      <c r="O2" s="249" t="s">
        <v>401</v>
      </c>
      <c r="P2" s="349"/>
      <c r="Q2" s="285"/>
      <c r="R2" s="3"/>
      <c r="S2" s="249" t="s">
        <v>401</v>
      </c>
    </row>
    <row r="3" spans="1:19" ht="126" customHeight="1" thickBot="1">
      <c r="A3" s="152"/>
      <c r="B3" s="153"/>
      <c r="C3" s="17"/>
      <c r="D3" s="17"/>
      <c r="E3" s="17"/>
      <c r="F3" s="347" t="s">
        <v>543</v>
      </c>
      <c r="G3" s="126" t="s">
        <v>651</v>
      </c>
      <c r="H3" s="126" t="s">
        <v>652</v>
      </c>
      <c r="I3" s="348" t="s">
        <v>653</v>
      </c>
      <c r="J3" s="126" t="s">
        <v>671</v>
      </c>
      <c r="K3" s="134" t="s">
        <v>670</v>
      </c>
      <c r="L3" s="325" t="s">
        <v>612</v>
      </c>
      <c r="M3" s="137" t="s">
        <v>654</v>
      </c>
      <c r="N3" s="79" t="s">
        <v>655</v>
      </c>
      <c r="O3" s="213" t="s">
        <v>668</v>
      </c>
      <c r="P3" s="350" t="s">
        <v>572</v>
      </c>
      <c r="Q3" s="286" t="s">
        <v>573</v>
      </c>
      <c r="R3" s="78" t="s">
        <v>99</v>
      </c>
      <c r="S3" s="213" t="s">
        <v>459</v>
      </c>
    </row>
    <row r="4" spans="1:19">
      <c r="A4" s="94"/>
      <c r="B4" s="15"/>
      <c r="C4" s="15"/>
      <c r="D4" s="15" t="s">
        <v>2</v>
      </c>
      <c r="E4" s="15"/>
      <c r="F4" s="34"/>
      <c r="G4" s="133">
        <f>SUBTOTAL(109,G$15:INDEX(G:G,COUNTA($B:$B)+14-COUNTA($B$1:$B$14)))</f>
        <v>0</v>
      </c>
      <c r="H4" s="133">
        <f>SUBTOTAL(109,H$15:INDEX(H:H,COUNTA($B:$B)+14-COUNTA($B$1:$B$14)))</f>
        <v>0</v>
      </c>
      <c r="I4" s="45" t="str">
        <f>IFERROR(($G4/SUM($G4,$H4)),"")</f>
        <v/>
      </c>
      <c r="J4" s="133">
        <f>SUBTOTAL(109,J$15:INDEX(J:J,COUNTA($B:$B)+14-COUNTA($B$1:$B$14)))</f>
        <v>0</v>
      </c>
      <c r="K4" s="133">
        <f>SUBTOTAL(109,K$15:INDEX(K:K,COUNTA($B:$B)+14-COUNTA($B$1:$B$14)))</f>
        <v>0</v>
      </c>
      <c r="L4" s="133">
        <f>SUBTOTAL(109,L$15:INDEX(L:L,COUNTA($B:$B)+14-COUNTA($B$1:$B$14)))</f>
        <v>0</v>
      </c>
      <c r="M4" s="138">
        <f>SUBTOTAL(109,M$15:INDEX(M:M,COUNTA($B:$B)+14-COUNTA($B$1:$B$14)))</f>
        <v>0</v>
      </c>
      <c r="N4" s="44" t="s">
        <v>624</v>
      </c>
      <c r="O4" s="252">
        <f>SUBTOTAL(109,O$15:INDEX(O:O,COUNTA($B:$B)+14-COUNTA($B$1:$B$14)))</f>
        <v>0</v>
      </c>
      <c r="P4" s="252">
        <f>SUBTOTAL(109,P$15:INDEX(P:P,COUNTA($B:$B)+14-COUNTA($B$1:$B$14)))</f>
        <v>0</v>
      </c>
      <c r="Q4" s="287">
        <f>SUBTOTAL(109,Q$15:INDEX(Q:Q,COUNTA($B:$B)+14-COUNTA($B$1:$B$14)))</f>
        <v>0</v>
      </c>
      <c r="R4" s="18" t="str">
        <f>IF($Q$4=0,"",$S$4/$Q$4-1)</f>
        <v/>
      </c>
      <c r="S4" s="252">
        <f>SUBTOTAL(109,S$15:INDEX(S:S,COUNTA($B:$B)+14-COUNTA($B$1:$B$14)))</f>
        <v>0</v>
      </c>
    </row>
    <row r="5" spans="1:19">
      <c r="A5" t="s">
        <v>38</v>
      </c>
      <c r="B5" s="5" t="s">
        <v>38</v>
      </c>
      <c r="C5" s="5" t="s">
        <v>38</v>
      </c>
      <c r="D5" s="5" t="s">
        <v>38</v>
      </c>
      <c r="E5" s="5" t="s">
        <v>38</v>
      </c>
      <c r="F5" s="35" t="s">
        <v>38</v>
      </c>
      <c r="G5" s="119" t="s">
        <v>49</v>
      </c>
      <c r="H5" s="119" t="s">
        <v>49</v>
      </c>
      <c r="I5" s="45" t="s">
        <v>38</v>
      </c>
      <c r="J5" s="119" t="s">
        <v>38</v>
      </c>
      <c r="K5" s="119" t="s">
        <v>38</v>
      </c>
      <c r="L5" s="119" t="s">
        <v>38</v>
      </c>
      <c r="M5" s="139" t="s">
        <v>49</v>
      </c>
      <c r="N5" s="45" t="s">
        <v>38</v>
      </c>
      <c r="O5" s="215" t="s">
        <v>49</v>
      </c>
      <c r="P5" s="215" t="s">
        <v>38</v>
      </c>
      <c r="Q5" s="142" t="s">
        <v>49</v>
      </c>
      <c r="R5" s="11" t="s">
        <v>38</v>
      </c>
      <c r="S5" s="215" t="s">
        <v>49</v>
      </c>
    </row>
    <row r="6" spans="1:19">
      <c r="A6" t="s">
        <v>87</v>
      </c>
      <c r="B6" s="5" t="s">
        <v>87</v>
      </c>
      <c r="C6" s="5" t="s">
        <v>87</v>
      </c>
      <c r="D6" s="5" t="s">
        <v>87</v>
      </c>
      <c r="E6" s="5" t="s">
        <v>87</v>
      </c>
      <c r="F6" s="35" t="s">
        <v>33</v>
      </c>
      <c r="G6" s="119" t="s">
        <v>50</v>
      </c>
      <c r="H6" s="119" t="s">
        <v>50</v>
      </c>
      <c r="I6" s="45" t="s">
        <v>52</v>
      </c>
      <c r="J6" s="119" t="s">
        <v>51</v>
      </c>
      <c r="K6" s="119" t="s">
        <v>52</v>
      </c>
      <c r="L6" s="119" t="s">
        <v>33</v>
      </c>
      <c r="M6" s="139" t="s">
        <v>32</v>
      </c>
      <c r="N6" s="45" t="s">
        <v>51</v>
      </c>
      <c r="O6" s="215" t="s">
        <v>32</v>
      </c>
      <c r="P6" s="215" t="s">
        <v>33</v>
      </c>
      <c r="Q6" s="142" t="s">
        <v>50</v>
      </c>
      <c r="R6" s="11" t="s">
        <v>52</v>
      </c>
      <c r="S6" s="215" t="s">
        <v>32</v>
      </c>
    </row>
    <row r="7" spans="1:19">
      <c r="A7" t="s">
        <v>48</v>
      </c>
      <c r="B7" s="5" t="s">
        <v>48</v>
      </c>
      <c r="C7" s="5" t="s">
        <v>48</v>
      </c>
      <c r="D7" s="5" t="s">
        <v>48</v>
      </c>
      <c r="E7" s="5" t="s">
        <v>48</v>
      </c>
      <c r="F7" s="35" t="s">
        <v>35</v>
      </c>
      <c r="G7" s="119" t="s">
        <v>34</v>
      </c>
      <c r="H7" s="119" t="s">
        <v>34</v>
      </c>
      <c r="I7" s="45" t="s">
        <v>35</v>
      </c>
      <c r="J7" s="119" t="s">
        <v>34</v>
      </c>
      <c r="K7" s="119" t="s">
        <v>34</v>
      </c>
      <c r="L7" s="119" t="s">
        <v>34</v>
      </c>
      <c r="M7" s="139" t="s">
        <v>34</v>
      </c>
      <c r="N7" s="45" t="s">
        <v>35</v>
      </c>
      <c r="O7" s="215" t="s">
        <v>34</v>
      </c>
      <c r="P7" s="215" t="s">
        <v>34</v>
      </c>
      <c r="Q7" s="142" t="s">
        <v>34</v>
      </c>
      <c r="R7" s="11" t="s">
        <v>35</v>
      </c>
      <c r="S7" s="215" t="s">
        <v>34</v>
      </c>
    </row>
    <row r="8" spans="1:19">
      <c r="B8" s="5"/>
      <c r="C8" s="5"/>
      <c r="D8" s="5"/>
      <c r="E8" s="5"/>
      <c r="G8" s="128"/>
      <c r="H8" s="128"/>
      <c r="I8" s="45"/>
      <c r="J8" s="128"/>
      <c r="K8" s="128"/>
      <c r="M8" s="143" t="s">
        <v>643</v>
      </c>
      <c r="N8" s="132"/>
      <c r="O8" s="291" t="s">
        <v>643</v>
      </c>
      <c r="Q8" s="352" t="s">
        <v>100</v>
      </c>
      <c r="R8" s="47"/>
      <c r="S8" s="217" t="s">
        <v>100</v>
      </c>
    </row>
    <row r="9" spans="1:19">
      <c r="B9" s="5"/>
      <c r="C9" s="5"/>
      <c r="D9" s="5"/>
      <c r="E9" s="5"/>
      <c r="G9" s="128"/>
      <c r="H9" s="128"/>
      <c r="I9" s="45"/>
      <c r="J9" s="128"/>
      <c r="K9" s="128"/>
      <c r="M9" s="143" t="s">
        <v>644</v>
      </c>
      <c r="N9" s="132"/>
      <c r="O9" s="291" t="s">
        <v>644</v>
      </c>
      <c r="Q9" s="352" t="s">
        <v>101</v>
      </c>
      <c r="R9" s="47"/>
      <c r="S9" s="217" t="s">
        <v>101</v>
      </c>
    </row>
    <row r="10" spans="1:19">
      <c r="B10" s="5"/>
      <c r="C10" s="5"/>
      <c r="D10" s="5"/>
      <c r="E10" s="5"/>
      <c r="G10" s="128"/>
      <c r="H10" s="128"/>
      <c r="I10" s="45"/>
      <c r="J10" s="128"/>
      <c r="K10" s="128"/>
      <c r="M10" s="143" t="s">
        <v>44</v>
      </c>
      <c r="N10" s="132"/>
      <c r="O10" s="217" t="s">
        <v>55</v>
      </c>
      <c r="Q10" s="288"/>
      <c r="R10" s="47"/>
      <c r="S10" s="217"/>
    </row>
    <row r="11" spans="1:19">
      <c r="B11" s="5"/>
      <c r="C11" s="5"/>
      <c r="D11" s="5"/>
      <c r="E11" s="5"/>
      <c r="F11" s="35" t="s">
        <v>413</v>
      </c>
      <c r="G11" s="119" t="s">
        <v>413</v>
      </c>
      <c r="H11" s="119" t="s">
        <v>413</v>
      </c>
      <c r="I11" s="11" t="s">
        <v>413</v>
      </c>
      <c r="J11" s="119" t="s">
        <v>413</v>
      </c>
      <c r="K11" s="119" t="s">
        <v>413</v>
      </c>
      <c r="L11" s="119" t="s">
        <v>413</v>
      </c>
      <c r="M11" s="139" t="s">
        <v>413</v>
      </c>
      <c r="N11" s="45" t="s">
        <v>413</v>
      </c>
      <c r="O11" s="215" t="s">
        <v>413</v>
      </c>
      <c r="P11" s="215" t="s">
        <v>413</v>
      </c>
      <c r="Q11" s="142" t="s">
        <v>412</v>
      </c>
      <c r="R11" s="11" t="s">
        <v>412</v>
      </c>
      <c r="S11" s="215" t="s">
        <v>412</v>
      </c>
    </row>
    <row r="12" spans="1:19">
      <c r="B12" s="5"/>
      <c r="C12" s="5"/>
      <c r="D12" s="5"/>
      <c r="E12" s="5"/>
      <c r="F12" s="35" t="s">
        <v>88</v>
      </c>
      <c r="G12" s="119" t="s">
        <v>88</v>
      </c>
      <c r="H12" s="119" t="s">
        <v>88</v>
      </c>
      <c r="I12" s="11" t="s">
        <v>88</v>
      </c>
      <c r="J12" s="119" t="s">
        <v>88</v>
      </c>
      <c r="K12" s="119" t="s">
        <v>88</v>
      </c>
      <c r="L12" s="119" t="s">
        <v>88</v>
      </c>
      <c r="M12" s="139" t="s">
        <v>88</v>
      </c>
      <c r="N12" s="45" t="s">
        <v>88</v>
      </c>
      <c r="O12" s="215" t="s">
        <v>88</v>
      </c>
      <c r="P12" s="215" t="s">
        <v>88</v>
      </c>
      <c r="Q12" s="142" t="s">
        <v>88</v>
      </c>
      <c r="R12" s="11" t="s">
        <v>88</v>
      </c>
      <c r="S12" s="215" t="s">
        <v>88</v>
      </c>
    </row>
    <row r="13" spans="1:19">
      <c r="B13" s="5"/>
      <c r="C13" s="5"/>
      <c r="D13" s="5"/>
      <c r="E13" s="5"/>
      <c r="G13" s="128"/>
      <c r="H13" s="128"/>
      <c r="I13" s="45"/>
      <c r="J13" s="128"/>
      <c r="K13" s="128"/>
      <c r="M13" s="139"/>
    </row>
    <row r="14" spans="1:19">
      <c r="A14" s="95" t="s">
        <v>24</v>
      </c>
      <c r="B14" s="71" t="s">
        <v>3</v>
      </c>
      <c r="C14" s="63" t="s">
        <v>16</v>
      </c>
      <c r="D14" s="63" t="s">
        <v>4</v>
      </c>
      <c r="E14" s="63" t="s">
        <v>27</v>
      </c>
      <c r="F14" s="77" t="s">
        <v>391</v>
      </c>
      <c r="G14" s="129" t="s">
        <v>615</v>
      </c>
      <c r="H14" s="129" t="s">
        <v>616</v>
      </c>
      <c r="I14" s="65" t="s">
        <v>617</v>
      </c>
      <c r="J14" s="129" t="s">
        <v>658</v>
      </c>
      <c r="K14" s="129" t="s">
        <v>659</v>
      </c>
      <c r="L14" s="129" t="s">
        <v>219</v>
      </c>
      <c r="M14" s="140" t="s">
        <v>197</v>
      </c>
      <c r="N14" s="65" t="s">
        <v>636</v>
      </c>
      <c r="O14" s="253" t="s">
        <v>205</v>
      </c>
      <c r="P14" s="253" t="s">
        <v>145</v>
      </c>
      <c r="Q14" s="188" t="s">
        <v>311</v>
      </c>
      <c r="R14" s="64" t="s">
        <v>146</v>
      </c>
      <c r="S14" s="253" t="s">
        <v>147</v>
      </c>
    </row>
    <row r="15" spans="1:19">
      <c r="A15" t="e">
        <f>INDEX(Prioritization!$D:$D,MATCH($B15,Prioritization!$A:$A,0))</f>
        <v>#N/A</v>
      </c>
      <c r="B15" s="5"/>
      <c r="C15" s="5"/>
      <c r="D15" s="5"/>
      <c r="E15" t="str">
        <f>$B15&amp;"|"&amp;$C15&amp;"|"&amp;$D15</f>
        <v>||</v>
      </c>
      <c r="F15" s="35" t="str">
        <f>IF(LEFT($B15,4)="_Mil","",INDEX(Cascade!$X:$X,MATCH($E15,Cascade!$E:$E,0)))</f>
        <v/>
      </c>
      <c r="G15" s="128"/>
      <c r="H15" s="128"/>
      <c r="I15" s="45" t="str">
        <f>IFERROR(($G15/SUM($G15,$H15)),"")</f>
        <v/>
      </c>
      <c r="J15" s="128"/>
      <c r="K15" s="128" t="str">
        <f>IF(SUM($J15)=0,"",ROUND($J15,0))</f>
        <v/>
      </c>
      <c r="L15" s="128" t="str">
        <f>IFERROR(1/(1/INDEX(Cascade!$BF:$BF,MATCH($E15,Cascade!$E:$E,0))),"")</f>
        <v/>
      </c>
      <c r="M15" s="141" t="str">
        <f>IF(OR(SUM($L15)=0,SUM($L15)=0),"",ROUND(SUM($L15,$K15),0))</f>
        <v/>
      </c>
      <c r="N15" s="45" t="str">
        <f>IF(SUM($I15)=0,"",ROUND($I15,2))</f>
        <v/>
      </c>
      <c r="O15" s="215" t="str">
        <f>IF(SUM($M15)=0,"",IF(SUM($N15)=0,"ENTER YIELD",ROUND($M15/$N15,0)-$M15))</f>
        <v/>
      </c>
      <c r="P15" s="351" t="str">
        <f>IFERROR(1/(1/SUM($O15,$M15)),"")</f>
        <v/>
      </c>
      <c r="R15" s="11" t="str">
        <f>IF(OR($C15="01-09",SUM($Q15)=0),"",0%)</f>
        <v/>
      </c>
      <c r="S15" s="215" t="str">
        <f>IF(OR($C15="&lt;01","01-09",SUM($Q15)=0),"",ROUND($Q15*(1+$R15),0))</f>
        <v/>
      </c>
    </row>
  </sheetData>
  <mergeCells count="1">
    <mergeCell ref="A2:B3"/>
  </mergeCells>
  <conditionalFormatting sqref="F1:Q1048576 S1:S1048576">
    <cfRule type="expression" dxfId="36" priority="31">
      <formula>AND(ISNUMBER(F1),F1&lt;0)</formula>
    </cfRule>
  </conditionalFormatting>
  <conditionalFormatting sqref="O1:O1048576">
    <cfRule type="containsText" dxfId="35" priority="51" operator="containsText" text="ENTER YIELD">
      <formula>NOT(ISERROR(SEARCH("ENTER YIELD",O1)))</formula>
    </cfRule>
  </conditionalFormatting>
  <conditionalFormatting sqref="Q1:S1048576">
    <cfRule type="expression" dxfId="34"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142" customWidth="1"/>
    <col min="7" max="11" width="11.796875" style="119" customWidth="1"/>
    <col min="12" max="12" width="11.796875" style="215" customWidth="1"/>
  </cols>
  <sheetData>
    <row r="1" spans="1:12" s="21" customFormat="1" ht="31.05" customHeight="1">
      <c r="A1" s="96" t="s">
        <v>9</v>
      </c>
      <c r="B1" s="4"/>
      <c r="C1" s="1"/>
      <c r="D1" s="1"/>
      <c r="E1" s="1"/>
      <c r="F1" s="247" t="s">
        <v>13</v>
      </c>
      <c r="G1" s="160"/>
      <c r="H1" s="160"/>
      <c r="I1" s="160"/>
      <c r="J1" s="160"/>
      <c r="K1" s="160"/>
      <c r="L1" s="160"/>
    </row>
    <row r="2" spans="1:12" s="20" customFormat="1" ht="18">
      <c r="A2" s="13"/>
      <c r="B2" s="2"/>
      <c r="C2" s="2"/>
      <c r="D2" s="2"/>
      <c r="E2" s="2"/>
      <c r="F2" s="285"/>
      <c r="G2" s="289"/>
      <c r="H2" s="289"/>
      <c r="I2" s="289"/>
      <c r="J2" s="289"/>
      <c r="K2" s="289"/>
      <c r="L2" s="249" t="s">
        <v>401</v>
      </c>
    </row>
    <row r="3" spans="1:12" ht="117" customHeight="1">
      <c r="A3" s="93"/>
      <c r="B3" s="17"/>
      <c r="C3" s="17"/>
      <c r="D3" s="17"/>
      <c r="E3" s="17"/>
      <c r="F3" s="324" t="s">
        <v>540</v>
      </c>
      <c r="G3" s="338" t="s">
        <v>570</v>
      </c>
      <c r="H3" s="338" t="s">
        <v>468</v>
      </c>
      <c r="I3" s="338" t="s">
        <v>469</v>
      </c>
      <c r="J3" s="290" t="s">
        <v>600</v>
      </c>
      <c r="K3" s="290" t="s">
        <v>571</v>
      </c>
      <c r="L3" s="213" t="s">
        <v>461</v>
      </c>
    </row>
    <row r="4" spans="1:12">
      <c r="A4" s="94"/>
      <c r="B4" s="15"/>
      <c r="C4" s="15"/>
      <c r="D4" s="15" t="s">
        <v>2</v>
      </c>
      <c r="E4" s="15"/>
      <c r="F4" s="287">
        <f>SUBTOTAL(109,F$15:INDEX(F:F,COUNTA($B:$B)+14-COUNTA($B$1:$B$14)))</f>
        <v>0</v>
      </c>
      <c r="G4" s="133">
        <f>SUBTOTAL(109,G$15:INDEX(G:G,COUNTA($B:$B)+14-COUNTA($B$1:$B$14)))</f>
        <v>0</v>
      </c>
      <c r="H4" s="133">
        <f>SUBTOTAL(109,H$15:INDEX(H:H,COUNTA($B:$B)+14-COUNTA($B$1:$B$14)))</f>
        <v>0</v>
      </c>
      <c r="I4" s="133">
        <f>SUBTOTAL(109,I$15:INDEX(I:I,COUNTA($B:$B)+14-COUNTA($B$1:$B$14)))</f>
        <v>0</v>
      </c>
      <c r="J4" s="133">
        <f>SUBTOTAL(109,J$15:INDEX(J:J,COUNTA($B:$B)+14-COUNTA($B$1:$B$14)))</f>
        <v>0</v>
      </c>
      <c r="K4" s="133">
        <f>SUBTOTAL(109,K$15:INDEX(K:K,COUNTA($B:$B)+14-COUNTA($B$1:$B$14)))</f>
        <v>0</v>
      </c>
      <c r="L4" s="252">
        <f>SUBTOTAL(109,L$15:INDEX(L:L,COUNTA($B:$B)+14-COUNTA($B$1:$B$14)))</f>
        <v>0</v>
      </c>
    </row>
    <row r="5" spans="1:12">
      <c r="A5" t="s">
        <v>38</v>
      </c>
      <c r="B5" s="5" t="s">
        <v>38</v>
      </c>
      <c r="C5" s="5" t="s">
        <v>38</v>
      </c>
      <c r="D5" s="5" t="s">
        <v>38</v>
      </c>
      <c r="E5" s="5" t="s">
        <v>38</v>
      </c>
      <c r="F5" s="142" t="s">
        <v>38</v>
      </c>
      <c r="G5" s="119" t="s">
        <v>38</v>
      </c>
      <c r="H5" s="119" t="s">
        <v>38</v>
      </c>
      <c r="I5" s="119" t="s">
        <v>38</v>
      </c>
      <c r="J5" s="119" t="s">
        <v>49</v>
      </c>
      <c r="K5" s="119" t="s">
        <v>49</v>
      </c>
      <c r="L5" s="215" t="s">
        <v>49</v>
      </c>
    </row>
    <row r="6" spans="1:12">
      <c r="A6" t="s">
        <v>87</v>
      </c>
      <c r="B6" s="5" t="s">
        <v>87</v>
      </c>
      <c r="C6" s="5" t="s">
        <v>87</v>
      </c>
      <c r="D6" s="5" t="s">
        <v>87</v>
      </c>
      <c r="E6" s="5" t="s">
        <v>87</v>
      </c>
      <c r="F6" s="142" t="s">
        <v>33</v>
      </c>
      <c r="G6" s="119" t="s">
        <v>33</v>
      </c>
      <c r="H6" s="119" t="s">
        <v>33</v>
      </c>
      <c r="I6" s="119" t="s">
        <v>33</v>
      </c>
      <c r="J6" s="119" t="s">
        <v>50</v>
      </c>
      <c r="K6" s="119" t="s">
        <v>50</v>
      </c>
      <c r="L6" s="215" t="s">
        <v>32</v>
      </c>
    </row>
    <row r="7" spans="1:12">
      <c r="A7" t="s">
        <v>48</v>
      </c>
      <c r="B7" s="5" t="s">
        <v>48</v>
      </c>
      <c r="C7" s="5" t="s">
        <v>48</v>
      </c>
      <c r="D7" s="5" t="s">
        <v>48</v>
      </c>
      <c r="E7" s="5" t="s">
        <v>48</v>
      </c>
      <c r="F7" s="142" t="s">
        <v>34</v>
      </c>
      <c r="G7" s="119" t="s">
        <v>34</v>
      </c>
      <c r="H7" s="119" t="s">
        <v>34</v>
      </c>
      <c r="I7" s="119" t="s">
        <v>34</v>
      </c>
      <c r="J7" s="119" t="s">
        <v>34</v>
      </c>
      <c r="K7" s="119" t="s">
        <v>34</v>
      </c>
      <c r="L7" s="215" t="s">
        <v>34</v>
      </c>
    </row>
    <row r="8" spans="1:12">
      <c r="J8" s="353" t="s">
        <v>230</v>
      </c>
      <c r="K8" s="186" t="s">
        <v>81</v>
      </c>
      <c r="L8" s="217" t="s">
        <v>81</v>
      </c>
    </row>
    <row r="9" spans="1:12">
      <c r="J9" s="353" t="s">
        <v>231</v>
      </c>
      <c r="K9" s="186" t="s">
        <v>82</v>
      </c>
      <c r="L9" s="217" t="s">
        <v>82</v>
      </c>
    </row>
    <row r="10" spans="1:12">
      <c r="J10" s="186"/>
      <c r="K10" s="186"/>
      <c r="L10" s="217"/>
    </row>
    <row r="11" spans="1:12">
      <c r="F11" s="142" t="s">
        <v>411</v>
      </c>
      <c r="G11" s="119" t="s">
        <v>411</v>
      </c>
      <c r="H11" s="119" t="s">
        <v>424</v>
      </c>
      <c r="I11" s="119" t="s">
        <v>424</v>
      </c>
      <c r="J11" s="119" t="s">
        <v>411</v>
      </c>
      <c r="K11" s="119" t="s">
        <v>411</v>
      </c>
      <c r="L11" s="215" t="s">
        <v>411</v>
      </c>
    </row>
    <row r="12" spans="1:12">
      <c r="F12" s="142" t="s">
        <v>88</v>
      </c>
      <c r="G12" s="119" t="s">
        <v>88</v>
      </c>
      <c r="H12" s="119" t="s">
        <v>302</v>
      </c>
      <c r="I12" s="119" t="s">
        <v>302</v>
      </c>
      <c r="J12" s="119" t="s">
        <v>88</v>
      </c>
      <c r="K12" s="119" t="s">
        <v>88</v>
      </c>
      <c r="L12" s="215" t="s">
        <v>88</v>
      </c>
    </row>
    <row r="14" spans="1:12">
      <c r="A14" s="97" t="s">
        <v>24</v>
      </c>
      <c r="B14" s="63" t="s">
        <v>3</v>
      </c>
      <c r="C14" s="63" t="s">
        <v>16</v>
      </c>
      <c r="D14" s="63" t="s">
        <v>4</v>
      </c>
      <c r="E14" s="63" t="s">
        <v>27</v>
      </c>
      <c r="F14" s="188" t="s">
        <v>127</v>
      </c>
      <c r="G14" s="118" t="s">
        <v>205</v>
      </c>
      <c r="H14" s="118" t="s">
        <v>191</v>
      </c>
      <c r="I14" s="118" t="s">
        <v>192</v>
      </c>
      <c r="J14" s="118" t="s">
        <v>224</v>
      </c>
      <c r="K14" s="118" t="s">
        <v>168</v>
      </c>
      <c r="L14" s="253" t="s">
        <v>169</v>
      </c>
    </row>
    <row r="15" spans="1:12">
      <c r="A15" t="e">
        <f>INDEX(Prioritization!$D:$D,MATCH($B15,Prioritization!$A:$A,0))</f>
        <v>#N/A</v>
      </c>
      <c r="E15" s="5" t="str">
        <f>B15&amp;"|"&amp;C15&amp;"|"&amp;D15</f>
        <v>||</v>
      </c>
      <c r="F15" s="142" t="str">
        <f>IF(LEFT($B15,4)="_Mil","",INDEX(Cascade!$R:$R,MATCH($E15,Cascade!$E:$E,0)))</f>
        <v/>
      </c>
      <c r="G15" s="119" t="str">
        <f>IFERROR(1/(1/INDEX(HTS!O15,MATCH($E15,HTS!$E:$E,0))),"")</f>
        <v/>
      </c>
      <c r="H15" s="119" t="str" cm="1">
        <f t="array" ref="H15">IF(OR($C15="15-24",$C15="25-34"),IFERROR(1/(1/SUM(SUMIFS(AGYW!$T:$T,AGYW!$B:$B,$B15,AGYW!$C:$C,IF($C15="15-24",{"15-19","20-24"},{"25-29"}),AGYW!$D:$D,$D15))),""),"")</f>
        <v/>
      </c>
      <c r="I15" s="119" t="str" cm="1">
        <f t="array" ref="I15">IF(OR($C15="15-24",$C15="25-34"),IFERROR(1/(1/SUM(SUMIFS(AGYW!$U:$U,AGYW!$B:$B,$B15,AGYW!$C:$C,IF($C15="15-24",{"15-19","20-24"},{"25-29"}),AGYW!$D:$D,$D15))),""),"")</f>
        <v/>
      </c>
      <c r="L15" s="215" t="str">
        <f>IF(SUM($K15)=0,"",ROUND($K15,0))</f>
        <v/>
      </c>
    </row>
  </sheetData>
  <conditionalFormatting sqref="F1:F1048576">
    <cfRule type="expression" dxfId="33" priority="2">
      <formula>AND(ROW(F1)&gt;14,LEFT(B1,4)="_Mil")</formula>
    </cfRule>
  </conditionalFormatting>
  <conditionalFormatting sqref="F1:L1048576">
    <cfRule type="expression" dxfId="32" priority="5">
      <formula>AND(ISNUMBER(F1),F1&lt;0)</formula>
    </cfRule>
  </conditionalFormatting>
  <conditionalFormatting sqref="H1:I1048576">
    <cfRule type="expression" dxfId="31" priority="3">
      <formula>AND(ROW(H1)&gt;14,$E1&lt;&gt;"",$D1&lt;&gt;"Female")</formula>
    </cfRule>
    <cfRule type="expression" dxfId="30"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141" customWidth="1"/>
    <col min="7" max="9" width="11.796875" style="121" customWidth="1"/>
    <col min="10" max="10" width="11.796875" style="11" customWidth="1"/>
    <col min="11" max="12" width="12" style="11" customWidth="1"/>
    <col min="13" max="13" width="11.796875" style="215" customWidth="1"/>
  </cols>
  <sheetData>
    <row r="1" spans="1:13" s="21" customFormat="1" ht="31.05" customHeight="1" thickBot="1">
      <c r="A1" s="96" t="s">
        <v>5</v>
      </c>
      <c r="B1" s="4"/>
      <c r="C1" s="1"/>
      <c r="D1" s="1"/>
      <c r="E1" s="1"/>
      <c r="F1" s="135" t="s">
        <v>11</v>
      </c>
      <c r="G1" s="130"/>
      <c r="H1" s="130"/>
      <c r="I1" s="130"/>
      <c r="J1" s="59"/>
      <c r="K1" s="59"/>
      <c r="L1" s="59"/>
      <c r="M1" s="160"/>
    </row>
    <row r="2" spans="1:13" s="20" customFormat="1" ht="19.05" customHeight="1">
      <c r="A2" s="154" t="s">
        <v>341</v>
      </c>
      <c r="B2" s="151"/>
      <c r="C2" s="2"/>
      <c r="D2" s="2"/>
      <c r="E2" s="2"/>
      <c r="F2" s="161"/>
      <c r="G2" s="117"/>
      <c r="H2" s="117"/>
      <c r="I2" s="117"/>
      <c r="J2" s="3"/>
      <c r="K2" s="3"/>
      <c r="L2" s="3"/>
      <c r="M2" s="249" t="s">
        <v>401</v>
      </c>
    </row>
    <row r="3" spans="1:13" ht="117" customHeight="1" thickBot="1">
      <c r="A3" s="152"/>
      <c r="B3" s="153"/>
      <c r="C3" s="17"/>
      <c r="D3" s="17"/>
      <c r="E3" s="17"/>
      <c r="F3" s="286" t="s">
        <v>601</v>
      </c>
      <c r="G3" s="290" t="s">
        <v>576</v>
      </c>
      <c r="H3" s="338" t="s">
        <v>577</v>
      </c>
      <c r="I3" s="338" t="s">
        <v>499</v>
      </c>
      <c r="J3" s="52" t="s">
        <v>602</v>
      </c>
      <c r="K3" s="78" t="s">
        <v>574</v>
      </c>
      <c r="L3" s="78" t="s">
        <v>575</v>
      </c>
      <c r="M3" s="236" t="s">
        <v>463</v>
      </c>
    </row>
    <row r="4" spans="1:13">
      <c r="A4" s="94"/>
      <c r="B4" s="15"/>
      <c r="C4" s="15"/>
      <c r="D4" s="15" t="s">
        <v>2</v>
      </c>
      <c r="E4" s="15"/>
      <c r="F4" s="287">
        <f>SUBTOTAL(109,F$15:INDEX(F:F,COUNTA($B:$B)+14-COUNTA($B$1:$B$14)))</f>
        <v>0</v>
      </c>
      <c r="G4" s="133">
        <f>SUBTOTAL(109,G$15:INDEX(G:G,COUNTA($B:$B)+14-COUNTA($B$1:$B$14)))</f>
        <v>0</v>
      </c>
      <c r="H4" s="133">
        <f>SUBTOTAL(109,H$15:INDEX(H:H,COUNTA($B:$B)+14-COUNTA($B$1:$B$14)))</f>
        <v>0</v>
      </c>
      <c r="I4" s="133">
        <f>SUBTOTAL(109,I$15:INDEX(I:I,COUNTA($B:$B)+14-COUNTA($B$1:$B$14)))</f>
        <v>0</v>
      </c>
      <c r="J4" s="18"/>
      <c r="K4" s="18"/>
      <c r="L4" s="18"/>
      <c r="M4" s="252">
        <f>SUBTOTAL(109,M$15:INDEX(M:M,COUNTA($B:$B)+14-COUNTA($B$1:$B$14)))</f>
        <v>0</v>
      </c>
    </row>
    <row r="5" spans="1:13">
      <c r="A5" t="s">
        <v>38</v>
      </c>
      <c r="B5" s="5" t="s">
        <v>38</v>
      </c>
      <c r="C5" s="5" t="s">
        <v>38</v>
      </c>
      <c r="D5" s="5" t="s">
        <v>38</v>
      </c>
      <c r="E5" s="5" t="s">
        <v>38</v>
      </c>
      <c r="F5" s="141" t="s">
        <v>49</v>
      </c>
      <c r="G5" s="121" t="s">
        <v>49</v>
      </c>
      <c r="H5" s="121" t="s">
        <v>38</v>
      </c>
      <c r="I5" s="121" t="s">
        <v>38</v>
      </c>
      <c r="J5" s="11" t="s">
        <v>38</v>
      </c>
      <c r="K5" s="11" t="s">
        <v>38</v>
      </c>
      <c r="L5" s="11" t="s">
        <v>38</v>
      </c>
      <c r="M5" s="215" t="s">
        <v>49</v>
      </c>
    </row>
    <row r="6" spans="1:13">
      <c r="A6" t="s">
        <v>87</v>
      </c>
      <c r="B6" s="5" t="s">
        <v>87</v>
      </c>
      <c r="C6" s="5" t="s">
        <v>87</v>
      </c>
      <c r="D6" s="5" t="s">
        <v>87</v>
      </c>
      <c r="E6" s="5" t="s">
        <v>87</v>
      </c>
      <c r="F6" s="141" t="s">
        <v>50</v>
      </c>
      <c r="G6" s="121" t="s">
        <v>50</v>
      </c>
      <c r="H6" s="121" t="s">
        <v>33</v>
      </c>
      <c r="I6" s="121" t="s">
        <v>33</v>
      </c>
      <c r="J6" s="11" t="s">
        <v>51</v>
      </c>
      <c r="K6" s="11" t="s">
        <v>52</v>
      </c>
      <c r="L6" s="11" t="s">
        <v>52</v>
      </c>
      <c r="M6" s="215" t="s">
        <v>32</v>
      </c>
    </row>
    <row r="7" spans="1:13">
      <c r="A7" t="s">
        <v>48</v>
      </c>
      <c r="B7" s="5" t="s">
        <v>48</v>
      </c>
      <c r="C7" s="5" t="s">
        <v>48</v>
      </c>
      <c r="D7" s="5" t="s">
        <v>48</v>
      </c>
      <c r="E7" s="5" t="s">
        <v>48</v>
      </c>
      <c r="F7" s="141" t="s">
        <v>34</v>
      </c>
      <c r="G7" s="121" t="s">
        <v>34</v>
      </c>
      <c r="H7" s="121" t="s">
        <v>34</v>
      </c>
      <c r="I7" s="121" t="s">
        <v>34</v>
      </c>
      <c r="J7" s="11" t="s">
        <v>35</v>
      </c>
      <c r="K7" s="11" t="s">
        <v>35</v>
      </c>
      <c r="L7" s="11" t="s">
        <v>35</v>
      </c>
      <c r="M7" s="215" t="s">
        <v>34</v>
      </c>
    </row>
    <row r="8" spans="1:13">
      <c r="F8" s="354" t="s">
        <v>177</v>
      </c>
      <c r="G8" s="186" t="s">
        <v>68</v>
      </c>
      <c r="H8" s="123"/>
      <c r="I8" s="123"/>
      <c r="J8" s="47"/>
      <c r="K8" s="47"/>
      <c r="L8" s="47"/>
      <c r="M8" s="217" t="s">
        <v>68</v>
      </c>
    </row>
    <row r="9" spans="1:13">
      <c r="F9" s="354" t="s">
        <v>178</v>
      </c>
      <c r="G9" s="186" t="s">
        <v>69</v>
      </c>
      <c r="H9" s="123"/>
      <c r="I9" s="123"/>
      <c r="J9" s="47"/>
      <c r="K9" s="47"/>
      <c r="L9" s="47"/>
      <c r="M9" s="217" t="s">
        <v>69</v>
      </c>
    </row>
    <row r="10" spans="1:13">
      <c r="F10" s="288" t="s">
        <v>44</v>
      </c>
      <c r="G10" s="186" t="s">
        <v>44</v>
      </c>
      <c r="H10" s="123"/>
      <c r="I10" s="123"/>
      <c r="J10" s="47"/>
      <c r="K10" s="47"/>
      <c r="L10" s="47"/>
      <c r="M10" s="217" t="s">
        <v>44</v>
      </c>
    </row>
    <row r="11" spans="1:13">
      <c r="F11" s="141" t="s">
        <v>410</v>
      </c>
      <c r="G11" s="121" t="s">
        <v>410</v>
      </c>
      <c r="H11" s="121" t="s">
        <v>410</v>
      </c>
      <c r="I11" s="121" t="s">
        <v>410</v>
      </c>
      <c r="J11" s="11" t="s">
        <v>410</v>
      </c>
      <c r="K11" s="11" t="s">
        <v>410</v>
      </c>
      <c r="L11" s="11" t="s">
        <v>410</v>
      </c>
      <c r="M11" s="215" t="s">
        <v>410</v>
      </c>
    </row>
    <row r="12" spans="1:13">
      <c r="F12" s="141" t="s">
        <v>302</v>
      </c>
      <c r="G12" s="121" t="s">
        <v>302</v>
      </c>
      <c r="H12" s="121" t="s">
        <v>302</v>
      </c>
      <c r="I12" s="121" t="s">
        <v>302</v>
      </c>
      <c r="J12" s="11" t="s">
        <v>302</v>
      </c>
      <c r="K12" s="11" t="s">
        <v>302</v>
      </c>
      <c r="L12" s="11" t="s">
        <v>302</v>
      </c>
      <c r="M12" s="215" t="s">
        <v>302</v>
      </c>
    </row>
    <row r="14" spans="1:13">
      <c r="A14" s="95" t="s">
        <v>24</v>
      </c>
      <c r="B14" s="71" t="s">
        <v>3</v>
      </c>
      <c r="C14" s="71" t="s">
        <v>16</v>
      </c>
      <c r="D14" s="71" t="s">
        <v>4</v>
      </c>
      <c r="E14" s="71" t="s">
        <v>27</v>
      </c>
      <c r="F14" s="188" t="s">
        <v>202</v>
      </c>
      <c r="G14" s="118" t="s">
        <v>203</v>
      </c>
      <c r="H14" s="118" t="s">
        <v>138</v>
      </c>
      <c r="I14" s="118" t="s">
        <v>396</v>
      </c>
      <c r="J14" s="64" t="s">
        <v>204</v>
      </c>
      <c r="K14" s="64" t="s">
        <v>404</v>
      </c>
      <c r="L14" s="64" t="s">
        <v>405</v>
      </c>
      <c r="M14" s="253" t="s">
        <v>148</v>
      </c>
    </row>
    <row r="15" spans="1:13">
      <c r="A15" t="e">
        <f>INDEX(Prioritization!$D:$D,MATCH($B15,Prioritization!$A:$A,0))</f>
        <v>#N/A</v>
      </c>
      <c r="E15" s="5" t="str">
        <f>B15&amp;"|"&amp;C15&amp;"|"&amp;D15</f>
        <v>||</v>
      </c>
      <c r="H15" s="121" t="str">
        <f>IFERROR(1/(1/INDEX(Cascade!$M:$M,MATCH($E15,Cascade!$E:$E,0))),"")</f>
        <v/>
      </c>
      <c r="I15" s="121" t="str">
        <f>IFERROR(1/(1/INDEX(Cascade!$AT:$AT,MATCH($E15,Cascade!$E:$E,0))),"")</f>
        <v/>
      </c>
      <c r="K15" s="11">
        <f>1/3</f>
        <v>0.33333333333333331</v>
      </c>
      <c r="L15" s="11">
        <v>1</v>
      </c>
      <c r="M15" s="215" t="str">
        <f>IF(SUM($H15)=0,"",ROUND($H15*$K15+$I15*$L15,0))</f>
        <v/>
      </c>
    </row>
  </sheetData>
  <mergeCells count="1">
    <mergeCell ref="A2:B3"/>
  </mergeCells>
  <conditionalFormatting sqref="F1:M1048576">
    <cfRule type="expression" dxfId="29" priority="1">
      <formula>AND(ISNUMBER(F1),F1&lt;0)</formula>
    </cfRule>
  </conditionalFormatting>
  <conditionalFormatting sqref="J1:L1048576">
    <cfRule type="expression" dxfId="28" priority="2">
      <formula>AND(ISNUMBER(J1),J1&gt;1)</formula>
    </cfRule>
  </conditionalFormatting>
  <conditionalFormatting sqref="K1:K1048576">
    <cfRule type="expression" dxfId="27" priority="3">
      <formula>AND(ISNUMBER($K1),$K1&lt;33%)</formula>
    </cfRule>
  </conditionalFormatting>
  <conditionalFormatting sqref="L1:L1048576">
    <cfRule type="expression" dxfId="26"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142" customWidth="1"/>
    <col min="7" max="8" width="11.796875" style="11" customWidth="1"/>
    <col min="9" max="10" width="11.796875" style="121" customWidth="1"/>
    <col min="11" max="12" width="11.796875" style="11" customWidth="1"/>
    <col min="13" max="14" width="11.796875" style="215" customWidth="1"/>
    <col min="15" max="15" width="14.796875" style="119" customWidth="1"/>
    <col min="16" max="16" width="11.796875" style="142" customWidth="1"/>
    <col min="17" max="18" width="11.796875" style="119" customWidth="1"/>
    <col min="19" max="19" width="11.796875" style="128" customWidth="1"/>
    <col min="20" max="20" width="11.796875" style="11" customWidth="1"/>
    <col min="21" max="22" width="11.796875" style="45" customWidth="1"/>
    <col min="23" max="24" width="11.796875" style="215" customWidth="1"/>
  </cols>
  <sheetData>
    <row r="1" spans="1:24" s="21" customFormat="1" ht="31.05" customHeight="1">
      <c r="A1" s="96" t="s">
        <v>31</v>
      </c>
      <c r="B1" s="4"/>
      <c r="C1" s="1"/>
      <c r="D1" s="1"/>
      <c r="E1" s="1"/>
      <c r="F1" s="247" t="s">
        <v>611</v>
      </c>
      <c r="G1" s="59"/>
      <c r="H1" s="59"/>
      <c r="I1" s="130"/>
      <c r="J1" s="130"/>
      <c r="K1" s="59"/>
      <c r="L1" s="59"/>
      <c r="M1" s="160"/>
      <c r="N1" s="160"/>
      <c r="O1" s="160"/>
      <c r="P1" s="247" t="s">
        <v>17</v>
      </c>
      <c r="Q1" s="130"/>
      <c r="R1" s="124"/>
      <c r="S1" s="124"/>
      <c r="T1" s="59"/>
      <c r="U1" s="61"/>
      <c r="V1" s="61"/>
      <c r="W1" s="160"/>
      <c r="X1" s="160"/>
    </row>
    <row r="2" spans="1:24" s="20" customFormat="1" ht="18">
      <c r="A2" s="13"/>
      <c r="B2" s="2"/>
      <c r="C2" s="2"/>
      <c r="D2" s="2"/>
      <c r="E2" s="2"/>
      <c r="F2" s="285"/>
      <c r="G2" s="3"/>
      <c r="H2" s="360"/>
      <c r="I2" s="117"/>
      <c r="J2" s="117"/>
      <c r="K2" s="3"/>
      <c r="L2" s="3"/>
      <c r="M2" s="249" t="s">
        <v>401</v>
      </c>
      <c r="N2" s="249" t="s">
        <v>401</v>
      </c>
      <c r="O2" s="289"/>
      <c r="P2" s="285"/>
      <c r="Q2" s="117"/>
      <c r="R2" s="125"/>
      <c r="S2" s="125"/>
      <c r="T2" s="3"/>
      <c r="U2" s="43"/>
      <c r="V2" s="43"/>
      <c r="W2" s="249" t="s">
        <v>401</v>
      </c>
      <c r="X2" s="249" t="s">
        <v>401</v>
      </c>
    </row>
    <row r="3" spans="1:24" ht="117" customHeight="1">
      <c r="A3" s="93"/>
      <c r="B3" s="17"/>
      <c r="C3" s="17"/>
      <c r="D3" s="17"/>
      <c r="E3" s="17"/>
      <c r="F3" s="324" t="s">
        <v>453</v>
      </c>
      <c r="G3" s="78" t="s">
        <v>642</v>
      </c>
      <c r="H3" s="78" t="s">
        <v>622</v>
      </c>
      <c r="I3" s="122" t="s">
        <v>628</v>
      </c>
      <c r="J3" s="122" t="s">
        <v>629</v>
      </c>
      <c r="K3" s="78" t="s">
        <v>626</v>
      </c>
      <c r="L3" s="78" t="s">
        <v>627</v>
      </c>
      <c r="M3" s="236" t="s">
        <v>630</v>
      </c>
      <c r="N3" s="236" t="s">
        <v>631</v>
      </c>
      <c r="O3" s="325" t="s">
        <v>634</v>
      </c>
      <c r="P3" s="286" t="s">
        <v>610</v>
      </c>
      <c r="Q3" s="267" t="s">
        <v>632</v>
      </c>
      <c r="R3" s="144" t="s">
        <v>633</v>
      </c>
      <c r="S3" s="355" t="s">
        <v>635</v>
      </c>
      <c r="T3" s="78" t="s">
        <v>578</v>
      </c>
      <c r="U3" s="79" t="s">
        <v>579</v>
      </c>
      <c r="V3" s="79" t="s">
        <v>580</v>
      </c>
      <c r="W3" s="236" t="s">
        <v>667</v>
      </c>
      <c r="X3" s="236" t="s">
        <v>460</v>
      </c>
    </row>
    <row r="4" spans="1:24">
      <c r="A4" s="94"/>
      <c r="B4" s="15"/>
      <c r="C4" s="15"/>
      <c r="D4" s="15" t="s">
        <v>2</v>
      </c>
      <c r="E4" s="15"/>
      <c r="F4" s="287">
        <f>SUBTOTAL(109,F$15:INDEX(F:F,COUNTA($B:$B)+14-COUNTA($B$1:$B$14)))</f>
        <v>0</v>
      </c>
      <c r="G4" s="18"/>
      <c r="H4" s="18">
        <f>SUBTOTAL(109,H$15:INDEX(H:H,COUNTA($B:$B)+14-COUNTA($B$1:$B$14)))</f>
        <v>0</v>
      </c>
      <c r="I4" s="133">
        <f>SUBTOTAL(109,I$15:INDEX(I:I,COUNTA($B:$B)+14-COUNTA($B$1:$B$14)))</f>
        <v>0</v>
      </c>
      <c r="J4" s="133">
        <f>SUBTOTAL(109,J$15:INDEX(J:J,COUNTA($B:$B)+14-COUNTA($B$1:$B$14)))</f>
        <v>0</v>
      </c>
      <c r="K4" s="18" t="str">
        <f>IF(SUM($H$4)=0,"",SUM($M$4)/$H$4)</f>
        <v/>
      </c>
      <c r="L4" s="18" t="str">
        <f>IF(SUM($H$4)=0,"",SUM($N$4)/$H$4)</f>
        <v/>
      </c>
      <c r="M4" s="252">
        <f>SUBTOTAL(109,M$15:INDEX(M:M,COUNTA($B:$B)+14-COUNTA($B$1:$B$14)))</f>
        <v>0</v>
      </c>
      <c r="N4" s="252">
        <f>SUBTOTAL(109,N$15:INDEX(N:N,COUNTA($B:$B)+14-COUNTA($B$1:$B$14)))</f>
        <v>0</v>
      </c>
      <c r="O4" s="133">
        <f>SUBTOTAL(109,O$15:INDEX(O:O,COUNTA($B:$B)+14-COUNTA($B$1:$B$14)))</f>
        <v>0</v>
      </c>
      <c r="P4" s="287">
        <f>SUBTOTAL(109,P$15:INDEX(P:P,COUNTA($B:$B)+14-COUNTA($B$1:$B$14)))</f>
        <v>0</v>
      </c>
      <c r="Q4" s="133">
        <f>SUBTOTAL(109,Q$15:INDEX(Q:Q,COUNTA($B:$B)+14-COUNTA($B$1:$B$14)))</f>
        <v>0</v>
      </c>
      <c r="R4" s="133">
        <f>SUBTOTAL(109,R$15:INDEX(R:R,COUNTA($B:$B)+14-COUNTA($B$1:$B$14)))</f>
        <v>0</v>
      </c>
      <c r="S4" s="127">
        <f>SUBTOTAL(109,S$15:INDEX(S:S,COUNTA($B:$B)+14-COUNTA($B$1:$B$14)))</f>
        <v>0</v>
      </c>
      <c r="T4" s="18"/>
      <c r="U4" s="44"/>
      <c r="V4" s="44" t="s">
        <v>624</v>
      </c>
      <c r="W4" s="252">
        <v>0</v>
      </c>
      <c r="X4" s="252">
        <v>0</v>
      </c>
    </row>
    <row r="5" spans="1:24">
      <c r="A5" t="s">
        <v>38</v>
      </c>
      <c r="B5" s="5" t="s">
        <v>38</v>
      </c>
      <c r="C5" s="5" t="s">
        <v>38</v>
      </c>
      <c r="D5" s="5" t="s">
        <v>38</v>
      </c>
      <c r="E5" s="5" t="s">
        <v>38</v>
      </c>
      <c r="F5" s="142" t="s">
        <v>38</v>
      </c>
      <c r="G5" s="11" t="s">
        <v>38</v>
      </c>
      <c r="H5" s="11" t="s">
        <v>38</v>
      </c>
      <c r="I5" s="121" t="s">
        <v>49</v>
      </c>
      <c r="J5" s="121" t="s">
        <v>49</v>
      </c>
      <c r="K5" s="11" t="s">
        <v>38</v>
      </c>
      <c r="L5" s="11" t="s">
        <v>38</v>
      </c>
      <c r="M5" s="215" t="s">
        <v>49</v>
      </c>
      <c r="N5" s="215" t="s">
        <v>49</v>
      </c>
      <c r="O5" s="119" t="s">
        <v>38</v>
      </c>
      <c r="P5" s="142" t="s">
        <v>38</v>
      </c>
      <c r="Q5" s="119" t="s">
        <v>49</v>
      </c>
      <c r="R5" s="119" t="s">
        <v>49</v>
      </c>
      <c r="S5" s="128" t="s">
        <v>38</v>
      </c>
      <c r="T5" s="11" t="s">
        <v>38</v>
      </c>
      <c r="U5" s="45" t="s">
        <v>38</v>
      </c>
      <c r="V5" s="45" t="s">
        <v>38</v>
      </c>
      <c r="W5" s="215" t="s">
        <v>49</v>
      </c>
      <c r="X5" s="215" t="s">
        <v>49</v>
      </c>
    </row>
    <row r="6" spans="1:24">
      <c r="A6" t="s">
        <v>87</v>
      </c>
      <c r="B6" s="5" t="s">
        <v>87</v>
      </c>
      <c r="C6" s="5" t="s">
        <v>87</v>
      </c>
      <c r="D6" s="5" t="s">
        <v>87</v>
      </c>
      <c r="E6" s="5" t="s">
        <v>87</v>
      </c>
      <c r="F6" s="142" t="s">
        <v>33</v>
      </c>
      <c r="G6" s="11" t="s">
        <v>52</v>
      </c>
      <c r="H6" s="11" t="s">
        <v>52</v>
      </c>
      <c r="I6" s="121" t="s">
        <v>50</v>
      </c>
      <c r="J6" s="121" t="s">
        <v>50</v>
      </c>
      <c r="K6" s="11" t="s">
        <v>52</v>
      </c>
      <c r="L6" s="11" t="s">
        <v>52</v>
      </c>
      <c r="M6" s="215" t="s">
        <v>32</v>
      </c>
      <c r="N6" s="215" t="s">
        <v>32</v>
      </c>
      <c r="O6" s="119" t="s">
        <v>33</v>
      </c>
      <c r="P6" s="142" t="s">
        <v>51</v>
      </c>
      <c r="Q6" s="119" t="s">
        <v>50</v>
      </c>
      <c r="R6" s="119" t="s">
        <v>50</v>
      </c>
      <c r="S6" s="128" t="s">
        <v>52</v>
      </c>
      <c r="T6" s="11" t="s">
        <v>52</v>
      </c>
      <c r="U6" s="45" t="s">
        <v>52</v>
      </c>
      <c r="V6" s="45" t="s">
        <v>52</v>
      </c>
      <c r="W6" s="215" t="s">
        <v>32</v>
      </c>
      <c r="X6" s="215" t="s">
        <v>32</v>
      </c>
    </row>
    <row r="7" spans="1:24">
      <c r="A7" t="s">
        <v>48</v>
      </c>
      <c r="B7" s="5" t="s">
        <v>48</v>
      </c>
      <c r="C7" s="5" t="s">
        <v>48</v>
      </c>
      <c r="D7" s="5" t="s">
        <v>48</v>
      </c>
      <c r="E7" s="5" t="s">
        <v>48</v>
      </c>
      <c r="F7" s="142" t="s">
        <v>34</v>
      </c>
      <c r="G7" s="11" t="s">
        <v>35</v>
      </c>
      <c r="H7" s="11" t="s">
        <v>34</v>
      </c>
      <c r="I7" s="121" t="s">
        <v>34</v>
      </c>
      <c r="J7" s="121" t="s">
        <v>34</v>
      </c>
      <c r="K7" s="11" t="s">
        <v>35</v>
      </c>
      <c r="L7" s="11" t="s">
        <v>35</v>
      </c>
      <c r="M7" s="215" t="s">
        <v>34</v>
      </c>
      <c r="N7" s="215" t="s">
        <v>34</v>
      </c>
      <c r="O7" s="119" t="s">
        <v>34</v>
      </c>
      <c r="P7" s="142" t="s">
        <v>34</v>
      </c>
      <c r="Q7" s="119" t="s">
        <v>34</v>
      </c>
      <c r="R7" s="119" t="s">
        <v>34</v>
      </c>
      <c r="S7" s="128" t="s">
        <v>34</v>
      </c>
      <c r="T7" s="11" t="s">
        <v>35</v>
      </c>
      <c r="U7" s="45" t="s">
        <v>35</v>
      </c>
      <c r="V7" s="45" t="s">
        <v>35</v>
      </c>
      <c r="W7" s="215" t="s">
        <v>34</v>
      </c>
      <c r="X7" s="215" t="s">
        <v>34</v>
      </c>
    </row>
    <row r="8" spans="1:24">
      <c r="I8" s="131" t="s">
        <v>647</v>
      </c>
      <c r="J8" s="131" t="s">
        <v>647</v>
      </c>
      <c r="M8" s="291" t="s">
        <v>645</v>
      </c>
      <c r="N8" s="291" t="s">
        <v>645</v>
      </c>
      <c r="Q8" s="186" t="s">
        <v>89</v>
      </c>
      <c r="R8" s="186" t="s">
        <v>89</v>
      </c>
      <c r="S8" s="356"/>
      <c r="T8" s="47"/>
      <c r="U8" s="132"/>
      <c r="V8" s="132"/>
      <c r="W8" s="217" t="s">
        <v>89</v>
      </c>
      <c r="X8" s="217" t="s">
        <v>89</v>
      </c>
    </row>
    <row r="9" spans="1:24">
      <c r="I9" s="131" t="s">
        <v>648</v>
      </c>
      <c r="J9" s="131" t="s">
        <v>648</v>
      </c>
      <c r="M9" s="291" t="s">
        <v>646</v>
      </c>
      <c r="N9" s="291" t="s">
        <v>646</v>
      </c>
      <c r="Q9" s="186" t="s">
        <v>90</v>
      </c>
      <c r="R9" s="186" t="s">
        <v>90</v>
      </c>
      <c r="S9" s="356"/>
      <c r="T9" s="47"/>
      <c r="U9" s="132"/>
      <c r="V9" s="132"/>
      <c r="W9" s="217" t="s">
        <v>90</v>
      </c>
      <c r="X9" s="217" t="s">
        <v>90</v>
      </c>
    </row>
    <row r="10" spans="1:24">
      <c r="I10" s="131" t="s">
        <v>54</v>
      </c>
      <c r="J10" s="131" t="s">
        <v>53</v>
      </c>
      <c r="M10" s="291" t="s">
        <v>661</v>
      </c>
      <c r="N10" s="291" t="s">
        <v>662</v>
      </c>
      <c r="Q10" s="186" t="s">
        <v>54</v>
      </c>
      <c r="R10" s="186" t="s">
        <v>53</v>
      </c>
      <c r="S10" s="356"/>
      <c r="T10" s="47"/>
      <c r="U10" s="132"/>
      <c r="V10" s="132"/>
      <c r="W10" s="217" t="s">
        <v>54</v>
      </c>
      <c r="X10" s="217" t="s">
        <v>53</v>
      </c>
    </row>
    <row r="11" spans="1:24">
      <c r="F11" s="142" t="s">
        <v>304</v>
      </c>
      <c r="I11" s="121" t="s">
        <v>304</v>
      </c>
      <c r="J11" s="121" t="s">
        <v>304</v>
      </c>
      <c r="K11" s="11" t="s">
        <v>304</v>
      </c>
      <c r="L11" s="11" t="s">
        <v>304</v>
      </c>
      <c r="M11" s="215" t="s">
        <v>304</v>
      </c>
      <c r="N11" s="215" t="s">
        <v>304</v>
      </c>
      <c r="O11" s="119" t="s">
        <v>304</v>
      </c>
      <c r="P11" s="142" t="s">
        <v>304</v>
      </c>
      <c r="Q11" s="119" t="s">
        <v>304</v>
      </c>
      <c r="R11" s="119" t="s">
        <v>304</v>
      </c>
      <c r="S11" s="128" t="s">
        <v>304</v>
      </c>
      <c r="T11" s="11" t="s">
        <v>304</v>
      </c>
      <c r="U11" s="45" t="s">
        <v>304</v>
      </c>
      <c r="V11" s="45" t="s">
        <v>304</v>
      </c>
      <c r="W11" s="215" t="s">
        <v>304</v>
      </c>
      <c r="X11" s="215" t="s">
        <v>304</v>
      </c>
    </row>
    <row r="12" spans="1:24">
      <c r="F12" s="142" t="s">
        <v>88</v>
      </c>
      <c r="I12" s="121" t="s">
        <v>88</v>
      </c>
      <c r="J12" s="121" t="s">
        <v>88</v>
      </c>
      <c r="K12" s="11" t="s">
        <v>88</v>
      </c>
      <c r="L12" s="11" t="s">
        <v>88</v>
      </c>
      <c r="M12" s="215" t="s">
        <v>88</v>
      </c>
      <c r="N12" s="215" t="s">
        <v>88</v>
      </c>
      <c r="O12" s="119" t="s">
        <v>88</v>
      </c>
      <c r="P12" s="142" t="s">
        <v>88</v>
      </c>
      <c r="Q12" s="119" t="s">
        <v>88</v>
      </c>
      <c r="R12" s="119" t="s">
        <v>88</v>
      </c>
      <c r="S12" s="128" t="s">
        <v>88</v>
      </c>
      <c r="T12" s="11" t="s">
        <v>88</v>
      </c>
      <c r="U12" s="45" t="s">
        <v>88</v>
      </c>
      <c r="V12" s="45" t="s">
        <v>88</v>
      </c>
      <c r="W12" s="215" t="s">
        <v>88</v>
      </c>
      <c r="X12" s="215" t="s">
        <v>88</v>
      </c>
    </row>
    <row r="14" spans="1:24">
      <c r="A14" s="95" t="s">
        <v>24</v>
      </c>
      <c r="B14" s="71" t="s">
        <v>3</v>
      </c>
      <c r="C14" s="63" t="s">
        <v>16</v>
      </c>
      <c r="D14" s="63" t="s">
        <v>4</v>
      </c>
      <c r="E14" s="63" t="s">
        <v>27</v>
      </c>
      <c r="F14" s="188" t="s">
        <v>139</v>
      </c>
      <c r="G14" s="64" t="s">
        <v>625</v>
      </c>
      <c r="H14" s="64" t="s">
        <v>623</v>
      </c>
      <c r="I14" s="118" t="s">
        <v>620</v>
      </c>
      <c r="J14" s="118" t="s">
        <v>621</v>
      </c>
      <c r="K14" s="64" t="s">
        <v>637</v>
      </c>
      <c r="L14" s="64" t="s">
        <v>638</v>
      </c>
      <c r="M14" s="253" t="s">
        <v>618</v>
      </c>
      <c r="N14" s="253" t="s">
        <v>619</v>
      </c>
      <c r="O14" s="129" t="s">
        <v>140</v>
      </c>
      <c r="P14" s="188" t="s">
        <v>374</v>
      </c>
      <c r="Q14" s="118" t="s">
        <v>150</v>
      </c>
      <c r="R14" s="129" t="s">
        <v>149</v>
      </c>
      <c r="S14" s="129" t="s">
        <v>640</v>
      </c>
      <c r="T14" s="64" t="s">
        <v>639</v>
      </c>
      <c r="U14" s="65" t="s">
        <v>641</v>
      </c>
      <c r="V14" s="65" t="s">
        <v>420</v>
      </c>
      <c r="W14" s="253" t="s">
        <v>152</v>
      </c>
      <c r="X14" s="253" t="s">
        <v>151</v>
      </c>
    </row>
    <row r="15" spans="1:24">
      <c r="A15" t="e">
        <f>INDEX(Prioritization!$D:$D,MATCH($B15,Prioritization!$A:$A,0))</f>
        <v>#N/A</v>
      </c>
      <c r="E15" s="5" t="str">
        <f>B15&amp;"|"&amp;C15&amp;"|"&amp;D15</f>
        <v>||</v>
      </c>
      <c r="F15" s="142" t="str" cm="1">
        <f t="array" ref="F15">IFERROR(1/(1/SUM(SUMIFS(Cascade!$AN:$AN,Cascade!$B:$B,$B15,Cascade!$C:$C,IF($C15="&lt;15",{"=&lt;01","01-09","10-14"},{"15-24","25-34","35-49","50+"}),Cascade!$D:$D,$D15))),"")</f>
        <v/>
      </c>
      <c r="H15" s="47" t="str">
        <f>IF(SUM($F15)=0,"",IF($G15="","ENTER INCIDENCE RATE",ROUND($F15*$G15,0)))</f>
        <v/>
      </c>
      <c r="K15" s="11" t="str">
        <f>IF(SUM($H15)=0,"",ROUND($I15/($I15+$J15),2))</f>
        <v/>
      </c>
      <c r="L15" s="11" t="str">
        <f>IF(SUM($H15)=0,"",ROUND(1-$K15,2))</f>
        <v/>
      </c>
      <c r="M15" s="215" t="str">
        <f>IF(SUM($H15)=0,"",ROUND($H15*$K15,0))</f>
        <v/>
      </c>
      <c r="N15" s="215" t="str">
        <f>IF(SUM($H15)=0,"",ROUND($H15*$L15,0))</f>
        <v/>
      </c>
      <c r="O15" s="119" t="str" cm="1">
        <f t="array" ref="O15">IFERROR(1/(1/SUM(SUMIFS(Cascade!$AV:$AV,Cascade!$B:$B,$B15,Cascade!$C:$C,IF($C15="&lt;15",{"=&lt;01","01-09","10-14"},{"15-24","25-34","35-49","50+"}),Cascade!$D:$D,$D15))),"")</f>
        <v/>
      </c>
      <c r="S15" s="128" t="str">
        <f>IFERROR(1/(1/SUM($P15,$R15,$Q15)),"")</f>
        <v/>
      </c>
      <c r="T15" s="11">
        <v>1</v>
      </c>
      <c r="U15" s="45">
        <v>1</v>
      </c>
      <c r="V15" s="45">
        <v>0.9</v>
      </c>
      <c r="W15" s="358" t="str">
        <f>IF(SUM($F15)=0,"",IF($V15="","ENTER COMPLETION RATE",IF($T15="","ENTER INITIATION RATE",ROUND(($F15-$S15)*$T15*$V15,0))))</f>
        <v/>
      </c>
      <c r="X15" s="358" t="str">
        <f>IF(SUM($N15)=0,"",IF($V15="","ENTER COMPLETION RATE",IF($T15 = "","ENTER INITIATION RATE",ROUND(($O15-$N15)*$U15*$V15,0))))</f>
        <v/>
      </c>
    </row>
    <row r="16" spans="1:24">
      <c r="M16" s="119"/>
      <c r="N16" s="119"/>
      <c r="S16" s="357"/>
      <c r="W16" s="359"/>
    </row>
    <row r="17" spans="13:14">
      <c r="M17" s="119"/>
      <c r="N17" s="119"/>
    </row>
  </sheetData>
  <conditionalFormatting sqref="G1:G1048576">
    <cfRule type="expression" dxfId="25" priority="3">
      <formula>AND(ISNUMBER(G1),G1&gt;1)</formula>
    </cfRule>
  </conditionalFormatting>
  <conditionalFormatting sqref="G7">
    <cfRule type="expression" dxfId="24" priority="2">
      <formula>AND(ISNUMBER(G7),ROUND(SUM(G7),2)&lt;100%)</formula>
    </cfRule>
  </conditionalFormatting>
  <conditionalFormatting sqref="L1:L15 L18:L1048576">
    <cfRule type="expression" dxfId="23" priority="31">
      <formula>AND(SUM(#REF!)&lt;&gt;0,L1="",ROW(L1)&gt;14)</formula>
    </cfRule>
  </conditionalFormatting>
  <conditionalFormatting sqref="O1:W15 P16:W17 I18:W1048576 F1:H1048576 I1:N14 K15:O15 I16:J17">
    <cfRule type="expression" dxfId="22" priority="25">
      <formula>AND(ISNUMBER(F1),F1&lt;0)</formula>
    </cfRule>
  </conditionalFormatting>
  <conditionalFormatting sqref="T1:U1048576">
    <cfRule type="expression" dxfId="21" priority="12">
      <formula>AND(ISNUMBER(T1),ROUND(SUM(T1),2)&lt;100%)</formula>
    </cfRule>
  </conditionalFormatting>
  <conditionalFormatting sqref="T1:V1048576">
    <cfRule type="expression" dxfId="20" priority="5">
      <formula>V1="ENTER INITIATION RATE"</formula>
    </cfRule>
  </conditionalFormatting>
  <conditionalFormatting sqref="V1:V1048576">
    <cfRule type="expression" dxfId="19" priority="4">
      <formula>AND(ISNUMBER(V1),V1&gt;1)</formula>
    </cfRule>
    <cfRule type="expression" dxfId="18" priority="6">
      <formula>AND(ISNUMBER(V1),ROUND(SUM(V1),2)&lt;100%)</formula>
    </cfRule>
  </conditionalFormatting>
  <conditionalFormatting sqref="X1:X1048576">
    <cfRule type="expression" dxfId="17" priority="7">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119" customWidth="1"/>
    <col min="9" max="13" width="11.796875" style="11" customWidth="1"/>
    <col min="14" max="18" width="11.796875" style="119" customWidth="1"/>
  </cols>
  <sheetData>
    <row r="1" spans="1:18" s="21" customFormat="1" ht="31.05" customHeight="1">
      <c r="A1" s="96" t="s">
        <v>8</v>
      </c>
      <c r="B1" s="4"/>
      <c r="C1" s="1"/>
      <c r="D1" s="1"/>
      <c r="E1" s="92"/>
      <c r="F1" s="113" t="s">
        <v>20</v>
      </c>
      <c r="G1" s="361"/>
      <c r="H1" s="160"/>
      <c r="I1" s="59"/>
      <c r="J1" s="59"/>
      <c r="K1" s="59"/>
      <c r="L1" s="59"/>
      <c r="M1" s="59"/>
      <c r="N1" s="160"/>
      <c r="O1" s="160"/>
      <c r="P1" s="160"/>
      <c r="Q1" s="160"/>
      <c r="R1" s="160"/>
    </row>
    <row r="2" spans="1:18" s="20" customFormat="1" ht="18">
      <c r="A2" s="13"/>
      <c r="B2" s="2"/>
      <c r="C2" s="2"/>
      <c r="D2" s="2"/>
      <c r="E2" s="13"/>
      <c r="F2" s="114"/>
      <c r="G2" s="362"/>
      <c r="H2" s="289"/>
      <c r="I2" s="3"/>
      <c r="J2" s="3"/>
      <c r="K2" s="3"/>
      <c r="L2" s="3"/>
      <c r="M2" s="3"/>
      <c r="N2" s="322"/>
      <c r="O2" s="249" t="s">
        <v>401</v>
      </c>
      <c r="P2" s="249" t="s">
        <v>401</v>
      </c>
      <c r="Q2" s="249" t="s">
        <v>401</v>
      </c>
      <c r="R2" s="249" t="s">
        <v>401</v>
      </c>
    </row>
    <row r="3" spans="1:18" ht="117" customHeight="1">
      <c r="A3" s="93"/>
      <c r="B3" s="17"/>
      <c r="C3" s="17"/>
      <c r="D3" s="17"/>
      <c r="E3" s="93"/>
      <c r="F3" s="115" t="s">
        <v>673</v>
      </c>
      <c r="G3" s="290" t="s">
        <v>603</v>
      </c>
      <c r="H3" s="290" t="s">
        <v>587</v>
      </c>
      <c r="I3" s="78" t="s">
        <v>581</v>
      </c>
      <c r="J3" s="78" t="s">
        <v>582</v>
      </c>
      <c r="K3" s="78" t="s">
        <v>583</v>
      </c>
      <c r="L3" s="52" t="s">
        <v>584</v>
      </c>
      <c r="M3" s="78" t="s">
        <v>585</v>
      </c>
      <c r="N3" s="213" t="s">
        <v>586</v>
      </c>
      <c r="O3" s="213" t="s">
        <v>464</v>
      </c>
      <c r="P3" s="213" t="s">
        <v>465</v>
      </c>
      <c r="Q3" s="213" t="s">
        <v>466</v>
      </c>
      <c r="R3" s="213" t="s">
        <v>467</v>
      </c>
    </row>
    <row r="4" spans="1:18">
      <c r="A4" s="94"/>
      <c r="B4" s="15"/>
      <c r="C4" s="15"/>
      <c r="D4" s="15" t="s">
        <v>2</v>
      </c>
      <c r="E4" s="94"/>
      <c r="F4" s="37"/>
      <c r="G4" s="133">
        <f>SUBTOTAL(109,G$15:INDEX(G:G,COUNTA($B:$B)+14-COUNTA($B$1:$B$14)))</f>
        <v>0</v>
      </c>
      <c r="H4" s="133">
        <f>SUBTOTAL(109,H$15:INDEX(H:H,COUNTA($B:$B)+14-COUNTA($B$1:$B$14)))</f>
        <v>0</v>
      </c>
      <c r="I4" s="18" t="str">
        <f>IF($H$4=0,"",$N$4/$H$4-1)</f>
        <v/>
      </c>
      <c r="J4" s="18" t="str">
        <f>IF($N$4=0,"",$O$4/$N$4)</f>
        <v/>
      </c>
      <c r="K4" s="18" t="str">
        <f>IF($N$4=0,"",$P$4/$N$4)</f>
        <v/>
      </c>
      <c r="L4" s="18" t="str">
        <f>IF($N$4=0,"",SUM($Q$4,$R$4)/$N$4)</f>
        <v/>
      </c>
      <c r="M4" s="18" t="str">
        <f>IF(SUM($Q$4,$R$4)=0,"",$Q$4/SUM($Q$4,$R$4))</f>
        <v/>
      </c>
      <c r="N4" s="252">
        <f>SUBTOTAL(109,N$15:INDEX(N:N,COUNTA($B:$B)+14-COUNTA($B$1:$B$14)))</f>
        <v>0</v>
      </c>
      <c r="O4" s="252">
        <f>SUBTOTAL(109,O$15:INDEX(O:O,COUNTA($B:$B)+14-COUNTA($B$1:$B$14)))</f>
        <v>0</v>
      </c>
      <c r="P4" s="252">
        <f>SUBTOTAL(109,P$15:INDEX(P:P,COUNTA($B:$B)+14-COUNTA($B$1:$B$14)))</f>
        <v>0</v>
      </c>
      <c r="Q4" s="252">
        <f>SUBTOTAL(109,Q$15:INDEX(Q:Q,COUNTA($B:$B)+14-COUNTA($B$1:$B$14)))</f>
        <v>0</v>
      </c>
      <c r="R4" s="252">
        <f>SUBTOTAL(109,R$15:INDEX(R:R,COUNTA($B:$B)+14-COUNTA($B$1:$B$14)))</f>
        <v>0</v>
      </c>
    </row>
    <row r="5" spans="1:18">
      <c r="A5" t="s">
        <v>38</v>
      </c>
      <c r="B5" s="5" t="s">
        <v>38</v>
      </c>
      <c r="C5" s="5" t="s">
        <v>38</v>
      </c>
      <c r="D5" s="5" t="s">
        <v>38</v>
      </c>
      <c r="E5" t="s">
        <v>38</v>
      </c>
      <c r="F5" s="22" t="s">
        <v>38</v>
      </c>
      <c r="G5" s="363" t="s">
        <v>49</v>
      </c>
      <c r="H5" s="363" t="s">
        <v>49</v>
      </c>
      <c r="I5" s="11" t="s">
        <v>38</v>
      </c>
      <c r="J5" s="11" t="s">
        <v>38</v>
      </c>
      <c r="K5" s="11" t="s">
        <v>38</v>
      </c>
      <c r="L5" s="11" t="s">
        <v>38</v>
      </c>
      <c r="M5" s="11" t="s">
        <v>38</v>
      </c>
      <c r="N5" s="215" t="s">
        <v>38</v>
      </c>
      <c r="O5" s="215" t="s">
        <v>49</v>
      </c>
      <c r="P5" s="215" t="s">
        <v>49</v>
      </c>
      <c r="Q5" s="215" t="s">
        <v>49</v>
      </c>
      <c r="R5" s="215" t="s">
        <v>49</v>
      </c>
    </row>
    <row r="6" spans="1:18">
      <c r="A6" t="s">
        <v>87</v>
      </c>
      <c r="B6" s="5" t="s">
        <v>87</v>
      </c>
      <c r="C6" s="5" t="s">
        <v>87</v>
      </c>
      <c r="D6" s="5" t="s">
        <v>87</v>
      </c>
      <c r="E6" t="s">
        <v>87</v>
      </c>
      <c r="F6" s="22" t="s">
        <v>51</v>
      </c>
      <c r="G6" s="363" t="s">
        <v>50</v>
      </c>
      <c r="H6" s="363" t="s">
        <v>50</v>
      </c>
      <c r="I6" s="11" t="s">
        <v>52</v>
      </c>
      <c r="J6" s="11" t="s">
        <v>52</v>
      </c>
      <c r="K6" s="11" t="s">
        <v>52</v>
      </c>
      <c r="L6" s="11" t="s">
        <v>52</v>
      </c>
      <c r="M6" s="11" t="s">
        <v>52</v>
      </c>
      <c r="N6" s="215" t="s">
        <v>52</v>
      </c>
      <c r="O6" s="215" t="s">
        <v>32</v>
      </c>
      <c r="P6" s="215" t="s">
        <v>32</v>
      </c>
      <c r="Q6" s="215" t="s">
        <v>32</v>
      </c>
      <c r="R6" s="215" t="s">
        <v>32</v>
      </c>
    </row>
    <row r="7" spans="1:18">
      <c r="A7" t="s">
        <v>48</v>
      </c>
      <c r="B7" s="5" t="s">
        <v>48</v>
      </c>
      <c r="C7" s="5" t="s">
        <v>48</v>
      </c>
      <c r="D7" s="5" t="s">
        <v>48</v>
      </c>
      <c r="E7" t="s">
        <v>48</v>
      </c>
      <c r="F7" s="22" t="s">
        <v>48</v>
      </c>
      <c r="G7" s="363" t="s">
        <v>34</v>
      </c>
      <c r="H7" s="119" t="s">
        <v>34</v>
      </c>
      <c r="I7" s="11" t="s">
        <v>35</v>
      </c>
      <c r="J7" s="11" t="s">
        <v>35</v>
      </c>
      <c r="K7" s="11" t="s">
        <v>35</v>
      </c>
      <c r="L7" s="11" t="s">
        <v>35</v>
      </c>
      <c r="M7" s="11" t="s">
        <v>35</v>
      </c>
      <c r="N7" s="215" t="s">
        <v>34</v>
      </c>
      <c r="O7" s="215" t="s">
        <v>34</v>
      </c>
      <c r="P7" s="215" t="s">
        <v>34</v>
      </c>
      <c r="Q7" s="215" t="s">
        <v>34</v>
      </c>
      <c r="R7" s="215" t="s">
        <v>34</v>
      </c>
    </row>
    <row r="8" spans="1:18">
      <c r="B8" s="5"/>
      <c r="C8" s="5"/>
      <c r="D8" s="5"/>
      <c r="F8" s="37"/>
      <c r="G8" s="364" t="s">
        <v>418</v>
      </c>
      <c r="H8" s="353" t="s">
        <v>316</v>
      </c>
      <c r="I8" s="47"/>
      <c r="J8" s="47"/>
      <c r="K8" s="47"/>
      <c r="L8" s="47"/>
      <c r="M8" s="47"/>
      <c r="N8" s="215"/>
      <c r="O8" s="368" t="s">
        <v>314</v>
      </c>
      <c r="P8" s="368" t="s">
        <v>312</v>
      </c>
      <c r="Q8" s="217" t="s">
        <v>316</v>
      </c>
      <c r="R8" s="217" t="s">
        <v>316</v>
      </c>
    </row>
    <row r="9" spans="1:18">
      <c r="B9" s="5"/>
      <c r="C9" s="5"/>
      <c r="D9" s="5"/>
      <c r="F9" s="37"/>
      <c r="G9" s="364" t="s">
        <v>419</v>
      </c>
      <c r="H9" s="353" t="s">
        <v>317</v>
      </c>
      <c r="I9" s="47"/>
      <c r="J9" s="47"/>
      <c r="K9" s="47"/>
      <c r="L9" s="47"/>
      <c r="M9" s="47"/>
      <c r="N9" s="215"/>
      <c r="O9" s="368" t="s">
        <v>315</v>
      </c>
      <c r="P9" s="368" t="s">
        <v>313</v>
      </c>
      <c r="Q9" s="217" t="s">
        <v>317</v>
      </c>
      <c r="R9" s="217" t="s">
        <v>317</v>
      </c>
    </row>
    <row r="10" spans="1:18">
      <c r="B10" s="5"/>
      <c r="C10" s="5"/>
      <c r="D10" s="5"/>
      <c r="F10" s="37"/>
      <c r="G10" s="365"/>
      <c r="H10" s="186"/>
      <c r="I10" s="47"/>
      <c r="J10" s="47"/>
      <c r="K10" s="47"/>
      <c r="L10" s="47"/>
      <c r="M10" s="47"/>
      <c r="N10" s="215"/>
      <c r="O10" s="217"/>
      <c r="P10" s="217"/>
      <c r="Q10" s="217" t="s">
        <v>71</v>
      </c>
      <c r="R10" s="217" t="s">
        <v>70</v>
      </c>
    </row>
    <row r="11" spans="1:18">
      <c r="B11" s="5"/>
      <c r="C11" s="5"/>
      <c r="D11" s="5"/>
      <c r="F11" s="37"/>
      <c r="G11" s="363" t="s">
        <v>305</v>
      </c>
      <c r="H11" s="119" t="s">
        <v>305</v>
      </c>
      <c r="I11" s="11" t="s">
        <v>305</v>
      </c>
      <c r="J11" s="11" t="s">
        <v>306</v>
      </c>
      <c r="K11" s="11" t="s">
        <v>307</v>
      </c>
      <c r="L11" s="11" t="s">
        <v>305</v>
      </c>
      <c r="M11" s="11" t="s">
        <v>305</v>
      </c>
      <c r="N11" s="215" t="s">
        <v>305</v>
      </c>
      <c r="O11" s="215" t="s">
        <v>306</v>
      </c>
      <c r="P11" s="215" t="s">
        <v>307</v>
      </c>
      <c r="Q11" s="215" t="s">
        <v>305</v>
      </c>
      <c r="R11" s="215" t="s">
        <v>305</v>
      </c>
    </row>
    <row r="12" spans="1:18">
      <c r="B12" s="5"/>
      <c r="C12" s="5"/>
      <c r="D12" s="5"/>
      <c r="F12" s="37"/>
      <c r="G12" s="363" t="s">
        <v>88</v>
      </c>
      <c r="H12" s="119" t="s">
        <v>88</v>
      </c>
      <c r="I12" s="11" t="s">
        <v>88</v>
      </c>
      <c r="J12" s="11" t="s">
        <v>302</v>
      </c>
      <c r="K12" s="11" t="s">
        <v>88</v>
      </c>
      <c r="L12" s="11" t="s">
        <v>88</v>
      </c>
      <c r="M12" s="11" t="s">
        <v>88</v>
      </c>
      <c r="N12" s="215" t="s">
        <v>88</v>
      </c>
      <c r="O12" s="215" t="s">
        <v>302</v>
      </c>
      <c r="P12" s="215" t="s">
        <v>88</v>
      </c>
      <c r="Q12" s="215" t="s">
        <v>88</v>
      </c>
      <c r="R12" s="215" t="s">
        <v>88</v>
      </c>
    </row>
    <row r="13" spans="1:18">
      <c r="B13" s="5"/>
      <c r="C13" s="5"/>
      <c r="D13" s="5"/>
      <c r="F13" s="37"/>
      <c r="G13" s="363"/>
      <c r="N13" s="215"/>
      <c r="O13" s="215"/>
      <c r="P13" s="215"/>
      <c r="Q13" s="215"/>
      <c r="R13" s="215"/>
    </row>
    <row r="14" spans="1:18">
      <c r="A14" s="95" t="s">
        <v>24</v>
      </c>
      <c r="B14" s="71" t="s">
        <v>3</v>
      </c>
      <c r="C14" s="71" t="s">
        <v>16</v>
      </c>
      <c r="D14" s="71" t="s">
        <v>4</v>
      </c>
      <c r="E14" s="95" t="s">
        <v>27</v>
      </c>
      <c r="F14" s="116" t="s">
        <v>208</v>
      </c>
      <c r="G14" s="366" t="s">
        <v>223</v>
      </c>
      <c r="H14" s="118" t="s">
        <v>166</v>
      </c>
      <c r="I14" s="64" t="s">
        <v>211</v>
      </c>
      <c r="J14" s="64" t="s">
        <v>212</v>
      </c>
      <c r="K14" s="64" t="s">
        <v>214</v>
      </c>
      <c r="L14" s="64" t="s">
        <v>213</v>
      </c>
      <c r="M14" s="64" t="s">
        <v>215</v>
      </c>
      <c r="N14" s="253" t="s">
        <v>217</v>
      </c>
      <c r="O14" s="253" t="s">
        <v>190</v>
      </c>
      <c r="P14" s="253" t="s">
        <v>218</v>
      </c>
      <c r="Q14" s="253" t="s">
        <v>216</v>
      </c>
      <c r="R14" s="253" t="s">
        <v>167</v>
      </c>
    </row>
    <row r="15" spans="1:18">
      <c r="A15" t="e">
        <f>INDEX(Prioritization!$D:$D,MATCH($B15,Prioritization!$A:$A,0))</f>
        <v>#N/A</v>
      </c>
      <c r="B15" s="5"/>
      <c r="C15" s="5"/>
      <c r="D15" s="5"/>
      <c r="E15" t="str">
        <f>$B15&amp;"|"&amp;$C15&amp;"|"&amp;$D15</f>
        <v>||</v>
      </c>
      <c r="F15" s="37"/>
      <c r="G15" s="367"/>
      <c r="I15" s="11" t="str">
        <f>IF(SUM($H15)=0,"",0%)</f>
        <v/>
      </c>
      <c r="L15" s="11">
        <f>1-IF(NOT(AND($D15="Female",OR($C15="10-14",$C15="15-17",$F15="Y"))),0,$J15)-IF(NOT(OR($C15="05-09",$C15="10-14")),0,$K15)</f>
        <v>1</v>
      </c>
      <c r="M15" s="11">
        <f>IF(SUM($L15)=0,"",20%)</f>
        <v>0.2</v>
      </c>
      <c r="N15" s="215" t="str">
        <f>IF(SUM($H15)=0,"",ROUND($H15*(1+$I15),0))</f>
        <v/>
      </c>
      <c r="O15" s="215" t="str">
        <f>IF(OR(SUM($N15)=0,SUM($J15)=0,NOT(AND($D15="Female",$F15="Y",OR($C15="10-14",$C15="15-17")))),"",ROUND($N15*$J15,0))</f>
        <v/>
      </c>
      <c r="P15" s="215" t="str">
        <f>IF(OR(SUM($N15)=0,SUM($K15)=0,NOT(OR($C15="10-14",$C15="05-09"))),"",ROUND($N15*$K15,0))</f>
        <v/>
      </c>
      <c r="Q15" s="215" t="str">
        <f>IFERROR(1/(1/ROUND($N15*$L15*$M15,0)),"")</f>
        <v/>
      </c>
      <c r="R15" s="215" t="str">
        <f>IFERROR(1/(1/(ROUND($N15*$L15,0)-$Q15)),"")</f>
        <v/>
      </c>
    </row>
  </sheetData>
  <conditionalFormatting sqref="F1:H1048576 J1:R1048576">
    <cfRule type="expression" dxfId="16" priority="1">
      <formula>AND(ISNUMBER(F1),F1&lt;0)</formula>
    </cfRule>
  </conditionalFormatting>
  <conditionalFormatting sqref="J1:J1048576 O1:O1048576">
    <cfRule type="expression" dxfId="15" priority="3854">
      <formula>AND($B1&lt;&gt;"",ROW(J1)&gt;14,NOT(AND($D1="Female",$F1="Y",OR($C1="10-14",$C1="15-17"))))</formula>
    </cfRule>
  </conditionalFormatting>
  <conditionalFormatting sqref="J1:M1048576">
    <cfRule type="expression" dxfId="14" priority="2">
      <formula>AND(ISNUMBER(J1),OR(ROUND(SUM(J1),2)&lt;0,ROUND(SUM(J1),2)&gt;1))</formula>
    </cfRule>
  </conditionalFormatting>
  <conditionalFormatting sqref="K1:K1048576 P1:P1048576">
    <cfRule type="expression" dxfId="13" priority="17">
      <formula>AND($E1&lt;&gt;"",ROW(K1)&gt;14,NOT(OR($C1="05-09",$C1="10-14")))</formula>
    </cfRule>
  </conditionalFormatting>
  <conditionalFormatting sqref="M1:M1048576">
    <cfRule type="expression" dxfId="12"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5" sqref="B15"/>
    </sheetView>
  </sheetViews>
  <sheetFormatPr defaultColWidth="11.19921875" defaultRowHeight="15.6"/>
  <cols>
    <col min="1" max="1" width="16.19921875" customWidth="1"/>
    <col min="2" max="2" width="41.296875" style="5" customWidth="1"/>
    <col min="3" max="3" width="11.796875" style="142" customWidth="1"/>
    <col min="4" max="4" width="11.69921875" style="119" customWidth="1"/>
    <col min="5" max="6" width="11.796875" style="11" customWidth="1"/>
    <col min="7" max="8" width="11.796875" style="215" customWidth="1"/>
  </cols>
  <sheetData>
    <row r="1" spans="1:8" s="12" customFormat="1" ht="31.05" customHeight="1">
      <c r="A1" s="12" t="s">
        <v>10</v>
      </c>
      <c r="B1" s="16"/>
      <c r="C1" s="369" t="s">
        <v>14</v>
      </c>
      <c r="D1" s="361"/>
      <c r="E1" s="80"/>
      <c r="F1" s="80"/>
      <c r="G1" s="361"/>
      <c r="H1" s="361"/>
    </row>
    <row r="2" spans="1:8" s="13" customFormat="1" ht="18">
      <c r="B2" s="2"/>
      <c r="C2" s="285"/>
      <c r="D2" s="289"/>
      <c r="E2" s="3"/>
      <c r="F2" s="3"/>
      <c r="G2" s="249" t="s">
        <v>401</v>
      </c>
      <c r="H2" s="249" t="s">
        <v>401</v>
      </c>
    </row>
    <row r="3" spans="1:8" ht="117" customHeight="1">
      <c r="C3" s="286" t="s">
        <v>588</v>
      </c>
      <c r="D3" s="290" t="s">
        <v>589</v>
      </c>
      <c r="E3" s="78" t="s">
        <v>365</v>
      </c>
      <c r="F3" s="78" t="s">
        <v>366</v>
      </c>
      <c r="G3" s="236" t="s">
        <v>470</v>
      </c>
      <c r="H3" s="236" t="s">
        <v>471</v>
      </c>
    </row>
    <row r="4" spans="1:8">
      <c r="A4" s="94"/>
      <c r="B4" s="15" t="s">
        <v>2</v>
      </c>
      <c r="C4" s="142">
        <f>SUBTOTAL(109,C$15:INDEX(C:C,COUNTA($B:$B)+14-COUNTA($B$1:$B$14)))</f>
        <v>0</v>
      </c>
      <c r="D4" s="119">
        <f>SUBTOTAL(109,D$15:INDEX(D:D,COUNTA($B:$B)+14-COUNTA($B$1:$B$14)))</f>
        <v>0</v>
      </c>
      <c r="E4" s="11" t="str">
        <f>IF($C$4=0,"",$G$4/$C$4-1)</f>
        <v/>
      </c>
      <c r="F4" s="11" t="str">
        <f>IF($D$4=0,"",$H$4/$D$4-1)</f>
        <v/>
      </c>
      <c r="G4" s="215">
        <f>SUBTOTAL(109,G$15:INDEX(G:G,COUNTA($B:$B)+14-COUNTA($B$1:$B$14)))</f>
        <v>0</v>
      </c>
      <c r="H4" s="215">
        <f>SUBTOTAL(109,H$15:INDEX(H:H,COUNTA($B:$B)+14-COUNTA($B$1:$B$14)))</f>
        <v>0</v>
      </c>
    </row>
    <row r="5" spans="1:8">
      <c r="A5" s="94" t="s">
        <v>38</v>
      </c>
      <c r="B5" s="15" t="s">
        <v>38</v>
      </c>
      <c r="C5" s="142" t="s">
        <v>49</v>
      </c>
      <c r="D5" s="119" t="s">
        <v>49</v>
      </c>
      <c r="E5" s="11" t="s">
        <v>38</v>
      </c>
      <c r="F5" s="11" t="s">
        <v>38</v>
      </c>
      <c r="G5" s="215" t="s">
        <v>49</v>
      </c>
      <c r="H5" s="215" t="s">
        <v>49</v>
      </c>
    </row>
    <row r="6" spans="1:8">
      <c r="A6" s="94" t="s">
        <v>87</v>
      </c>
      <c r="B6" s="15" t="s">
        <v>87</v>
      </c>
      <c r="C6" s="142" t="s">
        <v>50</v>
      </c>
      <c r="D6" s="119" t="s">
        <v>50</v>
      </c>
      <c r="E6" s="11" t="s">
        <v>52</v>
      </c>
      <c r="F6" s="11" t="s">
        <v>52</v>
      </c>
      <c r="G6" s="215" t="s">
        <v>32</v>
      </c>
      <c r="H6" s="215" t="s">
        <v>32</v>
      </c>
    </row>
    <row r="7" spans="1:8">
      <c r="A7" s="94" t="s">
        <v>48</v>
      </c>
      <c r="B7" s="15" t="s">
        <v>48</v>
      </c>
      <c r="C7" s="142" t="s">
        <v>34</v>
      </c>
      <c r="D7" s="119" t="s">
        <v>34</v>
      </c>
      <c r="E7" s="11" t="s">
        <v>35</v>
      </c>
      <c r="F7" s="11" t="s">
        <v>35</v>
      </c>
      <c r="G7" s="215" t="s">
        <v>34</v>
      </c>
      <c r="H7" s="215" t="s">
        <v>34</v>
      </c>
    </row>
    <row r="8" spans="1:8">
      <c r="A8" s="94"/>
      <c r="B8" s="15"/>
      <c r="C8" s="288" t="s">
        <v>83</v>
      </c>
      <c r="D8" s="186" t="s">
        <v>83</v>
      </c>
      <c r="E8" s="47"/>
      <c r="F8" s="47"/>
      <c r="G8" s="217" t="s">
        <v>83</v>
      </c>
      <c r="H8" s="217" t="s">
        <v>83</v>
      </c>
    </row>
    <row r="9" spans="1:8">
      <c r="A9" s="94"/>
      <c r="B9" s="15"/>
      <c r="C9" s="288" t="s">
        <v>84</v>
      </c>
      <c r="D9" s="186" t="s">
        <v>84</v>
      </c>
      <c r="E9" s="47"/>
      <c r="F9" s="47"/>
      <c r="G9" s="217" t="s">
        <v>84</v>
      </c>
      <c r="H9" s="217" t="s">
        <v>84</v>
      </c>
    </row>
    <row r="10" spans="1:8">
      <c r="A10" s="94"/>
      <c r="B10" s="15"/>
      <c r="C10" s="288" t="s">
        <v>85</v>
      </c>
      <c r="D10" s="186" t="s">
        <v>86</v>
      </c>
      <c r="E10" s="47"/>
      <c r="F10" s="47"/>
      <c r="G10" s="217" t="s">
        <v>85</v>
      </c>
      <c r="H10" s="217" t="s">
        <v>86</v>
      </c>
    </row>
    <row r="11" spans="1:8">
      <c r="A11" s="94"/>
      <c r="B11" s="15"/>
    </row>
    <row r="12" spans="1:8">
      <c r="A12" s="94"/>
      <c r="B12" s="15"/>
    </row>
    <row r="13" spans="1:8">
      <c r="A13" s="94"/>
      <c r="B13" s="15"/>
    </row>
    <row r="14" spans="1:8">
      <c r="A14" s="95" t="s">
        <v>24</v>
      </c>
      <c r="B14" s="71" t="s">
        <v>3</v>
      </c>
      <c r="C14" s="188" t="s">
        <v>170</v>
      </c>
      <c r="D14" s="370" t="s">
        <v>171</v>
      </c>
      <c r="E14" s="64" t="s">
        <v>206</v>
      </c>
      <c r="F14" s="64" t="s">
        <v>207</v>
      </c>
      <c r="G14" s="371" t="s">
        <v>172</v>
      </c>
      <c r="H14" s="371" t="s">
        <v>173</v>
      </c>
    </row>
    <row r="15" spans="1:8">
      <c r="A15" t="e">
        <f>INDEX(Prioritization!$D:$D,MATCH($B15,Prioritization!$A:$A,0))</f>
        <v>#N/A</v>
      </c>
      <c r="E15" s="11" t="str">
        <f>IF(SUM($C15)=0,"",0%)</f>
        <v/>
      </c>
      <c r="F15" s="11" t="str">
        <f>IF(SUM($D15)=0,"",0%)</f>
        <v/>
      </c>
      <c r="G15" s="215" t="str">
        <f>IF(SUM($C15)=0,"",ROUND($C15*(1+$E15),0))</f>
        <v/>
      </c>
      <c r="H15" s="215" t="str">
        <f>IF(SUM($D15)=0,"",ROUND($D15*(1+$F15),0))</f>
        <v/>
      </c>
    </row>
  </sheetData>
  <conditionalFormatting sqref="C1:D1048576 G1:H1048576">
    <cfRule type="expression" dxfId="11"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119" customWidth="1"/>
    <col min="8" max="8" width="11.796875" style="11" customWidth="1"/>
    <col min="9" max="16" width="11.796875" style="119" customWidth="1"/>
    <col min="17" max="19" width="11.796875" style="41" customWidth="1"/>
    <col min="20" max="21" width="12.69921875" style="215" customWidth="1"/>
  </cols>
  <sheetData>
    <row r="1" spans="1:21" s="21" customFormat="1" ht="31.05" customHeight="1" thickBot="1">
      <c r="A1" s="96" t="s">
        <v>179</v>
      </c>
      <c r="B1" s="4"/>
      <c r="C1" s="1"/>
      <c r="D1" s="1"/>
      <c r="E1" s="1"/>
      <c r="F1" s="160" t="s">
        <v>180</v>
      </c>
      <c r="G1" s="269"/>
      <c r="H1" s="60"/>
      <c r="I1" s="269"/>
      <c r="J1" s="160"/>
      <c r="K1" s="269"/>
      <c r="L1" s="269"/>
      <c r="M1" s="269"/>
      <c r="N1" s="269"/>
      <c r="O1" s="269"/>
      <c r="P1" s="269"/>
      <c r="Q1" s="60"/>
      <c r="R1" s="60"/>
      <c r="S1" s="60"/>
      <c r="T1" s="160"/>
      <c r="U1" s="160"/>
    </row>
    <row r="2" spans="1:21" s="20" customFormat="1" ht="18">
      <c r="A2" s="154" t="s">
        <v>367</v>
      </c>
      <c r="B2" s="151"/>
      <c r="C2" s="2"/>
      <c r="D2" s="2"/>
      <c r="E2" s="2"/>
      <c r="F2" s="289"/>
      <c r="G2" s="289"/>
      <c r="H2" s="3"/>
      <c r="I2" s="289"/>
      <c r="J2" s="249"/>
      <c r="K2" s="289"/>
      <c r="L2" s="289"/>
      <c r="M2" s="289"/>
      <c r="N2" s="289"/>
      <c r="O2" s="289"/>
      <c r="P2" s="289"/>
      <c r="Q2" s="3"/>
      <c r="R2" s="3"/>
      <c r="S2" s="3"/>
      <c r="T2" s="249" t="s">
        <v>401</v>
      </c>
      <c r="U2" s="249" t="s">
        <v>401</v>
      </c>
    </row>
    <row r="3" spans="1:21" ht="117" customHeight="1" thickBot="1">
      <c r="A3" s="152"/>
      <c r="B3" s="153"/>
      <c r="C3" s="17"/>
      <c r="D3" s="17"/>
      <c r="E3" s="17"/>
      <c r="F3" s="372" t="s">
        <v>595</v>
      </c>
      <c r="G3" s="372" t="s">
        <v>596</v>
      </c>
      <c r="H3" s="78" t="s">
        <v>590</v>
      </c>
      <c r="I3" s="205" t="s">
        <v>591</v>
      </c>
      <c r="J3" s="290" t="s">
        <v>597</v>
      </c>
      <c r="K3" s="205" t="s">
        <v>592</v>
      </c>
      <c r="L3" s="290" t="s">
        <v>604</v>
      </c>
      <c r="M3" s="290" t="s">
        <v>605</v>
      </c>
      <c r="N3" s="290" t="s">
        <v>606</v>
      </c>
      <c r="O3" s="290" t="s">
        <v>607</v>
      </c>
      <c r="P3" s="290" t="s">
        <v>608</v>
      </c>
      <c r="Q3" s="48" t="s">
        <v>609</v>
      </c>
      <c r="R3" s="66" t="s">
        <v>446</v>
      </c>
      <c r="S3" s="66" t="s">
        <v>593</v>
      </c>
      <c r="T3" s="213" t="s">
        <v>666</v>
      </c>
      <c r="U3" s="213" t="s">
        <v>594</v>
      </c>
    </row>
    <row r="4" spans="1:21">
      <c r="A4" s="94"/>
      <c r="B4" s="15"/>
      <c r="C4" s="15"/>
      <c r="D4" s="15" t="s">
        <v>2</v>
      </c>
      <c r="E4" s="15"/>
      <c r="F4" s="133">
        <f>SUBTOTAL(109,F$15:INDEX(F:F,COUNTA($B:$B)+14-COUNTA($B$1:$B$14)))</f>
        <v>0</v>
      </c>
      <c r="G4" s="133">
        <f>SUBTOTAL(109,G$15:INDEX(G:G,COUNTA($B:$B)+14-COUNTA($B$1:$B$14)))</f>
        <v>0</v>
      </c>
      <c r="H4" s="18"/>
      <c r="I4" s="133">
        <f>SUBTOTAL(109,I$15:INDEX(I:I,COUNTA($B:$B)+14-COUNTA($B$1:$B$14)))</f>
        <v>0</v>
      </c>
      <c r="J4" s="133">
        <f>SUBTOTAL(109,J$15:INDEX(J:J,COUNTA($B:$B)+14-COUNTA($B$1:$B$14)))</f>
        <v>0</v>
      </c>
      <c r="K4" s="133">
        <f>SUBTOTAL(109,K$15:INDEX(K:K,COUNTA($B:$B)+14-COUNTA($B$1:$B$14)))</f>
        <v>0</v>
      </c>
      <c r="L4" s="133">
        <f>SUBTOTAL(109,L$15:INDEX(L:L,COUNTA($B:$B)+14-COUNTA($B$1:$B$14)))</f>
        <v>0</v>
      </c>
      <c r="M4" s="133">
        <f>SUBTOTAL(109,M$15:INDEX(M:M,COUNTA($B:$B)+14-COUNTA($B$1:$B$14)))</f>
        <v>0</v>
      </c>
      <c r="N4" s="133">
        <f>SUBTOTAL(109,N$15:INDEX(N:N,COUNTA($B:$B)+14-COUNTA($B$1:$B$14)))</f>
        <v>0</v>
      </c>
      <c r="O4" s="133">
        <f>SUBTOTAL(109,O$15:INDEX(O:O,COUNTA($B:$B)+14-COUNTA($B$1:$B$14)))</f>
        <v>0</v>
      </c>
      <c r="P4" s="133">
        <f>SUBTOTAL(109,P$15:INDEX(P:P,COUNTA($B:$B)+14-COUNTA($B$1:$B$14)))</f>
        <v>0</v>
      </c>
      <c r="Q4" s="40" t="str">
        <f>IF($P$4=0,"",SUM($N$4,$O$4)/$P$4)</f>
        <v/>
      </c>
      <c r="R4" s="40" t="str">
        <f>IF($P$4=0,"",$T$4/$P$4-1)</f>
        <v/>
      </c>
      <c r="S4" s="40" t="str">
        <f>IF($T$4=0,"",$U$4/$T$4)</f>
        <v/>
      </c>
      <c r="T4" s="252">
        <f>SUBTOTAL(109,T$15:INDEX(T:T,COUNTA($B:$B)+14-COUNTA($B$1:$B$14)))</f>
        <v>0</v>
      </c>
      <c r="U4" s="252">
        <f>SUBTOTAL(109,U$15:INDEX(U:U,COUNTA($B:$B)+14-COUNTA($B$1:$B$14)))</f>
        <v>0</v>
      </c>
    </row>
    <row r="5" spans="1:21">
      <c r="A5" t="s">
        <v>38</v>
      </c>
      <c r="B5" s="5" t="s">
        <v>38</v>
      </c>
      <c r="C5" s="5" t="s">
        <v>38</v>
      </c>
      <c r="D5" s="5" t="s">
        <v>38</v>
      </c>
      <c r="E5" s="5" t="s">
        <v>38</v>
      </c>
      <c r="F5" s="119" t="s">
        <v>38</v>
      </c>
      <c r="G5" s="119" t="s">
        <v>38</v>
      </c>
      <c r="H5" s="11" t="s">
        <v>38</v>
      </c>
      <c r="I5" s="119" t="s">
        <v>38</v>
      </c>
      <c r="J5" s="119" t="s">
        <v>49</v>
      </c>
      <c r="K5" s="119" t="s">
        <v>38</v>
      </c>
      <c r="L5" s="119" t="s">
        <v>49</v>
      </c>
      <c r="M5" s="119" t="s">
        <v>49</v>
      </c>
      <c r="N5" s="119" t="s">
        <v>49</v>
      </c>
      <c r="O5" s="119" t="s">
        <v>49</v>
      </c>
      <c r="P5" s="119" t="s">
        <v>38</v>
      </c>
      <c r="Q5" s="41" t="s">
        <v>38</v>
      </c>
      <c r="R5" s="41" t="s">
        <v>38</v>
      </c>
      <c r="S5" s="41" t="s">
        <v>38</v>
      </c>
      <c r="T5" s="215" t="s">
        <v>49</v>
      </c>
      <c r="U5" s="215" t="s">
        <v>49</v>
      </c>
    </row>
    <row r="6" spans="1:21">
      <c r="A6" t="s">
        <v>87</v>
      </c>
      <c r="B6" s="5" t="s">
        <v>87</v>
      </c>
      <c r="C6" s="5" t="s">
        <v>87</v>
      </c>
      <c r="D6" s="5" t="s">
        <v>87</v>
      </c>
      <c r="E6" s="5" t="s">
        <v>87</v>
      </c>
      <c r="F6" s="119" t="s">
        <v>52</v>
      </c>
      <c r="G6" s="119" t="s">
        <v>52</v>
      </c>
      <c r="H6" s="11" t="s">
        <v>52</v>
      </c>
      <c r="I6" s="119" t="s">
        <v>52</v>
      </c>
      <c r="J6" s="119" t="s">
        <v>50</v>
      </c>
      <c r="K6" s="119" t="s">
        <v>52</v>
      </c>
      <c r="L6" s="119" t="s">
        <v>50</v>
      </c>
      <c r="M6" s="119" t="s">
        <v>50</v>
      </c>
      <c r="N6" s="119" t="s">
        <v>50</v>
      </c>
      <c r="O6" s="119" t="s">
        <v>50</v>
      </c>
      <c r="P6" s="119" t="s">
        <v>33</v>
      </c>
      <c r="Q6" s="41" t="s">
        <v>33</v>
      </c>
      <c r="R6" s="41" t="s">
        <v>52</v>
      </c>
      <c r="S6" s="41" t="s">
        <v>52</v>
      </c>
      <c r="T6" s="215" t="s">
        <v>32</v>
      </c>
      <c r="U6" s="215" t="s">
        <v>32</v>
      </c>
    </row>
    <row r="7" spans="1:21">
      <c r="A7" t="s">
        <v>48</v>
      </c>
      <c r="B7" s="5" t="s">
        <v>48</v>
      </c>
      <c r="C7" s="5" t="s">
        <v>48</v>
      </c>
      <c r="D7" s="5" t="s">
        <v>48</v>
      </c>
      <c r="E7" s="5" t="s">
        <v>48</v>
      </c>
      <c r="F7" s="119" t="s">
        <v>34</v>
      </c>
      <c r="G7" s="119" t="s">
        <v>34</v>
      </c>
      <c r="H7" s="11" t="s">
        <v>35</v>
      </c>
      <c r="I7" s="119" t="s">
        <v>34</v>
      </c>
      <c r="J7" s="119" t="s">
        <v>34</v>
      </c>
      <c r="K7" s="119" t="s">
        <v>34</v>
      </c>
      <c r="L7" s="119" t="s">
        <v>34</v>
      </c>
      <c r="M7" s="119" t="s">
        <v>34</v>
      </c>
      <c r="N7" s="119" t="s">
        <v>34</v>
      </c>
      <c r="O7" s="119" t="s">
        <v>34</v>
      </c>
      <c r="P7" s="119" t="s">
        <v>34</v>
      </c>
      <c r="Q7" s="41" t="s">
        <v>35</v>
      </c>
      <c r="R7" s="41" t="s">
        <v>35</v>
      </c>
      <c r="S7" s="41" t="s">
        <v>35</v>
      </c>
      <c r="T7" s="215" t="s">
        <v>34</v>
      </c>
      <c r="U7" s="215" t="s">
        <v>34</v>
      </c>
    </row>
    <row r="8" spans="1:21">
      <c r="J8" s="186" t="s">
        <v>318</v>
      </c>
      <c r="L8" s="186" t="s">
        <v>185</v>
      </c>
      <c r="M8" s="186" t="s">
        <v>184</v>
      </c>
      <c r="N8" s="186" t="s">
        <v>183</v>
      </c>
      <c r="O8" s="186" t="s">
        <v>182</v>
      </c>
      <c r="Q8" s="55"/>
      <c r="R8" s="55"/>
      <c r="S8" s="55"/>
      <c r="T8" s="217" t="s">
        <v>318</v>
      </c>
      <c r="U8" s="217" t="s">
        <v>319</v>
      </c>
    </row>
    <row r="9" spans="1:21">
      <c r="J9" s="186"/>
      <c r="L9" s="353"/>
      <c r="M9" s="353"/>
      <c r="N9" s="353"/>
      <c r="O9" s="353"/>
      <c r="P9" s="373"/>
      <c r="Q9" s="120"/>
      <c r="R9" s="55"/>
      <c r="S9" s="55"/>
      <c r="T9" s="217"/>
      <c r="U9" s="217"/>
    </row>
    <row r="10" spans="1:21">
      <c r="J10" s="186" t="s">
        <v>321</v>
      </c>
      <c r="L10" s="186" t="s">
        <v>370</v>
      </c>
      <c r="M10" s="186" t="s">
        <v>368</v>
      </c>
      <c r="N10" s="186" t="s">
        <v>371</v>
      </c>
      <c r="O10" s="186" t="s">
        <v>369</v>
      </c>
      <c r="Q10" s="55"/>
      <c r="R10" s="55"/>
      <c r="S10" s="55"/>
      <c r="T10" s="217" t="s">
        <v>321</v>
      </c>
      <c r="U10" s="217" t="s">
        <v>322</v>
      </c>
    </row>
    <row r="11" spans="1:21">
      <c r="F11" s="119" t="s">
        <v>181</v>
      </c>
      <c r="G11" s="119" t="s">
        <v>181</v>
      </c>
      <c r="H11" s="11" t="s">
        <v>181</v>
      </c>
      <c r="I11" s="119" t="s">
        <v>181</v>
      </c>
      <c r="J11" s="119" t="s">
        <v>181</v>
      </c>
      <c r="K11" s="119" t="s">
        <v>181</v>
      </c>
      <c r="L11" s="119" t="s">
        <v>181</v>
      </c>
      <c r="M11" s="119" t="s">
        <v>181</v>
      </c>
      <c r="N11" s="119" t="s">
        <v>181</v>
      </c>
      <c r="O11" s="119" t="s">
        <v>181</v>
      </c>
      <c r="P11" s="119" t="s">
        <v>181</v>
      </c>
      <c r="Q11" s="41" t="s">
        <v>181</v>
      </c>
      <c r="R11" s="11" t="s">
        <v>181</v>
      </c>
      <c r="S11" s="11" t="s">
        <v>181</v>
      </c>
      <c r="T11" s="215" t="s">
        <v>181</v>
      </c>
      <c r="U11" s="215" t="s">
        <v>181</v>
      </c>
    </row>
    <row r="12" spans="1:21">
      <c r="F12" s="119" t="s">
        <v>302</v>
      </c>
      <c r="G12" s="119" t="s">
        <v>302</v>
      </c>
      <c r="H12" s="11" t="s">
        <v>302</v>
      </c>
      <c r="I12" s="119" t="s">
        <v>302</v>
      </c>
      <c r="J12" s="119" t="s">
        <v>302</v>
      </c>
      <c r="K12" s="119" t="s">
        <v>302</v>
      </c>
      <c r="L12" s="119" t="s">
        <v>302</v>
      </c>
      <c r="M12" s="119" t="s">
        <v>302</v>
      </c>
      <c r="N12" s="119" t="s">
        <v>302</v>
      </c>
      <c r="O12" s="119" t="s">
        <v>302</v>
      </c>
      <c r="P12" s="119" t="s">
        <v>302</v>
      </c>
      <c r="Q12" s="41" t="s">
        <v>302</v>
      </c>
      <c r="R12" s="11" t="s">
        <v>302</v>
      </c>
      <c r="S12" s="11" t="s">
        <v>302</v>
      </c>
      <c r="T12" s="215" t="s">
        <v>302</v>
      </c>
      <c r="U12" s="215" t="s">
        <v>302</v>
      </c>
    </row>
    <row r="14" spans="1:21">
      <c r="A14" s="97" t="s">
        <v>24</v>
      </c>
      <c r="B14" s="63" t="s">
        <v>3</v>
      </c>
      <c r="C14" s="63" t="s">
        <v>16</v>
      </c>
      <c r="D14" s="63" t="s">
        <v>4</v>
      </c>
      <c r="E14" s="63" t="s">
        <v>27</v>
      </c>
      <c r="F14" s="118" t="s">
        <v>126</v>
      </c>
      <c r="G14" s="118" t="s">
        <v>209</v>
      </c>
      <c r="H14" s="64" t="s">
        <v>441</v>
      </c>
      <c r="I14" s="118" t="s">
        <v>442</v>
      </c>
      <c r="J14" s="253" t="s">
        <v>439</v>
      </c>
      <c r="K14" s="118" t="s">
        <v>443</v>
      </c>
      <c r="L14" s="118" t="s">
        <v>186</v>
      </c>
      <c r="M14" s="118" t="s">
        <v>187</v>
      </c>
      <c r="N14" s="118" t="s">
        <v>188</v>
      </c>
      <c r="O14" s="118" t="s">
        <v>189</v>
      </c>
      <c r="P14" s="118" t="s">
        <v>327</v>
      </c>
      <c r="Q14" s="64" t="s">
        <v>326</v>
      </c>
      <c r="R14" s="64" t="s">
        <v>328</v>
      </c>
      <c r="S14" s="64" t="s">
        <v>210</v>
      </c>
      <c r="T14" s="253" t="s">
        <v>191</v>
      </c>
      <c r="U14" s="253" t="s">
        <v>192</v>
      </c>
    </row>
    <row r="15" spans="1:21">
      <c r="A15" t="e">
        <f>INDEX(Prioritization!$D:$D,MATCH($B15,Prioritization!$A:$A,0))</f>
        <v>#N/A</v>
      </c>
      <c r="E15" s="5" t="str">
        <f>B15&amp;"|"&amp;C15&amp;"|"&amp;D15</f>
        <v>||</v>
      </c>
      <c r="K15" s="119" t="str">
        <f>IF(SUM($I15)=0,"Add to column I",ROUND($I15-$J15,0))</f>
        <v>Add to column I</v>
      </c>
      <c r="P15" s="119" t="str">
        <f>IF(SUM($L15:$O15)=0,"",SUM($L15:$O15))</f>
        <v/>
      </c>
      <c r="Q15" s="41" t="str">
        <f>IF(SUM($P15)=0,"",SUM($N15,$O15)/SUM($P15))</f>
        <v/>
      </c>
      <c r="R15" s="41">
        <v>0</v>
      </c>
      <c r="S15" s="41">
        <f>MAX(60%,SUM($Q15))</f>
        <v>0.6</v>
      </c>
      <c r="T15" s="215" t="str">
        <f>IF(SUM($P15)=0,"",ROUND(SUM($P15)*(1+$R15),0))</f>
        <v/>
      </c>
      <c r="U15" s="215" t="str">
        <f>IF(SUM($T15)=0,"",IF($S15="","Add to column S",ROUND(SUM($T15)*S15,0)))</f>
        <v/>
      </c>
    </row>
  </sheetData>
  <mergeCells count="1">
    <mergeCell ref="A2:B3"/>
  </mergeCells>
  <phoneticPr fontId="19" type="noConversion"/>
  <conditionalFormatting sqref="F1:Q1048576 S1:U1048576">
    <cfRule type="expression" dxfId="10" priority="23">
      <formula>AND(ISNUMBER(F1),F1&lt;0)</formula>
    </cfRule>
  </conditionalFormatting>
  <conditionalFormatting sqref="Q1:S1048576">
    <cfRule type="expression" dxfId="9" priority="24">
      <formula>AND(ISNUMBER(Q1),Q1&gt;1)</formula>
    </cfRule>
  </conditionalFormatting>
  <conditionalFormatting sqref="S1:S1048576">
    <cfRule type="expression" dxfId="8" priority="3881">
      <formula>AND(ROUND(SUM($S1),2)&lt;60%,SUM($T1)&gt;0)</formula>
    </cfRule>
  </conditionalFormatting>
  <conditionalFormatting sqref="T1:T1048576">
    <cfRule type="expression" dxfId="7" priority="35">
      <formula>AND(ISNUMBER(T1),SUM($T1)&gt;SUM($K1))</formula>
    </cfRule>
  </conditionalFormatting>
  <conditionalFormatting sqref="T1:U1048576">
    <cfRule type="expression" dxfId="6"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198" customWidth="1"/>
    <col min="13" max="13" width="11.796875" style="384" customWidth="1"/>
    <col min="14" max="14" width="11.796875" style="145" customWidth="1"/>
    <col min="15" max="15" width="11.796875" style="215" customWidth="1"/>
    <col min="16" max="16" width="11.8984375" style="215" customWidth="1"/>
    <col min="17" max="18" width="11.796875" style="145" customWidth="1"/>
    <col min="19" max="20" width="11.796875" style="215" customWidth="1"/>
  </cols>
  <sheetData>
    <row r="1" spans="1:20" s="23" customFormat="1" ht="31.05" customHeight="1" thickBot="1">
      <c r="A1" s="96" t="s">
        <v>26</v>
      </c>
      <c r="C1" s="1"/>
      <c r="D1" s="1"/>
      <c r="E1" s="1"/>
      <c r="F1" s="135" t="s">
        <v>649</v>
      </c>
      <c r="G1" s="199"/>
      <c r="H1" s="199"/>
      <c r="I1" s="199"/>
      <c r="J1" s="199"/>
      <c r="K1" s="199"/>
      <c r="L1" s="199"/>
      <c r="M1" s="135" t="s">
        <v>650</v>
      </c>
      <c r="N1" s="124"/>
      <c r="O1" s="124"/>
      <c r="P1" s="130"/>
      <c r="Q1" s="124"/>
      <c r="R1" s="124"/>
      <c r="S1" s="124"/>
      <c r="T1" s="130"/>
    </row>
    <row r="2" spans="1:20" s="20" customFormat="1" ht="19.05" customHeight="1">
      <c r="A2" s="154" t="s">
        <v>378</v>
      </c>
      <c r="B2" s="151"/>
      <c r="D2" s="2"/>
      <c r="E2" s="2"/>
      <c r="F2" s="117"/>
      <c r="G2" s="117"/>
      <c r="H2" s="117"/>
      <c r="I2" s="117"/>
      <c r="J2" s="117"/>
      <c r="K2" s="117"/>
      <c r="L2" s="117"/>
      <c r="M2" s="374" t="s">
        <v>401</v>
      </c>
      <c r="N2" s="375" t="s">
        <v>401</v>
      </c>
      <c r="O2" s="249" t="s">
        <v>401</v>
      </c>
      <c r="P2" s="249" t="s">
        <v>401</v>
      </c>
      <c r="Q2" s="125" t="s">
        <v>401</v>
      </c>
      <c r="R2" s="375" t="s">
        <v>401</v>
      </c>
      <c r="S2" s="249" t="s">
        <v>401</v>
      </c>
      <c r="T2" s="249" t="s">
        <v>401</v>
      </c>
    </row>
    <row r="3" spans="1:20" ht="117" customHeight="1" thickBot="1">
      <c r="A3" s="152"/>
      <c r="B3" s="153"/>
      <c r="D3" s="17"/>
      <c r="E3" s="17"/>
      <c r="F3" s="174" t="s">
        <v>544</v>
      </c>
      <c r="G3" s="174" t="s">
        <v>545</v>
      </c>
      <c r="H3" s="174" t="s">
        <v>546</v>
      </c>
      <c r="I3" s="174" t="s">
        <v>547</v>
      </c>
      <c r="J3" s="174" t="s">
        <v>548</v>
      </c>
      <c r="K3" s="174" t="s">
        <v>549</v>
      </c>
      <c r="L3" s="174" t="s">
        <v>550</v>
      </c>
      <c r="M3" s="376" t="s">
        <v>533</v>
      </c>
      <c r="N3" s="377" t="s">
        <v>535</v>
      </c>
      <c r="O3" s="213" t="s">
        <v>536</v>
      </c>
      <c r="P3" s="213" t="s">
        <v>537</v>
      </c>
      <c r="Q3" s="144" t="s">
        <v>534</v>
      </c>
      <c r="R3" s="377" t="s">
        <v>538</v>
      </c>
      <c r="S3" s="213" t="s">
        <v>665</v>
      </c>
      <c r="T3" s="213" t="s">
        <v>539</v>
      </c>
    </row>
    <row r="4" spans="1:20">
      <c r="B4" s="15"/>
      <c r="C4" s="15"/>
      <c r="D4" s="15" t="s">
        <v>2</v>
      </c>
      <c r="E4" s="15"/>
      <c r="F4" s="179">
        <f>SUBTOTAL(109,F$15:INDEX(F:F,COUNTA($B:$B)+14-COUNTA($B$1:$B$14)))</f>
        <v>0</v>
      </c>
      <c r="G4" s="179">
        <f>SUBTOTAL(109,G$15:INDEX(G:G,COUNTA($B:$B)+14-COUNTA($B$1:$B$14)))</f>
        <v>0</v>
      </c>
      <c r="H4" s="179">
        <f>SUBTOTAL(109,H$15:INDEX(H:H,COUNTA($B:$B)+14-COUNTA($B$1:$B$14)))</f>
        <v>0</v>
      </c>
      <c r="I4" s="179">
        <f>SUBTOTAL(109,I$15:INDEX(I:I,COUNTA($B:$B)+14-COUNTA($B$1:$B$14)))</f>
        <v>0</v>
      </c>
      <c r="J4" s="179">
        <f>SUBTOTAL(109,J$15:INDEX(J:J,COUNTA($B:$B)+14-COUNTA($B$1:$B$14)))</f>
        <v>0</v>
      </c>
      <c r="K4" s="179">
        <f>SUBTOTAL(109,K$15:INDEX(K:K,COUNTA($B:$B)+14-COUNTA($B$1:$B$14)))</f>
        <v>0</v>
      </c>
      <c r="L4" s="179">
        <f>SUBTOTAL(109,L$15:INDEX(L:L,COUNTA($B:$B)+14-COUNTA($B$1:$B$14)))</f>
        <v>0</v>
      </c>
      <c r="M4" s="378">
        <f>SUBTOTAL(109,M$15:INDEX(M:M,COUNTA($B:$B)+14-COUNTA($B$1:$B$14)))</f>
        <v>0</v>
      </c>
      <c r="N4" s="379">
        <f>SUBTOTAL(109,N$15:INDEX(N:N,COUNTA($B:$B)+14-COUNTA($B$1:$B$14)))</f>
        <v>0</v>
      </c>
      <c r="O4" s="379">
        <f>SUBTOTAL(109,O$15:INDEX(O:O,COUNTA($B:$B)+14-COUNTA($B$1:$B$14)))</f>
        <v>0</v>
      </c>
      <c r="P4" s="380">
        <f>SUBTOTAL(109,P$15:INDEX(P:P,COUNTA($B:$B)+14-COUNTA($B$1:$B$14)))</f>
        <v>0</v>
      </c>
      <c r="Q4" s="127">
        <f>SUBTOTAL(109,Q$15:INDEX(Q:Q,COUNTA($B:$B)+14-COUNTA($B$1:$B$14)))</f>
        <v>0</v>
      </c>
      <c r="R4" s="379">
        <f>SUBTOTAL(109,R$15:INDEX(R:R,COUNTA($B:$B)+14-COUNTA($B$1:$B$14)))</f>
        <v>0</v>
      </c>
      <c r="S4" s="379">
        <f>SUBTOTAL(109,S$15:INDEX(S:S,COUNTA($B:$B)+14-COUNTA($B$1:$B$14)))</f>
        <v>0</v>
      </c>
      <c r="T4" s="380">
        <f>SUBTOTAL(109,T$15:INDEX(T:T,COUNTA($B:$B)+14-COUNTA($B$1:$B$14)))</f>
        <v>0</v>
      </c>
    </row>
    <row r="5" spans="1:20">
      <c r="A5" t="s">
        <v>38</v>
      </c>
      <c r="B5" s="5" t="s">
        <v>38</v>
      </c>
      <c r="C5" s="5" t="s">
        <v>38</v>
      </c>
      <c r="D5" s="5" t="s">
        <v>38</v>
      </c>
      <c r="E5" s="5" t="s">
        <v>38</v>
      </c>
      <c r="F5" s="119" t="s">
        <v>47</v>
      </c>
      <c r="G5" s="119" t="s">
        <v>47</v>
      </c>
      <c r="H5" s="119" t="s">
        <v>47</v>
      </c>
      <c r="I5" s="119" t="s">
        <v>47</v>
      </c>
      <c r="J5" s="119" t="s">
        <v>47</v>
      </c>
      <c r="K5" s="119" t="s">
        <v>47</v>
      </c>
      <c r="L5" s="119" t="s">
        <v>47</v>
      </c>
      <c r="M5" s="214" t="s">
        <v>47</v>
      </c>
      <c r="N5" s="145" t="s">
        <v>47</v>
      </c>
      <c r="O5" s="215" t="s">
        <v>47</v>
      </c>
      <c r="P5" s="215" t="s">
        <v>47</v>
      </c>
      <c r="Q5" s="128" t="s">
        <v>38</v>
      </c>
      <c r="R5" s="145" t="s">
        <v>47</v>
      </c>
      <c r="S5" s="215" t="s">
        <v>47</v>
      </c>
      <c r="T5" s="215" t="s">
        <v>47</v>
      </c>
    </row>
    <row r="6" spans="1:20">
      <c r="A6" t="s">
        <v>87</v>
      </c>
      <c r="B6" s="5" t="s">
        <v>87</v>
      </c>
      <c r="C6" s="5" t="s">
        <v>87</v>
      </c>
      <c r="D6" s="5" t="s">
        <v>87</v>
      </c>
      <c r="E6" s="5" t="s">
        <v>87</v>
      </c>
      <c r="F6" s="119" t="s">
        <v>32</v>
      </c>
      <c r="G6" s="119" t="s">
        <v>32</v>
      </c>
      <c r="H6" s="119" t="s">
        <v>32</v>
      </c>
      <c r="I6" s="119" t="s">
        <v>32</v>
      </c>
      <c r="J6" s="119" t="s">
        <v>32</v>
      </c>
      <c r="K6" s="119" t="s">
        <v>32</v>
      </c>
      <c r="L6" s="119" t="s">
        <v>32</v>
      </c>
      <c r="M6" s="214" t="s">
        <v>32</v>
      </c>
      <c r="N6" s="145" t="s">
        <v>32</v>
      </c>
      <c r="O6" s="215" t="s">
        <v>32</v>
      </c>
      <c r="P6" s="215" t="s">
        <v>32</v>
      </c>
      <c r="Q6" s="128" t="s">
        <v>52</v>
      </c>
      <c r="R6" s="145" t="s">
        <v>32</v>
      </c>
      <c r="S6" s="215" t="s">
        <v>32</v>
      </c>
      <c r="T6" s="215" t="s">
        <v>32</v>
      </c>
    </row>
    <row r="7" spans="1:20">
      <c r="A7" t="s">
        <v>48</v>
      </c>
      <c r="B7" s="5" t="s">
        <v>48</v>
      </c>
      <c r="C7" s="5" t="s">
        <v>48</v>
      </c>
      <c r="D7" s="5" t="s">
        <v>48</v>
      </c>
      <c r="E7" s="5" t="s">
        <v>48</v>
      </c>
      <c r="F7" s="119" t="s">
        <v>34</v>
      </c>
      <c r="G7" s="119" t="s">
        <v>34</v>
      </c>
      <c r="H7" s="119" t="s">
        <v>34</v>
      </c>
      <c r="I7" s="119" t="s">
        <v>34</v>
      </c>
      <c r="J7" s="119" t="s">
        <v>34</v>
      </c>
      <c r="K7" s="119" t="s">
        <v>34</v>
      </c>
      <c r="L7" s="119" t="s">
        <v>34</v>
      </c>
      <c r="M7" s="214" t="s">
        <v>34</v>
      </c>
      <c r="N7" s="145" t="s">
        <v>34</v>
      </c>
      <c r="O7" s="215" t="s">
        <v>34</v>
      </c>
      <c r="P7" s="215" t="s">
        <v>34</v>
      </c>
      <c r="Q7" s="128" t="s">
        <v>34</v>
      </c>
      <c r="R7" s="145" t="s">
        <v>34</v>
      </c>
      <c r="S7" s="215" t="s">
        <v>34</v>
      </c>
      <c r="T7" s="215" t="s">
        <v>34</v>
      </c>
    </row>
    <row r="8" spans="1:20">
      <c r="F8" s="186" t="s">
        <v>347</v>
      </c>
      <c r="G8" s="186" t="s">
        <v>348</v>
      </c>
      <c r="H8" s="186" t="s">
        <v>348</v>
      </c>
      <c r="I8" s="186" t="s">
        <v>348</v>
      </c>
      <c r="J8" s="186" t="s">
        <v>349</v>
      </c>
      <c r="K8" s="186" t="s">
        <v>350</v>
      </c>
      <c r="L8" s="186" t="s">
        <v>350</v>
      </c>
      <c r="M8" s="216" t="s">
        <v>347</v>
      </c>
      <c r="N8" s="381" t="s">
        <v>348</v>
      </c>
      <c r="O8" s="217" t="s">
        <v>348</v>
      </c>
      <c r="P8" s="217" t="s">
        <v>348</v>
      </c>
      <c r="Q8" s="128"/>
      <c r="R8" s="381" t="s">
        <v>349</v>
      </c>
      <c r="S8" s="217" t="s">
        <v>350</v>
      </c>
      <c r="T8" s="217" t="s">
        <v>350</v>
      </c>
    </row>
    <row r="9" spans="1:20">
      <c r="F9" s="186"/>
      <c r="G9" s="186"/>
      <c r="H9" s="186"/>
      <c r="I9" s="186"/>
      <c r="J9" s="186"/>
      <c r="K9" s="186"/>
      <c r="L9" s="186"/>
      <c r="M9" s="216"/>
      <c r="N9" s="381"/>
      <c r="O9" s="217"/>
      <c r="P9" s="217"/>
      <c r="Q9" s="128"/>
      <c r="R9" s="381"/>
      <c r="S9" s="217"/>
      <c r="T9" s="217"/>
    </row>
    <row r="10" spans="1:20">
      <c r="F10" s="186"/>
      <c r="G10" s="186" t="s">
        <v>41</v>
      </c>
      <c r="H10" s="186" t="s">
        <v>42</v>
      </c>
      <c r="I10" s="186" t="s">
        <v>43</v>
      </c>
      <c r="J10" s="186" t="s">
        <v>44</v>
      </c>
      <c r="K10" s="186" t="s">
        <v>54</v>
      </c>
      <c r="L10" s="186" t="s">
        <v>53</v>
      </c>
      <c r="M10" s="216"/>
      <c r="N10" s="381" t="s">
        <v>41</v>
      </c>
      <c r="O10" s="217" t="s">
        <v>42</v>
      </c>
      <c r="P10" s="217" t="s">
        <v>43</v>
      </c>
      <c r="Q10" s="128"/>
      <c r="R10" s="381" t="s">
        <v>44</v>
      </c>
      <c r="S10" s="217" t="s">
        <v>54</v>
      </c>
      <c r="T10" s="217" t="s">
        <v>53</v>
      </c>
    </row>
    <row r="11" spans="1:20">
      <c r="F11" s="119" t="s">
        <v>412</v>
      </c>
      <c r="G11" s="119" t="s">
        <v>412</v>
      </c>
      <c r="H11" s="119" t="s">
        <v>412</v>
      </c>
      <c r="I11" s="119" t="s">
        <v>412</v>
      </c>
      <c r="J11" s="119" t="s">
        <v>412</v>
      </c>
      <c r="K11" s="119" t="s">
        <v>412</v>
      </c>
      <c r="L11" s="119" t="s">
        <v>412</v>
      </c>
      <c r="M11" s="214" t="s">
        <v>412</v>
      </c>
      <c r="N11" s="145" t="s">
        <v>412</v>
      </c>
      <c r="O11" s="215" t="s">
        <v>412</v>
      </c>
      <c r="P11" s="215" t="s">
        <v>412</v>
      </c>
      <c r="Q11" s="128" t="s">
        <v>412</v>
      </c>
      <c r="R11" s="145" t="s">
        <v>412</v>
      </c>
      <c r="S11" s="215" t="s">
        <v>412</v>
      </c>
      <c r="T11" s="215" t="s">
        <v>412</v>
      </c>
    </row>
    <row r="12" spans="1:20">
      <c r="F12" s="119" t="s">
        <v>302</v>
      </c>
      <c r="G12" s="119" t="s">
        <v>302</v>
      </c>
      <c r="H12" s="119" t="s">
        <v>302</v>
      </c>
      <c r="I12" s="119" t="s">
        <v>302</v>
      </c>
      <c r="J12" s="119" t="s">
        <v>302</v>
      </c>
      <c r="K12" s="119" t="s">
        <v>302</v>
      </c>
      <c r="L12" s="119" t="s">
        <v>302</v>
      </c>
      <c r="M12" s="214" t="s">
        <v>302</v>
      </c>
      <c r="N12" s="145" t="s">
        <v>302</v>
      </c>
      <c r="O12" s="215" t="s">
        <v>302</v>
      </c>
      <c r="P12" s="215" t="s">
        <v>302</v>
      </c>
      <c r="Q12" s="128" t="s">
        <v>302</v>
      </c>
      <c r="R12" s="145" t="s">
        <v>302</v>
      </c>
      <c r="S12" s="215" t="s">
        <v>302</v>
      </c>
      <c r="T12" s="215" t="s">
        <v>302</v>
      </c>
    </row>
    <row r="13" spans="1:20">
      <c r="F13" s="119"/>
      <c r="G13" s="119"/>
      <c r="H13" s="119"/>
      <c r="I13" s="119"/>
      <c r="J13" s="119"/>
      <c r="K13" s="119"/>
      <c r="L13" s="119"/>
      <c r="M13" s="214"/>
      <c r="Q13" s="128"/>
    </row>
    <row r="14" spans="1:20">
      <c r="A14" s="95" t="s">
        <v>24</v>
      </c>
      <c r="B14" s="71" t="s">
        <v>3</v>
      </c>
      <c r="C14" s="71" t="s">
        <v>16</v>
      </c>
      <c r="D14" s="71" t="s">
        <v>4</v>
      </c>
      <c r="E14" s="71" t="s">
        <v>27</v>
      </c>
      <c r="F14" s="118" t="s">
        <v>131</v>
      </c>
      <c r="G14" s="118" t="s">
        <v>475</v>
      </c>
      <c r="H14" s="118" t="s">
        <v>132</v>
      </c>
      <c r="I14" s="118" t="s">
        <v>133</v>
      </c>
      <c r="J14" s="118" t="s">
        <v>134</v>
      </c>
      <c r="K14" s="118" t="s">
        <v>135</v>
      </c>
      <c r="L14" s="118" t="s">
        <v>136</v>
      </c>
      <c r="M14" s="382" t="s">
        <v>333</v>
      </c>
      <c r="N14" s="383" t="s">
        <v>476</v>
      </c>
      <c r="O14" s="370" t="s">
        <v>334</v>
      </c>
      <c r="P14" s="370" t="s">
        <v>335</v>
      </c>
      <c r="Q14" s="129" t="s">
        <v>336</v>
      </c>
      <c r="R14" s="383" t="s">
        <v>337</v>
      </c>
      <c r="S14" s="370" t="s">
        <v>338</v>
      </c>
      <c r="T14" s="370" t="s">
        <v>339</v>
      </c>
    </row>
    <row r="15" spans="1:20">
      <c r="A15" t="e">
        <f>INDEX(Prioritization!$D:$D,MATCH($B15,Prioritization!$A:$A,0))</f>
        <v>#N/A</v>
      </c>
      <c r="E15" s="5" t="str">
        <f>B15&amp;"|"&amp;C15&amp;"|"&amp;D15</f>
        <v>||</v>
      </c>
      <c r="F15" s="198" t="str">
        <f>IF(LEFT($B15,4)="_Mil","",_xlfn.IFNA(ROUND(INDEX(Spectrum!$N:$N,MATCH(RIGHT($B15,13)&amp;"|"&amp;$C15&amp;"|"&amp;$D15&amp;"|"&amp;F$14&amp;"|"&amp;"CY2025Q3",Spectrum!$R:$R,0)),0),IFERROR(1/(1/ROUND(SUMIFS(Spectrum!$N:$N,Spectrum!$Q:$Q,"="&amp;$C15,Spectrum!$K:$K,$D15,Spectrum!$G:$G,F$14,Spectrum!$M:$M,"CY2025Q3"),0)),"")))</f>
        <v/>
      </c>
      <c r="G15" s="198" t="str">
        <f>IF(LEFT($B15,4)="_Mil","",_xlfn.IFNA(ROUND(INDEX(Spectrum!$N:$N,MATCH(RIGHT($B15,13)&amp;"|"&amp;$C15&amp;"|"&amp;$D15&amp;"|"&amp;G$14&amp;"|"&amp;"CY2025Q3",Spectrum!$R:$R,0)),0),IFERROR(1/(1/ROUND(SUMIFS(Spectrum!$N:$N,Spectrum!$Q:$Q,"="&amp;$C15,Spectrum!$K:$K,$D15,Spectrum!$G:$G,G$14,Spectrum!$M:$M,"CY2025Q3"),0)),"")))</f>
        <v/>
      </c>
      <c r="H15" s="198" t="str">
        <f>IF(LEFT($B15,4)="_Mil","",_xlfn.IFNA(ROUND(INDEX(Spectrum!$N:$N,MATCH(RIGHT($B15,13)&amp;"|"&amp;$C15&amp;"|"&amp;$D15&amp;"|"&amp;H$14&amp;"|"&amp;"CY2025Q3",Spectrum!$R:$R,0)),0),IFERROR(1/(1/ROUND(SUMIFS(Spectrum!$N:$N,Spectrum!$Q:$Q,"="&amp;$C15,Spectrum!$K:$K,$D15,Spectrum!$G:$G,H$14,Spectrum!$M:$M,"CY2025Q3"),0)),"")))</f>
        <v/>
      </c>
      <c r="I15" s="198" t="str">
        <f>IF(LEFT($B15,4)="_Mil","",_xlfn.IFNA(ROUND(INDEX(Spectrum!$N:$N,MATCH(RIGHT($B15,13)&amp;"|"&amp;$C15&amp;"|"&amp;$D15&amp;"|"&amp;I$14&amp;"|"&amp;"CY2025Q3",Spectrum!$R:$R,0)),0),IFERROR(1/(1/ROUND(SUMIFS(Spectrum!$N:$N,Spectrum!$Q:$Q,"="&amp;$C15,Spectrum!$K:$K,$D15,Spectrum!$G:$G,I$14,Spectrum!$M:$M,"CY2025Q3"),0)),"")))</f>
        <v/>
      </c>
      <c r="J15" s="198" t="str">
        <f>IF(LEFT($B15,4)="_Mil","",_xlfn.IFNA(ROUND(INDEX(Spectrum!$N:$N,MATCH(RIGHT($B15,13)&amp;"|"&amp;$C15&amp;"|"&amp;$D15&amp;"|"&amp;J$14&amp;"|"&amp;"CY2025Q3",Spectrum!$R:$R,0)),0),IFERROR(1/(1/ROUND(SUMIFS(Spectrum!$N:$N,Spectrum!$Q:$Q,"="&amp;$C15,Spectrum!$K:$K,$D15,Spectrum!$G:$G,J$14,Spectrum!$M:$M,"CY2025Q3"),0)),"")))</f>
        <v/>
      </c>
      <c r="K15" s="198" t="str">
        <f>IF(LEFT($B15,4)="_Mil","",_xlfn.IFNA(ROUND(INDEX(Spectrum!$N:$N,MATCH(RIGHT($B15,13)&amp;"|"&amp;$C15&amp;"|"&amp;$D15&amp;"|"&amp;K$14&amp;"|"&amp;"CY2025Q3",Spectrum!$R:$R,0)),0),IFERROR(1/(1/ROUND(SUMIFS(Spectrum!$N:$N,Spectrum!$Q:$Q,"="&amp;$C15,Spectrum!$K:$K,$D15,Spectrum!$G:$G,K$14,Spectrum!$M:$M,"CY2025Q3"),0)),"")))</f>
        <v/>
      </c>
      <c r="L15" s="198" t="str">
        <f>IF(LEFT($B15,4)="_Mil","",_xlfn.IFNA(ROUND(INDEX(Spectrum!$N:$N,MATCH(RIGHT($B15,13)&amp;"|"&amp;$C15&amp;"|"&amp;$D15&amp;"|"&amp;L$14&amp;"|"&amp;"CY2025Q3",Spectrum!$R:$R,0)),0),IFERROR(1/(1/ROUND(SUMIFS(Spectrum!$N:$N,Spectrum!$Q:$Q,"="&amp;$C15,Spectrum!$K:$K,$D15,Spectrum!$G:$G,L$14,Spectrum!$M:$M,"CY2025Q3"),0)),"")))</f>
        <v/>
      </c>
      <c r="M15" s="384" t="str">
        <f>IF(LEFT($B15,4)="_Mil","",_xlfn.IFNA(ROUND(INDEX(Spectrum!$N:$N,MATCH(RIGHT($B15,13)&amp;"|"&amp;$C15&amp;"|"&amp;$D15&amp;"|"&amp;M$14&amp;"|"&amp;"CY2025Q3",Spectrum!$R:$R,0)),0),IFERROR(1/(1/ROUND(SUMIFS(Spectrum!$N:$N,Spectrum!$Q:$Q,"="&amp;$C15,Spectrum!$K:$K,$D15,Spectrum!$G:$G,M$14,Spectrum!$M:$M,"CY2026Q3"),0)),"")))</f>
        <v/>
      </c>
      <c r="N15" s="198" t="str">
        <f>IF(LEFT($B15,4)="_Mil","",_xlfn.IFNA(ROUND(INDEX(Spectrum!$N:$N,MATCH(RIGHT($B15,13)&amp;"|"&amp;$C15&amp;"|"&amp;$D15&amp;"|"&amp;N$14&amp;"|"&amp;"CY2025Q3",Spectrum!$R:$R,0)),0),IFERROR(1/(1/ROUND(SUMIFS(Spectrum!$N:$N,Spectrum!$Q:$Q,"="&amp;$C15,Spectrum!$K:$K,$D15,Spectrum!$G:$G,N$14,Spectrum!$M:$M,"CY2026Q3"),0)),"")))</f>
        <v/>
      </c>
      <c r="O15" s="198" t="str">
        <f>IF(LEFT($B15,4)="_Mil","",_xlfn.IFNA(ROUND(INDEX(Spectrum!$N:$N,MATCH(RIGHT($B15,13)&amp;"|"&amp;$C15&amp;"|"&amp;$D15&amp;"|"&amp;O$14&amp;"|"&amp;"CY2025Q3",Spectrum!$R:$R,0)),0),IFERROR(1/(1/ROUND(SUMIFS(Spectrum!$N:$N,Spectrum!$Q:$Q,"="&amp;$C15,Spectrum!$K:$K,$D15,Spectrum!$G:$G,O$14,Spectrum!$M:$M,"CY2026Q3"),0)),"")))</f>
        <v/>
      </c>
      <c r="P15" s="198" t="str">
        <f>IF(LEFT($B15,4)="_Mil","",_xlfn.IFNA(ROUND(INDEX(Spectrum!$N:$N,MATCH(RIGHT($B15,13)&amp;"|"&amp;$C15&amp;"|"&amp;$D15&amp;"|"&amp;P$14&amp;"|"&amp;"CY2025Q3",Spectrum!$R:$R,0)),0),IFERROR(1/(1/ROUND(SUMIFS(Spectrum!$N:$N,Spectrum!$Q:$Q,"="&amp;$C15,Spectrum!$K:$K,$D15,Spectrum!$G:$G,P$14,Spectrum!$M:$M,"CY2026Q3"),0)),"")))</f>
        <v/>
      </c>
      <c r="Q15" s="145" t="str">
        <f>IF(SUM($M15)=0,"",ROUND(N15+O15+P15,0))</f>
        <v/>
      </c>
      <c r="R15" s="198" t="str">
        <f>IF(LEFT($B15,4)="_Mil","",_xlfn.IFNA(ROUND(INDEX(Spectrum!$N:$N,MATCH(RIGHT($B15,13)&amp;"|"&amp;$C15&amp;"|"&amp;$D15&amp;"|"&amp;R$14&amp;"|"&amp;"CY2025Q3",Spectrum!$R:$R,0)),0),IFERROR(1/(1/ROUND(SUMIFS(Spectrum!$N:$N,Spectrum!$Q:$Q,"="&amp;$C15,Spectrum!$K:$K,$D15,Spectrum!$G:$G,R$14,Spectrum!$M:$M,"CY2026Q3"),0)),"")))</f>
        <v/>
      </c>
      <c r="S15" s="198" t="str">
        <f>IF(LEFT($B15,4)="_Mil","",_xlfn.IFNA(ROUND(INDEX(Spectrum!$N:$N,MATCH(RIGHT($B15,13)&amp;"|"&amp;$C15&amp;"|"&amp;$D15&amp;"|"&amp;S$14&amp;"|"&amp;"CY2025Q3",Spectrum!$R:$R,0)),0),IFERROR(1/(1/ROUND(SUMIFS(Spectrum!$N:$N,Spectrum!$Q:$Q,"="&amp;$C15,Spectrum!$K:$K,$D15,Spectrum!$G:$G,S$14,Spectrum!$M:$M,"CY2026Q3"),0)),"")))</f>
        <v/>
      </c>
      <c r="T15" s="198" t="str">
        <f>IF(LEFT($B15,4)="_Mil","",_xlfn.IFNA(ROUND(INDEX(Spectrum!$N:$N,MATCH(RIGHT($B15,13)&amp;"|"&amp;$C15&amp;"|"&amp;$D15&amp;"|"&amp;T$14&amp;"|"&amp;"CY2025Q3",Spectrum!$R:$R,0)),0),IFERROR(1/(1/ROUND(SUMIFS(Spectrum!$N:$N,Spectrum!$Q:$Q,"="&amp;$C15,Spectrum!$K:$K,$D15,Spectrum!$G:$G,T$14,Spectrum!$M:$M,"CY2026Q3"),0)),"")))</f>
        <v/>
      </c>
    </row>
  </sheetData>
  <mergeCells count="1">
    <mergeCell ref="A2:B3"/>
  </mergeCells>
  <phoneticPr fontId="19" type="noConversion"/>
  <conditionalFormatting sqref="F1:P1048576">
    <cfRule type="expression" dxfId="5" priority="2">
      <formula>AND(ROW(F1)&gt;14,LEFT($B1,4)="_Mil")</formula>
    </cfRule>
  </conditionalFormatting>
  <conditionalFormatting sqref="Q2:Q14">
    <cfRule type="expression" dxfId="4" priority="3">
      <formula>AND(ISNUMBER(Q2),Q2&lt;0)</formula>
    </cfRule>
    <cfRule type="expression" dxfId="3" priority="4">
      <formula>AND(ISNUMBER(Q2),Q2&gt;1)</formula>
    </cfRule>
  </conditionalFormatting>
  <conditionalFormatting sqref="Q1:T1 R2:T14 F1:P1048576 Q15:T1048576">
    <cfRule type="expression" dxfId="2" priority="15">
      <formula>AND(ISNUMBER(F1),F1&lt;0)</formula>
    </cfRule>
  </conditionalFormatting>
  <conditionalFormatting sqref="Q1:T1 R2:T14 Q15:T1048576">
    <cfRule type="expression" dxfId="1" priority="14">
      <formula>AND(ROW(Q1)&gt;14,LEFT($B1,4)="_Mil")</formula>
    </cfRule>
  </conditionalFormatting>
  <conditionalFormatting sqref="R15:T15">
    <cfRule type="expression" dxfId="0" priority="1">
      <formula>AND(ROW(R15)&gt;14,LEFT($B15,4)="_Mil")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2024-12-11T21:35:32Z</dcterms:modified>
</cp:coreProperties>
</file>