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9A4D7909-0960-F940-BE53-61AEBC5BFF5D}" xr6:coauthVersionLast="47" xr6:coauthVersionMax="47" xr10:uidLastSave="{00000000-0000-0000-0000-000000000000}"/>
  <bookViews>
    <workbookView xWindow="0" yWindow="500" windowWidth="33600" windowHeight="20500"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AGYW!$B$14:$H$39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OVC!$B$14:$U$1911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16" i="49" l="1"/>
  <c r="N17" i="49"/>
  <c r="N18" i="49"/>
  <c r="N19" i="49"/>
  <c r="N20" i="49"/>
  <c r="N21" i="49"/>
  <c r="N22" i="49"/>
  <c r="N23" i="49"/>
  <c r="N24" i="49"/>
  <c r="N25" i="49"/>
  <c r="N26" i="49"/>
  <c r="N27" i="49"/>
  <c r="N28" i="49"/>
  <c r="N15" i="49"/>
  <c r="P15" i="49" s="1"/>
  <c r="M16" i="49"/>
  <c r="M17" i="49"/>
  <c r="M18" i="49"/>
  <c r="M19" i="49"/>
  <c r="M20" i="49"/>
  <c r="M21" i="49"/>
  <c r="M22" i="49"/>
  <c r="M23" i="49"/>
  <c r="M24" i="49"/>
  <c r="M25" i="49"/>
  <c r="M26" i="49"/>
  <c r="M27" i="49"/>
  <c r="M28" i="49"/>
  <c r="M15" i="49"/>
  <c r="I16" i="49"/>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CL37" i="49" s="1" a="1"/>
  <c r="CL37" i="49" s="1"/>
  <c r="G23" i="49"/>
  <c r="G24" i="49"/>
  <c r="G25" i="49"/>
  <c r="G26" i="49"/>
  <c r="G27" i="49"/>
  <c r="G28" i="49"/>
  <c r="G15" i="49"/>
  <c r="E16" i="49"/>
  <c r="E17" i="49"/>
  <c r="E18" i="49"/>
  <c r="AP18" i="49" s="1"/>
  <c r="AY18" i="49" s="1"/>
  <c r="E19" i="49"/>
  <c r="E20" i="49"/>
  <c r="E21" i="49"/>
  <c r="E22" i="49"/>
  <c r="E23" i="49"/>
  <c r="E24" i="49"/>
  <c r="E25" i="49"/>
  <c r="AP25" i="49" s="1"/>
  <c r="AY25" i="49" s="1"/>
  <c r="E26" i="49"/>
  <c r="AO26" i="49" s="1"/>
  <c r="AX26" i="49" s="1"/>
  <c r="E27" i="49"/>
  <c r="AP27" i="49" s="1"/>
  <c r="AY27" i="49" s="1"/>
  <c r="E28" i="49"/>
  <c r="E15" i="49"/>
  <c r="F16" i="49"/>
  <c r="F17" i="49"/>
  <c r="F18" i="49"/>
  <c r="F19" i="49"/>
  <c r="F20" i="49"/>
  <c r="F21" i="49"/>
  <c r="F22" i="49"/>
  <c r="F23" i="49"/>
  <c r="F24" i="49"/>
  <c r="F25" i="49"/>
  <c r="F26" i="49"/>
  <c r="F27" i="49"/>
  <c r="F28" i="49"/>
  <c r="F15" i="49"/>
  <c r="DB39" i="49"/>
  <c r="DB40" i="49"/>
  <c r="DB41" i="49"/>
  <c r="DB42" i="49"/>
  <c r="DB43" i="49"/>
  <c r="DB44" i="49"/>
  <c r="DB45" i="49"/>
  <c r="DB46" i="49"/>
  <c r="DB47" i="49"/>
  <c r="DB48" i="49"/>
  <c r="DB49" i="49"/>
  <c r="DB50" i="49"/>
  <c r="DB51" i="49"/>
  <c r="DB38" i="49"/>
  <c r="DA39" i="49"/>
  <c r="DA40" i="49"/>
  <c r="DA41" i="49"/>
  <c r="DA42" i="49"/>
  <c r="DA43" i="49"/>
  <c r="DA44" i="49"/>
  <c r="DA45" i="49"/>
  <c r="DA46" i="49"/>
  <c r="DA47" i="49"/>
  <c r="DA48" i="49"/>
  <c r="DA49" i="49"/>
  <c r="DA50" i="49"/>
  <c r="DA51" i="49"/>
  <c r="DA38" i="49"/>
  <c r="CZ39" i="49"/>
  <c r="CZ40" i="49"/>
  <c r="CZ41" i="49"/>
  <c r="CZ42" i="49"/>
  <c r="CZ43" i="49"/>
  <c r="CZ44" i="49"/>
  <c r="CZ45" i="49"/>
  <c r="CZ46" i="49"/>
  <c r="CZ47" i="49"/>
  <c r="CZ48" i="49"/>
  <c r="CZ49" i="49"/>
  <c r="CZ50" i="49"/>
  <c r="CZ51" i="49"/>
  <c r="CZ38" i="49"/>
  <c r="CY39" i="49"/>
  <c r="CY40" i="49"/>
  <c r="CY41" i="49"/>
  <c r="CY42" i="49"/>
  <c r="CY43" i="49"/>
  <c r="CY44" i="49"/>
  <c r="CY45" i="49"/>
  <c r="CY46" i="49"/>
  <c r="CY47" i="49"/>
  <c r="CY48" i="49"/>
  <c r="CY49" i="49"/>
  <c r="CY50" i="49"/>
  <c r="CY51" i="49"/>
  <c r="CY38" i="49"/>
  <c r="CP35" i="49"/>
  <c r="CP36" i="49"/>
  <c r="CP37" i="49"/>
  <c r="CP34" i="49"/>
  <c r="CF35" i="49"/>
  <c r="CG35" i="49"/>
  <c r="CJ35" i="49"/>
  <c r="CK35" i="49"/>
  <c r="CL35" i="49" a="1"/>
  <c r="CL35" i="49" s="1"/>
  <c r="CF36" i="49"/>
  <c r="CG36" i="49"/>
  <c r="CJ36" i="49"/>
  <c r="CK36" i="49"/>
  <c r="CL36" i="49" a="1"/>
  <c r="CL36" i="49" s="1"/>
  <c r="CF37" i="49"/>
  <c r="CG37" i="49"/>
  <c r="CJ37" i="49"/>
  <c r="CK37" i="49"/>
  <c r="CM34" i="49" a="1"/>
  <c r="CM34" i="49" s="1"/>
  <c r="CL34" i="49" a="1"/>
  <c r="CL34" i="49" s="1"/>
  <c r="CK34" i="49"/>
  <c r="CJ34" i="49"/>
  <c r="CG34" i="49"/>
  <c r="CF34" i="49"/>
  <c r="CA25" i="49"/>
  <c r="CA23" i="49"/>
  <c r="AP19" i="49"/>
  <c r="AP20" i="49"/>
  <c r="AP21" i="49"/>
  <c r="AP22" i="49"/>
  <c r="AP28" i="49"/>
  <c r="AP17" i="49"/>
  <c r="AO18" i="49"/>
  <c r="AO19" i="49"/>
  <c r="AO20" i="49"/>
  <c r="AO21" i="49"/>
  <c r="AO22" i="49"/>
  <c r="AO25" i="49"/>
  <c r="AO27" i="49"/>
  <c r="AO28" i="49"/>
  <c r="AO17" i="49"/>
  <c r="AX17" i="49" s="1"/>
  <c r="AN18" i="49"/>
  <c r="AN19" i="49"/>
  <c r="AN20" i="49"/>
  <c r="AN21" i="49"/>
  <c r="AN22" i="49"/>
  <c r="AN25" i="49"/>
  <c r="AN26" i="49"/>
  <c r="AN27" i="49"/>
  <c r="AN28" i="49"/>
  <c r="AN17" i="49"/>
  <c r="AW17" i="49" s="1"/>
  <c r="AM18" i="49"/>
  <c r="AM19" i="49"/>
  <c r="AM20" i="49"/>
  <c r="AM21" i="49"/>
  <c r="AM22" i="49"/>
  <c r="AM25" i="49"/>
  <c r="AM27" i="49"/>
  <c r="AM28" i="49"/>
  <c r="AM17" i="49"/>
  <c r="AL18" i="49"/>
  <c r="AL19" i="49"/>
  <c r="AL20" i="49"/>
  <c r="AL21" i="49"/>
  <c r="AL22" i="49"/>
  <c r="AL25" i="49"/>
  <c r="AL27" i="49"/>
  <c r="AL28" i="49"/>
  <c r="AL17" i="49"/>
  <c r="AK28" i="49"/>
  <c r="AK22" i="49"/>
  <c r="AJ18" i="49"/>
  <c r="AS18" i="49" s="1"/>
  <c r="AJ19" i="49"/>
  <c r="AJ20" i="49"/>
  <c r="AJ21" i="49"/>
  <c r="AJ22" i="49"/>
  <c r="AS22" i="49" s="1"/>
  <c r="AJ25" i="49"/>
  <c r="AJ27" i="49"/>
  <c r="AJ28" i="49"/>
  <c r="AJ17" i="49"/>
  <c r="AI27" i="49"/>
  <c r="AI25" i="49"/>
  <c r="AI21" i="49"/>
  <c r="AI19" i="49"/>
  <c r="AH27" i="49"/>
  <c r="AH25" i="49"/>
  <c r="AH21" i="49"/>
  <c r="AH19" i="49"/>
  <c r="G15" i="40"/>
  <c r="S15" i="14"/>
  <c r="AR15" i="12"/>
  <c r="AP15" i="12"/>
  <c r="AO15" i="12"/>
  <c r="K15" i="12"/>
  <c r="I15" i="12"/>
  <c r="H15" i="12"/>
  <c r="AY15" i="7"/>
  <c r="AX15" i="7"/>
  <c r="V15" i="8"/>
  <c r="AD15" i="10"/>
  <c r="Y15" i="10"/>
  <c r="AB15" i="13"/>
  <c r="Z15" i="13"/>
  <c r="X15" i="13"/>
  <c r="P15" i="13"/>
  <c r="Q15" i="13"/>
  <c r="BB15" i="5"/>
  <c r="BK18" i="49"/>
  <c r="BK19" i="49"/>
  <c r="BK20" i="49"/>
  <c r="BK21" i="49"/>
  <c r="BK22" i="49"/>
  <c r="BK23" i="49"/>
  <c r="BK24" i="49"/>
  <c r="BK25" i="49"/>
  <c r="BK26" i="49"/>
  <c r="BK27" i="49"/>
  <c r="BK28" i="49"/>
  <c r="BK17" i="49"/>
  <c r="BH27" i="49"/>
  <c r="BH25" i="49"/>
  <c r="BH23" i="49"/>
  <c r="BH21" i="49"/>
  <c r="BH19" i="49"/>
  <c r="S15" i="13"/>
  <c r="R4" i="13"/>
  <c r="AC15" i="5"/>
  <c r="AC4" i="5" s="1"/>
  <c r="V15" i="5"/>
  <c r="V4" i="5" s="1"/>
  <c r="R2" i="3"/>
  <c r="Q2" i="3"/>
  <c r="DD39" i="49"/>
  <c r="DE39" i="49"/>
  <c r="DF39" i="49"/>
  <c r="DD40" i="49"/>
  <c r="DE40" i="49"/>
  <c r="DF40" i="49"/>
  <c r="DD41" i="49"/>
  <c r="DE41" i="49"/>
  <c r="DF41" i="49"/>
  <c r="DD42" i="49"/>
  <c r="DE42" i="49"/>
  <c r="DF42" i="49"/>
  <c r="DD43" i="49"/>
  <c r="DE43" i="49"/>
  <c r="DF43" i="49"/>
  <c r="DD44" i="49"/>
  <c r="DE44" i="49"/>
  <c r="DF44" i="49"/>
  <c r="DD45" i="49"/>
  <c r="DE45" i="49"/>
  <c r="DF45" i="49"/>
  <c r="DD46" i="49"/>
  <c r="DE46" i="49"/>
  <c r="DF46" i="49"/>
  <c r="DD47" i="49"/>
  <c r="DE47" i="49"/>
  <c r="DF47" i="49"/>
  <c r="DD48" i="49"/>
  <c r="DE48" i="49"/>
  <c r="DF48" i="49"/>
  <c r="DD49" i="49"/>
  <c r="DE49" i="49"/>
  <c r="DF49" i="49"/>
  <c r="DD50" i="49"/>
  <c r="DE50" i="49"/>
  <c r="DF50" i="49"/>
  <c r="DD51" i="49"/>
  <c r="DE51" i="49"/>
  <c r="DF51" i="49"/>
  <c r="DJ38" i="49"/>
  <c r="DI38" i="49"/>
  <c r="DH38" i="49"/>
  <c r="DC39" i="49"/>
  <c r="DC40" i="49"/>
  <c r="DC41" i="49"/>
  <c r="DG42" i="49"/>
  <c r="DC43" i="49"/>
  <c r="DC44" i="49"/>
  <c r="DG45" i="49"/>
  <c r="DG46" i="49"/>
  <c r="DC47" i="49"/>
  <c r="DC48" i="49"/>
  <c r="DG49" i="49"/>
  <c r="DG50" i="49"/>
  <c r="DC51" i="49"/>
  <c r="DG38" i="49"/>
  <c r="DS57" i="49"/>
  <c r="DT57" i="49" s="1"/>
  <c r="DS56" i="49"/>
  <c r="DU56" i="49" s="1"/>
  <c r="DM53" i="49"/>
  <c r="DO53" i="49" s="1"/>
  <c r="DN53" i="49"/>
  <c r="DP53" i="49" s="1"/>
  <c r="DM54" i="49"/>
  <c r="DQ54" i="49" s="1"/>
  <c r="DN54" i="49"/>
  <c r="DR54" i="49" s="1"/>
  <c r="DM55" i="49"/>
  <c r="DO55" i="49" s="1"/>
  <c r="DN55" i="49"/>
  <c r="DP55" i="49" s="1"/>
  <c r="DN52" i="49"/>
  <c r="DR52" i="49" s="1"/>
  <c r="DM52" i="49"/>
  <c r="DQ52" i="49" s="1"/>
  <c r="G30" i="49"/>
  <c r="BN22" i="49"/>
  <c r="BP22" i="49" s="1"/>
  <c r="BB21" i="49"/>
  <c r="BC21" i="49" s="1"/>
  <c r="BB22" i="49"/>
  <c r="BC22" i="49" s="1"/>
  <c r="BB23" i="49"/>
  <c r="BC23" i="49" s="1"/>
  <c r="BB24" i="49"/>
  <c r="BC24" i="49" s="1"/>
  <c r="BB25" i="49"/>
  <c r="BC25" i="49" s="1"/>
  <c r="BB26" i="49"/>
  <c r="BC26" i="49" s="1"/>
  <c r="BB27" i="49"/>
  <c r="BC27" i="49" s="1"/>
  <c r="BB28" i="49"/>
  <c r="BC28" i="49" s="1"/>
  <c r="BT20" i="49"/>
  <c r="BU20" i="49" s="1"/>
  <c r="BT21" i="49"/>
  <c r="BU21" i="49" s="1"/>
  <c r="BT22" i="49"/>
  <c r="BU22" i="49" s="1"/>
  <c r="BT23" i="49"/>
  <c r="BU23" i="49" s="1"/>
  <c r="BT24" i="49"/>
  <c r="BU24" i="49" s="1"/>
  <c r="BT25" i="49"/>
  <c r="BU25" i="49" s="1"/>
  <c r="BT26" i="49"/>
  <c r="BU26" i="49" s="1"/>
  <c r="BT27" i="49"/>
  <c r="BU27" i="49" s="1"/>
  <c r="BT28" i="49"/>
  <c r="BU28" i="49" s="1"/>
  <c r="BT19" i="49"/>
  <c r="BU19" i="49" s="1"/>
  <c r="BO22" i="49"/>
  <c r="BQ22" i="49" s="1"/>
  <c r="BN23" i="49"/>
  <c r="BP23" i="49" s="1"/>
  <c r="BO23" i="49"/>
  <c r="BQ23" i="49" s="1"/>
  <c r="BN24" i="49"/>
  <c r="BP24" i="49" s="1"/>
  <c r="BO24" i="49"/>
  <c r="BQ24" i="49" s="1"/>
  <c r="BN25" i="49"/>
  <c r="BP25" i="49" s="1"/>
  <c r="BO25" i="49"/>
  <c r="BQ25" i="49" s="1"/>
  <c r="BN26" i="49"/>
  <c r="BP26" i="49" s="1"/>
  <c r="BO26" i="49"/>
  <c r="BQ26" i="49" s="1"/>
  <c r="BN27" i="49"/>
  <c r="BP27" i="49" s="1"/>
  <c r="BO27" i="49"/>
  <c r="BQ27" i="49" s="1"/>
  <c r="BN28" i="49"/>
  <c r="BP28" i="49" s="1"/>
  <c r="BO28" i="49"/>
  <c r="BQ28" i="49" s="1"/>
  <c r="BO21" i="49"/>
  <c r="BQ21" i="49" s="1"/>
  <c r="BN21" i="49"/>
  <c r="BP21" i="49" s="1"/>
  <c r="BE28" i="49"/>
  <c r="BF28" i="49" s="1"/>
  <c r="BE27" i="49"/>
  <c r="BF27" i="49" s="1"/>
  <c r="BE26" i="49"/>
  <c r="BF26" i="49" s="1"/>
  <c r="BE25" i="49"/>
  <c r="BF25" i="49" s="1"/>
  <c r="BE24" i="49"/>
  <c r="BF24" i="49" s="1"/>
  <c r="BE23" i="49"/>
  <c r="BF23" i="49" s="1"/>
  <c r="BE22" i="49"/>
  <c r="BF22" i="49" s="1"/>
  <c r="BE21" i="49"/>
  <c r="BF21" i="49" s="1"/>
  <c r="BE20" i="49"/>
  <c r="BF20" i="49" s="1"/>
  <c r="BE19" i="49"/>
  <c r="BF19" i="49" s="1"/>
  <c r="BA28" i="49"/>
  <c r="BA27" i="49"/>
  <c r="BA26" i="49"/>
  <c r="BA25" i="49"/>
  <c r="BA24" i="49"/>
  <c r="BA23" i="49"/>
  <c r="BA22" i="49"/>
  <c r="BA21" i="49"/>
  <c r="BZ25" i="49"/>
  <c r="BZ23" i="49"/>
  <c r="BA30" i="49"/>
  <c r="BA31" i="49"/>
  <c r="BA32" i="49"/>
  <c r="BA33" i="49"/>
  <c r="BA29" i="49"/>
  <c r="BE30" i="49"/>
  <c r="BF30" i="49" s="1"/>
  <c r="BE31" i="49"/>
  <c r="BF31" i="49" s="1"/>
  <c r="BE32" i="49"/>
  <c r="BF32" i="49" s="1"/>
  <c r="BE33" i="49"/>
  <c r="BF33" i="49" s="1"/>
  <c r="BE29" i="49"/>
  <c r="BF29" i="49" s="1"/>
  <c r="BW30" i="49"/>
  <c r="BX30" i="49" s="1"/>
  <c r="BW31" i="49"/>
  <c r="BX31" i="49" s="1"/>
  <c r="BW32" i="49"/>
  <c r="BX32" i="49" s="1"/>
  <c r="BW33" i="49"/>
  <c r="BX33" i="49" s="1"/>
  <c r="BW29" i="49"/>
  <c r="BX29" i="49" s="1"/>
  <c r="BO30" i="49"/>
  <c r="BQ30" i="49" s="1"/>
  <c r="BO31" i="49"/>
  <c r="BQ31" i="49" s="1"/>
  <c r="BO32" i="49"/>
  <c r="BQ32" i="49" s="1"/>
  <c r="BO33" i="49"/>
  <c r="BQ33" i="49" s="1"/>
  <c r="BO29" i="49"/>
  <c r="BQ29" i="49" s="1"/>
  <c r="BN30" i="49"/>
  <c r="BP30" i="49" s="1"/>
  <c r="BN31" i="49"/>
  <c r="BP31" i="49" s="1"/>
  <c r="BN32" i="49"/>
  <c r="BP32" i="49" s="1"/>
  <c r="BN33" i="49"/>
  <c r="BP33" i="49" s="1"/>
  <c r="BN29" i="49"/>
  <c r="BP29" i="49" s="1"/>
  <c r="AS17" i="49"/>
  <c r="AU17" i="49"/>
  <c r="AV17" i="49"/>
  <c r="AY17" i="49"/>
  <c r="AU18" i="49"/>
  <c r="AV18" i="49"/>
  <c r="AW18" i="49"/>
  <c r="AX18" i="49"/>
  <c r="AQ19" i="49"/>
  <c r="AR19" i="49"/>
  <c r="AS19" i="49"/>
  <c r="AU19" i="49"/>
  <c r="AV19" i="49"/>
  <c r="AW19" i="49"/>
  <c r="AX19" i="49"/>
  <c r="AY19" i="49"/>
  <c r="AS20" i="49"/>
  <c r="AU20" i="49"/>
  <c r="AV20" i="49"/>
  <c r="AW20" i="49"/>
  <c r="AX20" i="49"/>
  <c r="AY20" i="49"/>
  <c r="AQ21" i="49"/>
  <c r="AR21" i="49"/>
  <c r="AS21" i="49"/>
  <c r="AU21" i="49"/>
  <c r="AV21" i="49"/>
  <c r="AW21" i="49"/>
  <c r="AX21" i="49"/>
  <c r="AY21" i="49"/>
  <c r="AT22" i="49"/>
  <c r="AU22" i="49"/>
  <c r="AV22" i="49"/>
  <c r="AW22" i="49"/>
  <c r="AX22" i="49"/>
  <c r="AY22" i="49"/>
  <c r="AQ25" i="49"/>
  <c r="AR25" i="49"/>
  <c r="AS25" i="49"/>
  <c r="AU25" i="49"/>
  <c r="AV25" i="49"/>
  <c r="AW25" i="49"/>
  <c r="AX25" i="49"/>
  <c r="AW26" i="49"/>
  <c r="AQ27" i="49"/>
  <c r="AR27" i="49"/>
  <c r="AS27" i="49"/>
  <c r="AU27" i="49"/>
  <c r="AV27" i="49"/>
  <c r="AW27" i="49"/>
  <c r="AX27" i="49"/>
  <c r="AS28" i="49"/>
  <c r="AT28" i="49"/>
  <c r="AU28" i="49"/>
  <c r="AV28" i="49"/>
  <c r="AW28" i="49"/>
  <c r="AX28" i="49"/>
  <c r="AY28" i="49"/>
  <c r="J15" i="49"/>
  <c r="L15" i="49" s="1"/>
  <c r="K15" i="49"/>
  <c r="J30" i="49"/>
  <c r="N30" i="49" s="1"/>
  <c r="J31" i="49"/>
  <c r="N31" i="49" s="1"/>
  <c r="J32" i="49"/>
  <c r="N32" i="49" s="1"/>
  <c r="J33" i="49"/>
  <c r="N33" i="49" s="1"/>
  <c r="G31" i="49"/>
  <c r="G32" i="49"/>
  <c r="G33" i="49"/>
  <c r="Q29" i="49"/>
  <c r="Q32" i="49"/>
  <c r="Q33" i="49"/>
  <c r="O30" i="49"/>
  <c r="O29" i="49"/>
  <c r="O33" i="49"/>
  <c r="O32" i="49"/>
  <c r="Q31" i="49"/>
  <c r="O31" i="49"/>
  <c r="Q30" i="49"/>
  <c r="J29" i="49"/>
  <c r="N29" i="49" s="1"/>
  <c r="I30" i="49"/>
  <c r="I31" i="49"/>
  <c r="I32" i="49"/>
  <c r="I33" i="49"/>
  <c r="I29" i="49"/>
  <c r="H30" i="49"/>
  <c r="H31" i="49"/>
  <c r="H32" i="49"/>
  <c r="H33" i="49"/>
  <c r="H29" i="49"/>
  <c r="G29" i="49"/>
  <c r="F30" i="49"/>
  <c r="F31" i="49"/>
  <c r="F32" i="49"/>
  <c r="F33" i="49"/>
  <c r="F29" i="49"/>
  <c r="E30" i="49"/>
  <c r="BB30" i="49" s="1"/>
  <c r="BC30" i="49" s="1"/>
  <c r="E31" i="49"/>
  <c r="BB31" i="49" s="1"/>
  <c r="BC31" i="49" s="1"/>
  <c r="E32" i="49"/>
  <c r="BB32" i="49" s="1"/>
  <c r="BC32" i="49" s="1"/>
  <c r="E33" i="49"/>
  <c r="BB33" i="49" s="1"/>
  <c r="BC33" i="49" s="1"/>
  <c r="K16" i="49"/>
  <c r="Q16" i="49" s="1"/>
  <c r="K17" i="49"/>
  <c r="K18" i="49"/>
  <c r="Q18" i="49" s="1"/>
  <c r="K19" i="49"/>
  <c r="Q19" i="49" s="1"/>
  <c r="K20" i="49"/>
  <c r="Q20" i="49" s="1"/>
  <c r="K21" i="49"/>
  <c r="Q21" i="49" s="1"/>
  <c r="K22" i="49"/>
  <c r="Q22" i="49" s="1"/>
  <c r="K23" i="49"/>
  <c r="K24" i="49"/>
  <c r="K25" i="49"/>
  <c r="K26" i="49"/>
  <c r="K27" i="49"/>
  <c r="K28" i="49"/>
  <c r="J16" i="49"/>
  <c r="L16" i="49" s="1"/>
  <c r="J17" i="49"/>
  <c r="L17" i="49" s="1"/>
  <c r="J18" i="49"/>
  <c r="L18" i="49" s="1"/>
  <c r="J19" i="49"/>
  <c r="L19" i="49" s="1"/>
  <c r="J20" i="49"/>
  <c r="L20" i="49" s="1"/>
  <c r="J21" i="49"/>
  <c r="L21" i="49" s="1"/>
  <c r="J22" i="49"/>
  <c r="P22" i="49" s="1"/>
  <c r="J23" i="49"/>
  <c r="L23" i="49" s="1"/>
  <c r="J24" i="49"/>
  <c r="L24" i="49" s="1"/>
  <c r="J25" i="49"/>
  <c r="L25" i="49" s="1"/>
  <c r="J26" i="49"/>
  <c r="L26" i="49" s="1"/>
  <c r="J27" i="49"/>
  <c r="L27" i="49" s="1"/>
  <c r="J28" i="49"/>
  <c r="L28" i="49" s="1"/>
  <c r="CQ36" i="49" a="1"/>
  <c r="CQ36" i="49" s="1"/>
  <c r="CD23" i="49"/>
  <c r="CE23" i="49" s="1"/>
  <c r="CQ37" i="49" a="1"/>
  <c r="CQ37" i="49" s="1"/>
  <c r="CD25" i="49"/>
  <c r="CE25" i="49" s="1"/>
  <c r="E29" i="49"/>
  <c r="BB29" i="49" s="1"/>
  <c r="BC29" i="49" s="1"/>
  <c r="AL26" i="49" l="1"/>
  <c r="AU26" i="49" s="1"/>
  <c r="AP26" i="49"/>
  <c r="AY26" i="49" s="1"/>
  <c r="AJ26" i="49"/>
  <c r="AS26" i="49" s="1"/>
  <c r="AK26" i="49"/>
  <c r="AT26" i="49" s="1"/>
  <c r="AM26" i="49"/>
  <c r="AV26" i="49" s="1"/>
  <c r="CN37" i="49" a="1"/>
  <c r="CN37" i="49" s="1"/>
  <c r="CM37" i="49" a="1"/>
  <c r="CM37" i="49" s="1"/>
  <c r="CN35" i="49" a="1"/>
  <c r="CN35" i="49" s="1"/>
  <c r="CM35" i="49" a="1"/>
  <c r="CM35" i="49" s="1"/>
  <c r="CT35" i="49" s="1"/>
  <c r="CW35" i="49" s="1"/>
  <c r="CM36" i="49" a="1"/>
  <c r="CM36" i="49" s="1"/>
  <c r="CN36" i="49" a="1"/>
  <c r="CN36" i="49" s="1"/>
  <c r="CT34" i="49"/>
  <c r="CW34" i="49" s="1"/>
  <c r="AM24" i="49"/>
  <c r="AV24" i="49" s="1"/>
  <c r="AP24" i="49"/>
  <c r="AY24" i="49" s="1"/>
  <c r="AN24" i="49"/>
  <c r="AW24" i="49" s="1"/>
  <c r="AK24" i="49"/>
  <c r="AT24" i="49" s="1"/>
  <c r="AL24" i="49"/>
  <c r="AU24" i="49" s="1"/>
  <c r="AJ24" i="49"/>
  <c r="AS24" i="49" s="1"/>
  <c r="AO24" i="49"/>
  <c r="AX24" i="49" s="1"/>
  <c r="AI23" i="49"/>
  <c r="AR23" i="49" s="1"/>
  <c r="AJ23" i="49"/>
  <c r="AS23" i="49" s="1"/>
  <c r="AL23" i="49"/>
  <c r="AU23" i="49" s="1"/>
  <c r="AN23" i="49"/>
  <c r="AW23" i="49" s="1"/>
  <c r="AP23" i="49"/>
  <c r="AY23" i="49" s="1"/>
  <c r="AH23" i="49"/>
  <c r="AQ23" i="49" s="1"/>
  <c r="AM23" i="49"/>
  <c r="AV23" i="49" s="1"/>
  <c r="AO23" i="49"/>
  <c r="AX23" i="49" s="1"/>
  <c r="CT37" i="49"/>
  <c r="CW37" i="49" s="1"/>
  <c r="CQ35" i="49" a="1"/>
  <c r="CQ35" i="49" s="1"/>
  <c r="CQ34" i="49" a="1"/>
  <c r="CQ34" i="49" s="1"/>
  <c r="P30" i="49"/>
  <c r="CT36" i="49"/>
  <c r="CW36" i="49" s="1"/>
  <c r="DL41" i="49"/>
  <c r="DL40" i="49"/>
  <c r="DK45" i="49"/>
  <c r="DL47" i="49"/>
  <c r="DL39" i="49"/>
  <c r="DL43" i="49"/>
  <c r="DL42" i="49"/>
  <c r="DL44" i="49"/>
  <c r="DK46" i="49"/>
  <c r="DK44" i="49"/>
  <c r="DL46" i="49"/>
  <c r="DK43" i="49"/>
  <c r="DL45" i="49"/>
  <c r="DK42" i="49"/>
  <c r="DK41" i="49"/>
  <c r="DK40" i="49"/>
  <c r="DK47" i="49"/>
  <c r="DK39" i="49"/>
  <c r="DG39" i="49"/>
  <c r="DG41" i="49"/>
  <c r="P29" i="49"/>
  <c r="R29" i="49" s="1"/>
  <c r="W29" i="49" s="1"/>
  <c r="Y29" i="49" s="1"/>
  <c r="AG29" i="49" s="1"/>
  <c r="DG43" i="49"/>
  <c r="L22" i="49"/>
  <c r="O22" i="49" s="1"/>
  <c r="DC49" i="49"/>
  <c r="DC45" i="49"/>
  <c r="DD38" i="49"/>
  <c r="DE38" i="49"/>
  <c r="DF38" i="49"/>
  <c r="DC50" i="49"/>
  <c r="DC46" i="49"/>
  <c r="DC42" i="49"/>
  <c r="DG47" i="49"/>
  <c r="P21" i="49"/>
  <c r="R21" i="49" s="1"/>
  <c r="W21" i="49" s="1"/>
  <c r="P26" i="49"/>
  <c r="DG44" i="49"/>
  <c r="DG51" i="49"/>
  <c r="DP54" i="49"/>
  <c r="DR53" i="49"/>
  <c r="DO54" i="49"/>
  <c r="DQ53" i="49"/>
  <c r="DR55" i="49"/>
  <c r="DU57" i="49"/>
  <c r="DQ55" i="49"/>
  <c r="DG48" i="49"/>
  <c r="DG40" i="49"/>
  <c r="DO52" i="49"/>
  <c r="DP52" i="49"/>
  <c r="DT56" i="49"/>
  <c r="DC38" i="49"/>
  <c r="P33" i="49"/>
  <c r="R33" i="49" s="1"/>
  <c r="W33" i="49" s="1"/>
  <c r="Y33" i="49" s="1"/>
  <c r="AG33" i="49" s="1"/>
  <c r="P23" i="49"/>
  <c r="P32" i="49"/>
  <c r="R32" i="49" s="1"/>
  <c r="S32" i="49" s="1"/>
  <c r="P31" i="49"/>
  <c r="R31" i="49" s="1"/>
  <c r="S31" i="49" s="1"/>
  <c r="R30" i="49"/>
  <c r="W30" i="49" s="1"/>
  <c r="Y30" i="49" s="1"/>
  <c r="AG30" i="49" s="1"/>
  <c r="R22" i="49"/>
  <c r="S22" i="49" s="1"/>
  <c r="P27" i="49"/>
  <c r="P28" i="49"/>
  <c r="P20" i="49"/>
  <c r="R20" i="49" s="1"/>
  <c r="S20" i="49" s="1"/>
  <c r="P19" i="49"/>
  <c r="R19" i="49" s="1"/>
  <c r="S19" i="49" s="1"/>
  <c r="P18" i="49"/>
  <c r="R18" i="49" s="1"/>
  <c r="W18" i="49" s="1"/>
  <c r="P25" i="49"/>
  <c r="P17" i="49"/>
  <c r="P24" i="49"/>
  <c r="P16" i="49"/>
  <c r="R16" i="49" s="1"/>
  <c r="W16" i="49" s="1"/>
  <c r="Y16" i="49" s="1"/>
  <c r="AG16" i="49" s="1"/>
  <c r="BV27" i="49"/>
  <c r="BV26" i="49"/>
  <c r="BV25" i="49"/>
  <c r="BV24" i="49"/>
  <c r="BV23" i="49"/>
  <c r="BV22" i="49"/>
  <c r="BV19" i="49"/>
  <c r="BV21" i="49"/>
  <c r="BV28" i="49"/>
  <c r="BV20" i="49"/>
  <c r="BG26" i="49"/>
  <c r="BG33" i="49"/>
  <c r="BG25" i="49"/>
  <c r="BG32" i="49"/>
  <c r="BG24" i="49"/>
  <c r="BG31" i="49"/>
  <c r="BG23" i="49"/>
  <c r="BG30" i="49"/>
  <c r="BG22" i="49"/>
  <c r="BG29" i="49"/>
  <c r="BG21" i="49"/>
  <c r="BG28" i="49"/>
  <c r="BG20" i="49"/>
  <c r="BG27" i="49"/>
  <c r="BG19" i="49"/>
  <c r="BY29" i="49"/>
  <c r="BY33" i="49"/>
  <c r="BY32" i="49"/>
  <c r="BY31" i="49"/>
  <c r="BY30" i="49"/>
  <c r="BR32" i="49"/>
  <c r="BR24" i="49"/>
  <c r="BS29" i="49"/>
  <c r="BR31" i="49"/>
  <c r="BR23" i="49"/>
  <c r="BS28" i="49"/>
  <c r="BR30" i="49"/>
  <c r="BS27" i="49"/>
  <c r="BR29" i="49"/>
  <c r="BS21" i="49"/>
  <c r="BS26" i="49"/>
  <c r="BR28" i="49"/>
  <c r="BS33" i="49"/>
  <c r="BS25" i="49"/>
  <c r="BR27" i="49"/>
  <c r="BS32" i="49"/>
  <c r="BS24" i="49"/>
  <c r="BR21" i="49"/>
  <c r="BR26" i="49"/>
  <c r="BS31" i="49"/>
  <c r="BS23" i="49"/>
  <c r="BR33" i="49"/>
  <c r="BR25" i="49"/>
  <c r="BS30" i="49"/>
  <c r="BS22" i="49"/>
  <c r="BR22" i="49"/>
  <c r="AZ22" i="49"/>
  <c r="AZ21" i="49"/>
  <c r="AZ28" i="49"/>
  <c r="AZ20" i="49"/>
  <c r="AZ27" i="49"/>
  <c r="AZ19" i="49"/>
  <c r="AZ26" i="49"/>
  <c r="AZ25" i="49"/>
  <c r="AZ17" i="49"/>
  <c r="AZ23" i="49"/>
  <c r="AZ18" i="49"/>
  <c r="T29" i="49"/>
  <c r="T33" i="49"/>
  <c r="T30" i="49"/>
  <c r="T20" i="49"/>
  <c r="Q24" i="49"/>
  <c r="O18" i="49"/>
  <c r="Q26" i="49"/>
  <c r="Q27" i="49"/>
  <c r="Q23" i="49"/>
  <c r="Q17" i="49"/>
  <c r="Q25" i="49"/>
  <c r="O26" i="49"/>
  <c r="O19" i="49"/>
  <c r="O27" i="49"/>
  <c r="O20" i="49"/>
  <c r="O16" i="49"/>
  <c r="O17" i="49"/>
  <c r="O21" i="49"/>
  <c r="O23" i="49"/>
  <c r="O24" i="49"/>
  <c r="O15" i="49"/>
  <c r="Q15" i="49"/>
  <c r="S15" i="9"/>
  <c r="S4" i="9" s="1"/>
  <c r="AZ24" i="49" l="1"/>
  <c r="DL38" i="49"/>
  <c r="DK38" i="49"/>
  <c r="R26" i="49"/>
  <c r="W26" i="49" s="1"/>
  <c r="Y18" i="49"/>
  <c r="AG18" i="49" s="1"/>
  <c r="BM18" i="49" s="1"/>
  <c r="Y21" i="49"/>
  <c r="AG21" i="49" s="1"/>
  <c r="R23" i="49"/>
  <c r="S23" i="49" s="1"/>
  <c r="S16" i="49"/>
  <c r="S29" i="49"/>
  <c r="W31" i="49"/>
  <c r="Y31" i="49" s="1"/>
  <c r="AG31" i="49" s="1"/>
  <c r="S33" i="49"/>
  <c r="S30" i="49"/>
  <c r="W32" i="49"/>
  <c r="W20" i="49"/>
  <c r="Y20" i="49" s="1"/>
  <c r="AG20" i="49" s="1"/>
  <c r="BM20" i="49" s="1"/>
  <c r="R27" i="49"/>
  <c r="W27" i="49" s="1"/>
  <c r="W19" i="49"/>
  <c r="W22" i="49"/>
  <c r="AA33" i="49"/>
  <c r="AC33" i="49" s="1"/>
  <c r="AE33" i="49" s="1"/>
  <c r="R24" i="49"/>
  <c r="S24" i="49" s="1"/>
  <c r="S18" i="49"/>
  <c r="R17" i="49"/>
  <c r="W17" i="49" s="1"/>
  <c r="S21" i="49"/>
  <c r="R25" i="49"/>
  <c r="W25" i="49" s="1"/>
  <c r="CO36" i="49" s="1" a="1"/>
  <c r="CO36" i="49" s="1"/>
  <c r="R15" i="49"/>
  <c r="W15" i="49" s="1"/>
  <c r="AA21" i="49"/>
  <c r="AC21" i="49" s="1"/>
  <c r="AE21" i="49" s="1"/>
  <c r="AA18" i="49"/>
  <c r="AC18" i="49" s="1"/>
  <c r="AE18" i="49" s="1"/>
  <c r="AA29" i="49"/>
  <c r="AC29" i="49" s="1"/>
  <c r="AE29" i="49" s="1"/>
  <c r="AA16" i="49"/>
  <c r="AC16" i="49" s="1"/>
  <c r="AE16" i="49" s="1"/>
  <c r="AA30" i="49"/>
  <c r="AC30" i="49" s="1"/>
  <c r="AE30" i="49" s="1"/>
  <c r="T25" i="49"/>
  <c r="BD33" i="49"/>
  <c r="T32" i="49"/>
  <c r="BD29" i="49"/>
  <c r="T31" i="49"/>
  <c r="Q28" i="49"/>
  <c r="O28" i="49"/>
  <c r="T24" i="49"/>
  <c r="O25" i="49"/>
  <c r="T21" i="49"/>
  <c r="T23" i="49"/>
  <c r="T16" i="49"/>
  <c r="T18" i="49"/>
  <c r="T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F15" i="5"/>
  <c r="BC15" i="5"/>
  <c r="AZ15" i="5"/>
  <c r="AX15" i="5"/>
  <c r="O15" i="5"/>
  <c r="R15" i="5" s="1"/>
  <c r="E15" i="5"/>
  <c r="F15" i="9" a="1"/>
  <c r="F15" i="9" s="1"/>
  <c r="T15" i="9" s="1"/>
  <c r="G15" i="9" a="1"/>
  <c r="G15" i="9" s="1"/>
  <c r="AS15" i="12"/>
  <c r="AZ15" i="12"/>
  <c r="AX15" i="12"/>
  <c r="AY15" i="12"/>
  <c r="E15" i="14"/>
  <c r="U15" i="14"/>
  <c r="T15" i="14"/>
  <c r="R15" i="14"/>
  <c r="Q15" i="14"/>
  <c r="P15" i="14"/>
  <c r="M15" i="14"/>
  <c r="O15" i="14"/>
  <c r="CO35" i="49" l="1" a="1"/>
  <c r="CO35" i="49" s="1"/>
  <c r="CU35" i="49" s="1"/>
  <c r="CX35" i="49" s="1"/>
  <c r="CN34" i="49" a="1"/>
  <c r="CN34" i="49" s="1"/>
  <c r="CO34" i="49" s="1" a="1"/>
  <c r="CO34" i="49" s="1"/>
  <c r="CU34" i="49" s="1"/>
  <c r="CX34" i="49" s="1"/>
  <c r="S26" i="49"/>
  <c r="BJ21" i="49"/>
  <c r="BM21" i="49"/>
  <c r="Y22" i="49"/>
  <c r="AG22" i="49" s="1"/>
  <c r="BM22" i="49" s="1"/>
  <c r="W23" i="49"/>
  <c r="AA31" i="49"/>
  <c r="AC31" i="49" s="1"/>
  <c r="AE31" i="49" s="1"/>
  <c r="AA22" i="49"/>
  <c r="AC22" i="49" s="1"/>
  <c r="AE22" i="49" s="1"/>
  <c r="AA20" i="49"/>
  <c r="AC20" i="49" s="1"/>
  <c r="AE20" i="49" s="1"/>
  <c r="S27" i="49"/>
  <c r="Y32" i="49"/>
  <c r="AG32" i="49" s="1"/>
  <c r="BD32" i="49" s="1"/>
  <c r="AA32" i="49"/>
  <c r="AC32" i="49" s="1"/>
  <c r="AE32" i="49" s="1"/>
  <c r="W24" i="49"/>
  <c r="Y24" i="49" s="1"/>
  <c r="AG24" i="49" s="1"/>
  <c r="S17" i="49"/>
  <c r="S15" i="49"/>
  <c r="Y19" i="49"/>
  <c r="AG19" i="49" s="1"/>
  <c r="AA19" i="49"/>
  <c r="AC19" i="49" s="1"/>
  <c r="AE19" i="49" s="1"/>
  <c r="S25" i="49"/>
  <c r="Y27" i="49"/>
  <c r="AG27" i="49" s="1"/>
  <c r="BM27" i="49" s="1"/>
  <c r="AA27" i="49"/>
  <c r="AC27" i="49" s="1"/>
  <c r="AE27" i="49" s="1"/>
  <c r="Y17" i="49"/>
  <c r="AG17" i="49" s="1"/>
  <c r="BM17" i="49" s="1"/>
  <c r="AA17" i="49"/>
  <c r="AC17" i="49" s="1"/>
  <c r="AE17" i="49" s="1"/>
  <c r="Y25" i="49"/>
  <c r="AG25" i="49" s="1"/>
  <c r="BM25" i="49" s="1"/>
  <c r="AA25" i="49"/>
  <c r="AC25" i="49" s="1"/>
  <c r="AE25" i="49" s="1"/>
  <c r="Y15" i="49"/>
  <c r="AG15" i="49" s="1"/>
  <c r="AA15" i="49"/>
  <c r="AC15" i="49" s="1"/>
  <c r="AE15" i="49" s="1"/>
  <c r="T28" i="49"/>
  <c r="R28" i="49"/>
  <c r="Y26" i="49"/>
  <c r="AG26" i="49" s="1"/>
  <c r="AA26" i="49"/>
  <c r="AC26" i="49" s="1"/>
  <c r="AE26" i="49" s="1"/>
  <c r="T27" i="49"/>
  <c r="BD30" i="49"/>
  <c r="T26" i="49"/>
  <c r="T17" i="49"/>
  <c r="BD31" i="49"/>
  <c r="T22" i="49"/>
  <c r="T15" i="49"/>
  <c r="AO4" i="13"/>
  <c r="AV15" i="46" a="1"/>
  <c r="AV15" i="46" s="1"/>
  <c r="AU15" i="46" a="1"/>
  <c r="AU15" i="46" s="1"/>
  <c r="T15" i="46" a="1"/>
  <c r="T15" i="46" s="1"/>
  <c r="S15" i="46" a="1"/>
  <c r="S15" i="46" s="1"/>
  <c r="Y23" i="49" l="1"/>
  <c r="AG23" i="49" s="1"/>
  <c r="BM23" i="49" s="1"/>
  <c r="CU36" i="49"/>
  <c r="CX36" i="49" s="1"/>
  <c r="BJ19" i="49"/>
  <c r="BM19" i="49"/>
  <c r="BD26" i="49"/>
  <c r="BM26" i="49"/>
  <c r="BD24" i="49"/>
  <c r="BM24" i="49"/>
  <c r="BD22" i="49"/>
  <c r="BD27" i="49"/>
  <c r="BJ27" i="49"/>
  <c r="BD25" i="49"/>
  <c r="BJ25" i="49"/>
  <c r="AA23" i="49"/>
  <c r="AC23" i="49" s="1"/>
  <c r="AE23" i="49" s="1"/>
  <c r="AA24" i="49"/>
  <c r="AC24" i="49" s="1"/>
  <c r="AE24" i="49" s="1"/>
  <c r="W28" i="49"/>
  <c r="S28" i="49"/>
  <c r="BD21" i="49"/>
  <c r="CO37" i="49" l="1" a="1"/>
  <c r="CO37" i="49" s="1"/>
  <c r="CU37" i="49" s="1"/>
  <c r="CX37" i="49" s="1"/>
  <c r="BJ23" i="49"/>
  <c r="BD23" i="49"/>
  <c r="W15" i="13"/>
  <c r="P4" i="13"/>
  <c r="Y28" i="49"/>
  <c r="AG28" i="49" s="1"/>
  <c r="AA28" i="49"/>
  <c r="AC28" i="49" s="1"/>
  <c r="AE28" i="49" s="1"/>
  <c r="E15" i="12"/>
  <c r="K15" i="40"/>
  <c r="BD28" i="49" l="1"/>
  <c r="BM28" i="49"/>
  <c r="AK15" i="13"/>
  <c r="AL15" i="13" s="1"/>
  <c r="X4" i="13"/>
  <c r="M15" i="9"/>
  <c r="W15" i="9" s="1"/>
  <c r="Z15" i="9" s="1"/>
  <c r="N15" i="9"/>
  <c r="H15" i="6"/>
  <c r="M15" i="6" s="1"/>
  <c r="O15" i="16"/>
  <c r="Q15" i="16" s="1"/>
  <c r="AE15" i="10"/>
  <c r="AE4" i="10" s="1"/>
  <c r="V15" i="10"/>
  <c r="S15" i="10"/>
  <c r="M15" i="10"/>
  <c r="N15" i="10" s="1"/>
  <c r="V4" i="8"/>
  <c r="T15" i="8"/>
  <c r="R15" i="8"/>
  <c r="Q15" i="8"/>
  <c r="AQ15" i="12" s="1"/>
  <c r="N15" i="8"/>
  <c r="M15" i="8"/>
  <c r="K15" i="8"/>
  <c r="AQ15" i="7"/>
  <c r="H15" i="8"/>
  <c r="AJ15" i="7"/>
  <c r="AA15" i="7"/>
  <c r="T15" i="7"/>
  <c r="AI15" i="5"/>
  <c r="AH15" i="5"/>
  <c r="AF15" i="5"/>
  <c r="AD15" i="5"/>
  <c r="Z15" i="5"/>
  <c r="X15" i="5"/>
  <c r="W15" i="5"/>
  <c r="H15" i="7" s="1"/>
  <c r="U15" i="5"/>
  <c r="AA15" i="5" s="1"/>
  <c r="T15" i="5"/>
  <c r="F15" i="7" s="1"/>
  <c r="S15" i="5"/>
  <c r="P15" i="7"/>
  <c r="O15" i="7"/>
  <c r="N15" i="7"/>
  <c r="M15" i="7"/>
  <c r="L15" i="7"/>
  <c r="K15" i="7"/>
  <c r="Z15" i="7" s="1"/>
  <c r="AM15" i="5"/>
  <c r="AD15" i="13" l="1"/>
  <c r="AF15" i="13" s="1"/>
  <c r="AB4" i="13"/>
  <c r="AC4" i="13" s="1"/>
  <c r="AA4" i="13"/>
  <c r="Y4" i="13"/>
  <c r="U15" i="7"/>
  <c r="F15" i="16"/>
  <c r="AJ15" i="5"/>
  <c r="AJ4" i="5" s="1"/>
  <c r="AQ4" i="5" s="1"/>
  <c r="G15" i="7"/>
  <c r="F15" i="14" a="1"/>
  <c r="F15" i="14" s="1"/>
  <c r="I15" i="7"/>
  <c r="AE15" i="5"/>
  <c r="L15" i="9"/>
  <c r="O15" i="9"/>
  <c r="X15" i="9" s="1"/>
  <c r="AA15" i="9" s="1"/>
  <c r="AK4" i="5" l="1"/>
  <c r="BB4" i="5"/>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M4" i="5" l="1"/>
  <c r="AS15" i="5" l="1"/>
  <c r="AR15" i="5"/>
  <c r="S4" i="5"/>
  <c r="R4" i="5" l="1"/>
  <c r="Q4" i="16" l="1"/>
  <c r="AG15" i="5" l="1"/>
  <c r="AB15" i="5"/>
  <c r="Y15" i="5" l="1"/>
  <c r="AV15" i="5"/>
  <c r="AD4" i="5"/>
  <c r="AG4" i="5" s="1"/>
  <c r="AI4" i="5"/>
  <c r="T4" i="5"/>
  <c r="Q4" i="5"/>
  <c r="P4" i="5"/>
  <c r="N4" i="5"/>
  <c r="M4" i="5"/>
  <c r="L4" i="5"/>
  <c r="K4" i="5"/>
  <c r="J4" i="5"/>
  <c r="I4" i="5"/>
  <c r="H4" i="5"/>
  <c r="G4" i="5"/>
  <c r="AF4" i="5"/>
  <c r="Z4" i="5"/>
  <c r="AE4" i="5" s="1"/>
  <c r="X4" i="5"/>
  <c r="AB4" i="5" s="1"/>
  <c r="U4" i="5"/>
  <c r="AA4" i="5" l="1"/>
  <c r="Y4" i="5"/>
  <c r="AK15" i="5"/>
  <c r="J15" i="7"/>
  <c r="AQ15" i="5"/>
  <c r="AL15" i="5"/>
  <c r="AH4" i="5"/>
  <c r="W4" i="5"/>
  <c r="AN15" i="5" l="1"/>
  <c r="AO15" i="5" s="1"/>
  <c r="AL4" i="5"/>
  <c r="J15" i="40"/>
  <c r="AN4" i="5" l="1"/>
  <c r="AP15" i="5"/>
  <c r="AP4" i="5" s="1"/>
  <c r="AO4" i="5"/>
  <c r="AU15" i="5"/>
  <c r="AY15" i="5" s="1"/>
  <c r="AT15" i="5"/>
  <c r="C15" i="20"/>
  <c r="AC15" i="9" l="1"/>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N15" i="14"/>
  <c r="J15" i="14"/>
  <c r="H15" i="15"/>
  <c r="G15" i="15"/>
  <c r="AB15" i="9"/>
  <c r="F15" i="20" l="1"/>
  <c r="J15" i="20" s="1"/>
  <c r="G15" i="20" l="1"/>
  <c r="K15" i="20" s="1"/>
  <c r="AN15" i="13" l="1"/>
  <c r="L15" i="20"/>
  <c r="N15" i="20" s="1"/>
  <c r="P15" i="20" s="1"/>
  <c r="P4" i="20" s="1"/>
  <c r="R15" i="20" l="1"/>
  <c r="T15" i="20" s="1"/>
  <c r="V15" i="20" s="1"/>
  <c r="R4" i="20" l="1"/>
  <c r="S4" i="20" s="1"/>
  <c r="H4" i="14"/>
  <c r="M4" i="16"/>
  <c r="J4" i="16"/>
  <c r="M4" i="13"/>
  <c r="L4" i="13"/>
  <c r="AH4" i="13"/>
  <c r="AG4" i="13"/>
  <c r="D4" i="46"/>
  <c r="L4" i="46"/>
  <c r="L15" i="44" l="1"/>
  <c r="P15" i="44" s="1"/>
  <c r="L4" i="44"/>
  <c r="M4" i="44" l="1"/>
  <c r="O4" i="44"/>
  <c r="Q15" i="44"/>
  <c r="O15" i="44"/>
  <c r="N15" i="44"/>
  <c r="M15" i="44"/>
  <c r="T15" i="10" l="1"/>
  <c r="C15" i="45" l="1"/>
  <c r="M4" i="46" l="1"/>
  <c r="K4" i="46"/>
  <c r="C4" i="46"/>
  <c r="E4" i="46"/>
  <c r="BP4" i="46"/>
  <c r="BQ4" i="46"/>
  <c r="AP4" i="13" l="1"/>
  <c r="O4" i="13"/>
  <c r="N4" i="13"/>
  <c r="G4" i="44" l="1"/>
  <c r="L4" i="10" l="1"/>
  <c r="K4" i="10"/>
  <c r="D4" i="45" l="1"/>
  <c r="W4" i="13" l="1"/>
  <c r="K4" i="40"/>
  <c r="H4" i="40" s="1"/>
  <c r="E15" i="15"/>
  <c r="N4" i="7" l="1"/>
  <c r="O4" i="7"/>
  <c r="Q4" i="7"/>
  <c r="M4" i="7"/>
  <c r="P4" i="7"/>
  <c r="L4" i="7"/>
  <c r="N4" i="10"/>
  <c r="K4" i="7"/>
  <c r="F4" i="14"/>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Q4" i="44"/>
  <c r="P4" i="44"/>
  <c r="K4" i="44"/>
  <c r="J4" i="44"/>
  <c r="I4" i="44"/>
  <c r="E15" i="44"/>
  <c r="H4" i="44"/>
  <c r="G4" i="6"/>
  <c r="F4" i="6"/>
  <c r="N4" i="44" l="1"/>
  <c r="F15" i="44"/>
  <c r="F4" i="44" s="1"/>
  <c r="AG4" i="7"/>
  <c r="AJ4" i="7"/>
  <c r="AF4" i="7"/>
  <c r="AL4" i="7"/>
  <c r="AA4" i="46" l="1"/>
  <c r="Z4" i="46"/>
  <c r="S4" i="46"/>
  <c r="T4" i="46"/>
  <c r="AN4" i="46" l="1"/>
  <c r="AG4" i="46"/>
  <c r="AO4" i="46"/>
  <c r="AH4" i="46"/>
  <c r="D15" i="40" l="1"/>
  <c r="J4" i="40"/>
  <c r="DS58" i="49" s="1"/>
  <c r="DU58" i="49" s="1"/>
  <c r="F4" i="40"/>
  <c r="I4" i="40" s="1"/>
  <c r="E4" i="40"/>
  <c r="G4" i="40" s="1"/>
  <c r="DT58" i="49" l="1"/>
  <c r="Q4" i="14"/>
  <c r="P4" i="14"/>
  <c r="O4" i="14" l="1"/>
  <c r="K4" i="14" l="1"/>
  <c r="M4" i="14"/>
  <c r="L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R4" i="14"/>
  <c r="I4" i="14"/>
  <c r="J4" i="14" s="1"/>
  <c r="AW4" i="12"/>
  <c r="AX4" i="12" s="1"/>
  <c r="F4" i="8"/>
  <c r="G4" i="8" s="1"/>
  <c r="R4" i="7"/>
  <c r="S4" i="7" s="1"/>
  <c r="AM4" i="13" l="1"/>
  <c r="AJ4" i="13"/>
  <c r="AI4" i="13"/>
  <c r="AN4" i="13"/>
  <c r="H4" i="34" l="1"/>
  <c r="G4" i="34"/>
  <c r="DV58" i="49" s="1"/>
  <c r="DX58" i="49" s="1"/>
  <c r="T4" i="7"/>
  <c r="E15" i="9"/>
  <c r="AY4" i="12"/>
  <c r="E15" i="6"/>
  <c r="E15" i="10"/>
  <c r="E15" i="8"/>
  <c r="AZ15" i="7" s="1"/>
  <c r="AZ4" i="7" s="1"/>
  <c r="E15" i="7"/>
  <c r="H4" i="15"/>
  <c r="S4" i="14"/>
  <c r="H4" i="8"/>
  <c r="AP4" i="12" l="1"/>
  <c r="AO4" i="12"/>
  <c r="F15" i="12"/>
  <c r="J15" i="12"/>
  <c r="H15" i="10"/>
  <c r="F15" i="10"/>
  <c r="P15" i="10" s="1"/>
  <c r="I15" i="10"/>
  <c r="I4" i="10" s="1"/>
  <c r="G15" i="10"/>
  <c r="G4" i="10" s="1"/>
  <c r="J15" i="10"/>
  <c r="G4" i="7"/>
  <c r="J4" i="7" s="1"/>
  <c r="AQ4" i="12"/>
  <c r="F4" i="7"/>
  <c r="H4" i="7" s="1"/>
  <c r="I4" i="7"/>
  <c r="T4" i="14"/>
  <c r="N4" i="14"/>
  <c r="U4" i="14"/>
  <c r="Q15" i="10" l="1"/>
  <c r="R15" i="10" s="1"/>
  <c r="AS4" i="12"/>
  <c r="O15" i="10"/>
  <c r="J4" i="10"/>
  <c r="F4" i="10"/>
  <c r="Z15" i="10" l="1"/>
  <c r="AA15" i="10"/>
  <c r="AB15" i="10"/>
  <c r="P4" i="10"/>
  <c r="O4" i="10"/>
  <c r="H4" i="10"/>
  <c r="Q4" i="10"/>
  <c r="AR4" i="12" l="1"/>
  <c r="AD4" i="10"/>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U4" i="20" s="1"/>
  <c r="J4" i="12"/>
  <c r="L4" i="20"/>
  <c r="M4" i="20" s="1"/>
  <c r="AV4" i="46" l="1"/>
  <c r="AU4" i="46"/>
  <c r="N4" i="20"/>
  <c r="Q4" i="20" l="1"/>
  <c r="O4" i="20"/>
  <c r="G4" i="9"/>
  <c r="I4" i="9" s="1"/>
  <c r="N4" i="9"/>
  <c r="O4" i="9"/>
  <c r="V4" i="9" s="1"/>
  <c r="K4" i="9" l="1"/>
  <c r="F4" i="9"/>
  <c r="T4" i="9" s="1"/>
  <c r="L4" i="9"/>
  <c r="X4" i="9"/>
  <c r="H4" i="9" l="1"/>
  <c r="AA4" i="9"/>
  <c r="M4" i="9"/>
  <c r="U4" i="9" s="1"/>
  <c r="Z4" i="9"/>
  <c r="CQ58" i="49" s="1"/>
  <c r="W4" i="9"/>
  <c r="CP58" i="49" l="1"/>
  <c r="CV58" i="49"/>
  <c r="Y4" i="9"/>
  <c r="J4" i="9"/>
  <c r="BI4" i="46" l="1"/>
  <c r="H4" i="6" l="1"/>
  <c r="M4" i="6"/>
  <c r="I15" i="6" l="1"/>
  <c r="I4" i="6" s="1"/>
  <c r="AT4" i="5"/>
  <c r="AU4" i="5"/>
  <c r="AW15" i="5"/>
  <c r="AW4" i="5" s="1"/>
  <c r="BF4" i="5" s="1"/>
  <c r="BA15" i="5" l="1"/>
  <c r="AY4" i="5"/>
  <c r="AZ4" i="5" s="1"/>
  <c r="AX4" i="5"/>
  <c r="AV4" i="5"/>
  <c r="BG15" i="5"/>
  <c r="BG4" i="5" s="1"/>
  <c r="BA4" i="5"/>
  <c r="BC4" i="5" s="1"/>
  <c r="BD15" i="5"/>
  <c r="U15" i="8" l="1"/>
  <c r="Z15" i="8" s="1"/>
  <c r="Z4" i="8" s="1"/>
  <c r="BD4" i="5"/>
  <c r="BE15" i="5"/>
  <c r="BE4" i="5" s="1"/>
  <c r="G15" i="12"/>
  <c r="AJ15" i="12" s="1"/>
  <c r="AK15" i="12" s="1"/>
  <c r="AC15" i="10"/>
  <c r="AC4" i="10" s="1"/>
  <c r="AW15" i="7"/>
  <c r="BA15" i="7" s="1"/>
  <c r="BA4" i="7" s="1"/>
  <c r="U4" i="8"/>
  <c r="AL15" i="12" l="1"/>
  <c r="AL4" i="12" s="1"/>
  <c r="G4" i="12"/>
  <c r="AA15" i="12"/>
  <c r="AB15" i="12" s="1"/>
  <c r="AB4" i="12" s="1"/>
  <c r="X15" i="12"/>
  <c r="Y15" i="12" s="1"/>
  <c r="P15" i="12"/>
  <c r="M15" i="12"/>
  <c r="AG15" i="12"/>
  <c r="AH15" i="12" s="1"/>
  <c r="AH4" i="12" s="1"/>
  <c r="L15" i="12"/>
  <c r="L4" i="12" s="1"/>
  <c r="AD15" i="12"/>
  <c r="AE15" i="12" s="1"/>
  <c r="AE4" i="12" s="1"/>
  <c r="N15" i="12"/>
  <c r="O15" i="12"/>
  <c r="AW4" i="7"/>
  <c r="AF15" i="10"/>
  <c r="AF4" i="10" s="1"/>
  <c r="P4" i="12"/>
  <c r="AK4" i="12"/>
  <c r="AJ4" i="12"/>
  <c r="U4" i="12" s="1"/>
  <c r="M4" i="12"/>
  <c r="N4" i="12"/>
  <c r="O4" i="12"/>
  <c r="AA4" i="12"/>
  <c r="R4" i="12" s="1"/>
  <c r="AD4" i="12"/>
  <c r="S4" i="12" s="1"/>
  <c r="V15" i="12" l="1"/>
  <c r="X4" i="12"/>
  <c r="Q4" i="12" s="1"/>
  <c r="AM15" i="12"/>
  <c r="BA15" i="12" s="1"/>
  <c r="BA4" i="12" s="1"/>
  <c r="AG4" i="12"/>
  <c r="T4" i="12" s="1"/>
  <c r="AI4" i="12"/>
  <c r="AC4" i="12"/>
  <c r="Y4" i="12"/>
  <c r="AT15" i="12"/>
  <c r="Z4" i="12"/>
  <c r="V4" i="12" l="1"/>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X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BA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F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Q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<sst xmlns="http://schemas.openxmlformats.org/spreadsheetml/2006/main" count="4683" uniqueCount="1214">
  <si>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</si>
  <si>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</si>
  <si>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</si>
  <si>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</si>
  <si>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</si>
  <si>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</si>
  <si>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</si>
  <si>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</si>
  <si>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</si>
  <si>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</si>
  <si>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</si>
  <si>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</si>
  <si>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</si>
  <si>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</si>
  <si>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</si>
  <si>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</si>
  <si>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</si>
  <si>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</si>
  <si>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</si>
  <si>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</si>
  <si>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</si>
  <si>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</si>
  <si>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</si>
  <si>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</si>
  <si>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</si>
  <si>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</si>
  <si>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</si>
  <si>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</si>
  <si>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</si>
  <si>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</si>
  <si>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</si>
  <si>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</si>
  <si>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</si>
  <si>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</si>
  <si>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</si>
  <si>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</si>
  <si>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</si>
  <si>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</si>
  <si>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</si>
  <si>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</si>
  <si>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</si>
  <si>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</si>
  <si>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</si>
  <si>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</si>
  <si>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</si>
  <si>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</si>
  <si>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</si>
  <si>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</si>
  <si>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</si>
  <si>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</si>
  <si>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</si>
  <si>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</si>
  <si>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</si>
  <si>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</si>
  <si>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</si>
  <si>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</si>
  <si>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</si>
  <si>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</si>
  <si>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</si>
  <si>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</si>
  <si>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</si>
  <si>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</si>
  <si>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</si>
  <si>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</si>
  <si>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</si>
  <si>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</si>
  <si>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</si>
  <si>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</si>
  <si>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</si>
  <si>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</si>
  <si>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</si>
  <si>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</si>
  <si>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</si>
  <si>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</si>
  <si>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</si>
  <si>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</si>
  <si>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</si>
  <si>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</si>
  <si>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</si>
  <si>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</si>
  <si>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</si>
  <si>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</si>
  <si>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</si>
  <si>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</si>
  <si>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</si>
  <si>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</si>
  <si>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</si>
  <si>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</si>
  <si>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</si>
  <si>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</si>
  <si>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</si>
  <si>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</si>
  <si>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</si>
  <si>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</si>
  <si>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</si>
  <si>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</si>
  <si>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</si>
  <si>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</si>
  <si>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</si>
  <si>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</si>
  <si>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</si>
  <si>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</si>
  <si>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</si>
  <si>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</si>
  <si>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</si>
  <si>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</si>
  <si>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</si>
  <si>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</si>
  <si>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</si>
  <si>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</si>
  <si>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</si>
  <si>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</si>
  <si>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</si>
  <si>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</si>
  <si>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</si>
  <si>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</si>
  <si>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</si>
  <si>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</si>
  <si>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</si>
  <si>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</si>
  <si>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</si>
  <si>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</si>
  <si>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</si>
  <si>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</si>
  <si>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</si>
  <si>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</si>
  <si>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</si>
  <si>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</si>
  <si>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</si>
  <si>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</si>
  <si>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</si>
  <si>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</si>
  <si>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</si>
  <si>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</si>
  <si>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</si>
  <si>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</si>
  <si>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</si>
  <si>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</si>
  <si>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</si>
  <si>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</si>
  <si>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</si>
  <si>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</si>
  <si>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</si>
  <si>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</si>
  <si>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</si>
  <si>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</si>
  <si>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</si>
  <si>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</si>
  <si>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</si>
  <si>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</si>
  <si>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</si>
  <si>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</si>
  <si>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</si>
  <si>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</si>
  <si>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</si>
  <si>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</si>
  <si>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</si>
  <si>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</si>
  <si>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</si>
  <si>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</si>
  <si>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</si>
  <si>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</si>
  <si>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</si>
  <si>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</si>
  <si>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</si>
  <si>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</si>
  <si>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</si>
  <si>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</si>
  <si>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</si>
  <si>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</si>
  <si>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</si>
  <si>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</si>
  <si>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</si>
  <si>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</si>
  <si>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</si>
  <si>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</si>
  <si>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</si>
  <si>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</si>
  <si>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</si>
  <si>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</si>
  <si>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</si>
  <si>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</si>
  <si>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</si>
  <si>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</si>
  <si>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</si>
  <si>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</si>
  <si>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</si>
  <si>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</si>
  <si>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</si>
  <si>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</si>
  <si>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</si>
  <si>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</si>
  <si>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</si>
  <si>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</si>
  <si>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</si>
  <si>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</si>
  <si>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</si>
  <si>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</si>
  <si>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</si>
  <si>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</si>
  <si>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</si>
  <si>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</si>
  <si>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</si>
  <si>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</si>
  <si>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</si>
  <si>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</si>
  <si>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</si>
  <si>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</si>
  <si>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</si>
  <si>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</si>
  <si>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</si>
  <si>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</si>
  <si>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</si>
  <si>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</si>
  <si>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</si>
  <si>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</si>
  <si>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</si>
  <si>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</si>
  <si>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</si>
  <si>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</si>
  <si>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</si>
  <si>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</si>
  <si>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</si>
  <si>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</si>
  <si>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</si>
  <si>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</si>
  <si>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</si>
  <si>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</si>
  <si>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</si>
  <si>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</si>
  <si>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</si>
  <si>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</si>
  <si>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</si>
  <si>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</si>
  <si>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</si>
  <si>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</si>
  <si>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</si>
  <si>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</si>
  <si>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</si>
  <si>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</si>
  <si>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</si>
  <si>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</si>
  <si>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</si>
  <si>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</si>
  <si>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</si>
  <si>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</si>
  <si>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</si>
  <si>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</si>
  <si>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</si>
  <si>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</si>
  <si>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</si>
  <si>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</si>
  <si>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</si>
  <si>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</si>
  <si>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</si>
  <si>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</si>
  <si>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</si>
  <si>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</si>
  <si>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</si>
  <si>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</si>
  <si>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</si>
  <si>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</si>
  <si>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</si>
  <si>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</si>
  <si>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</si>
  <si>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</si>
  <si>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</si>
  <si>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</si>
  <si>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</si>
  <si>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</si>
  <si>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</si>
  <si>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</si>
  <si>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</si>
  <si>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</si>
  <si>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</si>
  <si>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</si>
  <si>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</si>
  <si>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</si>
  <si>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</si>
  <si>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</si>
  <si>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</si>
  <si>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</si>
  <si>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</si>
  <si>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</si>
  <si>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</si>
  <si>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</si>
  <si>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</si>
  <si>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</si>
  <si>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</si>
  <si>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</si>
  <si>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</si>
  <si>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</si>
  <si>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</si>
  <si>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</si>
  <si>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</si>
  <si>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</si>
  <si>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</si>
  <si>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</si>
  <si>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</si>
  <si>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</si>
  <si>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</si>
  <si>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</si>
  <si>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</si>
  <si>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</si>
  <si>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</si>
  <si>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</si>
  <si>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</si>
  <si>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</si>
  <si>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</si>
  <si>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</si>
  <si>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</si>
  <si>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</si>
  <si>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</si>
  <si>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</si>
  <si>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</si>
  <si>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</si>
  <si>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</si>
  <si>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</si>
  <si>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</si>
  <si>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</si>
  <si>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</si>
  <si>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</si>
  <si>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</si>
  <si>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</si>
  <si>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</si>
  <si>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</si>
  <si>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</si>
  <si>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</si>
  <si>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</si>
  <si>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</si>
  <si>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</si>
  <si>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</si>
  <si>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</si>
  <si>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</si>
  <si>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</si>
  <si>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</si>
  <si>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</si>
  <si>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</si>
  <si>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</si>
  <si>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</si>
  <si>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</si>
  <si>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</si>
  <si>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</si>
  <si>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</si>
  <si>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</si>
  <si>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</si>
  <si>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</si>
  <si>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</si>
  <si>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</si>
  <si>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</si>
  <si>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</si>
  <si>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</si>
  <si>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</si>
  <si>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</si>
  <si>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</si>
  <si>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</si>
  <si>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</si>
  <si>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</si>
  <si>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</si>
  <si>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</si>
  <si>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</si>
  <si>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</si>
  <si>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</si>
  <si>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</si>
  <si>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</si>
  <si>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</si>
  <si>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</si>
  <si>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</si>
  <si>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</si>
  <si>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</si>
  <si>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</si>
  <si>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</si>
  <si>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</si>
  <si>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</si>
  <si>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</si>
  <si>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</si>
  <si>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</si>
  <si>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</si>
  <si>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</si>
  <si>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</si>
  <si>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</si>
  <si>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</si>
  <si>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</si>
  <si>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</si>
  <si>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</si>
  <si>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</si>
  <si>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</si>
  <si>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</si>
  <si>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</si>
  <si>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</si>
  <si>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</si>
  <si>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</si>
  <si>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</si>
  <si>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</si>
  <si>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</si>
  <si>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</si>
  <si>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</si>
  <si>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</si>
  <si>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</si>
  <si>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</si>
  <si>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</si>
  <si>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</si>
  <si>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</si>
  <si>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</si>
  <si>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</si>
  <si>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</si>
  <si>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</si>
  <si>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</si>
  <si>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</si>
  <si>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</si>
  <si>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</si>
  <si>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</si>
  <si>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</si>
  <si>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</si>
  <si>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</si>
  <si>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</si>
  <si>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</si>
  <si>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</si>
  <si>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</si>
  <si>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</si>
  <si>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</si>
  <si>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</si>
  <si>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</si>
  <si>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</si>
  <si>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</si>
  <si>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</si>
  <si>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</si>
  <si>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</si>
  <si>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</si>
  <si>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</si>
  <si>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</si>
  <si>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</si>
  <si>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</si>
  <si>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</si>
  <si>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</si>
  <si>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</si>
  <si>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</si>
  <si>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</si>
  <si>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</si>
  <si>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</si>
  <si>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</si>
  <si>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</si>
  <si>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</si>
  <si>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</si>
  <si>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</si>
  <si>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</si>
  <si>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</si>
  <si>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</si>
  <si>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</si>
  <si>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</si>
  <si>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</si>
  <si>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</si>
  <si>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</si>
  <si>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</si>
  <si>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</si>
  <si>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</si>
  <si>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</si>
  <si>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</si>
  <si>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</si>
  <si>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</si>
  <si>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</si>
  <si>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</si>
  <si>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</si>
  <si>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</si>
  <si>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</si>
  <si>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</si>
  <si>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</si>
  <si>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</si>
  <si>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</si>
  <si>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</si>
  <si>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</si>
  <si>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</si>
  <si>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</si>
  <si>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</si>
  <si>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</si>
  <si>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</si>
  <si>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</si>
  <si>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</si>
  <si>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</si>
  <si>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</si>
  <si>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</si>
  <si>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</si>
  <si>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</si>
  <si>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</si>
  <si>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</si>
  <si>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</si>
  <si>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</si>
  <si>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</si>
  <si>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</si>
  <si>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</si>
  <si>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</si>
  <si>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</si>
  <si>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</si>
  <si>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</si>
  <si>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</si>
  <si>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</si>
  <si>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</si>
  <si>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</si>
  <si>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</si>
  <si>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</si>
  <si>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</si>
  <si>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</si>
  <si>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</si>
  <si>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</si>
  <si>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</si>
  <si>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</si>
  <si>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</si>
  <si>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</si>
  <si>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</si>
  <si>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</si>
  <si>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</si>
  <si>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</si>
  <si>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</si>
  <si>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</si>
  <si>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</si>
  <si>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</si>
  <si>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</si>
  <si>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</si>
  <si>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</si>
  <si>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</si>
  <si>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</si>
  <si>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</si>
  <si>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</si>
  <si>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</si>
  <si>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</si>
  <si>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</si>
  <si>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</si>
  <si>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</si>
  <si>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</si>
  <si>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</si>
  <si>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</si>
  <si>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</si>
  <si>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</si>
  <si>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</si>
  <si>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</si>
  <si>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</si>
  <si>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</si>
  <si>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</si>
  <si>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</si>
  <si>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</si>
  <si>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</si>
  <si>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</si>
  <si>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</si>
  <si>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</si>
  <si>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</si>
  <si>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</si>
  <si>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</si>
  <si>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</si>
  <si>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</si>
  <si>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</si>
  <si>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</si>
  <si>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</si>
  <si>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</si>
  <si>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</si>
  <si>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</si>
  <si>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</si>
  <si>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</si>
  <si>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</si>
  <si>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</si>
  <si>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</si>
  <si>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</si>
  <si>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</si>
  <si>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</si>
  <si>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</si>
  <si>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</si>
  <si>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</si>
  <si>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</si>
  <si>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</si>
  <si>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</si>
  <si>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</si>
  <si>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</si>
  <si>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</si>
  <si>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</si>
  <si>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</si>
  <si>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</si>
  <si>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</si>
  <si>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</si>
  <si>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</si>
  <si>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</si>
  <si>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</si>
  <si>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</si>
  <si>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</si>
  <si>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</si>
  <si>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</si>
  <si>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</si>
  <si>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</si>
  <si>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</si>
  <si>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</si>
  <si>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</si>
  <si>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</si>
  <si>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</si>
  <si>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</si>
  <si>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</si>
  <si>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</si>
  <si>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</si>
  <si>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</si>
  <si>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</si>
  <si>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</si>
  <si>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</si>
  <si>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</si>
  <si>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</si>
  <si>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</si>
  <si>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</si>
  <si>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</si>
  <si>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</si>
  <si>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</si>
  <si>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</si>
  <si>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</si>
  <si>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</si>
  <si>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</si>
  <si>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</si>
  <si>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</si>
  <si>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</si>
  <si>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</si>
  <si>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</si>
  <si>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</si>
  <si>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</si>
  <si>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</si>
  <si>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</si>
  <si>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</si>
  <si>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</si>
  <si>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</si>
  <si>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</si>
  <si>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</si>
  <si>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</si>
  <si>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</si>
  <si>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</si>
  <si>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</si>
  <si>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</si>
  <si>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</si>
  <si>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</si>
  <si>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</si>
  <si>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</si>
  <si>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</si>
  <si>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</si>
  <si>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</si>
  <si>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</si>
  <si>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</si>
  <si>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</si>
  <si>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</si>
  <si>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</si>
  <si>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</si>
  <si>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</si>
  <si>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</si>
  <si>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</si>
  <si>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</si>
  <si>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</si>
  <si>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</si>
  <si>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</si>
  <si>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</si>
  <si>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</si>
  <si>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</si>
  <si>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</si>
  <si>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</si>
  <si>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</si>
  <si>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</si>
  <si>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</si>
  <si>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</si>
  <si>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</si>
  <si>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</si>
  <si>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</si>
  <si>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</si>
  <si>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</si>
  <si>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</si>
  <si>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</si>
  <si>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</si>
  <si>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</si>
  <si>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</si>
  <si>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</si>
  <si>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</si>
  <si>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</si>
  <si>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</si>
  <si>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</si>
  <si>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</si>
  <si>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</si>
  <si>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</si>
  <si>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</si>
  <si>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</si>
  <si>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</si>
  <si>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</si>
  <si>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</si>
  <si>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</si>
  <si>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</si>
  <si>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</si>
  <si>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</si>
  <si>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</si>
  <si>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</si>
  <si>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</si>
  <si>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</si>
  <si>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</si>
  <si>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</si>
  <si>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</si>
  <si>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</si>
  <si>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</si>
  <si>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</si>
  <si>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</si>
  <si>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</si>
  <si>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</si>
  <si>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</si>
  <si>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</si>
  <si>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</si>
  <si>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</si>
  <si>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</si>
  <si>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</si>
  <si>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</si>
  <si>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</si>
  <si>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</si>
  <si>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</si>
  <si>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</si>
  <si>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</si>
  <si>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</si>
  <si>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</si>
  <si>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</si>
  <si>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</si>
  <si>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</si>
  <si>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</si>
  <si>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</si>
  <si>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</si>
  <si>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</si>
  <si>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</si>
  <si>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</si>
  <si>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</si>
  <si>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</si>
  <si>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</si>
  <si>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</si>
  <si>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</si>
  <si>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</si>
  <si>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</si>
  <si>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</si>
  <si>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</si>
  <si>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</si>
  <si>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</si>
  <si>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</si>
  <si>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</si>
  <si>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</si>
  <si>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</si>
  <si>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</si>
  <si>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</si>
  <si>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</si>
  <si>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</si>
  <si>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</si>
  <si>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</si>
  <si>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</si>
  <si>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</si>
  <si>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</si>
  <si>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</si>
  <si>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</si>
  <si>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</si>
  <si>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</si>
  <si>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</si>
  <si>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</si>
  <si>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</si>
  <si>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</si>
  <si>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</si>
  <si>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</si>
  <si>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</si>
  <si>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</si>
  <si>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</si>
  <si>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</si>
  <si>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</si>
  <si>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</si>
  <si>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</si>
  <si>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</si>
  <si>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</si>
  <si>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</si>
  <si>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</si>
  <si>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</si>
  <si>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</si>
  <si>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</si>
  <si>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</si>
  <si>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</si>
  <si>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</si>
  <si>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</si>
  <si>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</si>
  <si>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</si>
  <si>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</si>
  <si>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</si>
  <si>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</si>
  <si>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</si>
  <si>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</si>
  <si>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</si>
  <si>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</si>
  <si>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</si>
  <si>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</si>
  <si>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</si>
  <si>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</si>
  <si>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</si>
  <si>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</si>
  <si>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</si>
  <si>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</si>
  <si>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</si>
  <si>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</si>
  <si>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</si>
  <si>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</si>
  <si>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</si>
  <si>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</si>
  <si>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</si>
  <si>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</si>
  <si>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</si>
  <si>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</si>
  <si>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</si>
  <si>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</si>
  <si>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</si>
  <si>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</si>
  <si>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</si>
  <si>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</si>
  <si>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</si>
  <si>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</si>
  <si>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</si>
  <si>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</si>
  <si>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</si>
  <si>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</si>
  <si>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</si>
  <si>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</si>
  <si>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</si>
  <si>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</si>
  <si>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</si>
  <si>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</si>
  <si>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</si>
  <si>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</si>
  <si>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</si>
  <si>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</si>
  <si>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</si>
  <si>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</si>
  <si>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</si>
  <si>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</si>
  <si>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</si>
  <si>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</si>
  <si>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</si>
  <si>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</si>
  <si>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</si>
  <si>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</si>
  <si>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</si>
  <si>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</si>
  <si>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</si>
  <si>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</si>
  <si>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</si>
  <si>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</si>
  <si>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</si>
  <si>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</si>
  <si>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</si>
  <si>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</si>
  <si>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</si>
  <si>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</si>
  <si>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</si>
  <si>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</si>
  <si>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</si>
  <si>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</si>
  <si>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</si>
  <si>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</si>
  <si>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</si>
  <si>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</si>
  <si>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</si>
  <si>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</si>
  <si>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</si>
  <si>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</si>
  <si>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</si>
  <si>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</si>
  <si>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</si>
  <si>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</si>
  <si>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</si>
  <si>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</si>
  <si>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</si>
  <si>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</si>
  <si>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</si>
  <si>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</si>
  <si>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</si>
  <si>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</si>
  <si>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</si>
  <si>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</si>
  <si>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</si>
  <si>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</si>
  <si>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</si>
  <si>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</si>
  <si>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</si>
  <si>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</si>
  <si>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</si>
  <si>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</si>
  <si>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</si>
  <si>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</si>
  <si>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</si>
  <si>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</si>
  <si>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</si>
  <si>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</si>
  <si>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</si>
  <si>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</si>
  <si>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</si>
  <si>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</si>
  <si>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</si>
  <si>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</si>
  <si>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</si>
  <si>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</si>
  <si>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</si>
  <si>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</si>
  <si>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</si>
  <si>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</si>
  <si>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</si>
  <si>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</si>
  <si>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</si>
  <si>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</si>
  <si>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</si>
  <si>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</si>
  <si>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</si>
  <si>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</si>
  <si>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</si>
  <si>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</si>
  <si>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</si>
  <si>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</si>
  <si>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</si>
  <si>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</si>
  <si>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</si>
  <si>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</si>
  <si>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</si>
  <si>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</si>
  <si>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</si>
  <si>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</si>
  <si>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</si>
  <si>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</si>
  <si>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</si>
  <si>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</si>
  <si>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</si>
  <si>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</si>
  <si>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</si>
  <si>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</si>
  <si>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</si>
  <si>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</si>
  <si>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</si>
  <si>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</si>
  <si>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</si>
  <si>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</si>
  <si>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</si>
  <si>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</si>
  <si>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</si>
  <si>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</si>
  <si>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</si>
  <si>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</si>
  <si>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</si>
  <si>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</si>
  <si>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</si>
  <si>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</si>
  <si>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</si>
  <si>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</si>
  <si>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</si>
  <si>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</si>
  <si>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</si>
  <si>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</si>
  <si>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</si>
  <si>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</si>
  <si>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</si>
  <si>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</si>
  <si>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</si>
  <si>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</si>
  <si>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</si>
  <si>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</si>
  <si>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</si>
  <si>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</si>
  <si>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</si>
  <si>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</si>
  <si>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</si>
  <si>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</si>
  <si>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</si>
  <si>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</si>
  <si>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</si>
  <si>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</si>
  <si>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</si>
  <si>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</si>
  <si>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</si>
  <si>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</si>
  <si>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</si>
  <si>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</si>
  <si>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</si>
  <si>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</si>
  <si>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</si>
  <si>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</si>
  <si>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</si>
  <si>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</si>
  <si>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</si>
  <si>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</si>
  <si>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</si>
  <si>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</si>
  <si>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</si>
  <si>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</si>
  <si>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</si>
  <si>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</si>
  <si>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</si>
  <si>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</si>
  <si>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</si>
  <si>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</si>
  <si>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</si>
  <si>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</si>
  <si>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</si>
  <si>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</si>
  <si>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</si>
  <si>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</si>
  <si>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</si>
  <si>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</si>
  <si>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</si>
  <si>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</si>
  <si>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</si>
  <si>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</si>
  <si>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</si>
  <si>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</si>
  <si>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</si>
  <si>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</si>
  <si>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</si>
  <si>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</si>
  <si>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GEND_GBV (FY24)</t>
  </si>
  <si>
    <t>GEND_GBV (FY25)</t>
  </si>
  <si>
    <t>AGYW_PREV (D) (FY25)</t>
  </si>
  <si>
    <t>AGYW_PREV (N) (FY25)</t>
  </si>
  <si>
    <t>KP_MAT (FY25)</t>
  </si>
  <si>
    <t>HTS_SELF.T2</t>
  </si>
  <si>
    <t>HTS_RECENT.T2</t>
  </si>
  <si>
    <t>CXCA_SCRN.T2</t>
  </si>
  <si>
    <t>KP_PREV (FY25)</t>
  </si>
  <si>
    <t>KP_PREV.T2</t>
  </si>
  <si>
    <t>PP_PREV.T2</t>
  </si>
  <si>
    <t>GEND_GBV.T</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</si>
  <si>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</si>
  <si>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</si>
  <si>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</si>
  <si>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</si>
  <si>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</si>
  <si>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</si>
  <si>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</si>
  <si>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</si>
  <si>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</si>
  <si>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</si>
  <si>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</si>
  <si>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</si>
  <si>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</si>
  <si>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</si>
  <si>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</si>
  <si>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</si>
  <si>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</si>
  <si>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</si>
  <si>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</si>
  <si>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</si>
  <si>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</si>
  <si>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</si>
  <si>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</si>
  <si>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</si>
  <si>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</si>
  <si>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</si>
  <si>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</si>
  <si>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</si>
  <si>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</si>
  <si>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</si>
  <si>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</si>
  <si>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</si>
  <si>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</si>
  <si>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GEND_GBV.Change.T2</t>
  </si>
  <si>
    <t>GEND_GBV.T2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</si>
  <si>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</si>
  <si>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</si>
  <si>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</si>
  <si>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</si>
  <si>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</si>
  <si>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</si>
  <si>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</si>
  <si>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</si>
  <si>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</si>
  <si>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</si>
  <si>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</si>
  <si>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</si>
  <si>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</si>
  <si>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</si>
  <si>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</si>
  <si>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</si>
  <si>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</si>
  <si>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</si>
  <si>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</si>
  <si>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</si>
  <si>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</si>
  <si>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</si>
  <si>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</si>
  <si>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</si>
  <si>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</si>
  <si>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</si>
  <si>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</si>
  <si>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</si>
  <si>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</si>
  <si>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</si>
  <si>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</si>
  <si>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</si>
  <si>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</si>
  <si>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</si>
  <si>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</si>
  <si>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</si>
  <si>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</si>
  <si>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</si>
  <si>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</si>
  <si>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</si>
  <si>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</si>
  <si>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</si>
  <si>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</si>
  <si>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</si>
  <si>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</si>
  <si>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</si>
  <si>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</si>
  <si>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</si>
  <si>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</si>
  <si>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</si>
  <si>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</si>
  <si>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</si>
  <si>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</si>
  <si>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</si>
  <si>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</si>
  <si>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</si>
  <si>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</si>
  <si>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</si>
  <si>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</si>
  <si>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</si>
  <si>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</si>
  <si>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</si>
  <si>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</si>
  <si>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</si>
  <si>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</si>
  <si>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</si>
  <si>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</si>
  <si>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</si>
  <si>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</si>
  <si>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</si>
  <si>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</si>
  <si>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</si>
  <si>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</si>
  <si>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</si>
  <si>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</si>
  <si>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</si>
  <si>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</si>
  <si>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</si>
  <si>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</si>
  <si>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</si>
  <si>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</si>
  <si>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</si>
  <si>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</si>
  <si>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</si>
  <si>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</si>
  <si>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</si>
  <si>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</si>
  <si>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</si>
  <si>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</si>
  <si>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</si>
  <si>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</si>
  <si>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</si>
  <si>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</si>
  <si>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</si>
  <si>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</si>
  <si>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</si>
  <si>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</si>
  <si>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</si>
  <si>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</si>
  <si>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</si>
  <si>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</si>
  <si>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</si>
  <si>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</si>
  <si>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</si>
  <si>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</si>
  <si>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</si>
  <si>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</si>
  <si>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</si>
  <si>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</si>
  <si>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</si>
  <si>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</si>
  <si>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</si>
  <si>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</si>
  <si>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</si>
  <si>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</si>
  <si>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</si>
  <si>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</si>
  <si>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</si>
  <si>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</si>
  <si>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</si>
  <si>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</si>
  <si>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</si>
  <si>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</si>
  <si>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</si>
  <si>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</si>
  <si>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</si>
  <si>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</si>
  <si>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</si>
  <si>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</si>
  <si>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</si>
  <si>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</si>
  <si>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 of Vulnerable AGYW (FY23)</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</si>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</sst>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8"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4">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9" fontId="21" fillId="3" borderId="2" xfId="1" applyFont="1" applyFill="1" applyBorder="1" applyAlignment="1">
      <alignment horizontal="center" vertical="center" wrapText="1"/>
    </xf>
    <xf numFmtId="9" fontId="19" fillId="3" borderId="0" xfId="1" applyFont="1" applyFill="1" applyAlignment="1">
      <alignment horizontal="center" vertical="center" wrapText="1"/>
    </xf>
    <xf numFmtId="9" fontId="13" fillId="0" borderId="0" xfId="1" applyFont="1" applyFill="1"/>
    <xf numFmtId="9" fontId="13" fillId="8" borderId="0" xfId="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1" fontId="31" fillId="6" borderId="0" xfId="4" applyNumberFormat="1" applyFont="1" applyFill="1" applyAlignment="1">
      <alignment vertical="center"/>
    </xf>
    <xf numFmtId="1" fontId="5" fillId="0" borderId="0" xfId="4" applyNumberFormat="1" applyFont="1" applyAlignment="1">
      <alignment horizontal="center"/>
    </xf>
    <xf numFmtId="1" fontId="1" fillId="7" borderId="0" xfId="4" applyNumberFormat="1" applyFont="1" applyFill="1" applyAlignment="1">
      <alignment horizontal="center" vertical="center" wrapText="1"/>
    </xf>
    <xf numFmtId="1" fontId="21" fillId="0" borderId="0" xfId="4" applyNumberFormat="1" applyFont="1" applyAlignment="1">
      <alignment horizontal="right"/>
    </xf>
    <xf numFmtId="1" fontId="1" fillId="0" borderId="0" xfId="4" applyNumberFormat="1" applyFont="1"/>
    <xf numFmtId="1" fontId="32" fillId="3" borderId="0" xfId="4" applyNumberFormat="1" applyFont="1" applyFill="1" applyAlignment="1">
      <alignment horizontal="left"/>
    </xf>
    <xf numFmtId="1" fontId="21" fillId="0" borderId="0" xfId="4" applyNumberFormat="1" applyFont="1"/>
    <xf numFmtId="9" fontId="8" fillId="0" borderId="0" xfId="0" applyNumberFormat="1" applyFont="1" applyBorder="1"/>
    <xf numFmtId="9" fontId="21" fillId="3" borderId="0" xfId="0" applyNumberFormat="1" applyFont="1" applyFill="1" applyBorder="1" applyAlignment="1">
      <alignment horizontal="center" vertical="center" wrapText="1"/>
    </xf>
    <xf numFmtId="9" fontId="0" fillId="0" borderId="0" xfId="0" applyNumberFormat="1" applyBorder="1"/>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0" fillId="3" borderId="0"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1" fillId="3" borderId="2" xfId="1" applyFont="1" applyFill="1" applyBorder="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3" fillId="3" borderId="0" xfId="1" applyFont="1" applyFill="1"/>
    <xf numFmtId="9" fontId="1" fillId="3" borderId="0" xfId="1" applyFont="1" applyFill="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48">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colors>
    <mruColors>
      <color rgb="FF9CBEBD"/>
      <color rgb="FFF4CCCC"/>
      <color rgb="FF6D9EEB"/>
      <color rgb="FFA4C2F4"/>
      <color rgb="FF073763"/>
      <color rgb="FF666666"/>
      <color rgb="FF999999"/>
      <color rgb="FF434343"/>
      <color rgb="FFC9DAF8"/>
      <color rgb="FFEA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tabSelected="1" workbookViewId="0"/>
  </sheetViews>
  <sheetFormatPr baseColWidth="10" defaultRowHeight="16" x14ac:dyDescent="0.2"/>
  <cols>
    <col min="1" max="1" width="4.83203125" customWidth="1"/>
  </cols>
  <sheetData>
    <row r="2" spans="2:2" ht="47" x14ac:dyDescent="0.2">
      <c r="B2" s="7" t="s">
        <v>23</v>
      </c>
    </row>
    <row r="10" spans="2:2" ht="97" x14ac:dyDescent="0.2">
      <c r="B10" s="6" t="s">
        <v>764</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50" customWidth="1"/>
    <col min="2" max="2" width="49" style="250" customWidth="1"/>
    <col min="3" max="3" width="3.1640625" style="25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1193</v>
      </c>
      <c r="R1" s="8" t="s">
        <v>47</v>
      </c>
      <c r="S1" s="8"/>
    </row>
    <row r="2" spans="2:19" ht="17" thickBot="1" x14ac:dyDescent="0.25">
      <c r="B2" s="10" t="s">
        <v>174</v>
      </c>
      <c r="C2" s="253"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1" t="s">
        <v>50</v>
      </c>
      <c r="D4" s="5"/>
      <c r="E4" s="5"/>
      <c r="F4" s="5"/>
      <c r="G4" s="5"/>
      <c r="H4" s="5"/>
      <c r="J4" s="5"/>
      <c r="K4" s="5"/>
      <c r="L4" s="5"/>
    </row>
    <row r="5" spans="2:19" x14ac:dyDescent="0.2">
      <c r="D5" s="5"/>
      <c r="E5" s="5"/>
      <c r="F5" s="5"/>
      <c r="G5" s="5"/>
      <c r="H5" s="5"/>
      <c r="J5" s="5"/>
      <c r="K5" s="5"/>
      <c r="L5" s="5"/>
    </row>
    <row r="6" spans="2:19" x14ac:dyDescent="0.2">
      <c r="B6" s="413" t="s">
        <v>167</v>
      </c>
      <c r="D6" s="5"/>
      <c r="E6" s="5"/>
      <c r="F6" s="5"/>
      <c r="G6" s="5"/>
      <c r="H6" s="5"/>
      <c r="J6" s="5"/>
      <c r="K6" s="5"/>
      <c r="L6" s="5"/>
    </row>
    <row r="7" spans="2:19" x14ac:dyDescent="0.2">
      <c r="B7" s="413"/>
      <c r="D7" s="5"/>
      <c r="E7" s="5"/>
      <c r="F7" s="5"/>
      <c r="G7" s="5"/>
      <c r="H7" s="5"/>
      <c r="J7" s="5"/>
      <c r="K7" s="5"/>
      <c r="L7" s="5"/>
    </row>
    <row r="8" spans="2:19" x14ac:dyDescent="0.2">
      <c r="B8" s="252"/>
      <c r="D8" s="5"/>
      <c r="E8" s="5"/>
      <c r="F8" s="5"/>
      <c r="G8" s="5"/>
      <c r="H8" s="5"/>
      <c r="J8" s="5"/>
      <c r="K8" s="5"/>
      <c r="L8" s="5"/>
    </row>
    <row r="9" spans="2:19" ht="17" x14ac:dyDescent="0.2">
      <c r="B9" s="252" t="s">
        <v>168</v>
      </c>
      <c r="D9" s="5"/>
      <c r="E9" s="5"/>
      <c r="F9" s="5"/>
      <c r="G9" s="5"/>
      <c r="H9" s="5"/>
      <c r="J9" s="5"/>
      <c r="K9" s="5"/>
      <c r="L9" s="5"/>
    </row>
    <row r="10" spans="2:19" x14ac:dyDescent="0.2">
      <c r="B10" s="252"/>
      <c r="D10" s="5"/>
      <c r="E10" s="5"/>
      <c r="F10" s="5"/>
      <c r="G10" s="5"/>
      <c r="H10" s="5"/>
      <c r="J10" s="5"/>
      <c r="K10" s="5"/>
      <c r="L10" s="5"/>
    </row>
    <row r="11" spans="2:19" x14ac:dyDescent="0.2">
      <c r="B11" s="413" t="s">
        <v>169</v>
      </c>
      <c r="D11" s="5"/>
      <c r="E11" s="5"/>
      <c r="F11" s="5"/>
      <c r="G11" s="5"/>
      <c r="H11" s="5"/>
      <c r="J11" s="5"/>
      <c r="K11" s="5"/>
      <c r="L11" s="5"/>
    </row>
    <row r="12" spans="2:19" x14ac:dyDescent="0.2">
      <c r="B12" s="413"/>
      <c r="D12" s="5"/>
      <c r="E12" s="5"/>
      <c r="F12" s="5"/>
      <c r="G12" s="5"/>
      <c r="H12" s="5"/>
      <c r="J12" s="5"/>
      <c r="K12" s="5"/>
      <c r="L12" s="5"/>
    </row>
    <row r="13" spans="2:19" x14ac:dyDescent="0.2">
      <c r="B13" s="252"/>
      <c r="D13" s="5"/>
      <c r="E13" s="5"/>
      <c r="F13" s="5"/>
      <c r="G13" s="5"/>
      <c r="H13" s="5"/>
      <c r="J13" s="5"/>
      <c r="K13" s="5"/>
      <c r="L13" s="5"/>
    </row>
    <row r="14" spans="2:19" ht="17" x14ac:dyDescent="0.2">
      <c r="B14" s="252" t="s">
        <v>170</v>
      </c>
      <c r="D14" s="5"/>
      <c r="E14" s="5"/>
      <c r="F14" s="5"/>
      <c r="G14" s="5"/>
      <c r="H14" s="5"/>
      <c r="J14" s="5"/>
      <c r="K14" s="5"/>
      <c r="L14" s="5"/>
    </row>
    <row r="15" spans="2:19" x14ac:dyDescent="0.2">
      <c r="B15" s="252"/>
      <c r="D15" s="5"/>
      <c r="E15" s="5"/>
      <c r="F15" s="5"/>
      <c r="G15" s="5"/>
      <c r="H15" s="5"/>
      <c r="J15" s="5"/>
      <c r="K15" s="5"/>
      <c r="L15" s="5"/>
    </row>
    <row r="16" spans="2:19" x14ac:dyDescent="0.2">
      <c r="B16" s="413" t="s">
        <v>171</v>
      </c>
      <c r="D16" s="5"/>
      <c r="E16" s="5"/>
      <c r="F16" s="5"/>
      <c r="G16" s="5"/>
      <c r="H16" s="5"/>
      <c r="J16" s="5"/>
      <c r="K16" s="5"/>
      <c r="L16" s="5"/>
    </row>
    <row r="17" spans="2:12" x14ac:dyDescent="0.2">
      <c r="B17" s="413"/>
      <c r="D17" s="5"/>
      <c r="E17" s="5"/>
      <c r="F17" s="5"/>
      <c r="G17" s="5"/>
      <c r="H17" s="5"/>
      <c r="J17" s="5"/>
      <c r="K17" s="5"/>
      <c r="L17" s="5"/>
    </row>
    <row r="18" spans="2:12" x14ac:dyDescent="0.2">
      <c r="B18" s="252"/>
      <c r="D18" s="5"/>
      <c r="E18" s="5"/>
      <c r="F18" s="5"/>
      <c r="G18" s="5"/>
      <c r="H18" s="5"/>
      <c r="J18" s="5"/>
      <c r="K18" s="5"/>
      <c r="L18" s="5"/>
    </row>
    <row r="19" spans="2:12" x14ac:dyDescent="0.2">
      <c r="B19" s="413" t="s">
        <v>172</v>
      </c>
      <c r="D19" s="5"/>
      <c r="E19" s="5"/>
      <c r="F19" s="5"/>
      <c r="G19" s="5"/>
      <c r="H19" s="5"/>
      <c r="J19" s="5"/>
      <c r="K19" s="5"/>
      <c r="L19" s="5"/>
    </row>
    <row r="20" spans="2:12" x14ac:dyDescent="0.2">
      <c r="B20" s="413"/>
      <c r="D20" s="5"/>
      <c r="E20" s="5"/>
      <c r="F20" s="5"/>
      <c r="G20" s="5"/>
      <c r="H20" s="5"/>
      <c r="J20" s="5"/>
      <c r="K20" s="5"/>
      <c r="L20" s="5"/>
    </row>
    <row r="21" spans="2:12" x14ac:dyDescent="0.2">
      <c r="D21" s="5"/>
      <c r="E21" s="5"/>
      <c r="F21" s="5"/>
      <c r="G21" s="5"/>
      <c r="H21" s="5"/>
      <c r="J21" s="5"/>
      <c r="K21" s="5"/>
      <c r="L21" s="5"/>
    </row>
    <row r="22" spans="2:12" ht="16" customHeight="1" x14ac:dyDescent="0.2">
      <c r="B22" s="252" t="s">
        <v>513</v>
      </c>
      <c r="D22" s="5"/>
      <c r="E22" s="5"/>
      <c r="F22" s="5"/>
      <c r="G22" s="5"/>
      <c r="H22" s="5"/>
      <c r="J22" s="5"/>
      <c r="K22" s="5"/>
      <c r="L22" s="5"/>
    </row>
    <row r="23" spans="2:12" x14ac:dyDescent="0.2">
      <c r="B23" s="252"/>
      <c r="D23" s="5"/>
      <c r="E23" s="5"/>
      <c r="F23" s="5"/>
      <c r="G23" s="5"/>
      <c r="H23" s="5"/>
      <c r="J23" s="5"/>
      <c r="K23" s="5"/>
      <c r="L23" s="5"/>
    </row>
    <row r="24" spans="2:12" x14ac:dyDescent="0.2">
      <c r="B24" s="250" t="s">
        <v>173</v>
      </c>
      <c r="D24" s="5"/>
      <c r="E24" s="5"/>
      <c r="F24" s="5"/>
      <c r="G24" s="5"/>
      <c r="H24" s="5"/>
      <c r="J24" s="5"/>
      <c r="K24" s="5"/>
      <c r="L24" s="5"/>
    </row>
    <row r="25" spans="2:12" x14ac:dyDescent="0.2">
      <c r="D25" s="5"/>
      <c r="E25" s="5"/>
      <c r="F25" s="5"/>
      <c r="G25" s="5"/>
      <c r="H25" s="5"/>
      <c r="J25" s="5"/>
      <c r="K25" s="5"/>
      <c r="L25" s="5"/>
    </row>
    <row r="26" spans="2:12" x14ac:dyDescent="0.2">
      <c r="B26" s="413" t="s">
        <v>1194</v>
      </c>
      <c r="D26" s="5"/>
      <c r="E26" s="5"/>
      <c r="F26" s="5"/>
      <c r="G26" s="5"/>
      <c r="H26" s="5"/>
      <c r="J26" s="5"/>
      <c r="K26" s="5"/>
      <c r="L26" s="5"/>
    </row>
    <row r="27" spans="2:12" x14ac:dyDescent="0.2">
      <c r="B27" s="413"/>
      <c r="D27" s="5"/>
      <c r="E27" s="5"/>
      <c r="F27" s="5"/>
      <c r="G27" s="5"/>
      <c r="H27" s="5"/>
      <c r="J27" s="5"/>
      <c r="K27" s="5"/>
      <c r="L27" s="5"/>
    </row>
    <row r="28" spans="2:12" x14ac:dyDescent="0.2">
      <c r="D28" s="5"/>
      <c r="E28" s="5"/>
      <c r="F28" s="5"/>
      <c r="G28" s="5"/>
      <c r="H28" s="5"/>
      <c r="J28" s="5"/>
      <c r="K28" s="5"/>
      <c r="L28" s="5"/>
    </row>
    <row r="29" spans="2:12" x14ac:dyDescent="0.2">
      <c r="B29" s="252"/>
      <c r="D29" s="5"/>
      <c r="E29" s="5"/>
      <c r="F29" s="5"/>
      <c r="G29" s="5"/>
      <c r="H29" s="5"/>
      <c r="J29" s="5"/>
      <c r="K29" s="5"/>
      <c r="L29" s="5"/>
    </row>
    <row r="30" spans="2:12" x14ac:dyDescent="0.2">
      <c r="B30" s="252"/>
      <c r="D30" s="5"/>
      <c r="E30" s="5"/>
      <c r="F30" s="5"/>
      <c r="G30" s="5"/>
      <c r="H30" s="5"/>
      <c r="J30" s="5"/>
      <c r="K30" s="5"/>
      <c r="L30" s="5"/>
    </row>
    <row r="31" spans="2:12" x14ac:dyDescent="0.2">
      <c r="B31" s="25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activeCell="B1" sqref="B1"/>
      <selection pane="bottomLeft" activeCell="A15" sqref="A15"/>
      <selection pane="bottomRight"/>
    </sheetView>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68" t="s">
        <v>774</v>
      </c>
      <c r="D2" s="76"/>
    </row>
    <row r="3" spans="1:4" ht="117" customHeight="1" x14ac:dyDescent="0.2">
      <c r="A3" s="17"/>
      <c r="B3" s="150" t="s">
        <v>543</v>
      </c>
      <c r="C3" s="206" t="s">
        <v>765</v>
      </c>
      <c r="D3" s="77" t="s">
        <v>750</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88" t="s">
        <v>66</v>
      </c>
      <c r="C8" s="289" t="s">
        <v>66</v>
      </c>
    </row>
    <row r="9" spans="1:4" x14ac:dyDescent="0.2">
      <c r="B9" s="288"/>
      <c r="C9" s="289"/>
    </row>
    <row r="10" spans="1:4" x14ac:dyDescent="0.2">
      <c r="B10" s="288"/>
      <c r="C10" s="289"/>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2" priority="3" operator="containsText" text="BLANK PRIORITIZATIONS">
      <formula>NOT(ISERROR(SEARCH("BLANK PRIORITIZATIONS",D4)))</formula>
    </cfRule>
  </conditionalFormatting>
  <conditionalFormatting sqref="B1:C1048576">
    <cfRule type="expression" dxfId="0" priority="2">
      <formula>AND(ROW(B1)&gt;14,LEFT($A1,4)&lt;&gt;"_Mil",$A1&lt;&gt;"",B1&lt;&gt;1,B1&lt;&gt;2,B1&lt;&gt;4,B1&lt;&gt;5,B1&lt;&gt;6,B1&lt;&gt;7,B1&lt;&gt;8,B1&lt;&gt;"M",B1&lt;&gt;"NA")</formula>
    </cfRule>
  </conditionalFormatting>
  <conditionalFormatting sqref="C1:C1048576">
    <cfRule type="expression" dxfId="1"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G3876"/>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7"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6" width="13.1640625" style="36" customWidth="1"/>
    <col min="37" max="37" width="13.1640625" style="81" customWidth="1"/>
    <col min="38" max="40" width="13.1640625" style="36" customWidth="1"/>
    <col min="41" max="41" width="13.1640625" style="60" customWidth="1"/>
    <col min="42" max="42" width="13.1640625" style="33" customWidth="1"/>
    <col min="43" max="43" width="13.1640625" style="124" customWidth="1"/>
    <col min="44" max="44" width="13.1640625" style="81" customWidth="1"/>
    <col min="45" max="45" width="13.1640625" style="124" customWidth="1"/>
    <col min="46" max="47" width="13.1640625" style="36" customWidth="1"/>
    <col min="48" max="48" width="13.1640625" style="19" customWidth="1"/>
    <col min="49" max="49" width="13.1640625" style="47" customWidth="1"/>
    <col min="50" max="50" width="13.1640625" style="149" customWidth="1"/>
    <col min="51" max="51" width="13.1640625" style="324" customWidth="1"/>
    <col min="52" max="52" width="13.1640625" style="19" customWidth="1"/>
    <col min="53" max="53" width="13.1640625" style="33" customWidth="1"/>
    <col min="54" max="54" width="13.1640625" style="424" customWidth="1"/>
    <col min="55" max="55" width="13.1640625" style="81" customWidth="1"/>
    <col min="56" max="56" width="13.1640625" style="36" customWidth="1"/>
    <col min="57" max="57" width="13.1640625" style="33" customWidth="1"/>
    <col min="58" max="58" width="13.1640625" style="149" customWidth="1"/>
    <col min="59" max="59" width="13.1640625" style="33" customWidth="1"/>
  </cols>
  <sheetData>
    <row r="1" spans="1:59" ht="31" customHeight="1" thickBot="1" x14ac:dyDescent="0.25">
      <c r="A1" s="300" t="s">
        <v>187</v>
      </c>
      <c r="B1" s="4"/>
      <c r="C1" s="4"/>
      <c r="D1" s="4"/>
      <c r="E1" s="300"/>
      <c r="F1" s="212" t="s">
        <v>584</v>
      </c>
      <c r="G1" s="212" t="s">
        <v>588</v>
      </c>
      <c r="H1" s="180"/>
      <c r="I1" s="181"/>
      <c r="J1" s="182"/>
      <c r="K1" s="181"/>
      <c r="L1" s="212" t="s">
        <v>587</v>
      </c>
      <c r="M1" s="180"/>
      <c r="N1" s="180"/>
      <c r="O1" s="179"/>
      <c r="P1" s="183"/>
      <c r="Q1" s="181"/>
      <c r="R1" s="181"/>
      <c r="S1" s="212" t="s">
        <v>1138</v>
      </c>
      <c r="T1" s="179"/>
      <c r="U1" s="181"/>
      <c r="V1" s="181"/>
      <c r="W1" s="230"/>
      <c r="X1" s="181"/>
      <c r="Y1" s="185"/>
      <c r="Z1" s="181"/>
      <c r="AA1" s="332"/>
      <c r="AB1" s="185"/>
      <c r="AC1" s="400"/>
      <c r="AD1" s="229"/>
      <c r="AE1" s="332"/>
      <c r="AF1" s="187"/>
      <c r="AG1" s="332"/>
      <c r="AH1" s="230"/>
      <c r="AI1" s="187"/>
      <c r="AJ1" s="182"/>
      <c r="AK1" s="214" t="s">
        <v>632</v>
      </c>
      <c r="AL1" s="182"/>
      <c r="AM1" s="182"/>
      <c r="AN1" s="182"/>
      <c r="AO1" s="212" t="s">
        <v>629</v>
      </c>
      <c r="AP1" s="179"/>
      <c r="AQ1" s="332"/>
      <c r="AR1" s="214" t="s">
        <v>630</v>
      </c>
      <c r="AS1" s="332"/>
      <c r="AT1" s="182"/>
      <c r="AU1" s="182"/>
      <c r="AV1" s="186"/>
      <c r="AW1" s="187"/>
      <c r="AX1" s="310" t="s">
        <v>628</v>
      </c>
      <c r="AY1" s="320"/>
      <c r="AZ1" s="188"/>
      <c r="BA1" s="181"/>
      <c r="BB1" s="420"/>
      <c r="BC1" s="214" t="s">
        <v>627</v>
      </c>
      <c r="BD1" s="181"/>
      <c r="BE1" s="181"/>
      <c r="BF1" s="214" t="s">
        <v>582</v>
      </c>
      <c r="BG1" s="181"/>
    </row>
    <row r="2" spans="1:59" ht="19" x14ac:dyDescent="0.25">
      <c r="A2" s="414" t="s">
        <v>1187</v>
      </c>
      <c r="B2" s="415"/>
      <c r="C2" s="2"/>
      <c r="D2" s="2"/>
      <c r="E2" s="13"/>
      <c r="F2" s="52"/>
      <c r="G2" s="52"/>
      <c r="H2" s="43"/>
      <c r="I2" s="43"/>
      <c r="J2" s="55"/>
      <c r="K2" s="43"/>
      <c r="L2" s="52"/>
      <c r="M2" s="43"/>
      <c r="N2" s="43"/>
      <c r="O2" s="55"/>
      <c r="P2" s="46"/>
      <c r="Q2" s="43"/>
      <c r="R2" s="43"/>
      <c r="S2" s="52" t="s">
        <v>631</v>
      </c>
      <c r="T2" s="55" t="s">
        <v>771</v>
      </c>
      <c r="U2" s="46"/>
      <c r="V2" s="46"/>
      <c r="W2" s="89"/>
      <c r="X2" s="46"/>
      <c r="Y2" s="3"/>
      <c r="Z2" s="46"/>
      <c r="AA2" s="121"/>
      <c r="AB2" s="3"/>
      <c r="AC2" s="401"/>
      <c r="AD2" s="3"/>
      <c r="AE2" s="121"/>
      <c r="AF2" s="46"/>
      <c r="AG2" s="121"/>
      <c r="AH2" s="89" t="s">
        <v>770</v>
      </c>
      <c r="AI2" s="46"/>
      <c r="AJ2" s="55"/>
      <c r="AK2" s="120" t="s">
        <v>633</v>
      </c>
      <c r="AL2" s="55"/>
      <c r="AM2" s="55"/>
      <c r="AN2" s="55"/>
      <c r="AO2" s="308" t="s">
        <v>774</v>
      </c>
      <c r="AP2" s="255" t="s">
        <v>774</v>
      </c>
      <c r="AQ2" s="121"/>
      <c r="AR2" s="120"/>
      <c r="AS2" s="121"/>
      <c r="AT2" s="55"/>
      <c r="AU2" s="55"/>
      <c r="AV2" s="340"/>
      <c r="AW2" s="256" t="s">
        <v>774</v>
      </c>
      <c r="AX2" s="311"/>
      <c r="AY2" s="321"/>
      <c r="AZ2" s="249"/>
      <c r="BA2" s="254" t="s">
        <v>774</v>
      </c>
      <c r="BB2" s="421"/>
      <c r="BC2" s="342"/>
      <c r="BD2" s="254" t="s">
        <v>774</v>
      </c>
      <c r="BE2" s="254" t="s">
        <v>774</v>
      </c>
      <c r="BF2" s="316"/>
      <c r="BG2" s="254" t="s">
        <v>774</v>
      </c>
    </row>
    <row r="3" spans="1:59" ht="134" customHeight="1" thickBot="1" x14ac:dyDescent="0.25">
      <c r="A3" s="416"/>
      <c r="B3" s="417"/>
      <c r="C3" s="17"/>
      <c r="D3" s="17"/>
      <c r="E3" s="297"/>
      <c r="F3" s="305" t="s">
        <v>773</v>
      </c>
      <c r="G3" s="105" t="s">
        <v>574</v>
      </c>
      <c r="H3" s="145" t="s">
        <v>1</v>
      </c>
      <c r="I3" s="145" t="s">
        <v>0</v>
      </c>
      <c r="J3" s="140" t="s">
        <v>36</v>
      </c>
      <c r="K3" s="145" t="s">
        <v>35</v>
      </c>
      <c r="L3" s="105" t="s">
        <v>574</v>
      </c>
      <c r="M3" s="145" t="s">
        <v>1</v>
      </c>
      <c r="N3" s="145" t="s">
        <v>0</v>
      </c>
      <c r="O3" s="319" t="s">
        <v>766</v>
      </c>
      <c r="P3" s="74" t="s">
        <v>36</v>
      </c>
      <c r="Q3" s="145" t="s">
        <v>35</v>
      </c>
      <c r="R3" s="145" t="s">
        <v>607</v>
      </c>
      <c r="S3" s="306" t="s">
        <v>767</v>
      </c>
      <c r="T3" s="200" t="s">
        <v>608</v>
      </c>
      <c r="U3" s="201" t="s">
        <v>1188</v>
      </c>
      <c r="V3" s="201" t="s">
        <v>1189</v>
      </c>
      <c r="W3" s="327" t="s">
        <v>609</v>
      </c>
      <c r="X3" s="201" t="s">
        <v>612</v>
      </c>
      <c r="Y3" s="202" t="s">
        <v>613</v>
      </c>
      <c r="Z3" s="201" t="s">
        <v>768</v>
      </c>
      <c r="AA3" s="333" t="s">
        <v>614</v>
      </c>
      <c r="AB3" s="202" t="s">
        <v>615</v>
      </c>
      <c r="AC3" s="402" t="s">
        <v>1191</v>
      </c>
      <c r="AD3" s="202" t="s">
        <v>616</v>
      </c>
      <c r="AE3" s="333" t="s">
        <v>618</v>
      </c>
      <c r="AF3" s="201" t="s">
        <v>617</v>
      </c>
      <c r="AG3" s="333" t="s">
        <v>769</v>
      </c>
      <c r="AH3" s="327" t="s">
        <v>610</v>
      </c>
      <c r="AI3" s="201" t="s">
        <v>611</v>
      </c>
      <c r="AJ3" s="244" t="s">
        <v>619</v>
      </c>
      <c r="AK3" s="247" t="s">
        <v>1139</v>
      </c>
      <c r="AL3" s="75" t="s">
        <v>1140</v>
      </c>
      <c r="AM3" s="68" t="s">
        <v>788</v>
      </c>
      <c r="AN3" s="200" t="s">
        <v>772</v>
      </c>
      <c r="AO3" s="309" t="s">
        <v>584</v>
      </c>
      <c r="AP3" s="257" t="s">
        <v>1141</v>
      </c>
      <c r="AQ3" s="339" t="s">
        <v>1142</v>
      </c>
      <c r="AR3" s="247" t="s">
        <v>623</v>
      </c>
      <c r="AS3" s="333" t="s">
        <v>622</v>
      </c>
      <c r="AT3" s="75" t="s">
        <v>583</v>
      </c>
      <c r="AU3" s="75" t="s">
        <v>621</v>
      </c>
      <c r="AV3" s="333" t="s">
        <v>620</v>
      </c>
      <c r="AW3" s="30" t="s">
        <v>585</v>
      </c>
      <c r="AX3" s="312" t="s">
        <v>624</v>
      </c>
      <c r="AY3" s="322" t="s">
        <v>625</v>
      </c>
      <c r="AZ3" s="178" t="s">
        <v>626</v>
      </c>
      <c r="BA3" s="30" t="s">
        <v>586</v>
      </c>
      <c r="BB3" s="422" t="s">
        <v>1143</v>
      </c>
      <c r="BC3" s="247" t="s">
        <v>589</v>
      </c>
      <c r="BD3" s="30" t="s">
        <v>775</v>
      </c>
      <c r="BE3" s="257" t="s">
        <v>1144</v>
      </c>
      <c r="BF3" s="312" t="s">
        <v>655</v>
      </c>
      <c r="BG3" s="30" t="s">
        <v>970</v>
      </c>
    </row>
    <row r="4" spans="1:59" x14ac:dyDescent="0.2">
      <c r="A4" s="298"/>
      <c r="B4" s="15"/>
      <c r="C4" s="15"/>
      <c r="D4" s="15" t="s">
        <v>2</v>
      </c>
      <c r="E4" s="298"/>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8" t="str">
        <f>IF(SUM($T4)=0,"",SUM($U4)/$T4)</f>
        <v/>
      </c>
      <c r="X4" s="44">
        <f>SUBTOTAL(109,X$15:INDEX(X:X,COUNTA($B:$B)+14-COUNTA($B$1:$B$14)))</f>
        <v>0</v>
      </c>
      <c r="Y4" s="151" t="str">
        <f>IF(SUM($U4)=0,"",SUM($X4)/$U4)</f>
        <v/>
      </c>
      <c r="Z4" s="44">
        <f>SUBTOTAL(109,Z$15:INDEX(Z:Z,COUNTA($B:$B)+14-COUNTA($B$1:$B$14)))</f>
        <v>0</v>
      </c>
      <c r="AA4" s="334" t="str">
        <f>IF(SUM($U4)=0,"",SUM($Z4)/$U4)</f>
        <v/>
      </c>
      <c r="AB4" s="151" t="str">
        <f>IF(SUM($X4)=0,"",SUM($Z4)/$X4)</f>
        <v/>
      </c>
      <c r="AC4" s="403">
        <f>SUBTOTAL(109,AC$15:INDEX(AC:AC,COUNTA($B:$B)+14-COUNTA($B$1:$B$14)))</f>
        <v>0</v>
      </c>
      <c r="AD4" s="151">
        <f>SUBTOTAL(109,AD$15:INDEX(AD:AD,COUNTA($B:$B)+14-COUNTA($B$1:$B$14)))</f>
        <v>0</v>
      </c>
      <c r="AE4" s="334" t="str">
        <f>IF(SUM($Z4)=0,"",SUM($AD4)/$Z4)</f>
        <v/>
      </c>
      <c r="AF4" s="44">
        <f>SUBTOTAL(109,AF$15:INDEX(AF:AF,COUNTA($B:$B)+14-COUNTA($B$1:$B$14)))</f>
        <v>0</v>
      </c>
      <c r="AG4" s="334" t="str">
        <f>IF(SUM($AD4)=0,"",SUM($AF4)/$AD4)</f>
        <v/>
      </c>
      <c r="AH4" s="328" t="str">
        <f>IF(SUM($T4)=0,"",SUM($AI4)/$T4)</f>
        <v/>
      </c>
      <c r="AI4" s="103">
        <f>SUBTOTAL(109,AI$15:INDEX(AI:AI,COUNTA($B:$B)+14-COUNTA($B$1:$B$14)))</f>
        <v>0</v>
      </c>
      <c r="AJ4" s="79">
        <f>SUBTOTAL(109,AJ$15:INDEX(AJ:AJ,COUNTA($B:$B)+14-COUNTA($B$1:$B$14)))</f>
        <v>0</v>
      </c>
      <c r="AK4" s="337" t="str">
        <f>IF(SUM($AJ4)=0,"",SUM($AL4)/$AJ4)</f>
        <v/>
      </c>
      <c r="AL4" s="79">
        <f>SUBTOTAL(109,AL$15:INDEX(AL:AL,COUNTA($B:$B)+14-COUNTA($B$1:$B$14)))</f>
        <v>0</v>
      </c>
      <c r="AM4" s="79">
        <f>SUBTOTAL(109,AM$15:INDEX(AM:AM,COUNTA($B:$B)+14-COUNTA($B$1:$B$14)))</f>
        <v>0</v>
      </c>
      <c r="AN4" s="79">
        <f>SUBTOTAL(109,AN$15:INDEX(AN:AN,COUNTA($B:$B)+14-COUNTA($B$1:$B$14)))</f>
        <v>0</v>
      </c>
      <c r="AO4" s="60">
        <f>SUBTOTAL(109,AO$15:INDEX(AO:AO,COUNTA($B:$B)+14-COUNTA($B$1:$B$14)))</f>
        <v>0</v>
      </c>
      <c r="AP4" s="33">
        <f>SUBTOTAL(109,AP$15:INDEX(AP:AP,COUNTA($B:$B)+14-COUNTA($B$1:$B$14)))</f>
        <v>0</v>
      </c>
      <c r="AQ4" s="334" t="str">
        <f>IF(SUM($AJ4)=0,"",SUM($AP4)/$AJ4)</f>
        <v/>
      </c>
      <c r="AR4" s="337"/>
      <c r="AS4" s="334"/>
      <c r="AT4" s="49">
        <f>SUBTOTAL(109,AT$15:INDEX(AT:AT,COUNTA($B:$B)+14-COUNTA($B$1:$B$14)))</f>
        <v>0</v>
      </c>
      <c r="AU4" s="49">
        <f>SUBTOTAL(109,AU$15:INDEX(AU:AU,COUNTA($B:$B)+14-COUNTA($B$1:$B$14)))</f>
        <v>0</v>
      </c>
      <c r="AV4" s="334" t="str">
        <f>IF(SUM($AU4)=0,"",SUM($AW4)/$AU4)</f>
        <v/>
      </c>
      <c r="AW4" s="41">
        <f>SUBTOTAL(109,AW$15:INDEX(AW:AW,COUNTA($B:$B)+14-COUNTA($B$1:$B$14)))</f>
        <v>0</v>
      </c>
      <c r="AX4" s="313" t="str">
        <f>IF(SUM($AU4)=0,"",(SUM($AY4)-SUM($O4))/$AU4)</f>
        <v/>
      </c>
      <c r="AY4" s="323">
        <f>SUBTOTAL(109,AY$15:INDEX(AY:AY,COUNTA($B:$B)+14-COUNTA($B$1:$B$14)))</f>
        <v>0</v>
      </c>
      <c r="AZ4" s="177" t="str">
        <f>IF(SUM($AY4)=0,"",SUM($BA4)/$AY4)</f>
        <v/>
      </c>
      <c r="BA4" s="173">
        <f>SUBTOTAL(109,BA$15:INDEX(BA:BA,COUNTA($B:$B)+14-COUNTA($B$1:$B$14)))</f>
        <v>0</v>
      </c>
      <c r="BB4" s="423">
        <f>SUBTOTAL(109,BB$15:INDEX(BB:BB,COUNTA($B:$B)+14-COUNTA($B$1:$B$14)))</f>
        <v>0</v>
      </c>
      <c r="BC4" s="80" t="str">
        <f>IF(SUM($BA4)=0,"",SUM($BD4)/$BA4)</f>
        <v/>
      </c>
      <c r="BD4" s="173">
        <f>SUBTOTAL(109,BD$15:INDEX(BD:BD,COUNTA($B:$B)+14-COUNTA($B$1:$B$14)))</f>
        <v>0</v>
      </c>
      <c r="BE4" s="173">
        <f>SUBTOTAL(109,BE$15:INDEX(BE:BE,COUNTA($B:$B)+14-COUNTA($B$1:$B$14)))</f>
        <v>0</v>
      </c>
      <c r="BF4" s="317" t="str">
        <f>IF(SUM($AW4)=0,"",SUM($BG4)/$AW4)</f>
        <v/>
      </c>
      <c r="BG4" s="173">
        <f>SUBTOTAL(109,BG$15:INDEX(BG:BG,COUNTA($B:$B)+14-COUNTA($B$1:$B$14)))</f>
        <v>0</v>
      </c>
    </row>
    <row r="5" spans="1:59"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4" t="s">
        <v>59</v>
      </c>
      <c r="AD5" s="19" t="s">
        <v>59</v>
      </c>
      <c r="AE5" s="141" t="s">
        <v>59</v>
      </c>
      <c r="AF5" s="36" t="s">
        <v>68</v>
      </c>
      <c r="AG5" s="141" t="s">
        <v>59</v>
      </c>
      <c r="AH5" s="93" t="s">
        <v>59</v>
      </c>
      <c r="AI5" s="37" t="s">
        <v>59</v>
      </c>
      <c r="AJ5" s="36" t="s">
        <v>67</v>
      </c>
      <c r="AK5" s="81" t="s">
        <v>59</v>
      </c>
      <c r="AL5" s="36" t="s">
        <v>59</v>
      </c>
      <c r="AM5" s="36" t="s">
        <v>59</v>
      </c>
      <c r="AN5" s="36" t="s">
        <v>59</v>
      </c>
      <c r="AO5" s="60" t="s">
        <v>70</v>
      </c>
      <c r="AP5" s="33" t="s">
        <v>68</v>
      </c>
      <c r="AQ5" s="124" t="s">
        <v>59</v>
      </c>
      <c r="AR5" s="81" t="s">
        <v>59</v>
      </c>
      <c r="AS5" s="124" t="s">
        <v>59</v>
      </c>
      <c r="AT5" s="36" t="s">
        <v>59</v>
      </c>
      <c r="AU5" s="36" t="s">
        <v>59</v>
      </c>
      <c r="AV5" s="141" t="s">
        <v>59</v>
      </c>
      <c r="AW5" s="102" t="s">
        <v>70</v>
      </c>
      <c r="AX5" s="149" t="s">
        <v>59</v>
      </c>
      <c r="AY5" s="324" t="s">
        <v>59</v>
      </c>
      <c r="AZ5" s="19" t="s">
        <v>59</v>
      </c>
      <c r="BA5" s="33" t="s">
        <v>70</v>
      </c>
      <c r="BB5" s="424" t="s">
        <v>59</v>
      </c>
      <c r="BC5" s="81" t="s">
        <v>59</v>
      </c>
      <c r="BD5" s="33" t="s">
        <v>70</v>
      </c>
      <c r="BE5" s="33" t="s">
        <v>68</v>
      </c>
      <c r="BF5" s="149" t="s">
        <v>59</v>
      </c>
      <c r="BG5" s="33" t="s">
        <v>59</v>
      </c>
    </row>
    <row r="6" spans="1:59"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4" t="s">
        <v>73</v>
      </c>
      <c r="AD6" s="19" t="s">
        <v>54</v>
      </c>
      <c r="AE6" s="141" t="s">
        <v>54</v>
      </c>
      <c r="AF6" s="36" t="s">
        <v>53</v>
      </c>
      <c r="AG6" s="141" t="s">
        <v>54</v>
      </c>
      <c r="AH6" s="93" t="s">
        <v>54</v>
      </c>
      <c r="AI6" s="37" t="s">
        <v>54</v>
      </c>
      <c r="AJ6" s="36" t="s">
        <v>53</v>
      </c>
      <c r="AK6" s="81" t="s">
        <v>73</v>
      </c>
      <c r="AL6" s="36" t="s">
        <v>54</v>
      </c>
      <c r="AM6" s="36" t="s">
        <v>54</v>
      </c>
      <c r="AN6" s="36" t="s">
        <v>73</v>
      </c>
      <c r="AO6" s="60" t="s">
        <v>53</v>
      </c>
      <c r="AP6" s="33" t="s">
        <v>53</v>
      </c>
      <c r="AQ6" s="124" t="s">
        <v>54</v>
      </c>
      <c r="AR6" s="81" t="s">
        <v>73</v>
      </c>
      <c r="AS6" s="124" t="s">
        <v>73</v>
      </c>
      <c r="AT6" s="36" t="s">
        <v>54</v>
      </c>
      <c r="AU6" s="36" t="s">
        <v>54</v>
      </c>
      <c r="AV6" s="141" t="s">
        <v>73</v>
      </c>
      <c r="AW6" s="102" t="s">
        <v>53</v>
      </c>
      <c r="AX6" s="149" t="s">
        <v>73</v>
      </c>
      <c r="AY6" s="324" t="s">
        <v>54</v>
      </c>
      <c r="AZ6" s="19" t="s">
        <v>73</v>
      </c>
      <c r="BA6" s="33" t="s">
        <v>53</v>
      </c>
      <c r="BB6" s="424" t="s">
        <v>73</v>
      </c>
      <c r="BC6" s="81" t="s">
        <v>73</v>
      </c>
      <c r="BD6" s="33" t="s">
        <v>53</v>
      </c>
      <c r="BE6" s="33" t="s">
        <v>53</v>
      </c>
      <c r="BF6" s="149" t="s">
        <v>73</v>
      </c>
      <c r="BG6" s="33" t="s">
        <v>54</v>
      </c>
    </row>
    <row r="7" spans="1:59"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4" t="s">
        <v>55</v>
      </c>
      <c r="AD7" s="19" t="s">
        <v>55</v>
      </c>
      <c r="AE7" s="141" t="s">
        <v>56</v>
      </c>
      <c r="AF7" s="36" t="s">
        <v>55</v>
      </c>
      <c r="AG7" s="141" t="s">
        <v>56</v>
      </c>
      <c r="AH7" s="93" t="s">
        <v>56</v>
      </c>
      <c r="AI7" s="37" t="s">
        <v>55</v>
      </c>
      <c r="AJ7" s="36" t="s">
        <v>55</v>
      </c>
      <c r="AK7" s="81" t="s">
        <v>56</v>
      </c>
      <c r="AL7" s="36" t="s">
        <v>55</v>
      </c>
      <c r="AM7" s="36" t="s">
        <v>55</v>
      </c>
      <c r="AN7" s="36" t="s">
        <v>55</v>
      </c>
      <c r="AO7" s="60" t="s">
        <v>55</v>
      </c>
      <c r="AP7" s="33" t="s">
        <v>55</v>
      </c>
      <c r="AQ7" s="124" t="s">
        <v>56</v>
      </c>
      <c r="AR7" s="81" t="s">
        <v>56</v>
      </c>
      <c r="AS7" s="124" t="s">
        <v>56</v>
      </c>
      <c r="AT7" s="36" t="s">
        <v>55</v>
      </c>
      <c r="AU7" s="36" t="s">
        <v>55</v>
      </c>
      <c r="AV7" s="141" t="s">
        <v>56</v>
      </c>
      <c r="AW7" s="102" t="s">
        <v>55</v>
      </c>
      <c r="AX7" s="149" t="s">
        <v>56</v>
      </c>
      <c r="AY7" s="324" t="s">
        <v>55</v>
      </c>
      <c r="AZ7" s="19" t="s">
        <v>56</v>
      </c>
      <c r="BA7" s="33" t="s">
        <v>55</v>
      </c>
      <c r="BB7" s="424" t="s">
        <v>55</v>
      </c>
      <c r="BC7" s="81" t="s">
        <v>56</v>
      </c>
      <c r="BD7" s="33" t="s">
        <v>55</v>
      </c>
      <c r="BE7" s="33" t="s">
        <v>55</v>
      </c>
      <c r="BF7" s="149" t="s">
        <v>56</v>
      </c>
      <c r="BG7" s="33" t="s">
        <v>55</v>
      </c>
    </row>
    <row r="8" spans="1:59" x14ac:dyDescent="0.2">
      <c r="B8" s="5"/>
      <c r="D8" s="36"/>
      <c r="G8" s="279"/>
      <c r="H8" s="292" t="s">
        <v>547</v>
      </c>
      <c r="I8" s="292" t="s">
        <v>515</v>
      </c>
      <c r="J8" s="277" t="s">
        <v>893</v>
      </c>
      <c r="K8" s="277" t="s">
        <v>529</v>
      </c>
      <c r="L8" s="279"/>
      <c r="M8" s="292" t="s">
        <v>98</v>
      </c>
      <c r="N8" s="292" t="s">
        <v>96</v>
      </c>
      <c r="P8" s="277" t="s">
        <v>100</v>
      </c>
      <c r="Q8" s="277" t="s">
        <v>527</v>
      </c>
      <c r="S8" s="279" t="s">
        <v>388</v>
      </c>
      <c r="T8" s="277" t="s">
        <v>57</v>
      </c>
      <c r="U8" s="277" t="s">
        <v>177</v>
      </c>
      <c r="V8" s="277"/>
      <c r="W8" s="329" t="s">
        <v>58</v>
      </c>
      <c r="X8" s="277" t="s">
        <v>60</v>
      </c>
      <c r="Y8" s="166"/>
      <c r="Z8" s="277" t="s">
        <v>181</v>
      </c>
      <c r="AB8" s="166"/>
      <c r="AC8" s="405"/>
      <c r="AF8" s="277" t="s">
        <v>61</v>
      </c>
      <c r="AH8" s="330"/>
      <c r="AI8" s="104"/>
      <c r="AJ8" s="277" t="s">
        <v>177</v>
      </c>
      <c r="AO8" s="290" t="s">
        <v>96</v>
      </c>
      <c r="AP8" s="273" t="s">
        <v>181</v>
      </c>
      <c r="AV8" s="141"/>
      <c r="AW8" s="276" t="s">
        <v>98</v>
      </c>
      <c r="BA8" s="273" t="s">
        <v>100</v>
      </c>
      <c r="BD8" s="273" t="s">
        <v>527</v>
      </c>
      <c r="BE8" s="273" t="s">
        <v>61</v>
      </c>
    </row>
    <row r="9" spans="1:59" x14ac:dyDescent="0.2">
      <c r="B9" s="5"/>
      <c r="D9" s="36"/>
      <c r="G9" s="279"/>
      <c r="H9" s="292" t="s">
        <v>548</v>
      </c>
      <c r="I9" s="292" t="s">
        <v>165</v>
      </c>
      <c r="J9" s="277" t="s">
        <v>892</v>
      </c>
      <c r="K9" s="277" t="s">
        <v>530</v>
      </c>
      <c r="L9" s="279"/>
      <c r="M9" s="292" t="s">
        <v>99</v>
      </c>
      <c r="N9" s="292" t="s">
        <v>97</v>
      </c>
      <c r="P9" s="277" t="s">
        <v>101</v>
      </c>
      <c r="Q9" s="277" t="s">
        <v>528</v>
      </c>
      <c r="S9" s="279"/>
      <c r="T9" s="277"/>
      <c r="U9" s="277"/>
      <c r="V9" s="277"/>
      <c r="W9" s="329"/>
      <c r="X9" s="277"/>
      <c r="Y9" s="166"/>
      <c r="Z9" s="277"/>
      <c r="AB9" s="166"/>
      <c r="AC9" s="405"/>
      <c r="AF9" s="277"/>
      <c r="AH9" s="330"/>
      <c r="AI9" s="104"/>
      <c r="AJ9" s="277"/>
      <c r="AO9" s="290" t="s">
        <v>97</v>
      </c>
      <c r="AP9" s="273"/>
      <c r="AV9" s="141"/>
      <c r="AW9" s="276" t="s">
        <v>99</v>
      </c>
      <c r="BA9" s="273" t="s">
        <v>101</v>
      </c>
      <c r="BD9" s="273" t="s">
        <v>528</v>
      </c>
      <c r="BE9" s="273"/>
    </row>
    <row r="10" spans="1:59" x14ac:dyDescent="0.2">
      <c r="B10" s="5"/>
      <c r="D10" s="36"/>
      <c r="G10" s="279"/>
      <c r="H10" s="292" t="s">
        <v>65</v>
      </c>
      <c r="I10" s="292" t="s">
        <v>65</v>
      </c>
      <c r="J10" s="277" t="s">
        <v>102</v>
      </c>
      <c r="K10" s="277" t="s">
        <v>102</v>
      </c>
      <c r="L10" s="279"/>
      <c r="M10" s="292" t="s">
        <v>65</v>
      </c>
      <c r="N10" s="292" t="s">
        <v>65</v>
      </c>
      <c r="P10" s="292" t="s">
        <v>102</v>
      </c>
      <c r="Q10" s="292" t="s">
        <v>102</v>
      </c>
      <c r="R10" s="156"/>
      <c r="S10" s="279" t="s">
        <v>65</v>
      </c>
      <c r="T10" s="277"/>
      <c r="U10" s="277" t="s">
        <v>65</v>
      </c>
      <c r="V10" s="277"/>
      <c r="W10" s="329"/>
      <c r="X10" s="277" t="s">
        <v>65</v>
      </c>
      <c r="Y10" s="166"/>
      <c r="Z10" s="277" t="s">
        <v>65</v>
      </c>
      <c r="AB10" s="166"/>
      <c r="AC10" s="405"/>
      <c r="AF10" s="277" t="s">
        <v>65</v>
      </c>
      <c r="AH10" s="330"/>
      <c r="AI10" s="104"/>
      <c r="AJ10" s="277" t="s">
        <v>65</v>
      </c>
      <c r="AO10" s="290" t="s">
        <v>65</v>
      </c>
      <c r="AP10" s="273" t="s">
        <v>65</v>
      </c>
      <c r="AV10" s="141"/>
      <c r="AW10" s="276" t="s">
        <v>65</v>
      </c>
      <c r="BA10" s="273" t="s">
        <v>102</v>
      </c>
      <c r="BD10" s="273" t="s">
        <v>102</v>
      </c>
      <c r="BE10" s="273" t="s">
        <v>65</v>
      </c>
    </row>
    <row r="11" spans="1:59" x14ac:dyDescent="0.2">
      <c r="B11" s="5"/>
      <c r="D11" s="36"/>
      <c r="F11" s="47" t="s">
        <v>877</v>
      </c>
      <c r="G11" s="47" t="s">
        <v>878</v>
      </c>
      <c r="H11" s="155" t="s">
        <v>878</v>
      </c>
      <c r="I11" s="155" t="s">
        <v>878</v>
      </c>
      <c r="J11" s="36" t="s">
        <v>878</v>
      </c>
      <c r="K11" s="36" t="s">
        <v>878</v>
      </c>
      <c r="L11" s="47" t="s">
        <v>878</v>
      </c>
      <c r="M11" s="155" t="s">
        <v>878</v>
      </c>
      <c r="N11" s="155" t="s">
        <v>878</v>
      </c>
      <c r="O11" s="57" t="s">
        <v>878</v>
      </c>
      <c r="P11" s="36" t="s">
        <v>878</v>
      </c>
      <c r="Q11" s="155" t="s">
        <v>878</v>
      </c>
      <c r="R11" s="155" t="s">
        <v>878</v>
      </c>
      <c r="S11" s="47" t="s">
        <v>878</v>
      </c>
      <c r="T11" s="36" t="s">
        <v>878</v>
      </c>
      <c r="U11" s="36" t="s">
        <v>878</v>
      </c>
      <c r="V11" s="36" t="s">
        <v>878</v>
      </c>
      <c r="W11" s="82" t="s">
        <v>878</v>
      </c>
      <c r="X11" s="36" t="s">
        <v>878</v>
      </c>
      <c r="Y11" s="98" t="s">
        <v>878</v>
      </c>
      <c r="Z11" s="36" t="s">
        <v>878</v>
      </c>
      <c r="AA11" s="124" t="s">
        <v>878</v>
      </c>
      <c r="AB11" s="98" t="s">
        <v>878</v>
      </c>
      <c r="AC11" s="404" t="s">
        <v>878</v>
      </c>
      <c r="AD11" s="19" t="s">
        <v>878</v>
      </c>
      <c r="AE11" s="141" t="s">
        <v>878</v>
      </c>
      <c r="AF11" s="36" t="s">
        <v>878</v>
      </c>
      <c r="AG11" s="141" t="s">
        <v>878</v>
      </c>
      <c r="AH11" s="93" t="s">
        <v>878</v>
      </c>
      <c r="AI11" s="37" t="s">
        <v>878</v>
      </c>
      <c r="AJ11" s="36" t="s">
        <v>878</v>
      </c>
      <c r="AK11" s="81" t="s">
        <v>877</v>
      </c>
      <c r="AL11" s="36" t="s">
        <v>877</v>
      </c>
      <c r="AM11" s="36" t="s">
        <v>26</v>
      </c>
      <c r="AN11" s="36" t="s">
        <v>878</v>
      </c>
      <c r="AO11" s="60" t="s">
        <v>878</v>
      </c>
      <c r="AP11" s="33" t="s">
        <v>878</v>
      </c>
      <c r="AQ11" s="124" t="s">
        <v>878</v>
      </c>
      <c r="AR11" s="81" t="s">
        <v>877</v>
      </c>
      <c r="AS11" s="124" t="s">
        <v>877</v>
      </c>
      <c r="AT11" s="36" t="s">
        <v>878</v>
      </c>
      <c r="AU11" s="36" t="s">
        <v>878</v>
      </c>
      <c r="AV11" s="141" t="s">
        <v>877</v>
      </c>
      <c r="AW11" s="102" t="s">
        <v>878</v>
      </c>
      <c r="AX11" s="149" t="s">
        <v>877</v>
      </c>
      <c r="AY11" s="324" t="s">
        <v>878</v>
      </c>
      <c r="AZ11" s="19" t="s">
        <v>877</v>
      </c>
      <c r="BA11" s="33" t="s">
        <v>878</v>
      </c>
      <c r="BB11" s="424" t="s">
        <v>878</v>
      </c>
      <c r="BC11" s="81" t="s">
        <v>877</v>
      </c>
      <c r="BD11" s="33" t="s">
        <v>878</v>
      </c>
      <c r="BE11" s="33" t="s">
        <v>878</v>
      </c>
      <c r="BF11" s="149" t="s">
        <v>877</v>
      </c>
      <c r="BG11" s="33" t="s">
        <v>878</v>
      </c>
    </row>
    <row r="12" spans="1:59"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4" t="s">
        <v>138</v>
      </c>
      <c r="AD12" s="19" t="s">
        <v>138</v>
      </c>
      <c r="AE12" s="141" t="s">
        <v>138</v>
      </c>
      <c r="AF12" s="36" t="s">
        <v>138</v>
      </c>
      <c r="AG12" s="141" t="s">
        <v>138</v>
      </c>
      <c r="AH12" s="93" t="s">
        <v>138</v>
      </c>
      <c r="AI12" s="37" t="s">
        <v>138</v>
      </c>
      <c r="AJ12" s="36" t="s">
        <v>138</v>
      </c>
      <c r="AK12" s="81" t="s">
        <v>138</v>
      </c>
      <c r="AL12" s="36" t="s">
        <v>138</v>
      </c>
      <c r="AM12" s="36" t="s">
        <v>138</v>
      </c>
      <c r="AN12" s="36" t="s">
        <v>138</v>
      </c>
      <c r="AO12" s="60" t="s">
        <v>138</v>
      </c>
      <c r="AP12" s="33" t="s">
        <v>138</v>
      </c>
      <c r="AQ12" s="124" t="s">
        <v>138</v>
      </c>
      <c r="AR12" s="81" t="s">
        <v>138</v>
      </c>
      <c r="AS12" s="124" t="s">
        <v>138</v>
      </c>
      <c r="AT12" s="36" t="s">
        <v>138</v>
      </c>
      <c r="AU12" s="36" t="s">
        <v>138</v>
      </c>
      <c r="AV12" s="141" t="s">
        <v>138</v>
      </c>
      <c r="AW12" s="102" t="s">
        <v>138</v>
      </c>
      <c r="AX12" s="149" t="s">
        <v>138</v>
      </c>
      <c r="AY12" s="324" t="s">
        <v>138</v>
      </c>
      <c r="AZ12" s="19" t="s">
        <v>138</v>
      </c>
      <c r="BA12" s="33" t="s">
        <v>138</v>
      </c>
      <c r="BB12" s="424" t="s">
        <v>138</v>
      </c>
      <c r="BC12" s="81" t="s">
        <v>138</v>
      </c>
      <c r="BD12" s="33" t="s">
        <v>138</v>
      </c>
      <c r="BE12" s="33" t="s">
        <v>138</v>
      </c>
      <c r="BF12" s="149" t="s">
        <v>138</v>
      </c>
      <c r="BG12" s="33" t="s">
        <v>138</v>
      </c>
    </row>
    <row r="13" spans="1:59" x14ac:dyDescent="0.2">
      <c r="B13" s="5"/>
      <c r="D13" s="36"/>
      <c r="H13" s="155"/>
      <c r="I13" s="155"/>
      <c r="M13" s="155"/>
      <c r="N13" s="155"/>
      <c r="Y13" s="98"/>
      <c r="AB13" s="98"/>
      <c r="AC13" s="404"/>
      <c r="AH13" s="93"/>
      <c r="AI13" s="37"/>
      <c r="AV13" s="141"/>
      <c r="AW13" s="40"/>
      <c r="BD13" s="33"/>
    </row>
    <row r="14" spans="1:59" x14ac:dyDescent="0.2">
      <c r="A14" s="303" t="s">
        <v>44</v>
      </c>
      <c r="B14" s="189" t="s">
        <v>3</v>
      </c>
      <c r="C14" s="190" t="s">
        <v>25</v>
      </c>
      <c r="D14" s="190" t="s">
        <v>4</v>
      </c>
      <c r="E14" s="301" t="s">
        <v>47</v>
      </c>
      <c r="F14" s="218" t="s">
        <v>642</v>
      </c>
      <c r="G14" s="218" t="s">
        <v>572</v>
      </c>
      <c r="H14" s="192" t="s">
        <v>549</v>
      </c>
      <c r="I14" s="192" t="s">
        <v>199</v>
      </c>
      <c r="J14" s="191" t="s">
        <v>571</v>
      </c>
      <c r="K14" s="193" t="s">
        <v>545</v>
      </c>
      <c r="L14" s="218" t="s">
        <v>573</v>
      </c>
      <c r="M14" s="192" t="s">
        <v>550</v>
      </c>
      <c r="N14" s="192" t="s">
        <v>200</v>
      </c>
      <c r="O14" s="191" t="s">
        <v>834</v>
      </c>
      <c r="P14" s="194" t="s">
        <v>570</v>
      </c>
      <c r="Q14" s="193" t="s">
        <v>544</v>
      </c>
      <c r="R14" s="193" t="s">
        <v>578</v>
      </c>
      <c r="S14" s="218" t="s">
        <v>387</v>
      </c>
      <c r="T14" s="191" t="s">
        <v>188</v>
      </c>
      <c r="U14" s="194" t="s">
        <v>189</v>
      </c>
      <c r="V14" s="194" t="s">
        <v>1190</v>
      </c>
      <c r="W14" s="216" t="s">
        <v>191</v>
      </c>
      <c r="X14" s="194" t="s">
        <v>190</v>
      </c>
      <c r="Y14" s="195" t="s">
        <v>634</v>
      </c>
      <c r="Z14" s="194" t="s">
        <v>192</v>
      </c>
      <c r="AA14" s="196" t="s">
        <v>638</v>
      </c>
      <c r="AB14" s="195" t="s">
        <v>306</v>
      </c>
      <c r="AC14" s="406" t="s">
        <v>1192</v>
      </c>
      <c r="AD14" s="195" t="s">
        <v>526</v>
      </c>
      <c r="AE14" s="196" t="s">
        <v>635</v>
      </c>
      <c r="AF14" s="194" t="s">
        <v>908</v>
      </c>
      <c r="AG14" s="196" t="s">
        <v>907</v>
      </c>
      <c r="AH14" s="216" t="s">
        <v>1063</v>
      </c>
      <c r="AI14" s="194" t="s">
        <v>1062</v>
      </c>
      <c r="AJ14" s="191" t="s">
        <v>636</v>
      </c>
      <c r="AK14" s="223" t="s">
        <v>641</v>
      </c>
      <c r="AL14" s="191" t="s">
        <v>639</v>
      </c>
      <c r="AM14" s="191" t="s">
        <v>326</v>
      </c>
      <c r="AN14" s="191" t="s">
        <v>640</v>
      </c>
      <c r="AO14" s="238" t="s">
        <v>201</v>
      </c>
      <c r="AP14" s="197" t="s">
        <v>551</v>
      </c>
      <c r="AQ14" s="196" t="s">
        <v>637</v>
      </c>
      <c r="AR14" s="223" t="s">
        <v>287</v>
      </c>
      <c r="AS14" s="196" t="s">
        <v>286</v>
      </c>
      <c r="AT14" s="191" t="s">
        <v>579</v>
      </c>
      <c r="AU14" s="191" t="s">
        <v>643</v>
      </c>
      <c r="AV14" s="341" t="s">
        <v>644</v>
      </c>
      <c r="AW14" s="198" t="s">
        <v>202</v>
      </c>
      <c r="AX14" s="314" t="s">
        <v>645</v>
      </c>
      <c r="AY14" s="325" t="s">
        <v>646</v>
      </c>
      <c r="AZ14" s="199" t="s">
        <v>647</v>
      </c>
      <c r="BA14" s="193" t="s">
        <v>204</v>
      </c>
      <c r="BB14" s="425" t="s">
        <v>879</v>
      </c>
      <c r="BC14" s="343" t="s">
        <v>546</v>
      </c>
      <c r="BD14" s="193" t="s">
        <v>542</v>
      </c>
      <c r="BE14" s="193" t="s">
        <v>909</v>
      </c>
      <c r="BF14" s="318" t="s">
        <v>309</v>
      </c>
      <c r="BG14" s="193" t="s">
        <v>360</v>
      </c>
    </row>
    <row r="15" spans="1:59"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7"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5" t="str">
        <f>IF(LEFT($B15,4)="_Mil","",IFERROR(1/(1/INDEX(Spectrum!$N:$N,MATCH(RIGHT($B15,13)&amp;"|"&amp;$C15&amp;"|"&amp;$D15&amp;"|"&amp;AA$14&amp;"|"&amp;"CY2023Q3",Spectrum!$R:$R,0))),IF(SUM($U15)=0,"",SUM($Z15)/$U15)))</f>
        <v/>
      </c>
      <c r="AB15" s="98" t="str">
        <f>IF(OR(LEFT($B15,4)="_Mil",SUM($X15)=0),"",SUM($Z15)/$X15)</f>
        <v/>
      </c>
      <c r="AC15" s="404" t="str">
        <f>IF(LEFT($B15,4)="_Mil","",_xlfn.IFNA(ROUND(INDEX(Spectrum!$N:$N,MATCH(RIGHT($B15,13)&amp;"|"&amp;$C15&amp;"|"&amp;$D15&amp;"|"&amp;AC$14&amp;"|"&amp;"CY2023Q3",Spectrum!$R:$R,0)),0),""))</f>
        <v/>
      </c>
      <c r="AD15" s="175" t="str">
        <f>IF(LEFT($B15,4)="_Mil","",_xlfn.IFNA(ROUND(INDEX(Spectrum!$N:$N,MATCH(RIGHT($B15,13)&amp;"|"&amp;$C15&amp;"|"&amp;$D15&amp;"|"&amp;AD$14&amp;"|"&amp;"CY2023Q3",Spectrum!$R:$R,0)),0),""))</f>
        <v/>
      </c>
      <c r="AE15" s="335" t="str">
        <f>IF(OR(LEFT($B15,4)="_Mil",SUM($Z15)=0),"",SUM($AD15)/$Z15)</f>
        <v/>
      </c>
      <c r="AF15" s="37" t="str">
        <f>IF(LEFT($B15,4)="_Mil","",_xlfn.IFNA(ROUND(INDEX(Spectrum!$N:$N,MATCH(RIGHT($B15,13)&amp;"|"&amp;$C15&amp;"|"&amp;$D15&amp;"|"&amp;AF$14&amp;"|"&amp;"CY2023Q3",Spectrum!$R:$R,0)),0),""))</f>
        <v/>
      </c>
      <c r="AG15" s="335" t="str">
        <f>IF(OR(LEFT($B15,4)="_Mil",SUM($AD15)=0),"",SUM($AF15)/$AD15)</f>
        <v/>
      </c>
      <c r="AH15" s="331" t="str">
        <f>IF(LEFT($B15,4)="_Mil","",_xlfn.IFNA(INDEX(Spectrum!$N:$N,MATCH(RIGHT($B15,13)&amp;"|"&amp;$C15&amp;"|"&amp;$D15&amp;"|"&amp;AH$14&amp;"|"&amp;"CY2023Q3",Spectrum!$R:$R,0)),""))</f>
        <v/>
      </c>
      <c r="AI15" s="174" t="str">
        <f>IF(LEFT($B15,4)="_Mil","",_xlfn.IFNA(ROUND(INDEX(Spectrum!$N:$N,MATCH(RIGHT($B15,13)&amp;"|"&amp;$C15&amp;"|"&amp;$D15&amp;"|"&amp;AI$14&amp;"|"&amp;"CY2023Q3",Spectrum!$R:$R,0)),0),""))</f>
        <v/>
      </c>
      <c r="AJ15" s="45">
        <f>IF(LEFT($B15,4)="_Mil","",_xlfn.IFNA(ROUND(INDEX(Spectrum!$N:$N,MATCH(RIGHT($B15,13)&amp;"|"&amp;$C15&amp;"|"&amp;$D15&amp;"|"&amp;AI$14&amp;"|"&amp;"CY2023Q3",Spectrum!$R:$R,0)),0),SUM($U15)+SUM($AI15)))</f>
        <v>0</v>
      </c>
      <c r="AK15" s="338">
        <f>IF(OR(LEFT($B15,4)="_Mil",$C15="&lt;01"),"",MAX(SUM($AA15),90%))</f>
        <v>0.9</v>
      </c>
      <c r="AL15" s="45">
        <f>IF(OR(LEFT($B15,4)="_Mil",$C15="&lt;01"),"",ROUND(SUM($AJ15)*SUM($AK15),0))</f>
        <v>0</v>
      </c>
      <c r="AM15" s="45" t="str">
        <f>IF($C15="&lt;01",ROUND(INDEX(EID!$P:$P,MATCH($B15,EID!$B:$B,0))/2,0),"")</f>
        <v/>
      </c>
      <c r="AN15" s="45">
        <f>IF($C15="&lt;01",SUM($AM15),ROUND(SUM($AL15)*SUM($O15)/IF(SUM($Z15)=0,1,$Z15),0))</f>
        <v>0</v>
      </c>
      <c r="AO15" s="172">
        <f>IF(OR($F15="",$C15="&lt;01"),$AN15,$F15)</f>
        <v>0</v>
      </c>
      <c r="AP15" s="42">
        <f>IF(LEFT($B15,4)="_Mil","",IF(SUM($AO15)=0,SUM($Z15),IF(OR(SUM($Z15)=0,SUM($O15)=0),MAX($AO15,$Z15),$AO15*$Z15/$O15)))</f>
        <v>0</v>
      </c>
      <c r="AQ15" s="335" t="str">
        <f>IF(OR(LEFT($B15,4)="_Mil",SUM($AJ15)=0),"",SUM($AP15)/$AJ15)</f>
        <v/>
      </c>
      <c r="AR15" s="338">
        <f>IF($C15="&lt;01","",98%)</f>
        <v>0.98</v>
      </c>
      <c r="AS15" s="335">
        <f>IF($C15="&lt;01","",98%)</f>
        <v>0.98</v>
      </c>
      <c r="AT15" s="45">
        <f>IF($C15="&lt;01","",SUM($AO15)-SUM($O15))</f>
        <v>0</v>
      </c>
      <c r="AU15" s="45">
        <f>IF($C15="&lt;01",ROUND(INDEX(EID!$N:$N,MATCH($B15,EID!$B:$B,0))/2,0),IF(SUM($AS15)=0,"",ROUND((SUM($AO15)-(SUM($O15)*SUM($AR15)))/$AS15,0)))</f>
        <v>0</v>
      </c>
      <c r="AV15" s="335">
        <f>IF($C15="&lt;01","",100%)</f>
        <v>1</v>
      </c>
      <c r="AW15" s="171">
        <f>IF($C15="&lt;01",SUM($AU15),ROUND(SUM($AU15)*SUM($AV15),0))</f>
        <v>0</v>
      </c>
      <c r="AX15" s="338">
        <f>IF($C15="&lt;01","",70%)</f>
        <v>0.7</v>
      </c>
      <c r="AY15" s="326">
        <f>IF($C15="&lt;01",ROUND(INDEX(EID!$R:$R,MATCH($B15,EID!$B:$B,0))/2,0),ROUND(SUM($O15)+(SUM($AU15)*$AX15),0))</f>
        <v>0</v>
      </c>
      <c r="AZ15" s="175">
        <f>IF($C15="&lt;01","",95%)</f>
        <v>0.95</v>
      </c>
      <c r="BA15" s="42">
        <f>IF($C15="&lt;01",ROUND(INDEX(EID!$T:$T,MATCH($B15,EID!$B:$B,0))/2,0),ROUND($AY15*$AZ15,0))</f>
        <v>0</v>
      </c>
      <c r="BB15" s="426">
        <f>IF(LEFT($B15,4)="_Mil","",IF(SUM($BA15)=0,SUM($AD15),IF(OR(SUM($AO15)=0,SUM($AP15)=0),MAX($BA15,$AD15),ROUND($BA15*$AP15/$AO15,0))))</f>
        <v>0</v>
      </c>
      <c r="BC15" s="338">
        <f>IF($C15="&lt;01","",95%)</f>
        <v>0.95</v>
      </c>
      <c r="BD15" s="171">
        <f>IF($C15="&lt;01",ROUND(INDEX(EID!$V:$V,MATCH($B15,EID!$B:$B,0))/2,0),ROUND($BC15*$BA15,0))</f>
        <v>0</v>
      </c>
      <c r="BE15" s="171">
        <f>IF(LEFT($B15,4)="_Mil","",IF(SUM($BD15)=0,SUM($AF15),IF(OR(SUM($AO15)=0,SUM($AP15)=0),MAX($BD15,$AF15),ROUND($BD15*$AP15/$AO15,0))))</f>
        <v>0</v>
      </c>
      <c r="BF15" s="315">
        <f>IF($C15="&lt;01","",95%)</f>
        <v>0.95</v>
      </c>
      <c r="BG15" s="42">
        <f>IF($C15="&lt;01",ROUND(INDEX(EID!$L:$L,MATCH($B15,EID!$B:$B,0)),0)/2,IF(SUM($BF15)=0,"",ROUND($AW15/$BF15,0)))</f>
        <v>0</v>
      </c>
    </row>
    <row r="16" spans="1:59" x14ac:dyDescent="0.2">
      <c r="O16" s="146"/>
      <c r="R16" s="146"/>
      <c r="Y16" s="98"/>
      <c r="AB16" s="98"/>
      <c r="AC16" s="404"/>
      <c r="AE16" s="335"/>
      <c r="AG16" s="335"/>
      <c r="AJ16" s="45"/>
      <c r="AK16" s="338"/>
      <c r="AL16" s="45"/>
      <c r="AM16" s="45"/>
      <c r="AN16" s="45"/>
      <c r="AO16" s="172"/>
      <c r="AP16" s="42"/>
      <c r="AQ16" s="335"/>
      <c r="AR16" s="338"/>
      <c r="AS16" s="335"/>
      <c r="AT16" s="45"/>
      <c r="AU16" s="45"/>
      <c r="AV16" s="335"/>
      <c r="AW16" s="171"/>
      <c r="AX16" s="338"/>
      <c r="AY16" s="326"/>
      <c r="AZ16" s="175"/>
      <c r="BA16" s="42"/>
      <c r="BB16" s="426"/>
      <c r="BD16" s="171"/>
      <c r="BE16" s="171"/>
      <c r="BF16" s="315"/>
      <c r="BG16" s="42"/>
    </row>
    <row r="17" spans="50:59" x14ac:dyDescent="0.2">
      <c r="AX17" s="315"/>
      <c r="AY17" s="326"/>
      <c r="AZ17" s="175"/>
      <c r="BA17" s="42"/>
      <c r="BB17" s="426"/>
      <c r="BF17" s="315"/>
      <c r="BG17" s="42"/>
    </row>
    <row r="18" spans="50:59" x14ac:dyDescent="0.2">
      <c r="AX18" s="315"/>
      <c r="AY18" s="326"/>
      <c r="AZ18" s="175"/>
      <c r="BA18" s="42"/>
      <c r="BB18" s="426"/>
      <c r="BF18" s="315"/>
      <c r="BG18" s="42"/>
    </row>
    <row r="19" spans="50:59" x14ac:dyDescent="0.2">
      <c r="AX19" s="315"/>
      <c r="AY19" s="326"/>
      <c r="AZ19" s="175"/>
      <c r="BA19" s="42"/>
      <c r="BB19" s="426"/>
      <c r="BF19" s="315"/>
      <c r="BG19" s="42"/>
    </row>
    <row r="20" spans="50:59" x14ac:dyDescent="0.2">
      <c r="AX20" s="315"/>
      <c r="AY20" s="326"/>
      <c r="AZ20" s="175"/>
      <c r="BA20" s="42"/>
      <c r="BB20" s="426"/>
      <c r="BF20" s="315"/>
      <c r="BG20" s="42"/>
    </row>
    <row r="21" spans="50:59" x14ac:dyDescent="0.2">
      <c r="AX21" s="315"/>
      <c r="AY21" s="326"/>
      <c r="AZ21" s="175"/>
      <c r="BA21" s="42"/>
      <c r="BB21" s="426"/>
      <c r="BF21" s="315"/>
      <c r="BG21" s="42"/>
    </row>
    <row r="22" spans="50:59" x14ac:dyDescent="0.2">
      <c r="AX22" s="315"/>
      <c r="AY22" s="326"/>
      <c r="AZ22" s="175"/>
      <c r="BA22" s="42"/>
      <c r="BB22" s="426"/>
      <c r="BF22" s="315"/>
      <c r="BG22" s="42"/>
    </row>
    <row r="23" spans="50:59" x14ac:dyDescent="0.2">
      <c r="AX23" s="315"/>
      <c r="AY23" s="326"/>
      <c r="AZ23" s="175"/>
      <c r="BA23" s="42"/>
      <c r="BB23" s="426"/>
      <c r="BF23" s="315"/>
      <c r="BG23" s="42"/>
    </row>
    <row r="24" spans="50:59" x14ac:dyDescent="0.2">
      <c r="AX24" s="315"/>
      <c r="AY24" s="326"/>
      <c r="AZ24" s="175"/>
      <c r="BA24" s="42"/>
      <c r="BB24" s="426"/>
      <c r="BF24" s="315"/>
      <c r="BG24" s="42"/>
    </row>
    <row r="25" spans="50:59" x14ac:dyDescent="0.2">
      <c r="AX25" s="315"/>
      <c r="AY25" s="326"/>
      <c r="AZ25" s="175"/>
      <c r="BA25" s="42"/>
      <c r="BB25" s="426"/>
      <c r="BF25" s="315"/>
      <c r="BG25" s="42"/>
    </row>
    <row r="26" spans="50:59" x14ac:dyDescent="0.2">
      <c r="AX26" s="315"/>
      <c r="AY26" s="326"/>
      <c r="AZ26" s="175"/>
      <c r="BA26" s="42"/>
      <c r="BB26" s="426"/>
      <c r="BF26" s="315"/>
      <c r="BG26" s="42"/>
    </row>
    <row r="27" spans="50:59" x14ac:dyDescent="0.2">
      <c r="AX27" s="315"/>
      <c r="AY27" s="326"/>
      <c r="AZ27" s="175"/>
      <c r="BA27" s="42"/>
      <c r="BB27" s="426"/>
      <c r="BF27" s="315"/>
      <c r="BG27" s="42"/>
    </row>
    <row r="28" spans="50:59" x14ac:dyDescent="0.2">
      <c r="AX28" s="315"/>
      <c r="AY28" s="326"/>
      <c r="AZ28" s="175"/>
      <c r="BA28" s="42"/>
      <c r="BB28" s="426"/>
      <c r="BF28" s="315"/>
      <c r="BG28" s="42"/>
    </row>
    <row r="29" spans="50:59" x14ac:dyDescent="0.2">
      <c r="AX29" s="315"/>
      <c r="AY29" s="326"/>
      <c r="AZ29" s="175"/>
      <c r="BA29" s="42"/>
      <c r="BB29" s="426"/>
      <c r="BF29" s="315"/>
      <c r="BG29" s="42"/>
    </row>
    <row r="30" spans="50:59" x14ac:dyDescent="0.2">
      <c r="AX30" s="315"/>
      <c r="AY30" s="326"/>
      <c r="AZ30" s="175"/>
      <c r="BA30" s="42"/>
      <c r="BB30" s="426"/>
      <c r="BF30" s="315"/>
      <c r="BG30" s="42"/>
    </row>
    <row r="31" spans="50:59" x14ac:dyDescent="0.2">
      <c r="AX31" s="315"/>
      <c r="AY31" s="326"/>
      <c r="AZ31" s="175"/>
      <c r="BA31" s="42"/>
      <c r="BB31" s="426"/>
      <c r="BF31" s="315"/>
      <c r="BG31" s="42"/>
    </row>
    <row r="32" spans="50:59" x14ac:dyDescent="0.2">
      <c r="AX32" s="315"/>
      <c r="AY32" s="326"/>
      <c r="AZ32" s="175"/>
      <c r="BA32" s="42"/>
      <c r="BB32" s="426"/>
      <c r="BF32" s="315"/>
      <c r="BG32" s="42"/>
    </row>
    <row r="33" spans="50:59" x14ac:dyDescent="0.2">
      <c r="AX33" s="315"/>
      <c r="AY33" s="326"/>
      <c r="AZ33" s="175"/>
      <c r="BA33" s="42"/>
      <c r="BB33" s="426"/>
      <c r="BF33" s="315"/>
      <c r="BG33" s="42"/>
    </row>
    <row r="34" spans="50:59" x14ac:dyDescent="0.2">
      <c r="AX34" s="315"/>
      <c r="AY34" s="326"/>
      <c r="AZ34" s="175"/>
      <c r="BA34" s="42"/>
      <c r="BB34" s="426"/>
      <c r="BF34" s="315"/>
      <c r="BG34" s="42"/>
    </row>
    <row r="35" spans="50:59" x14ac:dyDescent="0.2">
      <c r="AX35" s="315"/>
      <c r="AY35" s="326"/>
      <c r="AZ35" s="175"/>
      <c r="BA35" s="42"/>
      <c r="BB35" s="426"/>
      <c r="BF35" s="315"/>
      <c r="BG35" s="42"/>
    </row>
    <row r="36" spans="50:59" x14ac:dyDescent="0.2">
      <c r="AX36" s="315"/>
      <c r="AY36" s="326"/>
      <c r="AZ36" s="175"/>
      <c r="BA36" s="42"/>
      <c r="BB36" s="426"/>
      <c r="BF36" s="315"/>
      <c r="BG36" s="42"/>
    </row>
    <row r="37" spans="50:59" x14ac:dyDescent="0.2">
      <c r="AX37" s="315"/>
      <c r="AY37" s="326"/>
      <c r="AZ37" s="175"/>
      <c r="BA37" s="42"/>
      <c r="BB37" s="426"/>
      <c r="BF37" s="315"/>
      <c r="BG37" s="42"/>
    </row>
    <row r="38" spans="50:59" x14ac:dyDescent="0.2">
      <c r="AX38" s="315"/>
      <c r="AY38" s="326"/>
      <c r="AZ38" s="175"/>
      <c r="BA38" s="42"/>
      <c r="BB38" s="426"/>
      <c r="BF38" s="315"/>
      <c r="BG38" s="42"/>
    </row>
    <row r="39" spans="50:59" x14ac:dyDescent="0.2">
      <c r="AX39" s="315"/>
      <c r="AY39" s="326"/>
      <c r="AZ39" s="175"/>
      <c r="BA39" s="42"/>
      <c r="BB39" s="426"/>
      <c r="BF39" s="315"/>
      <c r="BG39" s="42"/>
    </row>
    <row r="40" spans="50:59" x14ac:dyDescent="0.2">
      <c r="AX40" s="315"/>
      <c r="AY40" s="326"/>
      <c r="AZ40" s="175"/>
      <c r="BA40" s="42"/>
      <c r="BB40" s="426"/>
      <c r="BF40" s="315"/>
      <c r="BG40" s="42"/>
    </row>
    <row r="41" spans="50:59" x14ac:dyDescent="0.2">
      <c r="AX41" s="315"/>
      <c r="AY41" s="326"/>
      <c r="AZ41" s="175"/>
      <c r="BA41" s="42"/>
      <c r="BB41" s="426"/>
      <c r="BF41" s="315"/>
      <c r="BG41" s="42"/>
    </row>
    <row r="42" spans="50:59" x14ac:dyDescent="0.2">
      <c r="AX42" s="315"/>
      <c r="AY42" s="326"/>
      <c r="AZ42" s="175"/>
      <c r="BA42" s="42"/>
      <c r="BB42" s="426"/>
      <c r="BF42" s="315"/>
      <c r="BG42" s="42"/>
    </row>
    <row r="43" spans="50:59" x14ac:dyDescent="0.2">
      <c r="AX43" s="315"/>
      <c r="AY43" s="326"/>
      <c r="AZ43" s="175"/>
      <c r="BA43" s="42"/>
      <c r="BB43" s="426"/>
      <c r="BF43" s="315"/>
      <c r="BG43" s="42"/>
    </row>
    <row r="44" spans="50:59" x14ac:dyDescent="0.2">
      <c r="AX44" s="315"/>
      <c r="AY44" s="326"/>
      <c r="AZ44" s="175"/>
      <c r="BA44" s="42"/>
      <c r="BB44" s="426"/>
      <c r="BF44" s="315"/>
      <c r="BG44" s="42"/>
    </row>
    <row r="45" spans="50:59" x14ac:dyDescent="0.2">
      <c r="AX45" s="315"/>
      <c r="AY45" s="326"/>
      <c r="AZ45" s="175"/>
      <c r="BA45" s="42"/>
      <c r="BB45" s="426"/>
      <c r="BF45" s="315"/>
      <c r="BG45" s="42"/>
    </row>
    <row r="46" spans="50:59" x14ac:dyDescent="0.2">
      <c r="AX46" s="315"/>
      <c r="AY46" s="326"/>
      <c r="AZ46" s="175"/>
      <c r="BA46" s="42"/>
      <c r="BB46" s="426"/>
      <c r="BF46" s="315"/>
      <c r="BG46" s="42"/>
    </row>
    <row r="47" spans="50:59" x14ac:dyDescent="0.2">
      <c r="AX47" s="315"/>
      <c r="AY47" s="326"/>
      <c r="AZ47" s="175"/>
      <c r="BA47" s="42"/>
      <c r="BB47" s="426"/>
      <c r="BF47" s="315"/>
      <c r="BG47" s="42"/>
    </row>
    <row r="48" spans="50:59" x14ac:dyDescent="0.2">
      <c r="AX48" s="315"/>
      <c r="AY48" s="326"/>
      <c r="AZ48" s="175"/>
      <c r="BA48" s="42"/>
      <c r="BB48" s="426"/>
      <c r="BF48" s="315"/>
      <c r="BG48" s="42"/>
    </row>
    <row r="49" spans="50:59" x14ac:dyDescent="0.2">
      <c r="AX49" s="315"/>
      <c r="AY49" s="326"/>
      <c r="AZ49" s="175"/>
      <c r="BA49" s="42"/>
      <c r="BB49" s="426"/>
      <c r="BF49" s="315"/>
      <c r="BG49" s="42"/>
    </row>
    <row r="50" spans="50:59" x14ac:dyDescent="0.2">
      <c r="AX50" s="315"/>
      <c r="AY50" s="326"/>
      <c r="AZ50" s="175"/>
      <c r="BA50" s="42"/>
      <c r="BB50" s="426"/>
      <c r="BF50" s="315"/>
      <c r="BG50" s="42"/>
    </row>
    <row r="51" spans="50:59" x14ac:dyDescent="0.2">
      <c r="AX51" s="315"/>
      <c r="AY51" s="326"/>
      <c r="AZ51" s="175"/>
      <c r="BA51" s="42"/>
      <c r="BB51" s="426"/>
      <c r="BF51" s="315"/>
      <c r="BG51" s="42"/>
    </row>
    <row r="52" spans="50:59" x14ac:dyDescent="0.2">
      <c r="AX52" s="315"/>
      <c r="AY52" s="326"/>
      <c r="AZ52" s="175"/>
      <c r="BA52" s="42"/>
      <c r="BB52" s="426"/>
      <c r="BF52" s="315"/>
      <c r="BG52" s="42"/>
    </row>
    <row r="53" spans="50:59" x14ac:dyDescent="0.2">
      <c r="AX53" s="315"/>
      <c r="AY53" s="326"/>
      <c r="AZ53" s="175"/>
      <c r="BA53" s="42"/>
      <c r="BB53" s="426"/>
      <c r="BF53" s="315"/>
      <c r="BG53" s="42"/>
    </row>
    <row r="54" spans="50:59" x14ac:dyDescent="0.2">
      <c r="AX54" s="315"/>
      <c r="AY54" s="326"/>
      <c r="AZ54" s="175"/>
      <c r="BA54" s="42"/>
      <c r="BB54" s="426"/>
      <c r="BF54" s="315"/>
      <c r="BG54" s="42"/>
    </row>
    <row r="55" spans="50:59" x14ac:dyDescent="0.2">
      <c r="AX55" s="315"/>
      <c r="AY55" s="326"/>
      <c r="AZ55" s="175"/>
      <c r="BA55" s="42"/>
      <c r="BB55" s="426"/>
      <c r="BF55" s="315"/>
      <c r="BG55" s="42"/>
    </row>
    <row r="56" spans="50:59" x14ac:dyDescent="0.2">
      <c r="AX56" s="315"/>
      <c r="AY56" s="326"/>
      <c r="AZ56" s="175"/>
      <c r="BA56" s="42"/>
      <c r="BB56" s="426"/>
      <c r="BF56" s="315"/>
      <c r="BG56" s="42"/>
    </row>
    <row r="57" spans="50:59" x14ac:dyDescent="0.2">
      <c r="AX57" s="315"/>
      <c r="AY57" s="326"/>
      <c r="AZ57" s="175"/>
      <c r="BA57" s="42"/>
      <c r="BB57" s="426"/>
      <c r="BF57" s="315"/>
      <c r="BG57" s="42"/>
    </row>
    <row r="58" spans="50:59" x14ac:dyDescent="0.2">
      <c r="AX58" s="315"/>
      <c r="AY58" s="326"/>
      <c r="AZ58" s="175"/>
      <c r="BA58" s="42"/>
      <c r="BB58" s="426"/>
      <c r="BF58" s="315"/>
      <c r="BG58" s="42"/>
    </row>
    <row r="59" spans="50:59" x14ac:dyDescent="0.2">
      <c r="AX59" s="315"/>
      <c r="AY59" s="326"/>
      <c r="AZ59" s="175"/>
      <c r="BA59" s="42"/>
      <c r="BB59" s="426"/>
      <c r="BF59" s="315"/>
      <c r="BG59" s="42"/>
    </row>
    <row r="60" spans="50:59" x14ac:dyDescent="0.2">
      <c r="AX60" s="315"/>
      <c r="AY60" s="326"/>
      <c r="AZ60" s="175"/>
      <c r="BA60" s="42"/>
      <c r="BB60" s="426"/>
      <c r="BF60" s="315"/>
      <c r="BG60" s="42"/>
    </row>
    <row r="61" spans="50:59" x14ac:dyDescent="0.2">
      <c r="AX61" s="315"/>
      <c r="AY61" s="326"/>
      <c r="AZ61" s="175"/>
      <c r="BA61" s="42"/>
      <c r="BB61" s="426"/>
      <c r="BF61" s="315"/>
      <c r="BG61" s="42"/>
    </row>
    <row r="62" spans="50:59" x14ac:dyDescent="0.2">
      <c r="AX62" s="315"/>
      <c r="AY62" s="326"/>
      <c r="AZ62" s="175"/>
      <c r="BA62" s="42"/>
      <c r="BB62" s="426"/>
      <c r="BF62" s="315"/>
      <c r="BG62" s="42"/>
    </row>
    <row r="63" spans="50:59" x14ac:dyDescent="0.2">
      <c r="AX63" s="315"/>
      <c r="AY63" s="326"/>
      <c r="AZ63" s="175"/>
      <c r="BA63" s="42"/>
      <c r="BB63" s="426"/>
      <c r="BF63" s="315"/>
      <c r="BG63" s="42"/>
    </row>
    <row r="64" spans="50:59" x14ac:dyDescent="0.2">
      <c r="AX64" s="315"/>
      <c r="AY64" s="326"/>
      <c r="AZ64" s="175"/>
      <c r="BA64" s="42"/>
      <c r="BB64" s="426"/>
      <c r="BF64" s="315"/>
      <c r="BG64" s="42"/>
    </row>
    <row r="65" spans="50:59" x14ac:dyDescent="0.2">
      <c r="AX65" s="315"/>
      <c r="AY65" s="326"/>
      <c r="AZ65" s="175"/>
      <c r="BA65" s="42"/>
      <c r="BB65" s="426"/>
      <c r="BF65" s="315"/>
      <c r="BG65" s="42"/>
    </row>
    <row r="66" spans="50:59" x14ac:dyDescent="0.2">
      <c r="AX66" s="315"/>
      <c r="AY66" s="326"/>
      <c r="AZ66" s="175"/>
      <c r="BA66" s="42"/>
      <c r="BB66" s="426"/>
      <c r="BF66" s="315"/>
      <c r="BG66" s="42"/>
    </row>
    <row r="67" spans="50:59" x14ac:dyDescent="0.2">
      <c r="AX67" s="315"/>
      <c r="AY67" s="326"/>
      <c r="AZ67" s="175"/>
      <c r="BA67" s="42"/>
      <c r="BB67" s="426"/>
      <c r="BF67" s="315"/>
      <c r="BG67" s="42"/>
    </row>
    <row r="68" spans="50:59" x14ac:dyDescent="0.2">
      <c r="AX68" s="315"/>
      <c r="AY68" s="326"/>
      <c r="AZ68" s="175"/>
      <c r="BA68" s="42"/>
      <c r="BB68" s="426"/>
      <c r="BF68" s="315"/>
      <c r="BG68" s="42"/>
    </row>
    <row r="69" spans="50:59" x14ac:dyDescent="0.2">
      <c r="AX69" s="315"/>
      <c r="AY69" s="326"/>
      <c r="AZ69" s="175"/>
      <c r="BA69" s="42"/>
      <c r="BB69" s="426"/>
      <c r="BF69" s="315"/>
      <c r="BG69" s="42"/>
    </row>
    <row r="70" spans="50:59" x14ac:dyDescent="0.2">
      <c r="AX70" s="315"/>
      <c r="AY70" s="326"/>
      <c r="AZ70" s="175"/>
      <c r="BA70" s="42"/>
      <c r="BB70" s="426"/>
      <c r="BF70" s="315"/>
      <c r="BG70" s="42"/>
    </row>
    <row r="71" spans="50:59" x14ac:dyDescent="0.2">
      <c r="AX71" s="315"/>
      <c r="AY71" s="326"/>
      <c r="AZ71" s="175"/>
      <c r="BA71" s="42"/>
      <c r="BB71" s="426"/>
      <c r="BF71" s="315"/>
      <c r="BG71" s="42"/>
    </row>
    <row r="72" spans="50:59" x14ac:dyDescent="0.2">
      <c r="AX72" s="315"/>
      <c r="AY72" s="326"/>
      <c r="AZ72" s="175"/>
      <c r="BA72" s="42"/>
      <c r="BB72" s="426"/>
      <c r="BF72" s="315"/>
      <c r="BG72" s="42"/>
    </row>
    <row r="73" spans="50:59" x14ac:dyDescent="0.2">
      <c r="AX73" s="315"/>
      <c r="AY73" s="326"/>
      <c r="AZ73" s="175"/>
      <c r="BA73" s="42"/>
      <c r="BB73" s="426"/>
      <c r="BF73" s="315"/>
      <c r="BG73" s="42"/>
    </row>
    <row r="74" spans="50:59" x14ac:dyDescent="0.2">
      <c r="AX74" s="315"/>
      <c r="AY74" s="326"/>
      <c r="AZ74" s="175"/>
      <c r="BA74" s="42"/>
      <c r="BB74" s="426"/>
      <c r="BF74" s="315"/>
      <c r="BG74" s="42"/>
    </row>
    <row r="75" spans="50:59" x14ac:dyDescent="0.2">
      <c r="AX75" s="315"/>
      <c r="AY75" s="326"/>
      <c r="AZ75" s="175"/>
      <c r="BA75" s="42"/>
      <c r="BB75" s="426"/>
      <c r="BF75" s="315"/>
      <c r="BG75" s="42"/>
    </row>
    <row r="76" spans="50:59" x14ac:dyDescent="0.2">
      <c r="AX76" s="315"/>
      <c r="AY76" s="326"/>
      <c r="AZ76" s="175"/>
      <c r="BA76" s="42"/>
      <c r="BB76" s="426"/>
      <c r="BF76" s="315"/>
      <c r="BG76" s="42"/>
    </row>
    <row r="77" spans="50:59" x14ac:dyDescent="0.2">
      <c r="AX77" s="315"/>
      <c r="AY77" s="326"/>
      <c r="AZ77" s="175"/>
      <c r="BA77" s="42"/>
      <c r="BB77" s="426"/>
      <c r="BF77" s="315"/>
      <c r="BG77" s="42"/>
    </row>
    <row r="78" spans="50:59" x14ac:dyDescent="0.2">
      <c r="AX78" s="315"/>
      <c r="AY78" s="326"/>
      <c r="AZ78" s="175"/>
      <c r="BA78" s="42"/>
      <c r="BB78" s="426"/>
      <c r="BF78" s="315"/>
      <c r="BG78" s="42"/>
    </row>
    <row r="79" spans="50:59" x14ac:dyDescent="0.2">
      <c r="AX79" s="315"/>
      <c r="AY79" s="326"/>
      <c r="AZ79" s="175"/>
      <c r="BA79" s="42"/>
      <c r="BB79" s="426"/>
      <c r="BF79" s="315"/>
      <c r="BG79" s="42"/>
    </row>
    <row r="80" spans="50:59" x14ac:dyDescent="0.2">
      <c r="AX80" s="315"/>
      <c r="AY80" s="326"/>
      <c r="AZ80" s="175"/>
      <c r="BA80" s="42"/>
      <c r="BB80" s="426"/>
      <c r="BF80" s="315"/>
      <c r="BG80" s="42"/>
    </row>
    <row r="81" spans="50:59" x14ac:dyDescent="0.2">
      <c r="AX81" s="315"/>
      <c r="AY81" s="326"/>
      <c r="AZ81" s="175"/>
      <c r="BA81" s="42"/>
      <c r="BB81" s="426"/>
      <c r="BF81" s="315"/>
      <c r="BG81" s="42"/>
    </row>
    <row r="82" spans="50:59" x14ac:dyDescent="0.2">
      <c r="AX82" s="315"/>
      <c r="AY82" s="326"/>
      <c r="AZ82" s="175"/>
      <c r="BA82" s="42"/>
      <c r="BB82" s="426"/>
      <c r="BF82" s="315"/>
      <c r="BG82" s="42"/>
    </row>
    <row r="83" spans="50:59" x14ac:dyDescent="0.2">
      <c r="AX83" s="315"/>
      <c r="AY83" s="326"/>
      <c r="AZ83" s="175"/>
      <c r="BA83" s="42"/>
      <c r="BB83" s="426"/>
      <c r="BF83" s="315"/>
      <c r="BG83" s="42"/>
    </row>
    <row r="84" spans="50:59" x14ac:dyDescent="0.2">
      <c r="AX84" s="315"/>
      <c r="AY84" s="326"/>
      <c r="AZ84" s="175"/>
      <c r="BA84" s="42"/>
      <c r="BB84" s="426"/>
      <c r="BF84" s="315"/>
      <c r="BG84" s="42"/>
    </row>
    <row r="85" spans="50:59" x14ac:dyDescent="0.2">
      <c r="AX85" s="315"/>
      <c r="AY85" s="326"/>
      <c r="AZ85" s="175"/>
      <c r="BA85" s="42"/>
      <c r="BB85" s="426"/>
      <c r="BF85" s="315"/>
      <c r="BG85" s="42"/>
    </row>
    <row r="86" spans="50:59" x14ac:dyDescent="0.2">
      <c r="AX86" s="315"/>
      <c r="AY86" s="326"/>
      <c r="AZ86" s="175"/>
      <c r="BA86" s="42"/>
      <c r="BB86" s="426"/>
      <c r="BF86" s="315"/>
      <c r="BG86" s="42"/>
    </row>
    <row r="87" spans="50:59" x14ac:dyDescent="0.2">
      <c r="AX87" s="315"/>
      <c r="AY87" s="326"/>
      <c r="AZ87" s="175"/>
      <c r="BA87" s="42"/>
      <c r="BB87" s="426"/>
      <c r="BF87" s="315"/>
      <c r="BG87" s="42"/>
    </row>
    <row r="88" spans="50:59" x14ac:dyDescent="0.2">
      <c r="AX88" s="315"/>
      <c r="AY88" s="326"/>
      <c r="AZ88" s="175"/>
      <c r="BA88" s="42"/>
      <c r="BB88" s="426"/>
      <c r="BF88" s="315"/>
      <c r="BG88" s="42"/>
    </row>
    <row r="89" spans="50:59" x14ac:dyDescent="0.2">
      <c r="AX89" s="315"/>
      <c r="AY89" s="326"/>
      <c r="AZ89" s="175"/>
      <c r="BA89" s="42"/>
      <c r="BB89" s="426"/>
      <c r="BF89" s="315"/>
      <c r="BG89" s="42"/>
    </row>
    <row r="90" spans="50:59" x14ac:dyDescent="0.2">
      <c r="AX90" s="315"/>
      <c r="AY90" s="326"/>
      <c r="AZ90" s="175"/>
      <c r="BA90" s="42"/>
      <c r="BB90" s="426"/>
      <c r="BF90" s="315"/>
      <c r="BG90" s="42"/>
    </row>
    <row r="91" spans="50:59" x14ac:dyDescent="0.2">
      <c r="AX91" s="315"/>
      <c r="AY91" s="326"/>
      <c r="AZ91" s="175"/>
      <c r="BA91" s="42"/>
      <c r="BB91" s="426"/>
      <c r="BF91" s="315"/>
      <c r="BG91" s="42"/>
    </row>
    <row r="92" spans="50:59" x14ac:dyDescent="0.2">
      <c r="AX92" s="315"/>
      <c r="AY92" s="326"/>
      <c r="AZ92" s="175"/>
      <c r="BA92" s="42"/>
      <c r="BB92" s="426"/>
      <c r="BF92" s="315"/>
      <c r="BG92" s="42"/>
    </row>
    <row r="93" spans="50:59" x14ac:dyDescent="0.2">
      <c r="AX93" s="315"/>
      <c r="AY93" s="326"/>
      <c r="AZ93" s="175"/>
      <c r="BA93" s="42"/>
      <c r="BB93" s="426"/>
      <c r="BF93" s="315"/>
      <c r="BG93" s="42"/>
    </row>
    <row r="94" spans="50:59" x14ac:dyDescent="0.2">
      <c r="AX94" s="315"/>
      <c r="AY94" s="326"/>
      <c r="AZ94" s="175"/>
      <c r="BA94" s="42"/>
      <c r="BB94" s="426"/>
      <c r="BF94" s="315"/>
      <c r="BG94" s="42"/>
    </row>
    <row r="95" spans="50:59" x14ac:dyDescent="0.2">
      <c r="AX95" s="315"/>
      <c r="AY95" s="326"/>
      <c r="AZ95" s="175"/>
      <c r="BA95" s="42"/>
      <c r="BB95" s="426"/>
      <c r="BF95" s="315"/>
      <c r="BG95" s="42"/>
    </row>
    <row r="96" spans="50:59" x14ac:dyDescent="0.2">
      <c r="AX96" s="315"/>
      <c r="AY96" s="326"/>
      <c r="AZ96" s="175"/>
      <c r="BA96" s="42"/>
      <c r="BB96" s="426"/>
      <c r="BF96" s="315"/>
      <c r="BG96" s="42"/>
    </row>
    <row r="97" spans="50:59" x14ac:dyDescent="0.2">
      <c r="AX97" s="315"/>
      <c r="AY97" s="326"/>
      <c r="AZ97" s="175"/>
      <c r="BA97" s="42"/>
      <c r="BB97" s="426"/>
      <c r="BF97" s="315"/>
      <c r="BG97" s="42"/>
    </row>
    <row r="98" spans="50:59" x14ac:dyDescent="0.2">
      <c r="AX98" s="315"/>
      <c r="AY98" s="326"/>
      <c r="AZ98" s="175"/>
      <c r="BA98" s="42"/>
      <c r="BB98" s="426"/>
      <c r="BF98" s="315"/>
      <c r="BG98" s="42"/>
    </row>
    <row r="99" spans="50:59" x14ac:dyDescent="0.2">
      <c r="AX99" s="315"/>
      <c r="AY99" s="326"/>
      <c r="AZ99" s="175"/>
      <c r="BA99" s="42"/>
      <c r="BB99" s="426"/>
      <c r="BF99" s="315"/>
      <c r="BG99" s="42"/>
    </row>
    <row r="100" spans="50:59" x14ac:dyDescent="0.2">
      <c r="AX100" s="315"/>
      <c r="AY100" s="326"/>
      <c r="AZ100" s="175"/>
      <c r="BA100" s="42"/>
      <c r="BB100" s="426"/>
      <c r="BF100" s="315"/>
      <c r="BG100" s="42"/>
    </row>
    <row r="101" spans="50:59" x14ac:dyDescent="0.2">
      <c r="AX101" s="315"/>
      <c r="AY101" s="326"/>
      <c r="AZ101" s="175"/>
      <c r="BA101" s="42"/>
      <c r="BB101" s="426"/>
      <c r="BF101" s="315"/>
      <c r="BG101" s="42"/>
    </row>
    <row r="102" spans="50:59" x14ac:dyDescent="0.2">
      <c r="AX102" s="315"/>
      <c r="AY102" s="326"/>
      <c r="AZ102" s="175"/>
      <c r="BA102" s="42"/>
      <c r="BB102" s="426"/>
      <c r="BF102" s="315"/>
      <c r="BG102" s="42"/>
    </row>
    <row r="103" spans="50:59" x14ac:dyDescent="0.2">
      <c r="AX103" s="315"/>
      <c r="AY103" s="326"/>
      <c r="AZ103" s="175"/>
      <c r="BA103" s="42"/>
      <c r="BB103" s="426"/>
      <c r="BF103" s="315"/>
      <c r="BG103" s="42"/>
    </row>
    <row r="104" spans="50:59" x14ac:dyDescent="0.2">
      <c r="AX104" s="315"/>
      <c r="AY104" s="326"/>
      <c r="AZ104" s="175"/>
      <c r="BA104" s="42"/>
      <c r="BB104" s="426"/>
      <c r="BF104" s="315"/>
      <c r="BG104" s="42"/>
    </row>
    <row r="105" spans="50:59" x14ac:dyDescent="0.2">
      <c r="AX105" s="315"/>
      <c r="AY105" s="326"/>
      <c r="AZ105" s="175"/>
      <c r="BA105" s="42"/>
      <c r="BB105" s="426"/>
      <c r="BF105" s="315"/>
      <c r="BG105" s="42"/>
    </row>
    <row r="106" spans="50:59" x14ac:dyDescent="0.2">
      <c r="AX106" s="315"/>
      <c r="AY106" s="326"/>
      <c r="AZ106" s="175"/>
      <c r="BA106" s="42"/>
      <c r="BB106" s="426"/>
      <c r="BF106" s="315"/>
      <c r="BG106" s="42"/>
    </row>
    <row r="107" spans="50:59" x14ac:dyDescent="0.2">
      <c r="AX107" s="315"/>
      <c r="AY107" s="326"/>
      <c r="AZ107" s="175"/>
      <c r="BA107" s="42"/>
      <c r="BB107" s="426"/>
      <c r="BF107" s="315"/>
      <c r="BG107" s="42"/>
    </row>
    <row r="108" spans="50:59" x14ac:dyDescent="0.2">
      <c r="AX108" s="315"/>
      <c r="AY108" s="326"/>
      <c r="AZ108" s="175"/>
      <c r="BA108" s="42"/>
      <c r="BB108" s="426"/>
      <c r="BF108" s="315"/>
      <c r="BG108" s="42"/>
    </row>
    <row r="109" spans="50:59" x14ac:dyDescent="0.2">
      <c r="AX109" s="315"/>
      <c r="AY109" s="326"/>
      <c r="AZ109" s="175"/>
      <c r="BA109" s="42"/>
      <c r="BB109" s="426"/>
      <c r="BF109" s="315"/>
      <c r="BG109" s="42"/>
    </row>
    <row r="110" spans="50:59" x14ac:dyDescent="0.2">
      <c r="AX110" s="315"/>
      <c r="AY110" s="326"/>
      <c r="AZ110" s="175"/>
      <c r="BA110" s="42"/>
      <c r="BB110" s="426"/>
      <c r="BF110" s="315"/>
      <c r="BG110" s="42"/>
    </row>
    <row r="111" spans="50:59" x14ac:dyDescent="0.2">
      <c r="AX111" s="315"/>
      <c r="AY111" s="326"/>
      <c r="AZ111" s="175"/>
      <c r="BA111" s="42"/>
      <c r="BB111" s="426"/>
      <c r="BF111" s="315"/>
      <c r="BG111" s="42"/>
    </row>
    <row r="112" spans="50:59" x14ac:dyDescent="0.2">
      <c r="AX112" s="315"/>
      <c r="AY112" s="326"/>
      <c r="AZ112" s="175"/>
      <c r="BA112" s="42"/>
      <c r="BB112" s="426"/>
      <c r="BF112" s="315"/>
      <c r="BG112" s="42"/>
    </row>
    <row r="113" spans="50:59" x14ac:dyDescent="0.2">
      <c r="AX113" s="315"/>
      <c r="AY113" s="326"/>
      <c r="AZ113" s="175"/>
      <c r="BA113" s="42"/>
      <c r="BB113" s="426"/>
      <c r="BF113" s="315"/>
      <c r="BG113" s="42"/>
    </row>
    <row r="114" spans="50:59" x14ac:dyDescent="0.2">
      <c r="AX114" s="315"/>
      <c r="AY114" s="326"/>
      <c r="AZ114" s="175"/>
      <c r="BA114" s="42"/>
      <c r="BB114" s="426"/>
      <c r="BF114" s="315"/>
      <c r="BG114" s="42"/>
    </row>
    <row r="115" spans="50:59" x14ac:dyDescent="0.2">
      <c r="AX115" s="315"/>
      <c r="AY115" s="326"/>
      <c r="AZ115" s="175"/>
      <c r="BA115" s="42"/>
      <c r="BB115" s="426"/>
      <c r="BF115" s="315"/>
      <c r="BG115" s="42"/>
    </row>
    <row r="116" spans="50:59" x14ac:dyDescent="0.2">
      <c r="AX116" s="315"/>
      <c r="AY116" s="326"/>
      <c r="AZ116" s="175"/>
      <c r="BA116" s="42"/>
      <c r="BB116" s="426"/>
      <c r="BF116" s="315"/>
      <c r="BG116" s="42"/>
    </row>
    <row r="117" spans="50:59" x14ac:dyDescent="0.2">
      <c r="AX117" s="315"/>
      <c r="AY117" s="326"/>
      <c r="AZ117" s="175"/>
      <c r="BA117" s="42"/>
      <c r="BB117" s="426"/>
      <c r="BF117" s="315"/>
      <c r="BG117" s="42"/>
    </row>
    <row r="118" spans="50:59" x14ac:dyDescent="0.2">
      <c r="AX118" s="315"/>
      <c r="AY118" s="326"/>
      <c r="AZ118" s="175"/>
      <c r="BA118" s="42"/>
      <c r="BB118" s="426"/>
      <c r="BF118" s="315"/>
      <c r="BG118" s="42"/>
    </row>
    <row r="119" spans="50:59" x14ac:dyDescent="0.2">
      <c r="AX119" s="315"/>
      <c r="AY119" s="326"/>
      <c r="AZ119" s="175"/>
      <c r="BA119" s="42"/>
      <c r="BB119" s="426"/>
      <c r="BF119" s="315"/>
      <c r="BG119" s="42"/>
    </row>
    <row r="120" spans="50:59" x14ac:dyDescent="0.2">
      <c r="AX120" s="315"/>
      <c r="AY120" s="326"/>
      <c r="AZ120" s="175"/>
      <c r="BA120" s="42"/>
      <c r="BB120" s="426"/>
      <c r="BF120" s="315"/>
      <c r="BG120" s="42"/>
    </row>
    <row r="121" spans="50:59" x14ac:dyDescent="0.2">
      <c r="AX121" s="315"/>
      <c r="AY121" s="326"/>
      <c r="AZ121" s="175"/>
      <c r="BA121" s="42"/>
      <c r="BB121" s="426"/>
      <c r="BF121" s="315"/>
      <c r="BG121" s="42"/>
    </row>
    <row r="122" spans="50:59" x14ac:dyDescent="0.2">
      <c r="AX122" s="315"/>
      <c r="AY122" s="326"/>
      <c r="AZ122" s="175"/>
      <c r="BA122" s="42"/>
      <c r="BB122" s="426"/>
      <c r="BF122" s="315"/>
      <c r="BG122" s="42"/>
    </row>
    <row r="123" spans="50:59" x14ac:dyDescent="0.2">
      <c r="AX123" s="315"/>
      <c r="AY123" s="326"/>
      <c r="AZ123" s="175"/>
      <c r="BA123" s="42"/>
      <c r="BB123" s="426"/>
      <c r="BF123" s="315"/>
      <c r="BG123" s="42"/>
    </row>
    <row r="124" spans="50:59" x14ac:dyDescent="0.2">
      <c r="AX124" s="315"/>
      <c r="AY124" s="326"/>
      <c r="AZ124" s="175"/>
      <c r="BA124" s="42"/>
      <c r="BB124" s="426"/>
      <c r="BF124" s="315"/>
      <c r="BG124" s="42"/>
    </row>
    <row r="125" spans="50:59" x14ac:dyDescent="0.2">
      <c r="AX125" s="315"/>
      <c r="AY125" s="326"/>
      <c r="AZ125" s="175"/>
      <c r="BA125" s="42"/>
      <c r="BB125" s="426"/>
      <c r="BF125" s="315"/>
      <c r="BG125" s="42"/>
    </row>
    <row r="126" spans="50:59" x14ac:dyDescent="0.2">
      <c r="AX126" s="315"/>
      <c r="AY126" s="326"/>
      <c r="AZ126" s="175"/>
      <c r="BA126" s="42"/>
      <c r="BB126" s="426"/>
      <c r="BF126" s="315"/>
      <c r="BG126" s="42"/>
    </row>
    <row r="127" spans="50:59" x14ac:dyDescent="0.2">
      <c r="AX127" s="315"/>
      <c r="AY127" s="326"/>
      <c r="AZ127" s="175"/>
      <c r="BA127" s="42"/>
      <c r="BB127" s="426"/>
      <c r="BF127" s="315"/>
      <c r="BG127" s="42"/>
    </row>
    <row r="128" spans="50:59" x14ac:dyDescent="0.2">
      <c r="AX128" s="315"/>
      <c r="AY128" s="326"/>
      <c r="AZ128" s="175"/>
      <c r="BA128" s="42"/>
      <c r="BB128" s="426"/>
      <c r="BF128" s="315"/>
      <c r="BG128" s="42"/>
    </row>
    <row r="129" spans="50:59" x14ac:dyDescent="0.2">
      <c r="AX129" s="315"/>
      <c r="AY129" s="326"/>
      <c r="AZ129" s="175"/>
      <c r="BA129" s="42"/>
      <c r="BB129" s="426"/>
      <c r="BF129" s="315"/>
      <c r="BG129" s="42"/>
    </row>
    <row r="130" spans="50:59" x14ac:dyDescent="0.2">
      <c r="AX130" s="315"/>
      <c r="AY130" s="326"/>
      <c r="AZ130" s="175"/>
      <c r="BA130" s="42"/>
      <c r="BB130" s="426"/>
      <c r="BF130" s="315"/>
      <c r="BG130" s="42"/>
    </row>
    <row r="131" spans="50:59" x14ac:dyDescent="0.2">
      <c r="AX131" s="315"/>
      <c r="AY131" s="326"/>
      <c r="AZ131" s="175"/>
      <c r="BA131" s="42"/>
      <c r="BB131" s="426"/>
      <c r="BF131" s="315"/>
      <c r="BG131" s="42"/>
    </row>
    <row r="132" spans="50:59" x14ac:dyDescent="0.2">
      <c r="AX132" s="315"/>
      <c r="AY132" s="326"/>
      <c r="AZ132" s="175"/>
      <c r="BA132" s="42"/>
      <c r="BB132" s="426"/>
      <c r="BF132" s="315"/>
      <c r="BG132" s="42"/>
    </row>
    <row r="133" spans="50:59" x14ac:dyDescent="0.2">
      <c r="AX133" s="315"/>
      <c r="AY133" s="326"/>
      <c r="AZ133" s="175"/>
      <c r="BA133" s="42"/>
      <c r="BB133" s="426"/>
      <c r="BF133" s="315"/>
      <c r="BG133" s="42"/>
    </row>
    <row r="134" spans="50:59" x14ac:dyDescent="0.2">
      <c r="AX134" s="315"/>
      <c r="AY134" s="326"/>
      <c r="AZ134" s="175"/>
      <c r="BA134" s="42"/>
      <c r="BB134" s="426"/>
      <c r="BF134" s="315"/>
      <c r="BG134" s="42"/>
    </row>
    <row r="135" spans="50:59" x14ac:dyDescent="0.2">
      <c r="AX135" s="315"/>
      <c r="AY135" s="326"/>
      <c r="AZ135" s="175"/>
      <c r="BA135" s="42"/>
      <c r="BB135" s="426"/>
      <c r="BF135" s="315"/>
      <c r="BG135" s="42"/>
    </row>
    <row r="136" spans="50:59" x14ac:dyDescent="0.2">
      <c r="AX136" s="315"/>
      <c r="AY136" s="326"/>
      <c r="AZ136" s="175"/>
      <c r="BA136" s="42"/>
      <c r="BB136" s="426"/>
      <c r="BF136" s="315"/>
      <c r="BG136" s="42"/>
    </row>
    <row r="137" spans="50:59" x14ac:dyDescent="0.2">
      <c r="AX137" s="315"/>
      <c r="AY137" s="326"/>
      <c r="AZ137" s="175"/>
      <c r="BA137" s="42"/>
      <c r="BB137" s="426"/>
      <c r="BF137" s="315"/>
      <c r="BG137" s="42"/>
    </row>
    <row r="138" spans="50:59" x14ac:dyDescent="0.2">
      <c r="AX138" s="315"/>
      <c r="AY138" s="326"/>
      <c r="AZ138" s="175"/>
      <c r="BA138" s="42"/>
      <c r="BB138" s="426"/>
      <c r="BF138" s="315"/>
      <c r="BG138" s="42"/>
    </row>
    <row r="139" spans="50:59" x14ac:dyDescent="0.2">
      <c r="AX139" s="315"/>
      <c r="AY139" s="326"/>
      <c r="AZ139" s="175"/>
      <c r="BA139" s="42"/>
      <c r="BB139" s="426"/>
      <c r="BF139" s="315"/>
      <c r="BG139" s="42"/>
    </row>
    <row r="140" spans="50:59" x14ac:dyDescent="0.2">
      <c r="AX140" s="315"/>
      <c r="AY140" s="326"/>
      <c r="AZ140" s="175"/>
      <c r="BA140" s="42"/>
      <c r="BB140" s="426"/>
      <c r="BF140" s="315"/>
      <c r="BG140" s="42"/>
    </row>
    <row r="141" spans="50:59" x14ac:dyDescent="0.2">
      <c r="AX141" s="315"/>
      <c r="AY141" s="326"/>
      <c r="AZ141" s="175"/>
      <c r="BA141" s="42"/>
      <c r="BB141" s="426"/>
      <c r="BF141" s="315"/>
      <c r="BG141" s="42"/>
    </row>
    <row r="142" spans="50:59" x14ac:dyDescent="0.2">
      <c r="AX142" s="315"/>
      <c r="AY142" s="326"/>
      <c r="AZ142" s="175"/>
      <c r="BA142" s="42"/>
      <c r="BB142" s="426"/>
      <c r="BF142" s="315"/>
      <c r="BG142" s="42"/>
    </row>
    <row r="143" spans="50:59" x14ac:dyDescent="0.2">
      <c r="AX143" s="315"/>
      <c r="AY143" s="326"/>
      <c r="AZ143" s="175"/>
      <c r="BA143" s="42"/>
      <c r="BB143" s="426"/>
      <c r="BF143" s="315"/>
      <c r="BG143" s="42"/>
    </row>
    <row r="144" spans="50:59" x14ac:dyDescent="0.2">
      <c r="AX144" s="315"/>
      <c r="AY144" s="326"/>
      <c r="AZ144" s="175"/>
      <c r="BA144" s="42"/>
      <c r="BB144" s="426"/>
      <c r="BF144" s="315"/>
      <c r="BG144" s="42"/>
    </row>
    <row r="145" spans="50:59" x14ac:dyDescent="0.2">
      <c r="AX145" s="315"/>
      <c r="AY145" s="326"/>
      <c r="AZ145" s="175"/>
      <c r="BA145" s="42"/>
      <c r="BB145" s="426"/>
      <c r="BF145" s="315"/>
      <c r="BG145" s="42"/>
    </row>
    <row r="146" spans="50:59" x14ac:dyDescent="0.2">
      <c r="AX146" s="315"/>
      <c r="AY146" s="326"/>
      <c r="AZ146" s="175"/>
      <c r="BA146" s="42"/>
      <c r="BB146" s="426"/>
      <c r="BF146" s="315"/>
      <c r="BG146" s="42"/>
    </row>
    <row r="147" spans="50:59" x14ac:dyDescent="0.2">
      <c r="AX147" s="315"/>
      <c r="AY147" s="326"/>
      <c r="AZ147" s="175"/>
      <c r="BA147" s="42"/>
      <c r="BB147" s="426"/>
      <c r="BF147" s="315"/>
      <c r="BG147" s="42"/>
    </row>
    <row r="148" spans="50:59" x14ac:dyDescent="0.2">
      <c r="AX148" s="315"/>
      <c r="AY148" s="326"/>
      <c r="AZ148" s="175"/>
      <c r="BA148" s="42"/>
      <c r="BB148" s="426"/>
      <c r="BF148" s="315"/>
      <c r="BG148" s="42"/>
    </row>
    <row r="149" spans="50:59" x14ac:dyDescent="0.2">
      <c r="AX149" s="315"/>
      <c r="AY149" s="326"/>
      <c r="AZ149" s="175"/>
      <c r="BA149" s="42"/>
      <c r="BB149" s="426"/>
      <c r="BF149" s="315"/>
      <c r="BG149" s="42"/>
    </row>
    <row r="150" spans="50:59" x14ac:dyDescent="0.2">
      <c r="AX150" s="315"/>
      <c r="AY150" s="326"/>
      <c r="AZ150" s="175"/>
      <c r="BA150" s="42"/>
      <c r="BB150" s="426"/>
      <c r="BF150" s="315"/>
      <c r="BG150" s="42"/>
    </row>
    <row r="151" spans="50:59" x14ac:dyDescent="0.2">
      <c r="AX151" s="315"/>
      <c r="AY151" s="326"/>
      <c r="AZ151" s="175"/>
      <c r="BA151" s="42"/>
      <c r="BB151" s="426"/>
      <c r="BF151" s="315"/>
      <c r="BG151" s="42"/>
    </row>
    <row r="152" spans="50:59" x14ac:dyDescent="0.2">
      <c r="AX152" s="315"/>
      <c r="AY152" s="326"/>
      <c r="AZ152" s="175"/>
      <c r="BA152" s="42"/>
      <c r="BB152" s="426"/>
      <c r="BF152" s="315"/>
      <c r="BG152" s="42"/>
    </row>
    <row r="153" spans="50:59" x14ac:dyDescent="0.2">
      <c r="AX153" s="315"/>
      <c r="AY153" s="326"/>
      <c r="AZ153" s="175"/>
      <c r="BA153" s="42"/>
      <c r="BB153" s="426"/>
      <c r="BF153" s="315"/>
      <c r="BG153" s="42"/>
    </row>
    <row r="154" spans="50:59" x14ac:dyDescent="0.2">
      <c r="AX154" s="315"/>
      <c r="AY154" s="326"/>
      <c r="AZ154" s="175"/>
      <c r="BA154" s="42"/>
      <c r="BB154" s="426"/>
      <c r="BF154" s="315"/>
      <c r="BG154" s="42"/>
    </row>
    <row r="155" spans="50:59" x14ac:dyDescent="0.2">
      <c r="AX155" s="315"/>
      <c r="AY155" s="326"/>
      <c r="AZ155" s="175"/>
      <c r="BA155" s="42"/>
      <c r="BB155" s="426"/>
      <c r="BF155" s="315"/>
      <c r="BG155" s="42"/>
    </row>
    <row r="156" spans="50:59" x14ac:dyDescent="0.2">
      <c r="AX156" s="315"/>
      <c r="AY156" s="326"/>
      <c r="AZ156" s="175"/>
      <c r="BA156" s="42"/>
      <c r="BB156" s="426"/>
      <c r="BF156" s="315"/>
      <c r="BG156" s="42"/>
    </row>
    <row r="157" spans="50:59" x14ac:dyDescent="0.2">
      <c r="AX157" s="315"/>
      <c r="AY157" s="326"/>
      <c r="AZ157" s="175"/>
      <c r="BA157" s="42"/>
      <c r="BB157" s="426"/>
      <c r="BF157" s="315"/>
      <c r="BG157" s="42"/>
    </row>
    <row r="158" spans="50:59" x14ac:dyDescent="0.2">
      <c r="AX158" s="315"/>
      <c r="AY158" s="326"/>
      <c r="AZ158" s="175"/>
      <c r="BA158" s="42"/>
      <c r="BB158" s="426"/>
      <c r="BF158" s="315"/>
      <c r="BG158" s="42"/>
    </row>
    <row r="159" spans="50:59" x14ac:dyDescent="0.2">
      <c r="AX159" s="315"/>
      <c r="AY159" s="326"/>
      <c r="AZ159" s="175"/>
      <c r="BA159" s="42"/>
      <c r="BB159" s="426"/>
      <c r="BF159" s="315"/>
      <c r="BG159" s="42"/>
    </row>
    <row r="160" spans="50:59" x14ac:dyDescent="0.2">
      <c r="AX160" s="315"/>
      <c r="AY160" s="326"/>
      <c r="AZ160" s="175"/>
      <c r="BA160" s="42"/>
      <c r="BB160" s="426"/>
      <c r="BF160" s="315"/>
      <c r="BG160" s="42"/>
    </row>
    <row r="161" spans="50:59" x14ac:dyDescent="0.2">
      <c r="AX161" s="315"/>
      <c r="AY161" s="326"/>
      <c r="AZ161" s="175"/>
      <c r="BA161" s="42"/>
      <c r="BB161" s="426"/>
      <c r="BF161" s="315"/>
      <c r="BG161" s="42"/>
    </row>
    <row r="162" spans="50:59" x14ac:dyDescent="0.2">
      <c r="AX162" s="315"/>
      <c r="AY162" s="326"/>
      <c r="AZ162" s="175"/>
      <c r="BA162" s="42"/>
      <c r="BB162" s="426"/>
      <c r="BF162" s="315"/>
      <c r="BG162" s="42"/>
    </row>
    <row r="163" spans="50:59" x14ac:dyDescent="0.2">
      <c r="AX163" s="315"/>
      <c r="AY163" s="326"/>
      <c r="AZ163" s="175"/>
      <c r="BA163" s="42"/>
      <c r="BB163" s="426"/>
      <c r="BF163" s="315"/>
      <c r="BG163" s="42"/>
    </row>
    <row r="164" spans="50:59" x14ac:dyDescent="0.2">
      <c r="AX164" s="315"/>
      <c r="AY164" s="326"/>
      <c r="AZ164" s="175"/>
      <c r="BA164" s="42"/>
      <c r="BB164" s="426"/>
      <c r="BF164" s="315"/>
      <c r="BG164" s="42"/>
    </row>
    <row r="165" spans="50:59" x14ac:dyDescent="0.2">
      <c r="AX165" s="315"/>
      <c r="AY165" s="326"/>
      <c r="AZ165" s="175"/>
      <c r="BA165" s="42"/>
      <c r="BB165" s="426"/>
      <c r="BF165" s="315"/>
      <c r="BG165" s="42"/>
    </row>
    <row r="166" spans="50:59" x14ac:dyDescent="0.2">
      <c r="AX166" s="315"/>
      <c r="AY166" s="326"/>
      <c r="AZ166" s="175"/>
      <c r="BA166" s="42"/>
      <c r="BB166" s="426"/>
      <c r="BF166" s="315"/>
      <c r="BG166" s="42"/>
    </row>
    <row r="167" spans="50:59" x14ac:dyDescent="0.2">
      <c r="AX167" s="315"/>
      <c r="AY167" s="326"/>
      <c r="AZ167" s="175"/>
      <c r="BA167" s="42"/>
      <c r="BB167" s="426"/>
      <c r="BF167" s="315"/>
      <c r="BG167" s="42"/>
    </row>
    <row r="168" spans="50:59" x14ac:dyDescent="0.2">
      <c r="AX168" s="315"/>
      <c r="AY168" s="326"/>
      <c r="AZ168" s="175"/>
      <c r="BA168" s="42"/>
      <c r="BB168" s="426"/>
      <c r="BF168" s="315"/>
      <c r="BG168" s="42"/>
    </row>
    <row r="169" spans="50:59" x14ac:dyDescent="0.2">
      <c r="AX169" s="315"/>
      <c r="AY169" s="326"/>
      <c r="AZ169" s="175"/>
      <c r="BA169" s="42"/>
      <c r="BB169" s="426"/>
      <c r="BF169" s="315"/>
      <c r="BG169" s="42"/>
    </row>
    <row r="170" spans="50:59" x14ac:dyDescent="0.2">
      <c r="AX170" s="315"/>
      <c r="AY170" s="326"/>
      <c r="AZ170" s="175"/>
      <c r="BA170" s="42"/>
      <c r="BB170" s="426"/>
      <c r="BF170" s="315"/>
      <c r="BG170" s="42"/>
    </row>
    <row r="171" spans="50:59" x14ac:dyDescent="0.2">
      <c r="AX171" s="315"/>
      <c r="AY171" s="326"/>
      <c r="AZ171" s="175"/>
      <c r="BA171" s="42"/>
      <c r="BB171" s="426"/>
      <c r="BF171" s="315"/>
      <c r="BG171" s="42"/>
    </row>
    <row r="172" spans="50:59" x14ac:dyDescent="0.2">
      <c r="AX172" s="315"/>
      <c r="AY172" s="326"/>
      <c r="AZ172" s="175"/>
      <c r="BA172" s="42"/>
      <c r="BB172" s="426"/>
      <c r="BF172" s="315"/>
      <c r="BG172" s="42"/>
    </row>
    <row r="173" spans="50:59" x14ac:dyDescent="0.2">
      <c r="AX173" s="315"/>
      <c r="AY173" s="326"/>
      <c r="AZ173" s="175"/>
      <c r="BA173" s="42"/>
      <c r="BB173" s="426"/>
      <c r="BF173" s="315"/>
      <c r="BG173" s="42"/>
    </row>
    <row r="174" spans="50:59" x14ac:dyDescent="0.2">
      <c r="AX174" s="315"/>
      <c r="AY174" s="326"/>
      <c r="AZ174" s="175"/>
      <c r="BA174" s="42"/>
      <c r="BB174" s="426"/>
      <c r="BF174" s="315"/>
      <c r="BG174" s="42"/>
    </row>
    <row r="175" spans="50:59" x14ac:dyDescent="0.2">
      <c r="AX175" s="315"/>
      <c r="AY175" s="326"/>
      <c r="AZ175" s="175"/>
      <c r="BA175" s="42"/>
      <c r="BB175" s="426"/>
      <c r="BF175" s="315"/>
      <c r="BG175" s="42"/>
    </row>
    <row r="176" spans="50:59" x14ac:dyDescent="0.2">
      <c r="AX176" s="315"/>
      <c r="AY176" s="326"/>
      <c r="AZ176" s="175"/>
      <c r="BA176" s="42"/>
      <c r="BB176" s="426"/>
      <c r="BF176" s="315"/>
      <c r="BG176" s="42"/>
    </row>
    <row r="177" spans="50:59" x14ac:dyDescent="0.2">
      <c r="AX177" s="315"/>
      <c r="AY177" s="326"/>
      <c r="AZ177" s="175"/>
      <c r="BA177" s="42"/>
      <c r="BB177" s="426"/>
      <c r="BF177" s="315"/>
      <c r="BG177" s="42"/>
    </row>
    <row r="178" spans="50:59" x14ac:dyDescent="0.2">
      <c r="AX178" s="315"/>
      <c r="AY178" s="326"/>
      <c r="AZ178" s="175"/>
      <c r="BA178" s="42"/>
      <c r="BB178" s="426"/>
      <c r="BF178" s="315"/>
      <c r="BG178" s="42"/>
    </row>
    <row r="179" spans="50:59" x14ac:dyDescent="0.2">
      <c r="AX179" s="315"/>
      <c r="AY179" s="326"/>
      <c r="AZ179" s="175"/>
      <c r="BA179" s="42"/>
      <c r="BB179" s="426"/>
      <c r="BF179" s="315"/>
      <c r="BG179" s="42"/>
    </row>
    <row r="180" spans="50:59" x14ac:dyDescent="0.2">
      <c r="AX180" s="315"/>
      <c r="AY180" s="326"/>
      <c r="AZ180" s="175"/>
      <c r="BA180" s="42"/>
      <c r="BB180" s="426"/>
      <c r="BF180" s="315"/>
      <c r="BG180" s="42"/>
    </row>
    <row r="181" spans="50:59" x14ac:dyDescent="0.2">
      <c r="AX181" s="315"/>
      <c r="AY181" s="326"/>
      <c r="AZ181" s="175"/>
      <c r="BA181" s="42"/>
      <c r="BB181" s="426"/>
      <c r="BF181" s="315"/>
      <c r="BG181" s="42"/>
    </row>
    <row r="182" spans="50:59" x14ac:dyDescent="0.2">
      <c r="AX182" s="315"/>
      <c r="AY182" s="326"/>
      <c r="AZ182" s="175"/>
      <c r="BA182" s="42"/>
      <c r="BB182" s="426"/>
      <c r="BF182" s="315"/>
      <c r="BG182" s="42"/>
    </row>
    <row r="183" spans="50:59" x14ac:dyDescent="0.2">
      <c r="AX183" s="315"/>
      <c r="AY183" s="326"/>
      <c r="AZ183" s="175"/>
      <c r="BA183" s="42"/>
      <c r="BB183" s="426"/>
      <c r="BF183" s="315"/>
      <c r="BG183" s="42"/>
    </row>
    <row r="184" spans="50:59" x14ac:dyDescent="0.2">
      <c r="AX184" s="315"/>
      <c r="AY184" s="326"/>
      <c r="AZ184" s="175"/>
      <c r="BA184" s="42"/>
      <c r="BB184" s="426"/>
      <c r="BF184" s="315"/>
      <c r="BG184" s="42"/>
    </row>
    <row r="185" spans="50:59" x14ac:dyDescent="0.2">
      <c r="AX185" s="315"/>
      <c r="AY185" s="326"/>
      <c r="AZ185" s="175"/>
      <c r="BA185" s="42"/>
      <c r="BB185" s="426"/>
      <c r="BF185" s="315"/>
      <c r="BG185" s="42"/>
    </row>
    <row r="186" spans="50:59" x14ac:dyDescent="0.2">
      <c r="AX186" s="315"/>
      <c r="AY186" s="326"/>
      <c r="AZ186" s="175"/>
      <c r="BA186" s="42"/>
      <c r="BB186" s="426"/>
      <c r="BF186" s="315"/>
      <c r="BG186" s="42"/>
    </row>
    <row r="187" spans="50:59" x14ac:dyDescent="0.2">
      <c r="AX187" s="315"/>
      <c r="AY187" s="326"/>
      <c r="AZ187" s="175"/>
      <c r="BA187" s="42"/>
      <c r="BB187" s="426"/>
      <c r="BF187" s="315"/>
      <c r="BG187" s="42"/>
    </row>
    <row r="188" spans="50:59" x14ac:dyDescent="0.2">
      <c r="AX188" s="315"/>
      <c r="AY188" s="326"/>
      <c r="AZ188" s="175"/>
      <c r="BA188" s="42"/>
      <c r="BB188" s="426"/>
      <c r="BF188" s="315"/>
      <c r="BG188" s="42"/>
    </row>
    <row r="189" spans="50:59" x14ac:dyDescent="0.2">
      <c r="AX189" s="315"/>
      <c r="AY189" s="326"/>
      <c r="AZ189" s="175"/>
      <c r="BA189" s="42"/>
      <c r="BB189" s="426"/>
      <c r="BF189" s="315"/>
      <c r="BG189" s="42"/>
    </row>
    <row r="190" spans="50:59" x14ac:dyDescent="0.2">
      <c r="AX190" s="315"/>
      <c r="AY190" s="326"/>
      <c r="AZ190" s="175"/>
      <c r="BA190" s="42"/>
      <c r="BB190" s="426"/>
      <c r="BF190" s="315"/>
      <c r="BG190" s="42"/>
    </row>
    <row r="191" spans="50:59" x14ac:dyDescent="0.2">
      <c r="AX191" s="315"/>
      <c r="AY191" s="326"/>
      <c r="AZ191" s="175"/>
      <c r="BA191" s="42"/>
      <c r="BB191" s="426"/>
      <c r="BF191" s="315"/>
      <c r="BG191" s="42"/>
    </row>
    <row r="192" spans="50:59" x14ac:dyDescent="0.2">
      <c r="AX192" s="315"/>
      <c r="AY192" s="326"/>
      <c r="AZ192" s="175"/>
      <c r="BA192" s="42"/>
      <c r="BB192" s="426"/>
      <c r="BF192" s="315"/>
      <c r="BG192" s="42"/>
    </row>
    <row r="193" spans="50:59" x14ac:dyDescent="0.2">
      <c r="AX193" s="315"/>
      <c r="AY193" s="326"/>
      <c r="AZ193" s="175"/>
      <c r="BA193" s="42"/>
      <c r="BB193" s="426"/>
      <c r="BF193" s="315"/>
      <c r="BG193" s="42"/>
    </row>
    <row r="194" spans="50:59" x14ac:dyDescent="0.2">
      <c r="AX194" s="315"/>
      <c r="AY194" s="326"/>
      <c r="AZ194" s="175"/>
      <c r="BA194" s="42"/>
      <c r="BB194" s="426"/>
      <c r="BF194" s="315"/>
      <c r="BG194" s="42"/>
    </row>
    <row r="195" spans="50:59" x14ac:dyDescent="0.2">
      <c r="AX195" s="315"/>
      <c r="AY195" s="326"/>
      <c r="AZ195" s="175"/>
      <c r="BA195" s="42"/>
      <c r="BB195" s="426"/>
      <c r="BF195" s="315"/>
      <c r="BG195" s="42"/>
    </row>
    <row r="196" spans="50:59" x14ac:dyDescent="0.2">
      <c r="AX196" s="315"/>
      <c r="AY196" s="326"/>
      <c r="AZ196" s="175"/>
      <c r="BA196" s="42"/>
      <c r="BB196" s="426"/>
      <c r="BF196" s="315"/>
      <c r="BG196" s="42"/>
    </row>
    <row r="197" spans="50:59" x14ac:dyDescent="0.2">
      <c r="AX197" s="315"/>
      <c r="AY197" s="326"/>
      <c r="AZ197" s="175"/>
      <c r="BA197" s="42"/>
      <c r="BB197" s="426"/>
      <c r="BF197" s="315"/>
      <c r="BG197" s="42"/>
    </row>
    <row r="198" spans="50:59" x14ac:dyDescent="0.2">
      <c r="AX198" s="315"/>
      <c r="AY198" s="326"/>
      <c r="AZ198" s="175"/>
      <c r="BA198" s="42"/>
      <c r="BB198" s="426"/>
      <c r="BF198" s="315"/>
      <c r="BG198" s="42"/>
    </row>
    <row r="199" spans="50:59" x14ac:dyDescent="0.2">
      <c r="AX199" s="315"/>
      <c r="AY199" s="326"/>
      <c r="AZ199" s="175"/>
      <c r="BA199" s="42"/>
      <c r="BB199" s="426"/>
      <c r="BF199" s="315"/>
      <c r="BG199" s="42"/>
    </row>
    <row r="200" spans="50:59" x14ac:dyDescent="0.2">
      <c r="AX200" s="315"/>
      <c r="AY200" s="326"/>
      <c r="AZ200" s="175"/>
      <c r="BA200" s="42"/>
      <c r="BB200" s="426"/>
      <c r="BF200" s="315"/>
      <c r="BG200" s="42"/>
    </row>
    <row r="201" spans="50:59" x14ac:dyDescent="0.2">
      <c r="AX201" s="315"/>
      <c r="AY201" s="326"/>
      <c r="AZ201" s="175"/>
      <c r="BA201" s="42"/>
      <c r="BB201" s="426"/>
      <c r="BF201" s="315"/>
      <c r="BG201" s="42"/>
    </row>
    <row r="202" spans="50:59" x14ac:dyDescent="0.2">
      <c r="AX202" s="315"/>
      <c r="AY202" s="326"/>
      <c r="AZ202" s="175"/>
      <c r="BA202" s="42"/>
      <c r="BB202" s="426"/>
      <c r="BF202" s="315"/>
      <c r="BG202" s="42"/>
    </row>
    <row r="203" spans="50:59" x14ac:dyDescent="0.2">
      <c r="AX203" s="315"/>
      <c r="AY203" s="326"/>
      <c r="AZ203" s="175"/>
      <c r="BA203" s="42"/>
      <c r="BB203" s="426"/>
      <c r="BF203" s="315"/>
      <c r="BG203" s="42"/>
    </row>
    <row r="204" spans="50:59" x14ac:dyDescent="0.2">
      <c r="AX204" s="315"/>
      <c r="AY204" s="326"/>
      <c r="AZ204" s="175"/>
      <c r="BA204" s="42"/>
      <c r="BB204" s="426"/>
      <c r="BF204" s="315"/>
      <c r="BG204" s="42"/>
    </row>
    <row r="205" spans="50:59" x14ac:dyDescent="0.2">
      <c r="AX205" s="315"/>
      <c r="AY205" s="326"/>
      <c r="AZ205" s="175"/>
      <c r="BA205" s="42"/>
      <c r="BB205" s="426"/>
      <c r="BF205" s="315"/>
      <c r="BG205" s="42"/>
    </row>
    <row r="206" spans="50:59" x14ac:dyDescent="0.2">
      <c r="AX206" s="315"/>
      <c r="AY206" s="326"/>
      <c r="AZ206" s="175"/>
      <c r="BA206" s="42"/>
      <c r="BB206" s="426"/>
      <c r="BF206" s="315"/>
      <c r="BG206" s="42"/>
    </row>
    <row r="207" spans="50:59" x14ac:dyDescent="0.2">
      <c r="AX207" s="315"/>
      <c r="AY207" s="326"/>
      <c r="AZ207" s="175"/>
      <c r="BA207" s="42"/>
      <c r="BB207" s="426"/>
      <c r="BF207" s="315"/>
      <c r="BG207" s="42"/>
    </row>
    <row r="208" spans="50:59" x14ac:dyDescent="0.2">
      <c r="AX208" s="315"/>
      <c r="AY208" s="326"/>
      <c r="AZ208" s="175"/>
      <c r="BA208" s="42"/>
      <c r="BB208" s="426"/>
      <c r="BF208" s="315"/>
      <c r="BG208" s="42"/>
    </row>
    <row r="209" spans="50:59" x14ac:dyDescent="0.2">
      <c r="AX209" s="315"/>
      <c r="AY209" s="326"/>
      <c r="AZ209" s="175"/>
      <c r="BA209" s="42"/>
      <c r="BB209" s="426"/>
      <c r="BF209" s="315"/>
      <c r="BG209" s="42"/>
    </row>
    <row r="210" spans="50:59" x14ac:dyDescent="0.2">
      <c r="AX210" s="315"/>
      <c r="AY210" s="326"/>
      <c r="AZ210" s="175"/>
      <c r="BA210" s="42"/>
      <c r="BB210" s="426"/>
      <c r="BF210" s="315"/>
      <c r="BG210" s="42"/>
    </row>
    <row r="211" spans="50:59" x14ac:dyDescent="0.2">
      <c r="AX211" s="315"/>
      <c r="AY211" s="326"/>
      <c r="AZ211" s="175"/>
      <c r="BA211" s="42"/>
      <c r="BB211" s="426"/>
      <c r="BF211" s="315"/>
      <c r="BG211" s="42"/>
    </row>
    <row r="212" spans="50:59" x14ac:dyDescent="0.2">
      <c r="AX212" s="315"/>
      <c r="AY212" s="326"/>
      <c r="AZ212" s="175"/>
      <c r="BA212" s="42"/>
      <c r="BB212" s="426"/>
      <c r="BF212" s="315"/>
      <c r="BG212" s="42"/>
    </row>
    <row r="213" spans="50:59" x14ac:dyDescent="0.2">
      <c r="AX213" s="315"/>
      <c r="AY213" s="326"/>
      <c r="AZ213" s="175"/>
      <c r="BA213" s="42"/>
      <c r="BB213" s="426"/>
      <c r="BF213" s="315"/>
      <c r="BG213" s="42"/>
    </row>
    <row r="214" spans="50:59" x14ac:dyDescent="0.2">
      <c r="AX214" s="315"/>
      <c r="AY214" s="326"/>
      <c r="AZ214" s="175"/>
      <c r="BA214" s="42"/>
      <c r="BB214" s="426"/>
      <c r="BF214" s="315"/>
      <c r="BG214" s="42"/>
    </row>
    <row r="215" spans="50:59" x14ac:dyDescent="0.2">
      <c r="AX215" s="315"/>
      <c r="AY215" s="326"/>
      <c r="AZ215" s="175"/>
      <c r="BA215" s="42"/>
      <c r="BB215" s="426"/>
      <c r="BF215" s="315"/>
      <c r="BG215" s="42"/>
    </row>
    <row r="216" spans="50:59" x14ac:dyDescent="0.2">
      <c r="AX216" s="315"/>
      <c r="AY216" s="326"/>
      <c r="AZ216" s="175"/>
      <c r="BA216" s="42"/>
      <c r="BB216" s="426"/>
      <c r="BF216" s="315"/>
      <c r="BG216" s="42"/>
    </row>
    <row r="217" spans="50:59" x14ac:dyDescent="0.2">
      <c r="AX217" s="315"/>
      <c r="AY217" s="326"/>
      <c r="AZ217" s="175"/>
      <c r="BA217" s="42"/>
      <c r="BB217" s="426"/>
      <c r="BF217" s="315"/>
      <c r="BG217" s="42"/>
    </row>
    <row r="218" spans="50:59" x14ac:dyDescent="0.2">
      <c r="AX218" s="315"/>
      <c r="AY218" s="326"/>
      <c r="AZ218" s="175"/>
      <c r="BA218" s="42"/>
      <c r="BB218" s="426"/>
      <c r="BF218" s="315"/>
      <c r="BG218" s="42"/>
    </row>
    <row r="219" spans="50:59" x14ac:dyDescent="0.2">
      <c r="AX219" s="315"/>
      <c r="AY219" s="326"/>
      <c r="AZ219" s="175"/>
      <c r="BA219" s="42"/>
      <c r="BB219" s="426"/>
      <c r="BF219" s="315"/>
      <c r="BG219" s="42"/>
    </row>
    <row r="220" spans="50:59" x14ac:dyDescent="0.2">
      <c r="AX220" s="315"/>
      <c r="AY220" s="326"/>
      <c r="AZ220" s="175"/>
      <c r="BA220" s="42"/>
      <c r="BB220" s="426"/>
      <c r="BF220" s="315"/>
      <c r="BG220" s="42"/>
    </row>
    <row r="221" spans="50:59" x14ac:dyDescent="0.2">
      <c r="AX221" s="315"/>
      <c r="AY221" s="326"/>
      <c r="AZ221" s="175"/>
      <c r="BA221" s="42"/>
      <c r="BB221" s="426"/>
      <c r="BF221" s="315"/>
      <c r="BG221" s="42"/>
    </row>
    <row r="222" spans="50:59" x14ac:dyDescent="0.2">
      <c r="AX222" s="315"/>
      <c r="AY222" s="326"/>
      <c r="AZ222" s="175"/>
      <c r="BA222" s="42"/>
      <c r="BB222" s="426"/>
      <c r="BF222" s="315"/>
      <c r="BG222" s="42"/>
    </row>
    <row r="223" spans="50:59" x14ac:dyDescent="0.2">
      <c r="AX223" s="315"/>
      <c r="AY223" s="326"/>
      <c r="AZ223" s="175"/>
      <c r="BA223" s="42"/>
      <c r="BB223" s="426"/>
      <c r="BF223" s="315"/>
      <c r="BG223" s="42"/>
    </row>
    <row r="224" spans="50:59" x14ac:dyDescent="0.2">
      <c r="AX224" s="315"/>
      <c r="AY224" s="326"/>
      <c r="AZ224" s="175"/>
      <c r="BA224" s="42"/>
      <c r="BB224" s="426"/>
      <c r="BF224" s="315"/>
      <c r="BG224" s="42"/>
    </row>
    <row r="225" spans="50:59" x14ac:dyDescent="0.2">
      <c r="AX225" s="315"/>
      <c r="AY225" s="326"/>
      <c r="AZ225" s="175"/>
      <c r="BA225" s="42"/>
      <c r="BB225" s="426"/>
      <c r="BF225" s="315"/>
      <c r="BG225" s="42"/>
    </row>
    <row r="226" spans="50:59" x14ac:dyDescent="0.2">
      <c r="AX226" s="315"/>
      <c r="AY226" s="326"/>
      <c r="AZ226" s="175"/>
      <c r="BA226" s="42"/>
      <c r="BB226" s="426"/>
      <c r="BF226" s="315"/>
      <c r="BG226" s="42"/>
    </row>
    <row r="227" spans="50:59" x14ac:dyDescent="0.2">
      <c r="AX227" s="315"/>
      <c r="AY227" s="326"/>
      <c r="AZ227" s="175"/>
      <c r="BA227" s="42"/>
      <c r="BB227" s="426"/>
      <c r="BF227" s="315"/>
      <c r="BG227" s="42"/>
    </row>
    <row r="228" spans="50:59" x14ac:dyDescent="0.2">
      <c r="AX228" s="315"/>
      <c r="AY228" s="326"/>
      <c r="AZ228" s="175"/>
      <c r="BA228" s="42"/>
      <c r="BB228" s="426"/>
      <c r="BF228" s="315"/>
      <c r="BG228" s="42"/>
    </row>
    <row r="229" spans="50:59" x14ac:dyDescent="0.2">
      <c r="AX229" s="315"/>
      <c r="AY229" s="326"/>
      <c r="AZ229" s="175"/>
      <c r="BA229" s="42"/>
      <c r="BB229" s="426"/>
      <c r="BF229" s="315"/>
      <c r="BG229" s="42"/>
    </row>
    <row r="230" spans="50:59" x14ac:dyDescent="0.2">
      <c r="AX230" s="315"/>
      <c r="AY230" s="326"/>
      <c r="AZ230" s="175"/>
      <c r="BA230" s="42"/>
      <c r="BB230" s="426"/>
      <c r="BF230" s="315"/>
      <c r="BG230" s="42"/>
    </row>
    <row r="231" spans="50:59" x14ac:dyDescent="0.2">
      <c r="AX231" s="315"/>
      <c r="AY231" s="326"/>
      <c r="AZ231" s="175"/>
      <c r="BA231" s="42"/>
      <c r="BB231" s="426"/>
      <c r="BF231" s="315"/>
      <c r="BG231" s="42"/>
    </row>
    <row r="232" spans="50:59" x14ac:dyDescent="0.2">
      <c r="AX232" s="315"/>
      <c r="AY232" s="326"/>
      <c r="AZ232" s="175"/>
      <c r="BA232" s="42"/>
      <c r="BB232" s="426"/>
      <c r="BF232" s="315"/>
      <c r="BG232" s="42"/>
    </row>
    <row r="233" spans="50:59" x14ac:dyDescent="0.2">
      <c r="AX233" s="315"/>
      <c r="AY233" s="326"/>
      <c r="AZ233" s="175"/>
      <c r="BA233" s="42"/>
      <c r="BB233" s="426"/>
      <c r="BF233" s="315"/>
      <c r="BG233" s="42"/>
    </row>
    <row r="234" spans="50:59" x14ac:dyDescent="0.2">
      <c r="AX234" s="315"/>
      <c r="AY234" s="326"/>
      <c r="AZ234" s="175"/>
      <c r="BA234" s="42"/>
      <c r="BB234" s="426"/>
      <c r="BF234" s="315"/>
      <c r="BG234" s="42"/>
    </row>
    <row r="235" spans="50:59" x14ac:dyDescent="0.2">
      <c r="AX235" s="315"/>
      <c r="AY235" s="326"/>
      <c r="AZ235" s="175"/>
      <c r="BA235" s="42"/>
      <c r="BB235" s="426"/>
      <c r="BF235" s="315"/>
      <c r="BG235" s="42"/>
    </row>
    <row r="236" spans="50:59" x14ac:dyDescent="0.2">
      <c r="AX236" s="315"/>
      <c r="AY236" s="326"/>
      <c r="AZ236" s="175"/>
      <c r="BA236" s="42"/>
      <c r="BB236" s="426"/>
      <c r="BF236" s="315"/>
      <c r="BG236" s="42"/>
    </row>
    <row r="237" spans="50:59" x14ac:dyDescent="0.2">
      <c r="AX237" s="315"/>
      <c r="AY237" s="326"/>
      <c r="AZ237" s="175"/>
      <c r="BA237" s="42"/>
      <c r="BB237" s="426"/>
      <c r="BF237" s="315"/>
      <c r="BG237" s="42"/>
    </row>
    <row r="238" spans="50:59" x14ac:dyDescent="0.2">
      <c r="AX238" s="315"/>
      <c r="AY238" s="326"/>
      <c r="AZ238" s="175"/>
      <c r="BA238" s="42"/>
      <c r="BB238" s="426"/>
      <c r="BF238" s="315"/>
      <c r="BG238" s="42"/>
    </row>
    <row r="239" spans="50:59" x14ac:dyDescent="0.2">
      <c r="AX239" s="315"/>
      <c r="AY239" s="326"/>
      <c r="AZ239" s="175"/>
      <c r="BA239" s="42"/>
      <c r="BB239" s="426"/>
      <c r="BF239" s="315"/>
      <c r="BG239" s="42"/>
    </row>
    <row r="240" spans="50:59" x14ac:dyDescent="0.2">
      <c r="AX240" s="315"/>
      <c r="AY240" s="326"/>
      <c r="AZ240" s="175"/>
      <c r="BA240" s="42"/>
      <c r="BB240" s="426"/>
      <c r="BF240" s="315"/>
      <c r="BG240" s="42"/>
    </row>
    <row r="241" spans="50:59" x14ac:dyDescent="0.2">
      <c r="AX241" s="315"/>
      <c r="AY241" s="326"/>
      <c r="AZ241" s="175"/>
      <c r="BA241" s="42"/>
      <c r="BB241" s="426"/>
      <c r="BF241" s="315"/>
      <c r="BG241" s="42"/>
    </row>
    <row r="242" spans="50:59" x14ac:dyDescent="0.2">
      <c r="AX242" s="315"/>
      <c r="AY242" s="326"/>
      <c r="AZ242" s="175"/>
      <c r="BA242" s="42"/>
      <c r="BB242" s="426"/>
      <c r="BF242" s="315"/>
      <c r="BG242" s="42"/>
    </row>
    <row r="243" spans="50:59" x14ac:dyDescent="0.2">
      <c r="AX243" s="315"/>
      <c r="AY243" s="326"/>
      <c r="AZ243" s="175"/>
      <c r="BA243" s="42"/>
      <c r="BB243" s="426"/>
      <c r="BF243" s="315"/>
      <c r="BG243" s="42"/>
    </row>
    <row r="244" spans="50:59" x14ac:dyDescent="0.2">
      <c r="AX244" s="315"/>
      <c r="AY244" s="326"/>
      <c r="AZ244" s="175"/>
      <c r="BA244" s="42"/>
      <c r="BB244" s="426"/>
      <c r="BF244" s="315"/>
      <c r="BG244" s="42"/>
    </row>
    <row r="245" spans="50:59" x14ac:dyDescent="0.2">
      <c r="AX245" s="315"/>
      <c r="AY245" s="326"/>
      <c r="AZ245" s="175"/>
      <c r="BA245" s="42"/>
      <c r="BB245" s="426"/>
      <c r="BF245" s="315"/>
      <c r="BG245" s="42"/>
    </row>
    <row r="246" spans="50:59" x14ac:dyDescent="0.2">
      <c r="AX246" s="315"/>
      <c r="AY246" s="326"/>
      <c r="AZ246" s="175"/>
      <c r="BA246" s="42"/>
      <c r="BB246" s="426"/>
      <c r="BF246" s="315"/>
      <c r="BG246" s="42"/>
    </row>
    <row r="247" spans="50:59" x14ac:dyDescent="0.2">
      <c r="AX247" s="315"/>
      <c r="AY247" s="326"/>
      <c r="AZ247" s="175"/>
      <c r="BA247" s="42"/>
      <c r="BB247" s="426"/>
      <c r="BF247" s="315"/>
      <c r="BG247" s="42"/>
    </row>
    <row r="248" spans="50:59" x14ac:dyDescent="0.2">
      <c r="AX248" s="315"/>
      <c r="AY248" s="326"/>
      <c r="AZ248" s="175"/>
      <c r="BA248" s="42"/>
      <c r="BB248" s="426"/>
      <c r="BF248" s="315"/>
      <c r="BG248" s="42"/>
    </row>
    <row r="249" spans="50:59" x14ac:dyDescent="0.2">
      <c r="AX249" s="315"/>
      <c r="AY249" s="326"/>
      <c r="AZ249" s="175"/>
      <c r="BA249" s="42"/>
      <c r="BB249" s="426"/>
      <c r="BF249" s="315"/>
      <c r="BG249" s="42"/>
    </row>
    <row r="250" spans="50:59" x14ac:dyDescent="0.2">
      <c r="AX250" s="315"/>
      <c r="AY250" s="326"/>
      <c r="AZ250" s="175"/>
      <c r="BA250" s="42"/>
      <c r="BB250" s="426"/>
      <c r="BF250" s="315"/>
      <c r="BG250" s="42"/>
    </row>
    <row r="251" spans="50:59" x14ac:dyDescent="0.2">
      <c r="AX251" s="315"/>
      <c r="AY251" s="326"/>
      <c r="AZ251" s="175"/>
      <c r="BA251" s="42"/>
      <c r="BB251" s="426"/>
      <c r="BF251" s="315"/>
      <c r="BG251" s="42"/>
    </row>
    <row r="252" spans="50:59" x14ac:dyDescent="0.2">
      <c r="AX252" s="315"/>
      <c r="AY252" s="326"/>
      <c r="AZ252" s="175"/>
      <c r="BA252" s="42"/>
      <c r="BB252" s="426"/>
      <c r="BF252" s="315"/>
      <c r="BG252" s="42"/>
    </row>
    <row r="253" spans="50:59" x14ac:dyDescent="0.2">
      <c r="AX253" s="315"/>
      <c r="AY253" s="326"/>
      <c r="AZ253" s="175"/>
      <c r="BA253" s="42"/>
      <c r="BB253" s="426"/>
      <c r="BF253" s="315"/>
      <c r="BG253" s="42"/>
    </row>
    <row r="254" spans="50:59" x14ac:dyDescent="0.2">
      <c r="AX254" s="315"/>
      <c r="AY254" s="326"/>
      <c r="AZ254" s="175"/>
      <c r="BA254" s="42"/>
      <c r="BB254" s="426"/>
      <c r="BF254" s="315"/>
      <c r="BG254" s="42"/>
    </row>
    <row r="255" spans="50:59" x14ac:dyDescent="0.2">
      <c r="AX255" s="315"/>
      <c r="AY255" s="326"/>
      <c r="AZ255" s="175"/>
      <c r="BA255" s="42"/>
      <c r="BB255" s="426"/>
      <c r="BF255" s="315"/>
      <c r="BG255" s="42"/>
    </row>
    <row r="256" spans="50:59" x14ac:dyDescent="0.2">
      <c r="AX256" s="315"/>
      <c r="AY256" s="326"/>
      <c r="AZ256" s="175"/>
      <c r="BA256" s="42"/>
      <c r="BB256" s="426"/>
      <c r="BF256" s="315"/>
      <c r="BG256" s="42"/>
    </row>
    <row r="257" spans="50:59" x14ac:dyDescent="0.2">
      <c r="AX257" s="315"/>
      <c r="AY257" s="326"/>
      <c r="AZ257" s="175"/>
      <c r="BA257" s="42"/>
      <c r="BB257" s="426"/>
      <c r="BF257" s="315"/>
      <c r="BG257" s="42"/>
    </row>
    <row r="258" spans="50:59" x14ac:dyDescent="0.2">
      <c r="AX258" s="315"/>
      <c r="AY258" s="326"/>
      <c r="AZ258" s="175"/>
      <c r="BA258" s="42"/>
      <c r="BB258" s="426"/>
      <c r="BF258" s="315"/>
      <c r="BG258" s="42"/>
    </row>
    <row r="259" spans="50:59" x14ac:dyDescent="0.2">
      <c r="AX259" s="315"/>
      <c r="AY259" s="326"/>
      <c r="AZ259" s="175"/>
      <c r="BA259" s="42"/>
      <c r="BB259" s="426"/>
      <c r="BF259" s="315"/>
      <c r="BG259" s="42"/>
    </row>
    <row r="260" spans="50:59" x14ac:dyDescent="0.2">
      <c r="AX260" s="315"/>
      <c r="AY260" s="326"/>
      <c r="AZ260" s="175"/>
      <c r="BA260" s="42"/>
      <c r="BB260" s="426"/>
      <c r="BF260" s="315"/>
      <c r="BG260" s="42"/>
    </row>
    <row r="261" spans="50:59" x14ac:dyDescent="0.2">
      <c r="AX261" s="315"/>
      <c r="AY261" s="326"/>
      <c r="AZ261" s="175"/>
      <c r="BA261" s="42"/>
      <c r="BB261" s="426"/>
      <c r="BF261" s="315"/>
      <c r="BG261" s="42"/>
    </row>
    <row r="262" spans="50:59" x14ac:dyDescent="0.2">
      <c r="AX262" s="315"/>
      <c r="AY262" s="326"/>
      <c r="AZ262" s="175"/>
      <c r="BA262" s="42"/>
      <c r="BB262" s="426"/>
      <c r="BF262" s="315"/>
      <c r="BG262" s="42"/>
    </row>
    <row r="263" spans="50:59" x14ac:dyDescent="0.2">
      <c r="AX263" s="315"/>
      <c r="AY263" s="326"/>
      <c r="AZ263" s="175"/>
      <c r="BA263" s="42"/>
      <c r="BB263" s="426"/>
      <c r="BF263" s="315"/>
      <c r="BG263" s="42"/>
    </row>
    <row r="264" spans="50:59" x14ac:dyDescent="0.2">
      <c r="AX264" s="315"/>
      <c r="AY264" s="326"/>
      <c r="AZ264" s="175"/>
      <c r="BA264" s="42"/>
      <c r="BB264" s="426"/>
      <c r="BF264" s="315"/>
      <c r="BG264" s="42"/>
    </row>
    <row r="265" spans="50:59" x14ac:dyDescent="0.2">
      <c r="AX265" s="315"/>
      <c r="AY265" s="326"/>
      <c r="AZ265" s="175"/>
      <c r="BA265" s="42"/>
      <c r="BB265" s="426"/>
      <c r="BF265" s="315"/>
      <c r="BG265" s="42"/>
    </row>
    <row r="266" spans="50:59" x14ac:dyDescent="0.2">
      <c r="AX266" s="315"/>
      <c r="AY266" s="326"/>
      <c r="AZ266" s="175"/>
      <c r="BA266" s="42"/>
      <c r="BB266" s="426"/>
      <c r="BF266" s="315"/>
      <c r="BG266" s="42"/>
    </row>
    <row r="267" spans="50:59" x14ac:dyDescent="0.2">
      <c r="AX267" s="315"/>
      <c r="AY267" s="326"/>
      <c r="AZ267" s="175"/>
      <c r="BA267" s="42"/>
      <c r="BB267" s="426"/>
      <c r="BF267" s="315"/>
      <c r="BG267" s="42"/>
    </row>
    <row r="268" spans="50:59" x14ac:dyDescent="0.2">
      <c r="AX268" s="315"/>
      <c r="AY268" s="326"/>
      <c r="AZ268" s="175"/>
      <c r="BA268" s="42"/>
      <c r="BB268" s="426"/>
      <c r="BF268" s="315"/>
      <c r="BG268" s="42"/>
    </row>
    <row r="269" spans="50:59" x14ac:dyDescent="0.2">
      <c r="AX269" s="315"/>
      <c r="AY269" s="326"/>
      <c r="AZ269" s="175"/>
      <c r="BA269" s="42"/>
      <c r="BB269" s="426"/>
      <c r="BF269" s="315"/>
      <c r="BG269" s="42"/>
    </row>
    <row r="270" spans="50:59" x14ac:dyDescent="0.2">
      <c r="AX270" s="315"/>
      <c r="AY270" s="326"/>
      <c r="AZ270" s="175"/>
      <c r="BA270" s="42"/>
      <c r="BB270" s="426"/>
      <c r="BF270" s="315"/>
      <c r="BG270" s="42"/>
    </row>
    <row r="271" spans="50:59" x14ac:dyDescent="0.2">
      <c r="AX271" s="315"/>
      <c r="AY271" s="326"/>
      <c r="AZ271" s="175"/>
      <c r="BA271" s="42"/>
      <c r="BB271" s="426"/>
      <c r="BF271" s="315"/>
      <c r="BG271" s="42"/>
    </row>
    <row r="272" spans="50:59" x14ac:dyDescent="0.2">
      <c r="AX272" s="315"/>
      <c r="AY272" s="326"/>
      <c r="AZ272" s="175"/>
      <c r="BA272" s="42"/>
      <c r="BB272" s="426"/>
      <c r="BF272" s="315"/>
      <c r="BG272" s="42"/>
    </row>
    <row r="273" spans="50:59" x14ac:dyDescent="0.2">
      <c r="AX273" s="315"/>
      <c r="AY273" s="326"/>
      <c r="AZ273" s="175"/>
      <c r="BA273" s="42"/>
      <c r="BB273" s="426"/>
      <c r="BF273" s="315"/>
      <c r="BG273" s="42"/>
    </row>
    <row r="274" spans="50:59" x14ac:dyDescent="0.2">
      <c r="AX274" s="315"/>
      <c r="AY274" s="326"/>
      <c r="AZ274" s="175"/>
      <c r="BA274" s="42"/>
      <c r="BB274" s="426"/>
      <c r="BF274" s="315"/>
      <c r="BG274" s="42"/>
    </row>
    <row r="275" spans="50:59" x14ac:dyDescent="0.2">
      <c r="AX275" s="315"/>
      <c r="AY275" s="326"/>
      <c r="AZ275" s="175"/>
      <c r="BA275" s="42"/>
      <c r="BB275" s="426"/>
      <c r="BF275" s="315"/>
      <c r="BG275" s="42"/>
    </row>
    <row r="276" spans="50:59" x14ac:dyDescent="0.2">
      <c r="AX276" s="315"/>
      <c r="AY276" s="326"/>
      <c r="AZ276" s="175"/>
      <c r="BA276" s="42"/>
      <c r="BB276" s="426"/>
      <c r="BF276" s="315"/>
      <c r="BG276" s="42"/>
    </row>
    <row r="277" spans="50:59" x14ac:dyDescent="0.2">
      <c r="AX277" s="315"/>
      <c r="AY277" s="326"/>
      <c r="AZ277" s="175"/>
      <c r="BA277" s="42"/>
      <c r="BB277" s="426"/>
      <c r="BF277" s="315"/>
      <c r="BG277" s="42"/>
    </row>
    <row r="278" spans="50:59" x14ac:dyDescent="0.2">
      <c r="AX278" s="315"/>
      <c r="AY278" s="326"/>
      <c r="AZ278" s="175"/>
      <c r="BA278" s="42"/>
      <c r="BB278" s="426"/>
      <c r="BF278" s="315"/>
      <c r="BG278" s="42"/>
    </row>
    <row r="279" spans="50:59" x14ac:dyDescent="0.2">
      <c r="AX279" s="315"/>
      <c r="AY279" s="326"/>
      <c r="AZ279" s="175"/>
      <c r="BA279" s="42"/>
      <c r="BB279" s="426"/>
      <c r="BF279" s="315"/>
      <c r="BG279" s="42"/>
    </row>
    <row r="280" spans="50:59" x14ac:dyDescent="0.2">
      <c r="AX280" s="315"/>
      <c r="AY280" s="326"/>
      <c r="AZ280" s="175"/>
      <c r="BA280" s="42"/>
      <c r="BB280" s="426"/>
      <c r="BF280" s="315"/>
      <c r="BG280" s="42"/>
    </row>
    <row r="281" spans="50:59" x14ac:dyDescent="0.2">
      <c r="AX281" s="315"/>
      <c r="AY281" s="326"/>
      <c r="AZ281" s="175"/>
      <c r="BA281" s="42"/>
      <c r="BB281" s="426"/>
      <c r="BF281" s="315"/>
      <c r="BG281" s="42"/>
    </row>
    <row r="282" spans="50:59" x14ac:dyDescent="0.2">
      <c r="AX282" s="315"/>
      <c r="AY282" s="326"/>
      <c r="AZ282" s="175"/>
      <c r="BA282" s="42"/>
      <c r="BB282" s="426"/>
      <c r="BF282" s="315"/>
      <c r="BG282" s="42"/>
    </row>
    <row r="283" spans="50:59" x14ac:dyDescent="0.2">
      <c r="AX283" s="315"/>
      <c r="AY283" s="326"/>
      <c r="AZ283" s="175"/>
      <c r="BA283" s="42"/>
      <c r="BB283" s="426"/>
      <c r="BF283" s="315"/>
      <c r="BG283" s="42"/>
    </row>
    <row r="284" spans="50:59" x14ac:dyDescent="0.2">
      <c r="AX284" s="315"/>
      <c r="AY284" s="326"/>
      <c r="AZ284" s="175"/>
      <c r="BA284" s="42"/>
      <c r="BB284" s="426"/>
      <c r="BF284" s="315"/>
      <c r="BG284" s="42"/>
    </row>
    <row r="285" spans="50:59" x14ac:dyDescent="0.2">
      <c r="AX285" s="315"/>
      <c r="AY285" s="326"/>
      <c r="AZ285" s="175"/>
      <c r="BA285" s="42"/>
      <c r="BB285" s="426"/>
      <c r="BF285" s="315"/>
      <c r="BG285" s="42"/>
    </row>
    <row r="286" spans="50:59" x14ac:dyDescent="0.2">
      <c r="AX286" s="315"/>
      <c r="AY286" s="326"/>
      <c r="AZ286" s="175"/>
      <c r="BA286" s="42"/>
      <c r="BB286" s="426"/>
      <c r="BF286" s="315"/>
      <c r="BG286" s="42"/>
    </row>
    <row r="287" spans="50:59" x14ac:dyDescent="0.2">
      <c r="AX287" s="315"/>
      <c r="AY287" s="326"/>
      <c r="AZ287" s="175"/>
      <c r="BA287" s="42"/>
      <c r="BB287" s="426"/>
      <c r="BF287" s="315"/>
      <c r="BG287" s="42"/>
    </row>
    <row r="288" spans="50:59" x14ac:dyDescent="0.2">
      <c r="AX288" s="315"/>
      <c r="AY288" s="326"/>
      <c r="AZ288" s="175"/>
      <c r="BA288" s="42"/>
      <c r="BB288" s="426"/>
      <c r="BF288" s="315"/>
      <c r="BG288" s="42"/>
    </row>
    <row r="289" spans="50:59" x14ac:dyDescent="0.2">
      <c r="AX289" s="315"/>
      <c r="AY289" s="326"/>
      <c r="AZ289" s="175"/>
      <c r="BA289" s="42"/>
      <c r="BB289" s="426"/>
      <c r="BF289" s="315"/>
      <c r="BG289" s="42"/>
    </row>
    <row r="290" spans="50:59" x14ac:dyDescent="0.2">
      <c r="AX290" s="315"/>
      <c r="AY290" s="326"/>
      <c r="AZ290" s="175"/>
      <c r="BA290" s="42"/>
      <c r="BB290" s="426"/>
      <c r="BF290" s="315"/>
      <c r="BG290" s="42"/>
    </row>
    <row r="291" spans="50:59" x14ac:dyDescent="0.2">
      <c r="AX291" s="315"/>
      <c r="AY291" s="326"/>
      <c r="AZ291" s="175"/>
      <c r="BA291" s="42"/>
      <c r="BB291" s="426"/>
      <c r="BF291" s="315"/>
      <c r="BG291" s="42"/>
    </row>
    <row r="292" spans="50:59" x14ac:dyDescent="0.2">
      <c r="AX292" s="315"/>
      <c r="AY292" s="326"/>
      <c r="AZ292" s="175"/>
      <c r="BA292" s="42"/>
      <c r="BB292" s="426"/>
      <c r="BF292" s="315"/>
      <c r="BG292" s="42"/>
    </row>
    <row r="293" spans="50:59" x14ac:dyDescent="0.2">
      <c r="AX293" s="315"/>
      <c r="AY293" s="326"/>
      <c r="AZ293" s="175"/>
      <c r="BA293" s="42"/>
      <c r="BB293" s="426"/>
      <c r="BF293" s="315"/>
      <c r="BG293" s="42"/>
    </row>
    <row r="294" spans="50:59" x14ac:dyDescent="0.2">
      <c r="AX294" s="315"/>
      <c r="AY294" s="326"/>
      <c r="AZ294" s="175"/>
      <c r="BA294" s="42"/>
      <c r="BB294" s="426"/>
      <c r="BF294" s="315"/>
      <c r="BG294" s="42"/>
    </row>
    <row r="295" spans="50:59" x14ac:dyDescent="0.2">
      <c r="AX295" s="315"/>
      <c r="AY295" s="326"/>
      <c r="AZ295" s="175"/>
      <c r="BA295" s="42"/>
      <c r="BB295" s="426"/>
      <c r="BF295" s="315"/>
      <c r="BG295" s="42"/>
    </row>
    <row r="296" spans="50:59" x14ac:dyDescent="0.2">
      <c r="AX296" s="315"/>
      <c r="AY296" s="326"/>
      <c r="AZ296" s="175"/>
      <c r="BA296" s="42"/>
      <c r="BB296" s="426"/>
      <c r="BF296" s="315"/>
      <c r="BG296" s="42"/>
    </row>
    <row r="297" spans="50:59" x14ac:dyDescent="0.2">
      <c r="AX297" s="315"/>
      <c r="AY297" s="326"/>
      <c r="AZ297" s="175"/>
      <c r="BA297" s="42"/>
      <c r="BB297" s="426"/>
      <c r="BF297" s="315"/>
      <c r="BG297" s="42"/>
    </row>
    <row r="298" spans="50:59" x14ac:dyDescent="0.2">
      <c r="AX298" s="315"/>
      <c r="AY298" s="326"/>
      <c r="AZ298" s="175"/>
      <c r="BA298" s="42"/>
      <c r="BB298" s="426"/>
      <c r="BF298" s="315"/>
      <c r="BG298" s="42"/>
    </row>
    <row r="299" spans="50:59" x14ac:dyDescent="0.2">
      <c r="AX299" s="315"/>
      <c r="AY299" s="326"/>
      <c r="AZ299" s="175"/>
      <c r="BA299" s="42"/>
      <c r="BB299" s="426"/>
      <c r="BF299" s="315"/>
      <c r="BG299" s="42"/>
    </row>
    <row r="300" spans="50:59" x14ac:dyDescent="0.2">
      <c r="AX300" s="315"/>
      <c r="AY300" s="326"/>
      <c r="AZ300" s="175"/>
      <c r="BA300" s="42"/>
      <c r="BB300" s="426"/>
      <c r="BF300" s="315"/>
      <c r="BG300" s="42"/>
    </row>
    <row r="301" spans="50:59" x14ac:dyDescent="0.2">
      <c r="AX301" s="315"/>
      <c r="AY301" s="326"/>
      <c r="AZ301" s="175"/>
      <c r="BA301" s="42"/>
      <c r="BB301" s="426"/>
      <c r="BF301" s="315"/>
      <c r="BG301" s="42"/>
    </row>
    <row r="302" spans="50:59" x14ac:dyDescent="0.2">
      <c r="AX302" s="315"/>
      <c r="AY302" s="326"/>
      <c r="AZ302" s="175"/>
      <c r="BA302" s="42"/>
      <c r="BB302" s="426"/>
      <c r="BF302" s="315"/>
      <c r="BG302" s="42"/>
    </row>
    <row r="303" spans="50:59" x14ac:dyDescent="0.2">
      <c r="AX303" s="315"/>
      <c r="AY303" s="326"/>
      <c r="AZ303" s="175"/>
      <c r="BA303" s="42"/>
      <c r="BB303" s="426"/>
      <c r="BF303" s="315"/>
      <c r="BG303" s="42"/>
    </row>
    <row r="304" spans="50:59" x14ac:dyDescent="0.2">
      <c r="AX304" s="315"/>
      <c r="AY304" s="326"/>
      <c r="AZ304" s="175"/>
      <c r="BA304" s="42"/>
      <c r="BB304" s="426"/>
      <c r="BF304" s="315"/>
      <c r="BG304" s="42"/>
    </row>
    <row r="305" spans="50:59" x14ac:dyDescent="0.2">
      <c r="AX305" s="315"/>
      <c r="AY305" s="326"/>
      <c r="AZ305" s="175"/>
      <c r="BA305" s="42"/>
      <c r="BB305" s="426"/>
      <c r="BF305" s="315"/>
      <c r="BG305" s="42"/>
    </row>
    <row r="306" spans="50:59" x14ac:dyDescent="0.2">
      <c r="AX306" s="315"/>
      <c r="AY306" s="326"/>
      <c r="AZ306" s="175"/>
      <c r="BA306" s="42"/>
      <c r="BB306" s="426"/>
      <c r="BF306" s="315"/>
      <c r="BG306" s="42"/>
    </row>
    <row r="307" spans="50:59" x14ac:dyDescent="0.2">
      <c r="AX307" s="315"/>
      <c r="AY307" s="326"/>
      <c r="AZ307" s="175"/>
      <c r="BA307" s="42"/>
      <c r="BB307" s="426"/>
      <c r="BF307" s="315"/>
      <c r="BG307" s="42"/>
    </row>
    <row r="308" spans="50:59" x14ac:dyDescent="0.2">
      <c r="AX308" s="315"/>
      <c r="AY308" s="326"/>
      <c r="AZ308" s="175"/>
      <c r="BA308" s="42"/>
      <c r="BB308" s="426"/>
      <c r="BF308" s="315"/>
      <c r="BG308" s="42"/>
    </row>
    <row r="309" spans="50:59" x14ac:dyDescent="0.2">
      <c r="AX309" s="315"/>
      <c r="AY309" s="326"/>
      <c r="AZ309" s="175"/>
      <c r="BA309" s="42"/>
      <c r="BB309" s="426"/>
      <c r="BF309" s="315"/>
      <c r="BG309" s="42"/>
    </row>
    <row r="310" spans="50:59" x14ac:dyDescent="0.2">
      <c r="AX310" s="315"/>
      <c r="AY310" s="326"/>
      <c r="AZ310" s="175"/>
      <c r="BA310" s="42"/>
      <c r="BB310" s="426"/>
      <c r="BF310" s="315"/>
      <c r="BG310" s="42"/>
    </row>
    <row r="311" spans="50:59" x14ac:dyDescent="0.2">
      <c r="AX311" s="315"/>
      <c r="AY311" s="326"/>
      <c r="AZ311" s="175"/>
      <c r="BA311" s="42"/>
      <c r="BB311" s="426"/>
      <c r="BF311" s="315"/>
      <c r="BG311" s="42"/>
    </row>
    <row r="312" spans="50:59" x14ac:dyDescent="0.2">
      <c r="AX312" s="315"/>
      <c r="AY312" s="326"/>
      <c r="AZ312" s="175"/>
      <c r="BA312" s="42"/>
      <c r="BB312" s="426"/>
      <c r="BF312" s="315"/>
      <c r="BG312" s="42"/>
    </row>
    <row r="313" spans="50:59" x14ac:dyDescent="0.2">
      <c r="AX313" s="315"/>
      <c r="AY313" s="326"/>
      <c r="AZ313" s="175"/>
      <c r="BA313" s="42"/>
      <c r="BB313" s="426"/>
      <c r="BF313" s="315"/>
      <c r="BG313" s="42"/>
    </row>
    <row r="314" spans="50:59" x14ac:dyDescent="0.2">
      <c r="AX314" s="315"/>
      <c r="AY314" s="326"/>
      <c r="AZ314" s="175"/>
      <c r="BA314" s="42"/>
      <c r="BB314" s="426"/>
      <c r="BF314" s="315"/>
      <c r="BG314" s="42"/>
    </row>
    <row r="315" spans="50:59" x14ac:dyDescent="0.2">
      <c r="AX315" s="315"/>
      <c r="AY315" s="326"/>
      <c r="AZ315" s="175"/>
      <c r="BA315" s="42"/>
      <c r="BB315" s="426"/>
      <c r="BF315" s="315"/>
      <c r="BG315" s="42"/>
    </row>
    <row r="316" spans="50:59" x14ac:dyDescent="0.2">
      <c r="AX316" s="315"/>
      <c r="AY316" s="326"/>
      <c r="AZ316" s="175"/>
      <c r="BA316" s="42"/>
      <c r="BB316" s="426"/>
      <c r="BF316" s="315"/>
      <c r="BG316" s="42"/>
    </row>
    <row r="317" spans="50:59" x14ac:dyDescent="0.2">
      <c r="AX317" s="315"/>
      <c r="AY317" s="326"/>
      <c r="AZ317" s="175"/>
      <c r="BA317" s="42"/>
      <c r="BB317" s="426"/>
      <c r="BF317" s="315"/>
      <c r="BG317" s="42"/>
    </row>
    <row r="318" spans="50:59" x14ac:dyDescent="0.2">
      <c r="AX318" s="315"/>
      <c r="AY318" s="326"/>
      <c r="AZ318" s="175"/>
      <c r="BA318" s="42"/>
      <c r="BB318" s="426"/>
      <c r="BF318" s="315"/>
      <c r="BG318" s="42"/>
    </row>
    <row r="319" spans="50:59" x14ac:dyDescent="0.2">
      <c r="AX319" s="315"/>
      <c r="AY319" s="326"/>
      <c r="AZ319" s="175"/>
      <c r="BA319" s="42"/>
      <c r="BB319" s="426"/>
      <c r="BF319" s="315"/>
      <c r="BG319" s="42"/>
    </row>
    <row r="320" spans="50:59" x14ac:dyDescent="0.2">
      <c r="AX320" s="315"/>
      <c r="AY320" s="326"/>
      <c r="AZ320" s="175"/>
      <c r="BA320" s="42"/>
      <c r="BB320" s="426"/>
      <c r="BF320" s="315"/>
      <c r="BG320" s="42"/>
    </row>
    <row r="321" spans="50:59" x14ac:dyDescent="0.2">
      <c r="AX321" s="315"/>
      <c r="AY321" s="326"/>
      <c r="AZ321" s="175"/>
      <c r="BA321" s="42"/>
      <c r="BB321" s="426"/>
      <c r="BF321" s="315"/>
      <c r="BG321" s="42"/>
    </row>
    <row r="322" spans="50:59" x14ac:dyDescent="0.2">
      <c r="AX322" s="315"/>
      <c r="AY322" s="326"/>
      <c r="AZ322" s="175"/>
      <c r="BA322" s="42"/>
      <c r="BB322" s="426"/>
      <c r="BF322" s="315"/>
      <c r="BG322" s="42"/>
    </row>
    <row r="323" spans="50:59" x14ac:dyDescent="0.2">
      <c r="AX323" s="315"/>
      <c r="AY323" s="326"/>
      <c r="AZ323" s="175"/>
      <c r="BA323" s="42"/>
      <c r="BB323" s="426"/>
      <c r="BF323" s="315"/>
      <c r="BG323" s="42"/>
    </row>
    <row r="324" spans="50:59" x14ac:dyDescent="0.2">
      <c r="AX324" s="315"/>
      <c r="AY324" s="326"/>
      <c r="AZ324" s="175"/>
      <c r="BA324" s="42"/>
      <c r="BB324" s="426"/>
      <c r="BF324" s="315"/>
      <c r="BG324" s="42"/>
    </row>
    <row r="325" spans="50:59" x14ac:dyDescent="0.2">
      <c r="AX325" s="315"/>
      <c r="AY325" s="326"/>
      <c r="AZ325" s="175"/>
      <c r="BA325" s="42"/>
      <c r="BB325" s="426"/>
      <c r="BF325" s="315"/>
      <c r="BG325" s="42"/>
    </row>
    <row r="326" spans="50:59" x14ac:dyDescent="0.2">
      <c r="AX326" s="315"/>
      <c r="AY326" s="326"/>
      <c r="AZ326" s="175"/>
      <c r="BA326" s="42"/>
      <c r="BB326" s="426"/>
      <c r="BF326" s="315"/>
      <c r="BG326" s="42"/>
    </row>
    <row r="327" spans="50:59" x14ac:dyDescent="0.2">
      <c r="AX327" s="315"/>
      <c r="AY327" s="326"/>
      <c r="AZ327" s="175"/>
      <c r="BA327" s="42"/>
      <c r="BB327" s="426"/>
      <c r="BF327" s="315"/>
      <c r="BG327" s="42"/>
    </row>
    <row r="328" spans="50:59" x14ac:dyDescent="0.2">
      <c r="AX328" s="315"/>
      <c r="AY328" s="326"/>
      <c r="AZ328" s="175"/>
      <c r="BA328" s="42"/>
      <c r="BB328" s="426"/>
      <c r="BF328" s="315"/>
      <c r="BG328" s="42"/>
    </row>
    <row r="329" spans="50:59" x14ac:dyDescent="0.2">
      <c r="AX329" s="315"/>
      <c r="AY329" s="326"/>
      <c r="AZ329" s="175"/>
      <c r="BA329" s="42"/>
      <c r="BB329" s="426"/>
      <c r="BF329" s="315"/>
      <c r="BG329" s="42"/>
    </row>
    <row r="330" spans="50:59" x14ac:dyDescent="0.2">
      <c r="AX330" s="315"/>
      <c r="AY330" s="326"/>
      <c r="AZ330" s="175"/>
      <c r="BA330" s="42"/>
      <c r="BB330" s="426"/>
      <c r="BF330" s="315"/>
      <c r="BG330" s="42"/>
    </row>
    <row r="331" spans="50:59" x14ac:dyDescent="0.2">
      <c r="AX331" s="315"/>
      <c r="AY331" s="326"/>
      <c r="AZ331" s="175"/>
      <c r="BA331" s="42"/>
      <c r="BB331" s="426"/>
      <c r="BF331" s="315"/>
      <c r="BG331" s="42"/>
    </row>
    <row r="332" spans="50:59" x14ac:dyDescent="0.2">
      <c r="AX332" s="315"/>
      <c r="AY332" s="326"/>
      <c r="AZ332" s="175"/>
      <c r="BA332" s="42"/>
      <c r="BB332" s="426"/>
      <c r="BF332" s="315"/>
      <c r="BG332" s="42"/>
    </row>
    <row r="333" spans="50:59" x14ac:dyDescent="0.2">
      <c r="AX333" s="315"/>
      <c r="AY333" s="326"/>
      <c r="AZ333" s="175"/>
      <c r="BA333" s="42"/>
      <c r="BB333" s="426"/>
      <c r="BF333" s="315"/>
      <c r="BG333" s="42"/>
    </row>
    <row r="334" spans="50:59" x14ac:dyDescent="0.2">
      <c r="AX334" s="315"/>
      <c r="AY334" s="326"/>
      <c r="AZ334" s="175"/>
      <c r="BA334" s="42"/>
      <c r="BB334" s="426"/>
      <c r="BF334" s="315"/>
      <c r="BG334" s="42"/>
    </row>
    <row r="335" spans="50:59" x14ac:dyDescent="0.2">
      <c r="AX335" s="315"/>
      <c r="AY335" s="326"/>
      <c r="AZ335" s="175"/>
      <c r="BA335" s="42"/>
      <c r="BB335" s="426"/>
      <c r="BF335" s="315"/>
      <c r="BG335" s="42"/>
    </row>
    <row r="336" spans="50:59" x14ac:dyDescent="0.2">
      <c r="AX336" s="315"/>
      <c r="AY336" s="326"/>
      <c r="AZ336" s="175"/>
      <c r="BA336" s="42"/>
      <c r="BB336" s="426"/>
      <c r="BF336" s="315"/>
      <c r="BG336" s="42"/>
    </row>
    <row r="337" spans="50:59" x14ac:dyDescent="0.2">
      <c r="AX337" s="315"/>
      <c r="AY337" s="326"/>
      <c r="AZ337" s="175"/>
      <c r="BA337" s="42"/>
      <c r="BB337" s="426"/>
      <c r="BF337" s="315"/>
      <c r="BG337" s="42"/>
    </row>
    <row r="338" spans="50:59" x14ac:dyDescent="0.2">
      <c r="AX338" s="315"/>
      <c r="AY338" s="326"/>
      <c r="AZ338" s="175"/>
      <c r="BA338" s="42"/>
      <c r="BB338" s="426"/>
      <c r="BF338" s="315"/>
      <c r="BG338" s="42"/>
    </row>
    <row r="339" spans="50:59" x14ac:dyDescent="0.2">
      <c r="AX339" s="315"/>
      <c r="AY339" s="326"/>
      <c r="AZ339" s="175"/>
      <c r="BA339" s="42"/>
      <c r="BB339" s="426"/>
      <c r="BF339" s="315"/>
      <c r="BG339" s="42"/>
    </row>
    <row r="340" spans="50:59" x14ac:dyDescent="0.2">
      <c r="AX340" s="315"/>
      <c r="AY340" s="326"/>
      <c r="AZ340" s="175"/>
      <c r="BA340" s="42"/>
      <c r="BB340" s="426"/>
      <c r="BF340" s="315"/>
      <c r="BG340" s="42"/>
    </row>
    <row r="341" spans="50:59" x14ac:dyDescent="0.2">
      <c r="AX341" s="315"/>
      <c r="AY341" s="326"/>
      <c r="AZ341" s="175"/>
      <c r="BA341" s="42"/>
      <c r="BB341" s="426"/>
      <c r="BF341" s="315"/>
      <c r="BG341" s="42"/>
    </row>
    <row r="342" spans="50:59" x14ac:dyDescent="0.2">
      <c r="AX342" s="315"/>
      <c r="AY342" s="326"/>
      <c r="AZ342" s="175"/>
      <c r="BA342" s="42"/>
      <c r="BB342" s="426"/>
      <c r="BF342" s="315"/>
      <c r="BG342" s="42"/>
    </row>
    <row r="343" spans="50:59" x14ac:dyDescent="0.2">
      <c r="AX343" s="315"/>
      <c r="AY343" s="326"/>
      <c r="AZ343" s="175"/>
      <c r="BA343" s="42"/>
      <c r="BB343" s="426"/>
      <c r="BF343" s="315"/>
      <c r="BG343" s="42"/>
    </row>
    <row r="344" spans="50:59" x14ac:dyDescent="0.2">
      <c r="AX344" s="315"/>
      <c r="AY344" s="326"/>
      <c r="AZ344" s="175"/>
      <c r="BA344" s="42"/>
      <c r="BB344" s="426"/>
      <c r="BF344" s="315"/>
      <c r="BG344" s="42"/>
    </row>
    <row r="345" spans="50:59" x14ac:dyDescent="0.2">
      <c r="AX345" s="315"/>
      <c r="AY345" s="326"/>
      <c r="AZ345" s="175"/>
      <c r="BA345" s="42"/>
      <c r="BB345" s="426"/>
      <c r="BF345" s="315"/>
      <c r="BG345" s="42"/>
    </row>
    <row r="346" spans="50:59" x14ac:dyDescent="0.2">
      <c r="AX346" s="315"/>
      <c r="AY346" s="326"/>
      <c r="AZ346" s="175"/>
      <c r="BA346" s="42"/>
      <c r="BB346" s="426"/>
      <c r="BF346" s="315"/>
      <c r="BG346" s="42"/>
    </row>
    <row r="347" spans="50:59" x14ac:dyDescent="0.2">
      <c r="AX347" s="315"/>
      <c r="AY347" s="326"/>
      <c r="AZ347" s="175"/>
      <c r="BA347" s="42"/>
      <c r="BB347" s="426"/>
      <c r="BF347" s="315"/>
      <c r="BG347" s="42"/>
    </row>
    <row r="348" spans="50:59" x14ac:dyDescent="0.2">
      <c r="AX348" s="315"/>
      <c r="AY348" s="326"/>
      <c r="AZ348" s="175"/>
      <c r="BA348" s="42"/>
      <c r="BB348" s="426"/>
      <c r="BF348" s="315"/>
      <c r="BG348" s="42"/>
    </row>
    <row r="349" spans="50:59" x14ac:dyDescent="0.2">
      <c r="AX349" s="315"/>
      <c r="AY349" s="326"/>
      <c r="AZ349" s="175"/>
      <c r="BA349" s="42"/>
      <c r="BB349" s="426"/>
      <c r="BF349" s="315"/>
      <c r="BG349" s="42"/>
    </row>
    <row r="350" spans="50:59" x14ac:dyDescent="0.2">
      <c r="AX350" s="315"/>
      <c r="AY350" s="326"/>
      <c r="AZ350" s="175"/>
      <c r="BA350" s="42"/>
      <c r="BB350" s="426"/>
      <c r="BF350" s="315"/>
      <c r="BG350" s="42"/>
    </row>
    <row r="351" spans="50:59" x14ac:dyDescent="0.2">
      <c r="AX351" s="315"/>
      <c r="AY351" s="326"/>
      <c r="AZ351" s="175"/>
      <c r="BA351" s="42"/>
      <c r="BB351" s="426"/>
      <c r="BF351" s="315"/>
      <c r="BG351" s="42"/>
    </row>
    <row r="352" spans="50:59" x14ac:dyDescent="0.2">
      <c r="AX352" s="315"/>
      <c r="AY352" s="326"/>
      <c r="AZ352" s="175"/>
      <c r="BA352" s="42"/>
      <c r="BB352" s="426"/>
      <c r="BF352" s="315"/>
      <c r="BG352" s="42"/>
    </row>
    <row r="353" spans="50:59" x14ac:dyDescent="0.2">
      <c r="AX353" s="315"/>
      <c r="AY353" s="326"/>
      <c r="AZ353" s="175"/>
      <c r="BA353" s="42"/>
      <c r="BB353" s="426"/>
      <c r="BF353" s="315"/>
      <c r="BG353" s="42"/>
    </row>
    <row r="354" spans="50:59" x14ac:dyDescent="0.2">
      <c r="AX354" s="315"/>
      <c r="AY354" s="326"/>
      <c r="AZ354" s="175"/>
      <c r="BA354" s="42"/>
      <c r="BB354" s="426"/>
      <c r="BF354" s="315"/>
      <c r="BG354" s="42"/>
    </row>
    <row r="355" spans="50:59" x14ac:dyDescent="0.2">
      <c r="AX355" s="315"/>
      <c r="AY355" s="326"/>
      <c r="AZ355" s="175"/>
      <c r="BA355" s="42"/>
      <c r="BB355" s="426"/>
      <c r="BF355" s="315"/>
      <c r="BG355" s="42"/>
    </row>
    <row r="356" spans="50:59" x14ac:dyDescent="0.2">
      <c r="AX356" s="315"/>
      <c r="AY356" s="326"/>
      <c r="AZ356" s="175"/>
      <c r="BA356" s="42"/>
      <c r="BB356" s="426"/>
      <c r="BF356" s="315"/>
      <c r="BG356" s="42"/>
    </row>
    <row r="357" spans="50:59" x14ac:dyDescent="0.2">
      <c r="AX357" s="315"/>
      <c r="AY357" s="326"/>
      <c r="AZ357" s="175"/>
      <c r="BA357" s="42"/>
      <c r="BB357" s="426"/>
      <c r="BF357" s="315"/>
      <c r="BG357" s="42"/>
    </row>
    <row r="358" spans="50:59" x14ac:dyDescent="0.2">
      <c r="AX358" s="315"/>
      <c r="AY358" s="326"/>
      <c r="AZ358" s="175"/>
      <c r="BA358" s="42"/>
      <c r="BB358" s="426"/>
      <c r="BF358" s="315"/>
      <c r="BG358" s="42"/>
    </row>
    <row r="359" spans="50:59" x14ac:dyDescent="0.2">
      <c r="AX359" s="315"/>
      <c r="AY359" s="326"/>
      <c r="AZ359" s="175"/>
      <c r="BA359" s="42"/>
      <c r="BB359" s="426"/>
      <c r="BF359" s="315"/>
      <c r="BG359" s="42"/>
    </row>
    <row r="360" spans="50:59" x14ac:dyDescent="0.2">
      <c r="AX360" s="315"/>
      <c r="AY360" s="326"/>
      <c r="AZ360" s="175"/>
      <c r="BA360" s="42"/>
      <c r="BB360" s="426"/>
      <c r="BF360" s="315"/>
      <c r="BG360" s="42"/>
    </row>
    <row r="361" spans="50:59" x14ac:dyDescent="0.2">
      <c r="AX361" s="315"/>
      <c r="AY361" s="326"/>
      <c r="AZ361" s="175"/>
      <c r="BA361" s="42"/>
      <c r="BB361" s="426"/>
      <c r="BF361" s="315"/>
      <c r="BG361" s="42"/>
    </row>
    <row r="362" spans="50:59" x14ac:dyDescent="0.2">
      <c r="AX362" s="315"/>
      <c r="AY362" s="326"/>
      <c r="AZ362" s="175"/>
      <c r="BA362" s="42"/>
      <c r="BB362" s="426"/>
      <c r="BF362" s="315"/>
      <c r="BG362" s="42"/>
    </row>
    <row r="363" spans="50:59" x14ac:dyDescent="0.2">
      <c r="AX363" s="315"/>
      <c r="AY363" s="326"/>
      <c r="AZ363" s="175"/>
      <c r="BA363" s="42"/>
      <c r="BB363" s="426"/>
      <c r="BF363" s="315"/>
      <c r="BG363" s="42"/>
    </row>
    <row r="364" spans="50:59" x14ac:dyDescent="0.2">
      <c r="AX364" s="315"/>
      <c r="AY364" s="326"/>
      <c r="AZ364" s="175"/>
      <c r="BA364" s="42"/>
      <c r="BB364" s="426"/>
      <c r="BF364" s="315"/>
      <c r="BG364" s="42"/>
    </row>
    <row r="365" spans="50:59" x14ac:dyDescent="0.2">
      <c r="AX365" s="315"/>
      <c r="AY365" s="326"/>
      <c r="AZ365" s="175"/>
      <c r="BA365" s="42"/>
      <c r="BB365" s="426"/>
      <c r="BF365" s="315"/>
      <c r="BG365" s="42"/>
    </row>
    <row r="366" spans="50:59" x14ac:dyDescent="0.2">
      <c r="AX366" s="315"/>
      <c r="AY366" s="326"/>
      <c r="AZ366" s="175"/>
      <c r="BA366" s="42"/>
      <c r="BB366" s="426"/>
      <c r="BF366" s="315"/>
      <c r="BG366" s="42"/>
    </row>
    <row r="367" spans="50:59" x14ac:dyDescent="0.2">
      <c r="AX367" s="315"/>
      <c r="AY367" s="326"/>
      <c r="AZ367" s="175"/>
      <c r="BA367" s="42"/>
      <c r="BB367" s="426"/>
      <c r="BF367" s="315"/>
      <c r="BG367" s="42"/>
    </row>
    <row r="368" spans="50:59" x14ac:dyDescent="0.2">
      <c r="AX368" s="315"/>
      <c r="AY368" s="326"/>
      <c r="AZ368" s="175"/>
      <c r="BA368" s="42"/>
      <c r="BB368" s="426"/>
      <c r="BF368" s="315"/>
      <c r="BG368" s="42"/>
    </row>
    <row r="369" spans="50:59" x14ac:dyDescent="0.2">
      <c r="AX369" s="315"/>
      <c r="AY369" s="326"/>
      <c r="AZ369" s="175"/>
      <c r="BA369" s="42"/>
      <c r="BB369" s="426"/>
      <c r="BF369" s="315"/>
      <c r="BG369" s="42"/>
    </row>
    <row r="370" spans="50:59" x14ac:dyDescent="0.2">
      <c r="AX370" s="315"/>
      <c r="AY370" s="326"/>
      <c r="AZ370" s="175"/>
      <c r="BA370" s="42"/>
      <c r="BB370" s="426"/>
      <c r="BF370" s="315"/>
      <c r="BG370" s="42"/>
    </row>
    <row r="371" spans="50:59" x14ac:dyDescent="0.2">
      <c r="AX371" s="315"/>
      <c r="AY371" s="326"/>
      <c r="AZ371" s="175"/>
      <c r="BA371" s="42"/>
      <c r="BB371" s="426"/>
      <c r="BF371" s="315"/>
      <c r="BG371" s="42"/>
    </row>
    <row r="372" spans="50:59" x14ac:dyDescent="0.2">
      <c r="AX372" s="315"/>
      <c r="AY372" s="326"/>
      <c r="AZ372" s="175"/>
      <c r="BA372" s="42"/>
      <c r="BB372" s="426"/>
      <c r="BF372" s="315"/>
      <c r="BG372" s="42"/>
    </row>
    <row r="373" spans="50:59" x14ac:dyDescent="0.2">
      <c r="AX373" s="315"/>
      <c r="AY373" s="326"/>
      <c r="AZ373" s="175"/>
      <c r="BA373" s="42"/>
      <c r="BB373" s="426"/>
      <c r="BF373" s="315"/>
      <c r="BG373" s="42"/>
    </row>
    <row r="374" spans="50:59" x14ac:dyDescent="0.2">
      <c r="AX374" s="315"/>
      <c r="AY374" s="326"/>
      <c r="AZ374" s="175"/>
      <c r="BA374" s="42"/>
      <c r="BB374" s="426"/>
      <c r="BF374" s="315"/>
      <c r="BG374" s="42"/>
    </row>
    <row r="375" spans="50:59" x14ac:dyDescent="0.2">
      <c r="AX375" s="315"/>
      <c r="AY375" s="326"/>
      <c r="AZ375" s="175"/>
      <c r="BA375" s="42"/>
      <c r="BB375" s="426"/>
      <c r="BF375" s="315"/>
      <c r="BG375" s="42"/>
    </row>
    <row r="376" spans="50:59" x14ac:dyDescent="0.2">
      <c r="AX376" s="315"/>
      <c r="AY376" s="326"/>
      <c r="AZ376" s="175"/>
      <c r="BA376" s="42"/>
      <c r="BB376" s="426"/>
      <c r="BF376" s="315"/>
      <c r="BG376" s="42"/>
    </row>
    <row r="377" spans="50:59" x14ac:dyDescent="0.2">
      <c r="AX377" s="315"/>
      <c r="AY377" s="326"/>
      <c r="AZ377" s="175"/>
      <c r="BA377" s="42"/>
      <c r="BB377" s="426"/>
      <c r="BF377" s="315"/>
      <c r="BG377" s="42"/>
    </row>
    <row r="378" spans="50:59" x14ac:dyDescent="0.2">
      <c r="AX378" s="315"/>
      <c r="AY378" s="326"/>
      <c r="AZ378" s="175"/>
      <c r="BA378" s="42"/>
      <c r="BB378" s="426"/>
      <c r="BF378" s="315"/>
      <c r="BG378" s="42"/>
    </row>
    <row r="379" spans="50:59" x14ac:dyDescent="0.2">
      <c r="AX379" s="315"/>
      <c r="AY379" s="326"/>
      <c r="AZ379" s="175"/>
      <c r="BA379" s="42"/>
      <c r="BB379" s="426"/>
      <c r="BF379" s="315"/>
      <c r="BG379" s="42"/>
    </row>
    <row r="380" spans="50:59" x14ac:dyDescent="0.2">
      <c r="AX380" s="315"/>
      <c r="AY380" s="326"/>
      <c r="AZ380" s="175"/>
      <c r="BA380" s="42"/>
      <c r="BB380" s="426"/>
      <c r="BF380" s="315"/>
      <c r="BG380" s="42"/>
    </row>
    <row r="381" spans="50:59" x14ac:dyDescent="0.2">
      <c r="AX381" s="315"/>
      <c r="AY381" s="326"/>
      <c r="AZ381" s="175"/>
      <c r="BA381" s="42"/>
      <c r="BB381" s="426"/>
      <c r="BF381" s="315"/>
      <c r="BG381" s="42"/>
    </row>
    <row r="382" spans="50:59" x14ac:dyDescent="0.2">
      <c r="AX382" s="315"/>
      <c r="AY382" s="326"/>
      <c r="AZ382" s="175"/>
      <c r="BA382" s="42"/>
      <c r="BB382" s="426"/>
      <c r="BF382" s="315"/>
      <c r="BG382" s="42"/>
    </row>
    <row r="383" spans="50:59" x14ac:dyDescent="0.2">
      <c r="AX383" s="315"/>
      <c r="AY383" s="326"/>
      <c r="AZ383" s="175"/>
      <c r="BA383" s="42"/>
      <c r="BB383" s="426"/>
      <c r="BF383" s="315"/>
      <c r="BG383" s="42"/>
    </row>
    <row r="384" spans="50:59" x14ac:dyDescent="0.2">
      <c r="AX384" s="315"/>
      <c r="AY384" s="326"/>
      <c r="AZ384" s="175"/>
      <c r="BA384" s="42"/>
      <c r="BB384" s="426"/>
      <c r="BF384" s="315"/>
      <c r="BG384" s="42"/>
    </row>
    <row r="385" spans="50:59" x14ac:dyDescent="0.2">
      <c r="AX385" s="315"/>
      <c r="AY385" s="326"/>
      <c r="AZ385" s="175"/>
      <c r="BA385" s="42"/>
      <c r="BB385" s="426"/>
      <c r="BF385" s="315"/>
      <c r="BG385" s="42"/>
    </row>
    <row r="386" spans="50:59" x14ac:dyDescent="0.2">
      <c r="AX386" s="315"/>
      <c r="AY386" s="326"/>
      <c r="AZ386" s="175"/>
      <c r="BA386" s="42"/>
      <c r="BB386" s="426"/>
      <c r="BF386" s="315"/>
      <c r="BG386" s="42"/>
    </row>
    <row r="387" spans="50:59" x14ac:dyDescent="0.2">
      <c r="AX387" s="315"/>
      <c r="AY387" s="326"/>
      <c r="AZ387" s="175"/>
      <c r="BA387" s="42"/>
      <c r="BB387" s="426"/>
      <c r="BF387" s="315"/>
      <c r="BG387" s="42"/>
    </row>
    <row r="388" spans="50:59" x14ac:dyDescent="0.2">
      <c r="AX388" s="315"/>
      <c r="AY388" s="326"/>
      <c r="AZ388" s="175"/>
      <c r="BA388" s="42"/>
      <c r="BB388" s="426"/>
      <c r="BF388" s="315"/>
      <c r="BG388" s="42"/>
    </row>
    <row r="389" spans="50:59" x14ac:dyDescent="0.2">
      <c r="AX389" s="315"/>
      <c r="AY389" s="326"/>
      <c r="AZ389" s="175"/>
      <c r="BA389" s="42"/>
      <c r="BB389" s="426"/>
      <c r="BF389" s="315"/>
      <c r="BG389" s="42"/>
    </row>
    <row r="390" spans="50:59" x14ac:dyDescent="0.2">
      <c r="AX390" s="315"/>
      <c r="AY390" s="326"/>
      <c r="AZ390" s="175"/>
      <c r="BA390" s="42"/>
      <c r="BB390" s="426"/>
      <c r="BF390" s="315"/>
      <c r="BG390" s="42"/>
    </row>
    <row r="391" spans="50:59" x14ac:dyDescent="0.2">
      <c r="AX391" s="315"/>
      <c r="AY391" s="326"/>
      <c r="AZ391" s="175"/>
      <c r="BA391" s="42"/>
      <c r="BB391" s="426"/>
      <c r="BF391" s="315"/>
      <c r="BG391" s="42"/>
    </row>
    <row r="392" spans="50:59" x14ac:dyDescent="0.2">
      <c r="AX392" s="315"/>
      <c r="AY392" s="326"/>
      <c r="AZ392" s="175"/>
      <c r="BA392" s="42"/>
      <c r="BB392" s="426"/>
      <c r="BF392" s="315"/>
      <c r="BG392" s="42"/>
    </row>
    <row r="393" spans="50:59" x14ac:dyDescent="0.2">
      <c r="AX393" s="315"/>
      <c r="AY393" s="326"/>
      <c r="AZ393" s="175"/>
      <c r="BA393" s="42"/>
      <c r="BB393" s="426"/>
      <c r="BF393" s="315"/>
      <c r="BG393" s="42"/>
    </row>
    <row r="394" spans="50:59" x14ac:dyDescent="0.2">
      <c r="AX394" s="315"/>
      <c r="AY394" s="326"/>
      <c r="AZ394" s="175"/>
      <c r="BA394" s="42"/>
      <c r="BB394" s="426"/>
      <c r="BF394" s="315"/>
      <c r="BG394" s="42"/>
    </row>
    <row r="395" spans="50:59" x14ac:dyDescent="0.2">
      <c r="AX395" s="315"/>
      <c r="AY395" s="326"/>
      <c r="AZ395" s="175"/>
      <c r="BA395" s="42"/>
      <c r="BB395" s="426"/>
      <c r="BF395" s="315"/>
      <c r="BG395" s="42"/>
    </row>
    <row r="396" spans="50:59" x14ac:dyDescent="0.2">
      <c r="AX396" s="315"/>
      <c r="AY396" s="326"/>
      <c r="AZ396" s="175"/>
      <c r="BA396" s="42"/>
      <c r="BB396" s="426"/>
      <c r="BF396" s="315"/>
      <c r="BG396" s="42"/>
    </row>
    <row r="397" spans="50:59" x14ac:dyDescent="0.2">
      <c r="AX397" s="315"/>
      <c r="AY397" s="326"/>
      <c r="AZ397" s="175"/>
      <c r="BA397" s="42"/>
      <c r="BB397" s="426"/>
      <c r="BF397" s="315"/>
      <c r="BG397" s="42"/>
    </row>
    <row r="398" spans="50:59" x14ac:dyDescent="0.2">
      <c r="AX398" s="315"/>
      <c r="AY398" s="326"/>
      <c r="AZ398" s="175"/>
      <c r="BA398" s="42"/>
      <c r="BB398" s="426"/>
      <c r="BF398" s="315"/>
      <c r="BG398" s="42"/>
    </row>
    <row r="399" spans="50:59" x14ac:dyDescent="0.2">
      <c r="AX399" s="315"/>
      <c r="AY399" s="326"/>
      <c r="AZ399" s="175"/>
      <c r="BA399" s="42"/>
      <c r="BB399" s="426"/>
      <c r="BF399" s="315"/>
      <c r="BG399" s="42"/>
    </row>
    <row r="400" spans="50:59" x14ac:dyDescent="0.2">
      <c r="AX400" s="315"/>
      <c r="AY400" s="326"/>
      <c r="AZ400" s="175"/>
      <c r="BA400" s="42"/>
      <c r="BB400" s="426"/>
      <c r="BF400" s="315"/>
      <c r="BG400" s="42"/>
    </row>
    <row r="401" spans="50:59" x14ac:dyDescent="0.2">
      <c r="AX401" s="315"/>
      <c r="AY401" s="326"/>
      <c r="AZ401" s="175"/>
      <c r="BA401" s="42"/>
      <c r="BB401" s="426"/>
      <c r="BF401" s="315"/>
      <c r="BG401" s="42"/>
    </row>
    <row r="402" spans="50:59" x14ac:dyDescent="0.2">
      <c r="AX402" s="315"/>
      <c r="AY402" s="326"/>
      <c r="AZ402" s="175"/>
      <c r="BA402" s="42"/>
      <c r="BB402" s="426"/>
      <c r="BF402" s="315"/>
      <c r="BG402" s="42"/>
    </row>
    <row r="403" spans="50:59" x14ac:dyDescent="0.2">
      <c r="AX403" s="315"/>
      <c r="AY403" s="326"/>
      <c r="AZ403" s="175"/>
      <c r="BA403" s="42"/>
      <c r="BB403" s="426"/>
      <c r="BF403" s="315"/>
      <c r="BG403" s="42"/>
    </row>
    <row r="404" spans="50:59" x14ac:dyDescent="0.2">
      <c r="AX404" s="315"/>
      <c r="AY404" s="326"/>
      <c r="AZ404" s="175"/>
      <c r="BA404" s="42"/>
      <c r="BB404" s="426"/>
      <c r="BF404" s="315"/>
      <c r="BG404" s="42"/>
    </row>
    <row r="405" spans="50:59" x14ac:dyDescent="0.2">
      <c r="AX405" s="315"/>
      <c r="AY405" s="326"/>
      <c r="AZ405" s="175"/>
      <c r="BA405" s="42"/>
      <c r="BB405" s="426"/>
      <c r="BF405" s="315"/>
      <c r="BG405" s="42"/>
    </row>
    <row r="406" spans="50:59" x14ac:dyDescent="0.2">
      <c r="AX406" s="315"/>
      <c r="AY406" s="326"/>
      <c r="AZ406" s="175"/>
      <c r="BA406" s="42"/>
      <c r="BB406" s="426"/>
      <c r="BF406" s="315"/>
      <c r="BG406" s="42"/>
    </row>
    <row r="407" spans="50:59" x14ac:dyDescent="0.2">
      <c r="AX407" s="315"/>
      <c r="AY407" s="326"/>
      <c r="AZ407" s="175"/>
      <c r="BA407" s="42"/>
      <c r="BB407" s="426"/>
      <c r="BF407" s="315"/>
      <c r="BG407" s="42"/>
    </row>
    <row r="408" spans="50:59" x14ac:dyDescent="0.2">
      <c r="AX408" s="315"/>
      <c r="AY408" s="326"/>
      <c r="AZ408" s="175"/>
      <c r="BA408" s="42"/>
      <c r="BB408" s="426"/>
      <c r="BF408" s="315"/>
      <c r="BG408" s="42"/>
    </row>
    <row r="409" spans="50:59" x14ac:dyDescent="0.2">
      <c r="AX409" s="315"/>
      <c r="AY409" s="326"/>
      <c r="AZ409" s="175"/>
      <c r="BA409" s="42"/>
      <c r="BB409" s="426"/>
      <c r="BF409" s="315"/>
      <c r="BG409" s="42"/>
    </row>
    <row r="410" spans="50:59" x14ac:dyDescent="0.2">
      <c r="AX410" s="315"/>
      <c r="AY410" s="326"/>
      <c r="AZ410" s="175"/>
      <c r="BA410" s="42"/>
      <c r="BB410" s="426"/>
      <c r="BF410" s="315"/>
      <c r="BG410" s="42"/>
    </row>
    <row r="411" spans="50:59" x14ac:dyDescent="0.2">
      <c r="AX411" s="315"/>
      <c r="AY411" s="326"/>
      <c r="AZ411" s="175"/>
      <c r="BA411" s="42"/>
      <c r="BB411" s="426"/>
      <c r="BF411" s="315"/>
      <c r="BG411" s="42"/>
    </row>
    <row r="412" spans="50:59" x14ac:dyDescent="0.2">
      <c r="AX412" s="315"/>
      <c r="AY412" s="326"/>
      <c r="AZ412" s="175"/>
      <c r="BA412" s="42"/>
      <c r="BB412" s="426"/>
      <c r="BF412" s="315"/>
      <c r="BG412" s="42"/>
    </row>
    <row r="413" spans="50:59" x14ac:dyDescent="0.2">
      <c r="AX413" s="315"/>
      <c r="AY413" s="326"/>
      <c r="AZ413" s="175"/>
      <c r="BA413" s="42"/>
      <c r="BB413" s="426"/>
      <c r="BF413" s="315"/>
      <c r="BG413" s="42"/>
    </row>
    <row r="414" spans="50:59" x14ac:dyDescent="0.2">
      <c r="AX414" s="315"/>
      <c r="AY414" s="326"/>
      <c r="AZ414" s="175"/>
      <c r="BA414" s="42"/>
      <c r="BB414" s="426"/>
      <c r="BF414" s="315"/>
      <c r="BG414" s="42"/>
    </row>
    <row r="415" spans="50:59" x14ac:dyDescent="0.2">
      <c r="AX415" s="315"/>
      <c r="AY415" s="326"/>
      <c r="AZ415" s="175"/>
      <c r="BA415" s="42"/>
      <c r="BB415" s="426"/>
      <c r="BF415" s="315"/>
      <c r="BG415" s="42"/>
    </row>
    <row r="416" spans="50:59" x14ac:dyDescent="0.2">
      <c r="AX416" s="315"/>
      <c r="AY416" s="326"/>
      <c r="AZ416" s="175"/>
      <c r="BA416" s="42"/>
      <c r="BB416" s="426"/>
      <c r="BF416" s="315"/>
      <c r="BG416" s="42"/>
    </row>
    <row r="417" spans="50:59" x14ac:dyDescent="0.2">
      <c r="AX417" s="315"/>
      <c r="AY417" s="326"/>
      <c r="AZ417" s="175"/>
      <c r="BA417" s="42"/>
      <c r="BB417" s="426"/>
      <c r="BF417" s="315"/>
      <c r="BG417" s="42"/>
    </row>
    <row r="418" spans="50:59" x14ac:dyDescent="0.2">
      <c r="AX418" s="315"/>
      <c r="AY418" s="326"/>
      <c r="AZ418" s="175"/>
      <c r="BA418" s="42"/>
      <c r="BB418" s="426"/>
      <c r="BF418" s="315"/>
      <c r="BG418" s="42"/>
    </row>
    <row r="419" spans="50:59" x14ac:dyDescent="0.2">
      <c r="AX419" s="315"/>
      <c r="AY419" s="326"/>
      <c r="AZ419" s="175"/>
      <c r="BA419" s="42"/>
      <c r="BB419" s="426"/>
      <c r="BF419" s="315"/>
      <c r="BG419" s="42"/>
    </row>
    <row r="420" spans="50:59" x14ac:dyDescent="0.2">
      <c r="AX420" s="315"/>
      <c r="AY420" s="326"/>
      <c r="AZ420" s="175"/>
      <c r="BA420" s="42"/>
      <c r="BB420" s="426"/>
      <c r="BF420" s="315"/>
      <c r="BG420" s="42"/>
    </row>
    <row r="421" spans="50:59" x14ac:dyDescent="0.2">
      <c r="AX421" s="315"/>
      <c r="AY421" s="326"/>
      <c r="AZ421" s="175"/>
      <c r="BA421" s="42"/>
      <c r="BB421" s="426"/>
      <c r="BF421" s="315"/>
      <c r="BG421" s="42"/>
    </row>
    <row r="422" spans="50:59" x14ac:dyDescent="0.2">
      <c r="AX422" s="315"/>
      <c r="AY422" s="326"/>
      <c r="AZ422" s="175"/>
      <c r="BA422" s="42"/>
      <c r="BB422" s="426"/>
      <c r="BF422" s="315"/>
      <c r="BG422" s="42"/>
    </row>
    <row r="423" spans="50:59" x14ac:dyDescent="0.2">
      <c r="AX423" s="315"/>
      <c r="AY423" s="326"/>
      <c r="AZ423" s="175"/>
      <c r="BA423" s="42"/>
      <c r="BB423" s="426"/>
      <c r="BF423" s="315"/>
      <c r="BG423" s="42"/>
    </row>
    <row r="424" spans="50:59" x14ac:dyDescent="0.2">
      <c r="AX424" s="315"/>
      <c r="AY424" s="326"/>
      <c r="AZ424" s="175"/>
      <c r="BA424" s="42"/>
      <c r="BB424" s="426"/>
      <c r="BF424" s="315"/>
      <c r="BG424" s="42"/>
    </row>
    <row r="425" spans="50:59" x14ac:dyDescent="0.2">
      <c r="AX425" s="315"/>
      <c r="AY425" s="326"/>
      <c r="AZ425" s="175"/>
      <c r="BA425" s="42"/>
      <c r="BB425" s="426"/>
      <c r="BF425" s="315"/>
      <c r="BG425" s="42"/>
    </row>
    <row r="426" spans="50:59" x14ac:dyDescent="0.2">
      <c r="AX426" s="315"/>
      <c r="AY426" s="326"/>
      <c r="AZ426" s="175"/>
      <c r="BA426" s="42"/>
      <c r="BB426" s="426"/>
      <c r="BF426" s="315"/>
      <c r="BG426" s="42"/>
    </row>
    <row r="427" spans="50:59" x14ac:dyDescent="0.2">
      <c r="AX427" s="315"/>
      <c r="AY427" s="326"/>
      <c r="AZ427" s="175"/>
      <c r="BA427" s="42"/>
      <c r="BB427" s="426"/>
      <c r="BF427" s="315"/>
      <c r="BG427" s="42"/>
    </row>
    <row r="428" spans="50:59" x14ac:dyDescent="0.2">
      <c r="AX428" s="315"/>
      <c r="AY428" s="326"/>
      <c r="AZ428" s="175"/>
      <c r="BA428" s="42"/>
      <c r="BB428" s="426"/>
      <c r="BF428" s="315"/>
      <c r="BG428" s="42"/>
    </row>
    <row r="429" spans="50:59" x14ac:dyDescent="0.2">
      <c r="AX429" s="315"/>
      <c r="AY429" s="326"/>
      <c r="AZ429" s="175"/>
      <c r="BA429" s="42"/>
      <c r="BB429" s="426"/>
      <c r="BF429" s="315"/>
      <c r="BG429" s="42"/>
    </row>
    <row r="430" spans="50:59" x14ac:dyDescent="0.2">
      <c r="AX430" s="315"/>
      <c r="AY430" s="326"/>
      <c r="AZ430" s="175"/>
      <c r="BA430" s="42"/>
      <c r="BB430" s="426"/>
      <c r="BF430" s="315"/>
      <c r="BG430" s="42"/>
    </row>
    <row r="431" spans="50:59" x14ac:dyDescent="0.2">
      <c r="AX431" s="315"/>
      <c r="AY431" s="326"/>
      <c r="AZ431" s="175"/>
      <c r="BA431" s="42"/>
      <c r="BB431" s="426"/>
      <c r="BF431" s="315"/>
      <c r="BG431" s="42"/>
    </row>
    <row r="432" spans="50:59" x14ac:dyDescent="0.2">
      <c r="AX432" s="315"/>
      <c r="AY432" s="326"/>
      <c r="AZ432" s="175"/>
      <c r="BA432" s="42"/>
      <c r="BB432" s="426"/>
      <c r="BF432" s="315"/>
      <c r="BG432" s="42"/>
    </row>
    <row r="433" spans="50:59" x14ac:dyDescent="0.2">
      <c r="AX433" s="315"/>
      <c r="AY433" s="326"/>
      <c r="AZ433" s="175"/>
      <c r="BA433" s="42"/>
      <c r="BB433" s="426"/>
      <c r="BF433" s="315"/>
      <c r="BG433" s="42"/>
    </row>
    <row r="434" spans="50:59" x14ac:dyDescent="0.2">
      <c r="AX434" s="315"/>
      <c r="AY434" s="326"/>
      <c r="AZ434" s="175"/>
      <c r="BA434" s="42"/>
      <c r="BB434" s="426"/>
      <c r="BF434" s="315"/>
      <c r="BG434" s="42"/>
    </row>
    <row r="435" spans="50:59" x14ac:dyDescent="0.2">
      <c r="AX435" s="315"/>
      <c r="AY435" s="326"/>
      <c r="AZ435" s="175"/>
      <c r="BA435" s="42"/>
      <c r="BB435" s="426"/>
      <c r="BF435" s="315"/>
      <c r="BG435" s="42"/>
    </row>
    <row r="436" spans="50:59" x14ac:dyDescent="0.2">
      <c r="AX436" s="315"/>
      <c r="AY436" s="326"/>
      <c r="AZ436" s="175"/>
      <c r="BA436" s="42"/>
      <c r="BB436" s="426"/>
      <c r="BF436" s="315"/>
      <c r="BG436" s="42"/>
    </row>
    <row r="437" spans="50:59" x14ac:dyDescent="0.2">
      <c r="AX437" s="315"/>
      <c r="AY437" s="326"/>
      <c r="AZ437" s="175"/>
      <c r="BA437" s="42"/>
      <c r="BB437" s="426"/>
      <c r="BF437" s="315"/>
      <c r="BG437" s="42"/>
    </row>
    <row r="438" spans="50:59" x14ac:dyDescent="0.2">
      <c r="AX438" s="315"/>
      <c r="AY438" s="326"/>
      <c r="AZ438" s="175"/>
      <c r="BA438" s="42"/>
      <c r="BB438" s="426"/>
      <c r="BF438" s="315"/>
      <c r="BG438" s="42"/>
    </row>
    <row r="439" spans="50:59" x14ac:dyDescent="0.2">
      <c r="AX439" s="315"/>
      <c r="AY439" s="326"/>
      <c r="AZ439" s="175"/>
      <c r="BA439" s="42"/>
      <c r="BB439" s="426"/>
      <c r="BF439" s="315"/>
      <c r="BG439" s="42"/>
    </row>
    <row r="440" spans="50:59" x14ac:dyDescent="0.2">
      <c r="AX440" s="315"/>
      <c r="AY440" s="326"/>
      <c r="AZ440" s="175"/>
      <c r="BA440" s="42"/>
      <c r="BB440" s="426"/>
      <c r="BF440" s="315"/>
      <c r="BG440" s="42"/>
    </row>
    <row r="441" spans="50:59" x14ac:dyDescent="0.2">
      <c r="AX441" s="315"/>
      <c r="AY441" s="326"/>
      <c r="AZ441" s="175"/>
      <c r="BA441" s="42"/>
      <c r="BB441" s="426"/>
      <c r="BF441" s="315"/>
      <c r="BG441" s="42"/>
    </row>
    <row r="442" spans="50:59" x14ac:dyDescent="0.2">
      <c r="AX442" s="315"/>
      <c r="AY442" s="326"/>
      <c r="AZ442" s="175"/>
      <c r="BA442" s="42"/>
      <c r="BB442" s="426"/>
      <c r="BF442" s="315"/>
      <c r="BG442" s="42"/>
    </row>
    <row r="443" spans="50:59" x14ac:dyDescent="0.2">
      <c r="AX443" s="315"/>
      <c r="AY443" s="326"/>
      <c r="AZ443" s="175"/>
      <c r="BA443" s="42"/>
      <c r="BB443" s="426"/>
      <c r="BF443" s="315"/>
      <c r="BG443" s="42"/>
    </row>
    <row r="444" spans="50:59" x14ac:dyDescent="0.2">
      <c r="AX444" s="315"/>
      <c r="AY444" s="326"/>
      <c r="AZ444" s="175"/>
      <c r="BA444" s="42"/>
      <c r="BB444" s="426"/>
      <c r="BF444" s="315"/>
      <c r="BG444" s="42"/>
    </row>
    <row r="445" spans="50:59" x14ac:dyDescent="0.2">
      <c r="AX445" s="315"/>
      <c r="AY445" s="326"/>
      <c r="AZ445" s="175"/>
      <c r="BA445" s="42"/>
      <c r="BB445" s="426"/>
      <c r="BF445" s="315"/>
      <c r="BG445" s="42"/>
    </row>
    <row r="446" spans="50:59" x14ac:dyDescent="0.2">
      <c r="AX446" s="315"/>
      <c r="AY446" s="326"/>
      <c r="AZ446" s="175"/>
      <c r="BA446" s="42"/>
      <c r="BB446" s="426"/>
      <c r="BF446" s="315"/>
      <c r="BG446" s="42"/>
    </row>
    <row r="447" spans="50:59" x14ac:dyDescent="0.2">
      <c r="AX447" s="315"/>
      <c r="AY447" s="326"/>
      <c r="AZ447" s="175"/>
      <c r="BA447" s="42"/>
      <c r="BB447" s="426"/>
      <c r="BF447" s="315"/>
      <c r="BG447" s="42"/>
    </row>
    <row r="448" spans="50:59" x14ac:dyDescent="0.2">
      <c r="AX448" s="315"/>
      <c r="AY448" s="326"/>
      <c r="AZ448" s="175"/>
      <c r="BA448" s="42"/>
      <c r="BB448" s="426"/>
      <c r="BF448" s="315"/>
      <c r="BG448" s="42"/>
    </row>
    <row r="449" spans="50:59" x14ac:dyDescent="0.2">
      <c r="AX449" s="315"/>
      <c r="AY449" s="326"/>
      <c r="AZ449" s="175"/>
      <c r="BA449" s="42"/>
      <c r="BB449" s="426"/>
      <c r="BF449" s="315"/>
      <c r="BG449" s="42"/>
    </row>
    <row r="450" spans="50:59" x14ac:dyDescent="0.2">
      <c r="AX450" s="315"/>
      <c r="AY450" s="326"/>
      <c r="AZ450" s="175"/>
      <c r="BA450" s="42"/>
      <c r="BB450" s="426"/>
      <c r="BF450" s="315"/>
      <c r="BG450" s="42"/>
    </row>
    <row r="451" spans="50:59" x14ac:dyDescent="0.2">
      <c r="AX451" s="315"/>
      <c r="AY451" s="326"/>
      <c r="AZ451" s="175"/>
      <c r="BA451" s="42"/>
      <c r="BB451" s="426"/>
      <c r="BF451" s="315"/>
      <c r="BG451" s="42"/>
    </row>
    <row r="452" spans="50:59" x14ac:dyDescent="0.2">
      <c r="AX452" s="315"/>
      <c r="AY452" s="326"/>
      <c r="AZ452" s="175"/>
      <c r="BA452" s="42"/>
      <c r="BB452" s="426"/>
      <c r="BF452" s="315"/>
      <c r="BG452" s="42"/>
    </row>
    <row r="453" spans="50:59" x14ac:dyDescent="0.2">
      <c r="AX453" s="315"/>
      <c r="AY453" s="326"/>
      <c r="AZ453" s="175"/>
      <c r="BA453" s="42"/>
      <c r="BB453" s="426"/>
      <c r="BF453" s="315"/>
      <c r="BG453" s="42"/>
    </row>
    <row r="454" spans="50:59" x14ac:dyDescent="0.2">
      <c r="AX454" s="315"/>
      <c r="AY454" s="326"/>
      <c r="AZ454" s="175"/>
      <c r="BA454" s="42"/>
      <c r="BB454" s="426"/>
      <c r="BF454" s="315"/>
      <c r="BG454" s="42"/>
    </row>
    <row r="455" spans="50:59" x14ac:dyDescent="0.2">
      <c r="AX455" s="315"/>
      <c r="AY455" s="326"/>
      <c r="AZ455" s="175"/>
      <c r="BA455" s="42"/>
      <c r="BB455" s="426"/>
      <c r="BF455" s="315"/>
      <c r="BG455" s="42"/>
    </row>
    <row r="456" spans="50:59" x14ac:dyDescent="0.2">
      <c r="AX456" s="315"/>
      <c r="AY456" s="326"/>
      <c r="AZ456" s="175"/>
      <c r="BA456" s="42"/>
      <c r="BB456" s="426"/>
      <c r="BF456" s="315"/>
      <c r="BG456" s="42"/>
    </row>
    <row r="457" spans="50:59" x14ac:dyDescent="0.2">
      <c r="AX457" s="315"/>
      <c r="AY457" s="326"/>
      <c r="AZ457" s="175"/>
      <c r="BA457" s="42"/>
      <c r="BB457" s="426"/>
      <c r="BF457" s="315"/>
      <c r="BG457" s="42"/>
    </row>
    <row r="458" spans="50:59" x14ac:dyDescent="0.2">
      <c r="AX458" s="315"/>
      <c r="AY458" s="326"/>
      <c r="AZ458" s="175"/>
      <c r="BA458" s="42"/>
      <c r="BB458" s="426"/>
      <c r="BF458" s="315"/>
      <c r="BG458" s="42"/>
    </row>
    <row r="459" spans="50:59" x14ac:dyDescent="0.2">
      <c r="AX459" s="315"/>
      <c r="AY459" s="326"/>
      <c r="AZ459" s="175"/>
      <c r="BA459" s="42"/>
      <c r="BB459" s="426"/>
      <c r="BF459" s="315"/>
      <c r="BG459" s="42"/>
    </row>
    <row r="460" spans="50:59" x14ac:dyDescent="0.2">
      <c r="AX460" s="315"/>
      <c r="AY460" s="326"/>
      <c r="AZ460" s="175"/>
      <c r="BA460" s="42"/>
      <c r="BB460" s="426"/>
      <c r="BF460" s="315"/>
      <c r="BG460" s="42"/>
    </row>
    <row r="461" spans="50:59" x14ac:dyDescent="0.2">
      <c r="AX461" s="315"/>
      <c r="AY461" s="326"/>
      <c r="AZ461" s="175"/>
      <c r="BA461" s="42"/>
      <c r="BB461" s="426"/>
      <c r="BF461" s="315"/>
      <c r="BG461" s="42"/>
    </row>
    <row r="462" spans="50:59" x14ac:dyDescent="0.2">
      <c r="AX462" s="315"/>
      <c r="AY462" s="326"/>
      <c r="AZ462" s="175"/>
      <c r="BA462" s="42"/>
      <c r="BB462" s="426"/>
      <c r="BF462" s="315"/>
      <c r="BG462" s="42"/>
    </row>
    <row r="463" spans="50:59" x14ac:dyDescent="0.2">
      <c r="AX463" s="315"/>
      <c r="AY463" s="326"/>
      <c r="AZ463" s="175"/>
      <c r="BA463" s="42"/>
      <c r="BB463" s="426"/>
      <c r="BF463" s="315"/>
      <c r="BG463" s="42"/>
    </row>
    <row r="464" spans="50:59" x14ac:dyDescent="0.2">
      <c r="AX464" s="315"/>
      <c r="AY464" s="326"/>
      <c r="AZ464" s="175"/>
      <c r="BA464" s="42"/>
      <c r="BB464" s="426"/>
      <c r="BF464" s="315"/>
      <c r="BG464" s="42"/>
    </row>
    <row r="465" spans="50:59" x14ac:dyDescent="0.2">
      <c r="AX465" s="315"/>
      <c r="AY465" s="326"/>
      <c r="AZ465" s="175"/>
      <c r="BA465" s="42"/>
      <c r="BB465" s="426"/>
      <c r="BF465" s="315"/>
      <c r="BG465" s="42"/>
    </row>
    <row r="466" spans="50:59" x14ac:dyDescent="0.2">
      <c r="AX466" s="315"/>
      <c r="AY466" s="326"/>
      <c r="AZ466" s="175"/>
      <c r="BA466" s="42"/>
      <c r="BB466" s="426"/>
      <c r="BF466" s="315"/>
      <c r="BG466" s="42"/>
    </row>
    <row r="467" spans="50:59" x14ac:dyDescent="0.2">
      <c r="AX467" s="315"/>
      <c r="AY467" s="326"/>
      <c r="AZ467" s="175"/>
      <c r="BA467" s="42"/>
      <c r="BB467" s="426"/>
      <c r="BF467" s="315"/>
      <c r="BG467" s="42"/>
    </row>
    <row r="468" spans="50:59" x14ac:dyDescent="0.2">
      <c r="AX468" s="315"/>
      <c r="AY468" s="326"/>
      <c r="AZ468" s="175"/>
      <c r="BA468" s="42"/>
      <c r="BB468" s="426"/>
      <c r="BF468" s="315"/>
      <c r="BG468" s="42"/>
    </row>
    <row r="469" spans="50:59" x14ac:dyDescent="0.2">
      <c r="AX469" s="315"/>
      <c r="AY469" s="326"/>
      <c r="AZ469" s="175"/>
      <c r="BA469" s="42"/>
      <c r="BB469" s="426"/>
      <c r="BF469" s="315"/>
      <c r="BG469" s="42"/>
    </row>
    <row r="470" spans="50:59" x14ac:dyDescent="0.2">
      <c r="AX470" s="315"/>
      <c r="AY470" s="326"/>
      <c r="AZ470" s="175"/>
      <c r="BA470" s="42"/>
      <c r="BB470" s="426"/>
      <c r="BF470" s="315"/>
      <c r="BG470" s="42"/>
    </row>
    <row r="471" spans="50:59" x14ac:dyDescent="0.2">
      <c r="AX471" s="315"/>
      <c r="AY471" s="326"/>
      <c r="AZ471" s="175"/>
      <c r="BA471" s="42"/>
      <c r="BB471" s="426"/>
      <c r="BF471" s="315"/>
      <c r="BG471" s="42"/>
    </row>
    <row r="472" spans="50:59" x14ac:dyDescent="0.2">
      <c r="AX472" s="315"/>
      <c r="AY472" s="326"/>
      <c r="AZ472" s="175"/>
      <c r="BA472" s="42"/>
      <c r="BB472" s="426"/>
      <c r="BF472" s="315"/>
      <c r="BG472" s="42"/>
    </row>
    <row r="473" spans="50:59" x14ac:dyDescent="0.2">
      <c r="AX473" s="315"/>
      <c r="AY473" s="326"/>
      <c r="AZ473" s="175"/>
      <c r="BA473" s="42"/>
      <c r="BB473" s="426"/>
      <c r="BF473" s="315"/>
      <c r="BG473" s="42"/>
    </row>
    <row r="474" spans="50:59" x14ac:dyDescent="0.2">
      <c r="AX474" s="315"/>
      <c r="AY474" s="326"/>
      <c r="AZ474" s="175"/>
      <c r="BA474" s="42"/>
      <c r="BB474" s="426"/>
      <c r="BF474" s="315"/>
      <c r="BG474" s="42"/>
    </row>
    <row r="475" spans="50:59" x14ac:dyDescent="0.2">
      <c r="AX475" s="315"/>
      <c r="AY475" s="326"/>
      <c r="AZ475" s="175"/>
      <c r="BA475" s="42"/>
      <c r="BB475" s="426"/>
      <c r="BF475" s="315"/>
      <c r="BG475" s="42"/>
    </row>
    <row r="476" spans="50:59" x14ac:dyDescent="0.2">
      <c r="AX476" s="315"/>
      <c r="AY476" s="326"/>
      <c r="AZ476" s="175"/>
      <c r="BA476" s="42"/>
      <c r="BB476" s="426"/>
      <c r="BF476" s="315"/>
      <c r="BG476" s="42"/>
    </row>
    <row r="477" spans="50:59" x14ac:dyDescent="0.2">
      <c r="AX477" s="315"/>
      <c r="AY477" s="326"/>
      <c r="AZ477" s="175"/>
      <c r="BA477" s="42"/>
      <c r="BB477" s="426"/>
      <c r="BF477" s="315"/>
      <c r="BG477" s="42"/>
    </row>
    <row r="478" spans="50:59" x14ac:dyDescent="0.2">
      <c r="AX478" s="315"/>
      <c r="AY478" s="326"/>
      <c r="AZ478" s="175"/>
      <c r="BA478" s="42"/>
      <c r="BB478" s="426"/>
      <c r="BF478" s="315"/>
      <c r="BG478" s="42"/>
    </row>
    <row r="479" spans="50:59" x14ac:dyDescent="0.2">
      <c r="AX479" s="315"/>
      <c r="AY479" s="326"/>
      <c r="AZ479" s="175"/>
      <c r="BA479" s="42"/>
      <c r="BB479" s="426"/>
      <c r="BF479" s="315"/>
      <c r="BG479" s="42"/>
    </row>
    <row r="480" spans="50:59" x14ac:dyDescent="0.2">
      <c r="AX480" s="315"/>
      <c r="AY480" s="326"/>
      <c r="AZ480" s="175"/>
      <c r="BA480" s="42"/>
      <c r="BB480" s="426"/>
      <c r="BF480" s="315"/>
      <c r="BG480" s="42"/>
    </row>
    <row r="481" spans="50:59" x14ac:dyDescent="0.2">
      <c r="AX481" s="315"/>
      <c r="AY481" s="326"/>
      <c r="AZ481" s="175"/>
      <c r="BA481" s="42"/>
      <c r="BB481" s="426"/>
      <c r="BF481" s="315"/>
      <c r="BG481" s="42"/>
    </row>
    <row r="482" spans="50:59" x14ac:dyDescent="0.2">
      <c r="AX482" s="315"/>
      <c r="AY482" s="326"/>
      <c r="AZ482" s="175"/>
      <c r="BA482" s="42"/>
      <c r="BB482" s="426"/>
      <c r="BF482" s="315"/>
      <c r="BG482" s="42"/>
    </row>
    <row r="483" spans="50:59" x14ac:dyDescent="0.2">
      <c r="AX483" s="315"/>
      <c r="AY483" s="326"/>
      <c r="AZ483" s="175"/>
      <c r="BA483" s="42"/>
      <c r="BB483" s="426"/>
      <c r="BF483" s="315"/>
      <c r="BG483" s="42"/>
    </row>
    <row r="484" spans="50:59" x14ac:dyDescent="0.2">
      <c r="AX484" s="315"/>
      <c r="AY484" s="326"/>
      <c r="AZ484" s="175"/>
      <c r="BA484" s="42"/>
      <c r="BB484" s="426"/>
      <c r="BF484" s="315"/>
      <c r="BG484" s="42"/>
    </row>
    <row r="485" spans="50:59" x14ac:dyDescent="0.2">
      <c r="AX485" s="315"/>
      <c r="AY485" s="326"/>
      <c r="AZ485" s="175"/>
      <c r="BA485" s="42"/>
      <c r="BB485" s="426"/>
      <c r="BF485" s="315"/>
      <c r="BG485" s="42"/>
    </row>
    <row r="486" spans="50:59" x14ac:dyDescent="0.2">
      <c r="AX486" s="315"/>
      <c r="AY486" s="326"/>
      <c r="AZ486" s="175"/>
      <c r="BA486" s="42"/>
      <c r="BB486" s="426"/>
      <c r="BF486" s="315"/>
      <c r="BG486" s="42"/>
    </row>
    <row r="487" spans="50:59" x14ac:dyDescent="0.2">
      <c r="AX487" s="315"/>
      <c r="AY487" s="326"/>
      <c r="AZ487" s="175"/>
      <c r="BA487" s="42"/>
      <c r="BB487" s="426"/>
      <c r="BF487" s="315"/>
      <c r="BG487" s="42"/>
    </row>
    <row r="488" spans="50:59" x14ac:dyDescent="0.2">
      <c r="AX488" s="315"/>
      <c r="AY488" s="326"/>
      <c r="AZ488" s="175"/>
      <c r="BA488" s="42"/>
      <c r="BB488" s="426"/>
      <c r="BF488" s="315"/>
      <c r="BG488" s="42"/>
    </row>
    <row r="489" spans="50:59" x14ac:dyDescent="0.2">
      <c r="AX489" s="315"/>
      <c r="AY489" s="326"/>
      <c r="AZ489" s="175"/>
      <c r="BA489" s="42"/>
      <c r="BB489" s="426"/>
      <c r="BF489" s="315"/>
      <c r="BG489" s="42"/>
    </row>
    <row r="490" spans="50:59" x14ac:dyDescent="0.2">
      <c r="AX490" s="315"/>
      <c r="AY490" s="326"/>
      <c r="AZ490" s="175"/>
      <c r="BA490" s="42"/>
      <c r="BB490" s="426"/>
      <c r="BF490" s="315"/>
      <c r="BG490" s="42"/>
    </row>
    <row r="491" spans="50:59" x14ac:dyDescent="0.2">
      <c r="AX491" s="315"/>
      <c r="AY491" s="326"/>
      <c r="AZ491" s="175"/>
      <c r="BA491" s="42"/>
      <c r="BB491" s="426"/>
      <c r="BF491" s="315"/>
      <c r="BG491" s="42"/>
    </row>
    <row r="492" spans="50:59" x14ac:dyDescent="0.2">
      <c r="AX492" s="315"/>
      <c r="AY492" s="326"/>
      <c r="AZ492" s="175"/>
      <c r="BA492" s="42"/>
      <c r="BB492" s="426"/>
      <c r="BF492" s="315"/>
      <c r="BG492" s="42"/>
    </row>
    <row r="493" spans="50:59" x14ac:dyDescent="0.2">
      <c r="AX493" s="315"/>
      <c r="AY493" s="326"/>
      <c r="AZ493" s="175"/>
      <c r="BA493" s="42"/>
      <c r="BB493" s="426"/>
      <c r="BF493" s="315"/>
      <c r="BG493" s="42"/>
    </row>
    <row r="494" spans="50:59" x14ac:dyDescent="0.2">
      <c r="AX494" s="315"/>
      <c r="AY494" s="326"/>
      <c r="AZ494" s="175"/>
      <c r="BA494" s="42"/>
      <c r="BB494" s="426"/>
      <c r="BF494" s="315"/>
      <c r="BG494" s="42"/>
    </row>
    <row r="495" spans="50:59" x14ac:dyDescent="0.2">
      <c r="AX495" s="315"/>
      <c r="AY495" s="326"/>
      <c r="AZ495" s="175"/>
      <c r="BA495" s="42"/>
      <c r="BB495" s="426"/>
      <c r="BF495" s="315"/>
      <c r="BG495" s="42"/>
    </row>
    <row r="496" spans="50:59" x14ac:dyDescent="0.2">
      <c r="AX496" s="315"/>
      <c r="AY496" s="326"/>
      <c r="AZ496" s="175"/>
      <c r="BA496" s="42"/>
      <c r="BB496" s="426"/>
      <c r="BF496" s="315"/>
      <c r="BG496" s="42"/>
    </row>
    <row r="497" spans="50:59" x14ac:dyDescent="0.2">
      <c r="AX497" s="315"/>
      <c r="AY497" s="326"/>
      <c r="AZ497" s="175"/>
      <c r="BA497" s="42"/>
      <c r="BB497" s="426"/>
      <c r="BF497" s="315"/>
      <c r="BG497" s="42"/>
    </row>
    <row r="498" spans="50:59" x14ac:dyDescent="0.2">
      <c r="AX498" s="315"/>
      <c r="AY498" s="326"/>
      <c r="AZ498" s="175"/>
      <c r="BA498" s="42"/>
      <c r="BB498" s="426"/>
      <c r="BF498" s="315"/>
      <c r="BG498" s="42"/>
    </row>
    <row r="499" spans="50:59" x14ac:dyDescent="0.2">
      <c r="AX499" s="315"/>
      <c r="AY499" s="326"/>
      <c r="AZ499" s="175"/>
      <c r="BA499" s="42"/>
      <c r="BB499" s="426"/>
      <c r="BF499" s="315"/>
      <c r="BG499" s="42"/>
    </row>
    <row r="500" spans="50:59" x14ac:dyDescent="0.2">
      <c r="AX500" s="315"/>
      <c r="AY500" s="326"/>
      <c r="AZ500" s="175"/>
      <c r="BA500" s="42"/>
      <c r="BB500" s="426"/>
      <c r="BF500" s="315"/>
      <c r="BG500" s="42"/>
    </row>
    <row r="501" spans="50:59" x14ac:dyDescent="0.2">
      <c r="AX501" s="315"/>
      <c r="AY501" s="326"/>
      <c r="AZ501" s="175"/>
      <c r="BA501" s="42"/>
      <c r="BB501" s="426"/>
      <c r="BF501" s="315"/>
      <c r="BG501" s="42"/>
    </row>
    <row r="502" spans="50:59" x14ac:dyDescent="0.2">
      <c r="AX502" s="315"/>
      <c r="AY502" s="326"/>
      <c r="AZ502" s="175"/>
      <c r="BA502" s="42"/>
      <c r="BB502" s="426"/>
      <c r="BF502" s="315"/>
      <c r="BG502" s="42"/>
    </row>
    <row r="503" spans="50:59" x14ac:dyDescent="0.2">
      <c r="AX503" s="315"/>
      <c r="AY503" s="326"/>
      <c r="AZ503" s="175"/>
      <c r="BA503" s="42"/>
      <c r="BB503" s="426"/>
      <c r="BF503" s="315"/>
      <c r="BG503" s="42"/>
    </row>
    <row r="504" spans="50:59" x14ac:dyDescent="0.2">
      <c r="AX504" s="315"/>
      <c r="AY504" s="326"/>
      <c r="AZ504" s="175"/>
      <c r="BA504" s="42"/>
      <c r="BB504" s="426"/>
      <c r="BF504" s="315"/>
      <c r="BG504" s="42"/>
    </row>
    <row r="505" spans="50:59" x14ac:dyDescent="0.2">
      <c r="AX505" s="315"/>
      <c r="AY505" s="326"/>
      <c r="AZ505" s="175"/>
      <c r="BA505" s="42"/>
      <c r="BB505" s="426"/>
      <c r="BF505" s="315"/>
      <c r="BG505" s="42"/>
    </row>
    <row r="506" spans="50:59" x14ac:dyDescent="0.2">
      <c r="AX506" s="315"/>
      <c r="AY506" s="326"/>
      <c r="AZ506" s="175"/>
      <c r="BA506" s="42"/>
      <c r="BB506" s="426"/>
      <c r="BF506" s="315"/>
      <c r="BG506" s="42"/>
    </row>
    <row r="507" spans="50:59" x14ac:dyDescent="0.2">
      <c r="AX507" s="315"/>
      <c r="AY507" s="326"/>
      <c r="AZ507" s="175"/>
      <c r="BA507" s="42"/>
      <c r="BB507" s="426"/>
      <c r="BF507" s="315"/>
      <c r="BG507" s="42"/>
    </row>
    <row r="508" spans="50:59" x14ac:dyDescent="0.2">
      <c r="AX508" s="315"/>
      <c r="AY508" s="326"/>
      <c r="AZ508" s="175"/>
      <c r="BA508" s="42"/>
      <c r="BB508" s="426"/>
      <c r="BF508" s="315"/>
      <c r="BG508" s="42"/>
    </row>
    <row r="509" spans="50:59" x14ac:dyDescent="0.2">
      <c r="AX509" s="315"/>
      <c r="AY509" s="326"/>
      <c r="AZ509" s="175"/>
      <c r="BA509" s="42"/>
      <c r="BB509" s="426"/>
      <c r="BF509" s="315"/>
      <c r="BG509" s="42"/>
    </row>
    <row r="510" spans="50:59" x14ac:dyDescent="0.2">
      <c r="AX510" s="315"/>
      <c r="AY510" s="326"/>
      <c r="AZ510" s="175"/>
      <c r="BA510" s="42"/>
      <c r="BB510" s="426"/>
      <c r="BF510" s="315"/>
      <c r="BG510" s="42"/>
    </row>
    <row r="511" spans="50:59" x14ac:dyDescent="0.2">
      <c r="AX511" s="315"/>
      <c r="AY511" s="326"/>
      <c r="AZ511" s="175"/>
      <c r="BA511" s="42"/>
      <c r="BB511" s="426"/>
      <c r="BF511" s="315"/>
      <c r="BG511" s="42"/>
    </row>
    <row r="512" spans="50:59" x14ac:dyDescent="0.2">
      <c r="AX512" s="315"/>
      <c r="AY512" s="326"/>
      <c r="AZ512" s="175"/>
      <c r="BA512" s="42"/>
      <c r="BB512" s="426"/>
      <c r="BF512" s="315"/>
      <c r="BG512" s="42"/>
    </row>
    <row r="513" spans="50:59" x14ac:dyDescent="0.2">
      <c r="AX513" s="315"/>
      <c r="AY513" s="326"/>
      <c r="AZ513" s="175"/>
      <c r="BA513" s="42"/>
      <c r="BB513" s="426"/>
      <c r="BF513" s="315"/>
      <c r="BG513" s="42"/>
    </row>
    <row r="514" spans="50:59" x14ac:dyDescent="0.2">
      <c r="AX514" s="315"/>
      <c r="AY514" s="326"/>
      <c r="AZ514" s="175"/>
      <c r="BA514" s="42"/>
      <c r="BB514" s="426"/>
      <c r="BF514" s="315"/>
      <c r="BG514" s="42"/>
    </row>
    <row r="515" spans="50:59" x14ac:dyDescent="0.2">
      <c r="AX515" s="315"/>
      <c r="AY515" s="326"/>
      <c r="AZ515" s="175"/>
      <c r="BA515" s="42"/>
      <c r="BB515" s="426"/>
      <c r="BF515" s="315"/>
      <c r="BG515" s="42"/>
    </row>
    <row r="516" spans="50:59" x14ac:dyDescent="0.2">
      <c r="AX516" s="315"/>
      <c r="AY516" s="326"/>
      <c r="AZ516" s="175"/>
      <c r="BA516" s="42"/>
      <c r="BB516" s="426"/>
      <c r="BF516" s="315"/>
      <c r="BG516" s="42"/>
    </row>
    <row r="517" spans="50:59" x14ac:dyDescent="0.2">
      <c r="AX517" s="315"/>
      <c r="AY517" s="326"/>
      <c r="AZ517" s="175"/>
      <c r="BA517" s="42"/>
      <c r="BB517" s="426"/>
      <c r="BF517" s="315"/>
      <c r="BG517" s="42"/>
    </row>
    <row r="518" spans="50:59" x14ac:dyDescent="0.2">
      <c r="AX518" s="315"/>
      <c r="AY518" s="326"/>
      <c r="AZ518" s="175"/>
      <c r="BA518" s="42"/>
      <c r="BB518" s="426"/>
      <c r="BF518" s="315"/>
      <c r="BG518" s="42"/>
    </row>
    <row r="519" spans="50:59" x14ac:dyDescent="0.2">
      <c r="AX519" s="315"/>
      <c r="AY519" s="326"/>
      <c r="AZ519" s="175"/>
      <c r="BA519" s="42"/>
      <c r="BB519" s="426"/>
      <c r="BF519" s="315"/>
      <c r="BG519" s="42"/>
    </row>
    <row r="520" spans="50:59" x14ac:dyDescent="0.2">
      <c r="AX520" s="315"/>
      <c r="AY520" s="326"/>
      <c r="AZ520" s="175"/>
      <c r="BA520" s="42"/>
      <c r="BB520" s="426"/>
      <c r="BF520" s="315"/>
      <c r="BG520" s="42"/>
    </row>
    <row r="521" spans="50:59" x14ac:dyDescent="0.2">
      <c r="AX521" s="315"/>
      <c r="AY521" s="326"/>
      <c r="AZ521" s="175"/>
      <c r="BA521" s="42"/>
      <c r="BB521" s="426"/>
      <c r="BF521" s="315"/>
      <c r="BG521" s="42"/>
    </row>
    <row r="522" spans="50:59" x14ac:dyDescent="0.2">
      <c r="AX522" s="315"/>
      <c r="AY522" s="326"/>
      <c r="AZ522" s="175"/>
      <c r="BA522" s="42"/>
      <c r="BB522" s="426"/>
      <c r="BF522" s="315"/>
      <c r="BG522" s="42"/>
    </row>
    <row r="523" spans="50:59" x14ac:dyDescent="0.2">
      <c r="AX523" s="315"/>
      <c r="AY523" s="326"/>
      <c r="AZ523" s="175"/>
      <c r="BA523" s="42"/>
      <c r="BB523" s="426"/>
      <c r="BF523" s="315"/>
      <c r="BG523" s="42"/>
    </row>
    <row r="524" spans="50:59" x14ac:dyDescent="0.2">
      <c r="AX524" s="315"/>
      <c r="AY524" s="326"/>
      <c r="AZ524" s="175"/>
      <c r="BA524" s="42"/>
      <c r="BB524" s="426"/>
      <c r="BF524" s="315"/>
      <c r="BG524" s="42"/>
    </row>
    <row r="525" spans="50:59" x14ac:dyDescent="0.2">
      <c r="AX525" s="315"/>
      <c r="AY525" s="326"/>
      <c r="AZ525" s="175"/>
      <c r="BA525" s="42"/>
      <c r="BB525" s="426"/>
      <c r="BF525" s="315"/>
      <c r="BG525" s="42"/>
    </row>
    <row r="526" spans="50:59" x14ac:dyDescent="0.2">
      <c r="AX526" s="315"/>
      <c r="AY526" s="326"/>
      <c r="AZ526" s="175"/>
      <c r="BA526" s="42"/>
      <c r="BB526" s="426"/>
      <c r="BF526" s="315"/>
      <c r="BG526" s="42"/>
    </row>
    <row r="527" spans="50:59" x14ac:dyDescent="0.2">
      <c r="AX527" s="315"/>
      <c r="AY527" s="326"/>
      <c r="AZ527" s="175"/>
      <c r="BA527" s="42"/>
      <c r="BB527" s="426"/>
      <c r="BF527" s="315"/>
      <c r="BG527" s="42"/>
    </row>
    <row r="528" spans="50:59" x14ac:dyDescent="0.2">
      <c r="AX528" s="315"/>
      <c r="AY528" s="326"/>
      <c r="AZ528" s="175"/>
      <c r="BA528" s="42"/>
      <c r="BB528" s="426"/>
      <c r="BF528" s="315"/>
      <c r="BG528" s="42"/>
    </row>
    <row r="529" spans="50:59" x14ac:dyDescent="0.2">
      <c r="AX529" s="315"/>
      <c r="AY529" s="326"/>
      <c r="AZ529" s="175"/>
      <c r="BA529" s="42"/>
      <c r="BB529" s="426"/>
      <c r="BF529" s="315"/>
      <c r="BG529" s="42"/>
    </row>
    <row r="530" spans="50:59" x14ac:dyDescent="0.2">
      <c r="AX530" s="315"/>
      <c r="AY530" s="326"/>
      <c r="AZ530" s="175"/>
      <c r="BA530" s="42"/>
      <c r="BB530" s="426"/>
      <c r="BF530" s="315"/>
      <c r="BG530" s="42"/>
    </row>
    <row r="531" spans="50:59" x14ac:dyDescent="0.2">
      <c r="AX531" s="315"/>
      <c r="AY531" s="326"/>
      <c r="AZ531" s="175"/>
      <c r="BA531" s="42"/>
      <c r="BB531" s="426"/>
      <c r="BF531" s="315"/>
      <c r="BG531" s="42"/>
    </row>
    <row r="532" spans="50:59" x14ac:dyDescent="0.2">
      <c r="AX532" s="315"/>
      <c r="AY532" s="326"/>
      <c r="AZ532" s="175"/>
      <c r="BA532" s="42"/>
      <c r="BB532" s="426"/>
      <c r="BF532" s="315"/>
      <c r="BG532" s="42"/>
    </row>
    <row r="533" spans="50:59" x14ac:dyDescent="0.2">
      <c r="AX533" s="315"/>
      <c r="AY533" s="326"/>
      <c r="AZ533" s="175"/>
      <c r="BA533" s="42"/>
      <c r="BB533" s="426"/>
      <c r="BF533" s="315"/>
      <c r="BG533" s="42"/>
    </row>
    <row r="534" spans="50:59" x14ac:dyDescent="0.2">
      <c r="AX534" s="315"/>
      <c r="AY534" s="326"/>
      <c r="AZ534" s="175"/>
      <c r="BA534" s="42"/>
      <c r="BB534" s="426"/>
      <c r="BF534" s="315"/>
      <c r="BG534" s="42"/>
    </row>
    <row r="535" spans="50:59" x14ac:dyDescent="0.2">
      <c r="AX535" s="315"/>
      <c r="AY535" s="326"/>
      <c r="AZ535" s="175"/>
      <c r="BA535" s="42"/>
      <c r="BB535" s="426"/>
      <c r="BF535" s="315"/>
      <c r="BG535" s="42"/>
    </row>
    <row r="536" spans="50:59" x14ac:dyDescent="0.2">
      <c r="AX536" s="315"/>
      <c r="AY536" s="326"/>
      <c r="AZ536" s="175"/>
      <c r="BA536" s="42"/>
      <c r="BB536" s="426"/>
      <c r="BF536" s="315"/>
      <c r="BG536" s="42"/>
    </row>
    <row r="537" spans="50:59" x14ac:dyDescent="0.2">
      <c r="AX537" s="315"/>
      <c r="AY537" s="326"/>
      <c r="AZ537" s="175"/>
      <c r="BA537" s="42"/>
      <c r="BB537" s="426"/>
      <c r="BF537" s="315"/>
      <c r="BG537" s="42"/>
    </row>
    <row r="538" spans="50:59" x14ac:dyDescent="0.2">
      <c r="AX538" s="315"/>
      <c r="AY538" s="326"/>
      <c r="AZ538" s="175"/>
      <c r="BA538" s="42"/>
      <c r="BB538" s="426"/>
      <c r="BF538" s="315"/>
      <c r="BG538" s="42"/>
    </row>
    <row r="539" spans="50:59" x14ac:dyDescent="0.2">
      <c r="AX539" s="315"/>
      <c r="AY539" s="326"/>
      <c r="AZ539" s="175"/>
      <c r="BA539" s="42"/>
      <c r="BB539" s="426"/>
      <c r="BF539" s="315"/>
      <c r="BG539" s="42"/>
    </row>
    <row r="540" spans="50:59" x14ac:dyDescent="0.2">
      <c r="AX540" s="315"/>
      <c r="AY540" s="326"/>
      <c r="AZ540" s="175"/>
      <c r="BA540" s="42"/>
      <c r="BB540" s="426"/>
      <c r="BF540" s="315"/>
      <c r="BG540" s="42"/>
    </row>
    <row r="541" spans="50:59" x14ac:dyDescent="0.2">
      <c r="AX541" s="315"/>
      <c r="AY541" s="326"/>
      <c r="AZ541" s="175"/>
      <c r="BA541" s="42"/>
      <c r="BB541" s="426"/>
      <c r="BF541" s="315"/>
      <c r="BG541" s="42"/>
    </row>
    <row r="542" spans="50:59" x14ac:dyDescent="0.2">
      <c r="AX542" s="315"/>
      <c r="AY542" s="326"/>
      <c r="AZ542" s="175"/>
      <c r="BA542" s="42"/>
      <c r="BB542" s="426"/>
      <c r="BF542" s="315"/>
      <c r="BG542" s="42"/>
    </row>
    <row r="543" spans="50:59" x14ac:dyDescent="0.2">
      <c r="AX543" s="315"/>
      <c r="AY543" s="326"/>
      <c r="AZ543" s="175"/>
      <c r="BA543" s="42"/>
      <c r="BB543" s="426"/>
      <c r="BF543" s="315"/>
      <c r="BG543" s="42"/>
    </row>
    <row r="544" spans="50:59" x14ac:dyDescent="0.2">
      <c r="AX544" s="315"/>
      <c r="AY544" s="326"/>
      <c r="AZ544" s="175"/>
      <c r="BA544" s="42"/>
      <c r="BB544" s="426"/>
      <c r="BF544" s="315"/>
      <c r="BG544" s="42"/>
    </row>
    <row r="545" spans="50:59" x14ac:dyDescent="0.2">
      <c r="AX545" s="315"/>
      <c r="AY545" s="326"/>
      <c r="AZ545" s="175"/>
      <c r="BA545" s="42"/>
      <c r="BB545" s="426"/>
      <c r="BF545" s="315"/>
      <c r="BG545" s="42"/>
    </row>
    <row r="546" spans="50:59" x14ac:dyDescent="0.2">
      <c r="AX546" s="315"/>
      <c r="AY546" s="326"/>
      <c r="AZ546" s="175"/>
      <c r="BA546" s="42"/>
      <c r="BB546" s="426"/>
      <c r="BF546" s="315"/>
      <c r="BG546" s="42"/>
    </row>
    <row r="547" spans="50:59" x14ac:dyDescent="0.2">
      <c r="AX547" s="315"/>
      <c r="AY547" s="326"/>
      <c r="AZ547" s="175"/>
      <c r="BA547" s="42"/>
      <c r="BB547" s="426"/>
      <c r="BF547" s="315"/>
      <c r="BG547" s="42"/>
    </row>
    <row r="548" spans="50:59" x14ac:dyDescent="0.2">
      <c r="AX548" s="315"/>
      <c r="AY548" s="326"/>
      <c r="AZ548" s="175"/>
      <c r="BA548" s="42"/>
      <c r="BB548" s="426"/>
      <c r="BF548" s="315"/>
      <c r="BG548" s="42"/>
    </row>
    <row r="549" spans="50:59" x14ac:dyDescent="0.2">
      <c r="AX549" s="315"/>
      <c r="AY549" s="326"/>
      <c r="AZ549" s="175"/>
      <c r="BA549" s="42"/>
      <c r="BB549" s="426"/>
      <c r="BF549" s="315"/>
      <c r="BG549" s="42"/>
    </row>
    <row r="550" spans="50:59" x14ac:dyDescent="0.2">
      <c r="AX550" s="315"/>
      <c r="AY550" s="326"/>
      <c r="AZ550" s="175"/>
      <c r="BA550" s="42"/>
      <c r="BB550" s="426"/>
      <c r="BF550" s="315"/>
      <c r="BG550" s="42"/>
    </row>
    <row r="551" spans="50:59" x14ac:dyDescent="0.2">
      <c r="AX551" s="315"/>
      <c r="AY551" s="326"/>
      <c r="AZ551" s="175"/>
      <c r="BA551" s="42"/>
      <c r="BB551" s="426"/>
      <c r="BF551" s="315"/>
      <c r="BG551" s="42"/>
    </row>
    <row r="552" spans="50:59" x14ac:dyDescent="0.2">
      <c r="AX552" s="315"/>
      <c r="AY552" s="326"/>
      <c r="AZ552" s="175"/>
      <c r="BA552" s="42"/>
      <c r="BB552" s="426"/>
      <c r="BF552" s="315"/>
      <c r="BG552" s="42"/>
    </row>
    <row r="553" spans="50:59" x14ac:dyDescent="0.2">
      <c r="AX553" s="315"/>
      <c r="AY553" s="326"/>
      <c r="AZ553" s="175"/>
      <c r="BA553" s="42"/>
      <c r="BB553" s="426"/>
      <c r="BF553" s="315"/>
      <c r="BG553" s="42"/>
    </row>
    <row r="554" spans="50:59" x14ac:dyDescent="0.2">
      <c r="AX554" s="315"/>
      <c r="AY554" s="326"/>
      <c r="AZ554" s="175"/>
      <c r="BA554" s="42"/>
      <c r="BB554" s="426"/>
      <c r="BF554" s="315"/>
      <c r="BG554" s="42"/>
    </row>
    <row r="555" spans="50:59" x14ac:dyDescent="0.2">
      <c r="AX555" s="315"/>
      <c r="AY555" s="326"/>
      <c r="AZ555" s="175"/>
      <c r="BA555" s="42"/>
      <c r="BB555" s="426"/>
      <c r="BF555" s="315"/>
      <c r="BG555" s="42"/>
    </row>
    <row r="556" spans="50:59" x14ac:dyDescent="0.2">
      <c r="AX556" s="315"/>
      <c r="AY556" s="326"/>
      <c r="AZ556" s="175"/>
      <c r="BA556" s="42"/>
      <c r="BB556" s="426"/>
      <c r="BF556" s="315"/>
      <c r="BG556" s="42"/>
    </row>
    <row r="557" spans="50:59" x14ac:dyDescent="0.2">
      <c r="AX557" s="315"/>
      <c r="AY557" s="326"/>
      <c r="AZ557" s="175"/>
      <c r="BA557" s="42"/>
      <c r="BB557" s="426"/>
      <c r="BF557" s="315"/>
      <c r="BG557" s="42"/>
    </row>
    <row r="558" spans="50:59" x14ac:dyDescent="0.2">
      <c r="AX558" s="315"/>
      <c r="AY558" s="326"/>
      <c r="AZ558" s="175"/>
      <c r="BA558" s="42"/>
      <c r="BB558" s="426"/>
      <c r="BF558" s="315"/>
      <c r="BG558" s="42"/>
    </row>
    <row r="559" spans="50:59" x14ac:dyDescent="0.2">
      <c r="AX559" s="315"/>
      <c r="AY559" s="326"/>
      <c r="AZ559" s="175"/>
      <c r="BA559" s="42"/>
      <c r="BB559" s="426"/>
      <c r="BF559" s="315"/>
      <c r="BG559" s="42"/>
    </row>
    <row r="560" spans="50:59" x14ac:dyDescent="0.2">
      <c r="AX560" s="315"/>
      <c r="AY560" s="326"/>
      <c r="AZ560" s="175"/>
      <c r="BA560" s="42"/>
      <c r="BB560" s="426"/>
      <c r="BF560" s="315"/>
      <c r="BG560" s="42"/>
    </row>
    <row r="561" spans="50:59" x14ac:dyDescent="0.2">
      <c r="AX561" s="315"/>
      <c r="AY561" s="326"/>
      <c r="AZ561" s="175"/>
      <c r="BA561" s="42"/>
      <c r="BB561" s="426"/>
      <c r="BF561" s="315"/>
      <c r="BG561" s="42"/>
    </row>
    <row r="562" spans="50:59" x14ac:dyDescent="0.2">
      <c r="AX562" s="315"/>
      <c r="AY562" s="326"/>
      <c r="AZ562" s="175"/>
      <c r="BA562" s="42"/>
      <c r="BB562" s="426"/>
      <c r="BF562" s="315"/>
      <c r="BG562" s="42"/>
    </row>
    <row r="563" spans="50:59" x14ac:dyDescent="0.2">
      <c r="AX563" s="315"/>
      <c r="AY563" s="326"/>
      <c r="AZ563" s="175"/>
      <c r="BA563" s="42"/>
      <c r="BB563" s="426"/>
      <c r="BF563" s="315"/>
      <c r="BG563" s="42"/>
    </row>
    <row r="564" spans="50:59" x14ac:dyDescent="0.2">
      <c r="AX564" s="315"/>
      <c r="AY564" s="326"/>
      <c r="AZ564" s="175"/>
      <c r="BA564" s="42"/>
      <c r="BB564" s="426"/>
      <c r="BF564" s="315"/>
      <c r="BG564" s="42"/>
    </row>
    <row r="565" spans="50:59" x14ac:dyDescent="0.2">
      <c r="AX565" s="315"/>
      <c r="AY565" s="326"/>
      <c r="AZ565" s="175"/>
      <c r="BA565" s="42"/>
      <c r="BB565" s="426"/>
      <c r="BF565" s="315"/>
      <c r="BG565" s="42"/>
    </row>
    <row r="566" spans="50:59" x14ac:dyDescent="0.2">
      <c r="AX566" s="315"/>
      <c r="AY566" s="326"/>
      <c r="AZ566" s="175"/>
      <c r="BA566" s="42"/>
      <c r="BB566" s="426"/>
      <c r="BF566" s="315"/>
      <c r="BG566" s="42"/>
    </row>
    <row r="567" spans="50:59" x14ac:dyDescent="0.2">
      <c r="AX567" s="315"/>
      <c r="AY567" s="326"/>
      <c r="AZ567" s="175"/>
      <c r="BA567" s="42"/>
      <c r="BB567" s="426"/>
      <c r="BF567" s="315"/>
      <c r="BG567" s="42"/>
    </row>
    <row r="568" spans="50:59" x14ac:dyDescent="0.2">
      <c r="AX568" s="315"/>
      <c r="AY568" s="326"/>
      <c r="AZ568" s="175"/>
      <c r="BA568" s="42"/>
      <c r="BB568" s="426"/>
      <c r="BF568" s="315"/>
      <c r="BG568" s="42"/>
    </row>
    <row r="569" spans="50:59" x14ac:dyDescent="0.2">
      <c r="AX569" s="315"/>
      <c r="AY569" s="326"/>
      <c r="AZ569" s="175"/>
      <c r="BA569" s="42"/>
      <c r="BB569" s="426"/>
      <c r="BF569" s="315"/>
      <c r="BG569" s="42"/>
    </row>
    <row r="570" spans="50:59" x14ac:dyDescent="0.2">
      <c r="AX570" s="315"/>
      <c r="AY570" s="326"/>
      <c r="AZ570" s="175"/>
      <c r="BA570" s="42"/>
      <c r="BB570" s="426"/>
      <c r="BF570" s="315"/>
      <c r="BG570" s="42"/>
    </row>
    <row r="571" spans="50:59" x14ac:dyDescent="0.2">
      <c r="AX571" s="315"/>
      <c r="AY571" s="326"/>
      <c r="AZ571" s="175"/>
      <c r="BA571" s="42"/>
      <c r="BB571" s="426"/>
      <c r="BF571" s="315"/>
      <c r="BG571" s="42"/>
    </row>
    <row r="572" spans="50:59" x14ac:dyDescent="0.2">
      <c r="AX572" s="315"/>
      <c r="AY572" s="326"/>
      <c r="AZ572" s="175"/>
      <c r="BA572" s="42"/>
      <c r="BB572" s="426"/>
      <c r="BF572" s="315"/>
      <c r="BG572" s="42"/>
    </row>
    <row r="573" spans="50:59" x14ac:dyDescent="0.2">
      <c r="AX573" s="315"/>
      <c r="AY573" s="326"/>
      <c r="AZ573" s="175"/>
      <c r="BA573" s="42"/>
      <c r="BB573" s="426"/>
      <c r="BF573" s="315"/>
      <c r="BG573" s="42"/>
    </row>
    <row r="574" spans="50:59" x14ac:dyDescent="0.2">
      <c r="AX574" s="315"/>
      <c r="AY574" s="326"/>
      <c r="AZ574" s="175"/>
      <c r="BA574" s="42"/>
      <c r="BB574" s="426"/>
      <c r="BF574" s="315"/>
      <c r="BG574" s="42"/>
    </row>
    <row r="575" spans="50:59" x14ac:dyDescent="0.2">
      <c r="AX575" s="315"/>
      <c r="AY575" s="326"/>
      <c r="AZ575" s="175"/>
      <c r="BA575" s="42"/>
      <c r="BB575" s="426"/>
      <c r="BF575" s="315"/>
      <c r="BG575" s="42"/>
    </row>
    <row r="576" spans="50:59" x14ac:dyDescent="0.2">
      <c r="AX576" s="315"/>
      <c r="AY576" s="326"/>
      <c r="AZ576" s="175"/>
      <c r="BA576" s="42"/>
      <c r="BB576" s="426"/>
      <c r="BF576" s="315"/>
      <c r="BG576" s="42"/>
    </row>
    <row r="577" spans="50:59" x14ac:dyDescent="0.2">
      <c r="AX577" s="315"/>
      <c r="AY577" s="326"/>
      <c r="AZ577" s="175"/>
      <c r="BA577" s="42"/>
      <c r="BB577" s="426"/>
      <c r="BF577" s="315"/>
      <c r="BG577" s="42"/>
    </row>
    <row r="578" spans="50:59" x14ac:dyDescent="0.2">
      <c r="AX578" s="315"/>
      <c r="AY578" s="326"/>
      <c r="AZ578" s="175"/>
      <c r="BA578" s="42"/>
      <c r="BB578" s="426"/>
      <c r="BF578" s="315"/>
      <c r="BG578" s="42"/>
    </row>
    <row r="579" spans="50:59" x14ac:dyDescent="0.2">
      <c r="AX579" s="315"/>
      <c r="AY579" s="326"/>
      <c r="AZ579" s="175"/>
      <c r="BA579" s="42"/>
      <c r="BB579" s="426"/>
      <c r="BF579" s="315"/>
      <c r="BG579" s="42"/>
    </row>
    <row r="580" spans="50:59" x14ac:dyDescent="0.2">
      <c r="AX580" s="315"/>
      <c r="AY580" s="326"/>
      <c r="AZ580" s="175"/>
      <c r="BA580" s="42"/>
      <c r="BB580" s="426"/>
      <c r="BF580" s="315"/>
      <c r="BG580" s="42"/>
    </row>
    <row r="581" spans="50:59" x14ac:dyDescent="0.2">
      <c r="AX581" s="315"/>
      <c r="AY581" s="326"/>
      <c r="AZ581" s="175"/>
      <c r="BA581" s="42"/>
      <c r="BB581" s="426"/>
      <c r="BF581" s="315"/>
      <c r="BG581" s="42"/>
    </row>
    <row r="582" spans="50:59" x14ac:dyDescent="0.2">
      <c r="AX582" s="315"/>
      <c r="AY582" s="326"/>
      <c r="AZ582" s="175"/>
      <c r="BA582" s="42"/>
      <c r="BB582" s="426"/>
      <c r="BF582" s="315"/>
      <c r="BG582" s="42"/>
    </row>
    <row r="583" spans="50:59" x14ac:dyDescent="0.2">
      <c r="AX583" s="315"/>
      <c r="AY583" s="326"/>
      <c r="AZ583" s="175"/>
      <c r="BA583" s="42"/>
      <c r="BB583" s="426"/>
      <c r="BF583" s="315"/>
      <c r="BG583" s="42"/>
    </row>
    <row r="584" spans="50:59" x14ac:dyDescent="0.2">
      <c r="AX584" s="315"/>
      <c r="AY584" s="326"/>
      <c r="AZ584" s="175"/>
      <c r="BA584" s="42"/>
      <c r="BB584" s="426"/>
      <c r="BF584" s="315"/>
      <c r="BG584" s="42"/>
    </row>
    <row r="585" spans="50:59" x14ac:dyDescent="0.2">
      <c r="AX585" s="315"/>
      <c r="AY585" s="326"/>
      <c r="AZ585" s="175"/>
      <c r="BA585" s="42"/>
      <c r="BB585" s="426"/>
      <c r="BF585" s="315"/>
      <c r="BG585" s="42"/>
    </row>
    <row r="586" spans="50:59" x14ac:dyDescent="0.2">
      <c r="AX586" s="315"/>
      <c r="AY586" s="326"/>
      <c r="AZ586" s="175"/>
      <c r="BA586" s="42"/>
      <c r="BB586" s="426"/>
      <c r="BF586" s="315"/>
      <c r="BG586" s="42"/>
    </row>
    <row r="587" spans="50:59" x14ac:dyDescent="0.2">
      <c r="AX587" s="315"/>
      <c r="AY587" s="326"/>
      <c r="AZ587" s="175"/>
      <c r="BA587" s="42"/>
      <c r="BB587" s="426"/>
      <c r="BF587" s="315"/>
      <c r="BG587" s="42"/>
    </row>
    <row r="588" spans="50:59" x14ac:dyDescent="0.2">
      <c r="AX588" s="315"/>
      <c r="AY588" s="326"/>
      <c r="AZ588" s="175"/>
      <c r="BA588" s="42"/>
      <c r="BB588" s="426"/>
      <c r="BF588" s="315"/>
      <c r="BG588" s="42"/>
    </row>
    <row r="589" spans="50:59" x14ac:dyDescent="0.2">
      <c r="AX589" s="315"/>
      <c r="AY589" s="326"/>
      <c r="AZ589" s="175"/>
      <c r="BA589" s="42"/>
      <c r="BB589" s="426"/>
      <c r="BF589" s="315"/>
      <c r="BG589" s="42"/>
    </row>
    <row r="590" spans="50:59" x14ac:dyDescent="0.2">
      <c r="AX590" s="315"/>
      <c r="AY590" s="326"/>
      <c r="AZ590" s="175"/>
      <c r="BA590" s="42"/>
      <c r="BB590" s="426"/>
      <c r="BF590" s="315"/>
      <c r="BG590" s="42"/>
    </row>
    <row r="591" spans="50:59" x14ac:dyDescent="0.2">
      <c r="AX591" s="315"/>
      <c r="AY591" s="326"/>
      <c r="AZ591" s="175"/>
      <c r="BA591" s="42"/>
      <c r="BB591" s="426"/>
      <c r="BF591" s="315"/>
      <c r="BG591" s="42"/>
    </row>
    <row r="592" spans="50:59" x14ac:dyDescent="0.2">
      <c r="AX592" s="315"/>
      <c r="AY592" s="326"/>
      <c r="AZ592" s="175"/>
      <c r="BA592" s="42"/>
      <c r="BB592" s="426"/>
      <c r="BF592" s="315"/>
      <c r="BG592" s="42"/>
    </row>
    <row r="593" spans="50:59" x14ac:dyDescent="0.2">
      <c r="AX593" s="315"/>
      <c r="AY593" s="326"/>
      <c r="AZ593" s="175"/>
      <c r="BA593" s="42"/>
      <c r="BB593" s="426"/>
      <c r="BF593" s="315"/>
      <c r="BG593" s="42"/>
    </row>
    <row r="594" spans="50:59" x14ac:dyDescent="0.2">
      <c r="AX594" s="315"/>
      <c r="AY594" s="326"/>
      <c r="AZ594" s="175"/>
      <c r="BA594" s="42"/>
      <c r="BB594" s="426"/>
      <c r="BF594" s="315"/>
      <c r="BG594" s="42"/>
    </row>
    <row r="595" spans="50:59" x14ac:dyDescent="0.2">
      <c r="AX595" s="315"/>
      <c r="AY595" s="326"/>
      <c r="AZ595" s="175"/>
      <c r="BA595" s="42"/>
      <c r="BB595" s="426"/>
      <c r="BF595" s="315"/>
      <c r="BG595" s="42"/>
    </row>
    <row r="596" spans="50:59" x14ac:dyDescent="0.2">
      <c r="AX596" s="315"/>
      <c r="AY596" s="326"/>
      <c r="AZ596" s="175"/>
      <c r="BA596" s="42"/>
      <c r="BB596" s="426"/>
      <c r="BF596" s="315"/>
      <c r="BG596" s="42"/>
    </row>
    <row r="597" spans="50:59" x14ac:dyDescent="0.2">
      <c r="AX597" s="315"/>
      <c r="AY597" s="326"/>
      <c r="AZ597" s="175"/>
      <c r="BA597" s="42"/>
      <c r="BB597" s="426"/>
      <c r="BF597" s="315"/>
      <c r="BG597" s="42"/>
    </row>
    <row r="598" spans="50:59" x14ac:dyDescent="0.2">
      <c r="AX598" s="315"/>
      <c r="AY598" s="326"/>
      <c r="AZ598" s="175"/>
      <c r="BA598" s="42"/>
      <c r="BB598" s="426"/>
      <c r="BF598" s="315"/>
      <c r="BG598" s="42"/>
    </row>
    <row r="599" spans="50:59" x14ac:dyDescent="0.2">
      <c r="AX599" s="315"/>
      <c r="AY599" s="326"/>
      <c r="AZ599" s="175"/>
      <c r="BA599" s="42"/>
      <c r="BB599" s="426"/>
      <c r="BF599" s="315"/>
      <c r="BG599" s="42"/>
    </row>
    <row r="600" spans="50:59" x14ac:dyDescent="0.2">
      <c r="AX600" s="315"/>
      <c r="AY600" s="326"/>
      <c r="AZ600" s="175"/>
      <c r="BA600" s="42"/>
      <c r="BB600" s="426"/>
      <c r="BF600" s="315"/>
      <c r="BG600" s="42"/>
    </row>
    <row r="601" spans="50:59" x14ac:dyDescent="0.2">
      <c r="AX601" s="315"/>
      <c r="AY601" s="326"/>
      <c r="AZ601" s="175"/>
      <c r="BA601" s="42"/>
      <c r="BB601" s="426"/>
      <c r="BF601" s="315"/>
      <c r="BG601" s="42"/>
    </row>
    <row r="602" spans="50:59" x14ac:dyDescent="0.2">
      <c r="AX602" s="315"/>
      <c r="AY602" s="326"/>
      <c r="AZ602" s="175"/>
      <c r="BA602" s="42"/>
      <c r="BB602" s="426"/>
      <c r="BF602" s="315"/>
      <c r="BG602" s="42"/>
    </row>
    <row r="603" spans="50:59" x14ac:dyDescent="0.2">
      <c r="AX603" s="315"/>
      <c r="AY603" s="326"/>
      <c r="AZ603" s="175"/>
      <c r="BA603" s="42"/>
      <c r="BB603" s="426"/>
      <c r="BF603" s="315"/>
      <c r="BG603" s="42"/>
    </row>
    <row r="604" spans="50:59" x14ac:dyDescent="0.2">
      <c r="AX604" s="315"/>
      <c r="AY604" s="326"/>
      <c r="AZ604" s="175"/>
      <c r="BA604" s="42"/>
      <c r="BB604" s="426"/>
      <c r="BF604" s="315"/>
      <c r="BG604" s="42"/>
    </row>
    <row r="605" spans="50:59" x14ac:dyDescent="0.2">
      <c r="AX605" s="315"/>
      <c r="AY605" s="326"/>
      <c r="AZ605" s="175"/>
      <c r="BA605" s="42"/>
      <c r="BB605" s="426"/>
      <c r="BF605" s="315"/>
      <c r="BG605" s="42"/>
    </row>
    <row r="606" spans="50:59" x14ac:dyDescent="0.2">
      <c r="AX606" s="315"/>
      <c r="AY606" s="326"/>
      <c r="AZ606" s="175"/>
      <c r="BA606" s="42"/>
      <c r="BB606" s="426"/>
      <c r="BF606" s="315"/>
      <c r="BG606" s="42"/>
    </row>
    <row r="607" spans="50:59" x14ac:dyDescent="0.2">
      <c r="AX607" s="315"/>
      <c r="AY607" s="326"/>
      <c r="AZ607" s="175"/>
      <c r="BA607" s="42"/>
      <c r="BB607" s="426"/>
      <c r="BF607" s="315"/>
      <c r="BG607" s="42"/>
    </row>
    <row r="608" spans="50:59" x14ac:dyDescent="0.2">
      <c r="AX608" s="315"/>
      <c r="AY608" s="326"/>
      <c r="AZ608" s="175"/>
      <c r="BA608" s="42"/>
      <c r="BB608" s="426"/>
      <c r="BF608" s="315"/>
      <c r="BG608" s="42"/>
    </row>
    <row r="609" spans="50:59" x14ac:dyDescent="0.2">
      <c r="AX609" s="315"/>
      <c r="AY609" s="326"/>
      <c r="AZ609" s="175"/>
      <c r="BA609" s="42"/>
      <c r="BB609" s="426"/>
      <c r="BF609" s="315"/>
      <c r="BG609" s="42"/>
    </row>
    <row r="610" spans="50:59" x14ac:dyDescent="0.2">
      <c r="AX610" s="315"/>
      <c r="AY610" s="326"/>
      <c r="AZ610" s="175"/>
      <c r="BA610" s="42"/>
      <c r="BB610" s="426"/>
      <c r="BF610" s="315"/>
      <c r="BG610" s="42"/>
    </row>
    <row r="611" spans="50:59" x14ac:dyDescent="0.2">
      <c r="AX611" s="315"/>
      <c r="AY611" s="326"/>
      <c r="AZ611" s="175"/>
      <c r="BA611" s="42"/>
      <c r="BB611" s="426"/>
      <c r="BF611" s="315"/>
      <c r="BG611" s="42"/>
    </row>
    <row r="612" spans="50:59" x14ac:dyDescent="0.2">
      <c r="AX612" s="315"/>
      <c r="AY612" s="326"/>
      <c r="AZ612" s="175"/>
      <c r="BA612" s="42"/>
      <c r="BB612" s="426"/>
      <c r="BF612" s="315"/>
      <c r="BG612" s="42"/>
    </row>
    <row r="613" spans="50:59" x14ac:dyDescent="0.2">
      <c r="AX613" s="315"/>
      <c r="AY613" s="326"/>
      <c r="AZ613" s="175"/>
      <c r="BA613" s="42"/>
      <c r="BB613" s="426"/>
      <c r="BF613" s="315"/>
      <c r="BG613" s="42"/>
    </row>
    <row r="614" spans="50:59" x14ac:dyDescent="0.2">
      <c r="AX614" s="315"/>
      <c r="AY614" s="326"/>
      <c r="AZ614" s="175"/>
      <c r="BA614" s="42"/>
      <c r="BB614" s="426"/>
      <c r="BF614" s="315"/>
      <c r="BG614" s="42"/>
    </row>
    <row r="615" spans="50:59" x14ac:dyDescent="0.2">
      <c r="AX615" s="315"/>
      <c r="AY615" s="326"/>
      <c r="AZ615" s="175"/>
      <c r="BA615" s="42"/>
      <c r="BB615" s="426"/>
      <c r="BF615" s="315"/>
      <c r="BG615" s="42"/>
    </row>
    <row r="616" spans="50:59" x14ac:dyDescent="0.2">
      <c r="AX616" s="315"/>
      <c r="AY616" s="326"/>
      <c r="AZ616" s="175"/>
      <c r="BA616" s="42"/>
      <c r="BB616" s="426"/>
      <c r="BF616" s="315"/>
      <c r="BG616" s="42"/>
    </row>
    <row r="617" spans="50:59" x14ac:dyDescent="0.2">
      <c r="AX617" s="315"/>
      <c r="AY617" s="326"/>
      <c r="AZ617" s="175"/>
      <c r="BA617" s="42"/>
      <c r="BB617" s="426"/>
      <c r="BF617" s="315"/>
      <c r="BG617" s="42"/>
    </row>
    <row r="618" spans="50:59" x14ac:dyDescent="0.2">
      <c r="AX618" s="315"/>
      <c r="AY618" s="326"/>
      <c r="AZ618" s="175"/>
      <c r="BA618" s="42"/>
      <c r="BB618" s="426"/>
      <c r="BF618" s="315"/>
      <c r="BG618" s="42"/>
    </row>
    <row r="619" spans="50:59" x14ac:dyDescent="0.2">
      <c r="AX619" s="315"/>
      <c r="AY619" s="326"/>
      <c r="AZ619" s="175"/>
      <c r="BA619" s="42"/>
      <c r="BB619" s="426"/>
      <c r="BF619" s="315"/>
      <c r="BG619" s="42"/>
    </row>
    <row r="620" spans="50:59" x14ac:dyDescent="0.2">
      <c r="AX620" s="315"/>
      <c r="AY620" s="326"/>
      <c r="AZ620" s="175"/>
      <c r="BA620" s="42"/>
      <c r="BB620" s="426"/>
      <c r="BF620" s="315"/>
      <c r="BG620" s="42"/>
    </row>
    <row r="621" spans="50:59" x14ac:dyDescent="0.2">
      <c r="AX621" s="315"/>
      <c r="AY621" s="326"/>
      <c r="AZ621" s="175"/>
      <c r="BA621" s="42"/>
      <c r="BB621" s="426"/>
      <c r="BF621" s="315"/>
      <c r="BG621" s="42"/>
    </row>
    <row r="622" spans="50:59" x14ac:dyDescent="0.2">
      <c r="AX622" s="315"/>
      <c r="AY622" s="326"/>
      <c r="AZ622" s="175"/>
      <c r="BA622" s="42"/>
      <c r="BB622" s="426"/>
      <c r="BF622" s="315"/>
      <c r="BG622" s="42"/>
    </row>
    <row r="623" spans="50:59" x14ac:dyDescent="0.2">
      <c r="AX623" s="315"/>
      <c r="AY623" s="326"/>
      <c r="AZ623" s="175"/>
      <c r="BA623" s="42"/>
      <c r="BB623" s="426"/>
      <c r="BF623" s="315"/>
      <c r="BG623" s="42"/>
    </row>
    <row r="624" spans="50:59" x14ac:dyDescent="0.2">
      <c r="AX624" s="315"/>
      <c r="AY624" s="326"/>
      <c r="AZ624" s="175"/>
      <c r="BA624" s="42"/>
      <c r="BB624" s="426"/>
      <c r="BF624" s="315"/>
      <c r="BG624" s="42"/>
    </row>
    <row r="625" spans="50:59" x14ac:dyDescent="0.2">
      <c r="AX625" s="315"/>
      <c r="AY625" s="326"/>
      <c r="AZ625" s="175"/>
      <c r="BA625" s="42"/>
      <c r="BB625" s="426"/>
      <c r="BF625" s="315"/>
      <c r="BG625" s="42"/>
    </row>
    <row r="626" spans="50:59" x14ac:dyDescent="0.2">
      <c r="AX626" s="315"/>
      <c r="AY626" s="326"/>
      <c r="AZ626" s="175"/>
      <c r="BA626" s="42"/>
      <c r="BB626" s="426"/>
      <c r="BF626" s="315"/>
      <c r="BG626" s="42"/>
    </row>
    <row r="627" spans="50:59" x14ac:dyDescent="0.2">
      <c r="AX627" s="315"/>
      <c r="AY627" s="326"/>
      <c r="AZ627" s="175"/>
      <c r="BA627" s="42"/>
      <c r="BB627" s="426"/>
      <c r="BF627" s="315"/>
      <c r="BG627" s="42"/>
    </row>
    <row r="628" spans="50:59" x14ac:dyDescent="0.2">
      <c r="AX628" s="315"/>
      <c r="AY628" s="326"/>
      <c r="AZ628" s="175"/>
      <c r="BA628" s="42"/>
      <c r="BB628" s="426"/>
      <c r="BF628" s="315"/>
      <c r="BG628" s="42"/>
    </row>
    <row r="629" spans="50:59" x14ac:dyDescent="0.2">
      <c r="AX629" s="315"/>
      <c r="AY629" s="326"/>
      <c r="AZ629" s="175"/>
      <c r="BA629" s="42"/>
      <c r="BB629" s="426"/>
      <c r="BF629" s="315"/>
      <c r="BG629" s="42"/>
    </row>
    <row r="630" spans="50:59" x14ac:dyDescent="0.2">
      <c r="AX630" s="315"/>
      <c r="AY630" s="326"/>
      <c r="AZ630" s="175"/>
      <c r="BA630" s="42"/>
      <c r="BB630" s="426"/>
      <c r="BF630" s="315"/>
      <c r="BG630" s="42"/>
    </row>
    <row r="631" spans="50:59" x14ac:dyDescent="0.2">
      <c r="AX631" s="315"/>
      <c r="AY631" s="326"/>
      <c r="AZ631" s="175"/>
      <c r="BA631" s="42"/>
      <c r="BB631" s="426"/>
      <c r="BF631" s="315"/>
      <c r="BG631" s="42"/>
    </row>
    <row r="632" spans="50:59" x14ac:dyDescent="0.2">
      <c r="AX632" s="315"/>
      <c r="AY632" s="326"/>
      <c r="AZ632" s="175"/>
      <c r="BA632" s="42"/>
      <c r="BB632" s="426"/>
      <c r="BF632" s="315"/>
      <c r="BG632" s="42"/>
    </row>
    <row r="633" spans="50:59" x14ac:dyDescent="0.2">
      <c r="AX633" s="315"/>
      <c r="AY633" s="326"/>
      <c r="AZ633" s="175"/>
      <c r="BA633" s="42"/>
      <c r="BB633" s="426"/>
      <c r="BF633" s="315"/>
      <c r="BG633" s="42"/>
    </row>
    <row r="634" spans="50:59" x14ac:dyDescent="0.2">
      <c r="AX634" s="315"/>
      <c r="AY634" s="326"/>
      <c r="AZ634" s="175"/>
      <c r="BA634" s="42"/>
      <c r="BB634" s="426"/>
      <c r="BF634" s="315"/>
      <c r="BG634" s="42"/>
    </row>
    <row r="635" spans="50:59" x14ac:dyDescent="0.2">
      <c r="AX635" s="315"/>
      <c r="AY635" s="326"/>
      <c r="AZ635" s="175"/>
      <c r="BA635" s="42"/>
      <c r="BB635" s="426"/>
      <c r="BF635" s="315"/>
      <c r="BG635" s="42"/>
    </row>
    <row r="636" spans="50:59" x14ac:dyDescent="0.2">
      <c r="AX636" s="315"/>
      <c r="AY636" s="326"/>
      <c r="AZ636" s="175"/>
      <c r="BA636" s="42"/>
      <c r="BB636" s="426"/>
      <c r="BF636" s="315"/>
      <c r="BG636" s="42"/>
    </row>
    <row r="637" spans="50:59" x14ac:dyDescent="0.2">
      <c r="AX637" s="315"/>
      <c r="AY637" s="326"/>
      <c r="AZ637" s="175"/>
      <c r="BA637" s="42"/>
      <c r="BB637" s="426"/>
      <c r="BF637" s="315"/>
      <c r="BG637" s="42"/>
    </row>
    <row r="638" spans="50:59" x14ac:dyDescent="0.2">
      <c r="AX638" s="315"/>
      <c r="AY638" s="326"/>
      <c r="AZ638" s="175"/>
      <c r="BA638" s="42"/>
      <c r="BB638" s="426"/>
      <c r="BF638" s="315"/>
      <c r="BG638" s="42"/>
    </row>
    <row r="639" spans="50:59" x14ac:dyDescent="0.2">
      <c r="AX639" s="315"/>
      <c r="AY639" s="326"/>
      <c r="AZ639" s="175"/>
      <c r="BA639" s="42"/>
      <c r="BB639" s="426"/>
      <c r="BF639" s="315"/>
      <c r="BG639" s="42"/>
    </row>
    <row r="640" spans="50:59" x14ac:dyDescent="0.2">
      <c r="AX640" s="315"/>
      <c r="AY640" s="326"/>
      <c r="AZ640" s="175"/>
      <c r="BA640" s="42"/>
      <c r="BB640" s="426"/>
      <c r="BF640" s="315"/>
      <c r="BG640" s="42"/>
    </row>
    <row r="641" spans="50:59" x14ac:dyDescent="0.2">
      <c r="AX641" s="315"/>
      <c r="AY641" s="326"/>
      <c r="AZ641" s="175"/>
      <c r="BA641" s="42"/>
      <c r="BB641" s="426"/>
      <c r="BF641" s="315"/>
      <c r="BG641" s="42"/>
    </row>
    <row r="642" spans="50:59" x14ac:dyDescent="0.2">
      <c r="AX642" s="315"/>
      <c r="AY642" s="326"/>
      <c r="AZ642" s="175"/>
      <c r="BA642" s="42"/>
      <c r="BB642" s="426"/>
      <c r="BF642" s="315"/>
      <c r="BG642" s="42"/>
    </row>
    <row r="643" spans="50:59" x14ac:dyDescent="0.2">
      <c r="AX643" s="315"/>
      <c r="AY643" s="326"/>
      <c r="AZ643" s="175"/>
      <c r="BA643" s="42"/>
      <c r="BB643" s="426"/>
      <c r="BF643" s="315"/>
      <c r="BG643" s="42"/>
    </row>
    <row r="644" spans="50:59" x14ac:dyDescent="0.2">
      <c r="AX644" s="315"/>
      <c r="AY644" s="326"/>
      <c r="AZ644" s="175"/>
      <c r="BA644" s="42"/>
      <c r="BB644" s="426"/>
      <c r="BF644" s="315"/>
      <c r="BG644" s="42"/>
    </row>
    <row r="645" spans="50:59" x14ac:dyDescent="0.2">
      <c r="AX645" s="315"/>
      <c r="AY645" s="326"/>
      <c r="AZ645" s="175"/>
      <c r="BA645" s="42"/>
      <c r="BB645" s="426"/>
      <c r="BF645" s="315"/>
      <c r="BG645" s="42"/>
    </row>
    <row r="646" spans="50:59" x14ac:dyDescent="0.2">
      <c r="AX646" s="315"/>
      <c r="AY646" s="326"/>
      <c r="AZ646" s="175"/>
      <c r="BA646" s="42"/>
      <c r="BB646" s="426"/>
      <c r="BF646" s="315"/>
      <c r="BG646" s="42"/>
    </row>
    <row r="647" spans="50:59" x14ac:dyDescent="0.2">
      <c r="AX647" s="315"/>
      <c r="AY647" s="326"/>
      <c r="AZ647" s="175"/>
      <c r="BA647" s="42"/>
      <c r="BB647" s="426"/>
      <c r="BF647" s="315"/>
      <c r="BG647" s="42"/>
    </row>
    <row r="648" spans="50:59" x14ac:dyDescent="0.2">
      <c r="AX648" s="315"/>
      <c r="AY648" s="326"/>
      <c r="AZ648" s="175"/>
      <c r="BA648" s="42"/>
      <c r="BB648" s="426"/>
      <c r="BF648" s="315"/>
      <c r="BG648" s="42"/>
    </row>
    <row r="649" spans="50:59" x14ac:dyDescent="0.2">
      <c r="AX649" s="315"/>
      <c r="AY649" s="326"/>
      <c r="AZ649" s="175"/>
      <c r="BA649" s="42"/>
      <c r="BB649" s="426"/>
      <c r="BF649" s="315"/>
      <c r="BG649" s="42"/>
    </row>
    <row r="650" spans="50:59" x14ac:dyDescent="0.2">
      <c r="AX650" s="315"/>
      <c r="AY650" s="326"/>
      <c r="AZ650" s="175"/>
      <c r="BA650" s="42"/>
      <c r="BB650" s="426"/>
      <c r="BF650" s="315"/>
      <c r="BG650" s="42"/>
    </row>
    <row r="651" spans="50:59" x14ac:dyDescent="0.2">
      <c r="AX651" s="315"/>
      <c r="AY651" s="326"/>
      <c r="AZ651" s="175"/>
      <c r="BA651" s="42"/>
      <c r="BB651" s="426"/>
      <c r="BF651" s="315"/>
      <c r="BG651" s="42"/>
    </row>
    <row r="652" spans="50:59" x14ac:dyDescent="0.2">
      <c r="AX652" s="315"/>
      <c r="AY652" s="326"/>
      <c r="AZ652" s="175"/>
      <c r="BA652" s="42"/>
      <c r="BB652" s="426"/>
      <c r="BF652" s="315"/>
      <c r="BG652" s="42"/>
    </row>
    <row r="653" spans="50:59" x14ac:dyDescent="0.2">
      <c r="AX653" s="315"/>
      <c r="AY653" s="326"/>
      <c r="AZ653" s="175"/>
      <c r="BA653" s="42"/>
      <c r="BB653" s="426"/>
      <c r="BF653" s="315"/>
      <c r="BG653" s="42"/>
    </row>
    <row r="654" spans="50:59" x14ac:dyDescent="0.2">
      <c r="AX654" s="315"/>
      <c r="AY654" s="326"/>
      <c r="AZ654" s="175"/>
      <c r="BA654" s="42"/>
      <c r="BB654" s="426"/>
      <c r="BF654" s="315"/>
      <c r="BG654" s="42"/>
    </row>
    <row r="655" spans="50:59" x14ac:dyDescent="0.2">
      <c r="AX655" s="315"/>
      <c r="AY655" s="326"/>
      <c r="AZ655" s="175"/>
      <c r="BA655" s="42"/>
      <c r="BB655" s="426"/>
      <c r="BF655" s="315"/>
      <c r="BG655" s="42"/>
    </row>
    <row r="656" spans="50:59" x14ac:dyDescent="0.2">
      <c r="AX656" s="315"/>
      <c r="AY656" s="326"/>
      <c r="AZ656" s="175"/>
      <c r="BA656" s="42"/>
      <c r="BB656" s="426"/>
      <c r="BF656" s="315"/>
      <c r="BG656" s="42"/>
    </row>
    <row r="657" spans="50:59" x14ac:dyDescent="0.2">
      <c r="AX657" s="315"/>
      <c r="AY657" s="326"/>
      <c r="AZ657" s="175"/>
      <c r="BA657" s="42"/>
      <c r="BB657" s="426"/>
      <c r="BF657" s="315"/>
      <c r="BG657" s="42"/>
    </row>
    <row r="658" spans="50:59" x14ac:dyDescent="0.2">
      <c r="AX658" s="315"/>
      <c r="AY658" s="326"/>
      <c r="AZ658" s="175"/>
      <c r="BA658" s="42"/>
      <c r="BB658" s="426"/>
      <c r="BF658" s="315"/>
      <c r="BG658" s="42"/>
    </row>
    <row r="659" spans="50:59" x14ac:dyDescent="0.2">
      <c r="AX659" s="315"/>
      <c r="AY659" s="326"/>
      <c r="AZ659" s="175"/>
      <c r="BA659" s="42"/>
      <c r="BB659" s="426"/>
      <c r="BF659" s="315"/>
      <c r="BG659" s="42"/>
    </row>
    <row r="660" spans="50:59" x14ac:dyDescent="0.2">
      <c r="AX660" s="315"/>
      <c r="AY660" s="326"/>
      <c r="AZ660" s="175"/>
      <c r="BA660" s="42"/>
      <c r="BB660" s="426"/>
      <c r="BF660" s="315"/>
      <c r="BG660" s="42"/>
    </row>
    <row r="661" spans="50:59" x14ac:dyDescent="0.2">
      <c r="AX661" s="315"/>
      <c r="AY661" s="326"/>
      <c r="AZ661" s="175"/>
      <c r="BA661" s="42"/>
      <c r="BB661" s="426"/>
      <c r="BF661" s="315"/>
      <c r="BG661" s="42"/>
    </row>
    <row r="662" spans="50:59" x14ac:dyDescent="0.2">
      <c r="AX662" s="315"/>
      <c r="AY662" s="326"/>
      <c r="AZ662" s="175"/>
      <c r="BA662" s="42"/>
      <c r="BB662" s="426"/>
      <c r="BF662" s="315"/>
      <c r="BG662" s="42"/>
    </row>
    <row r="663" spans="50:59" x14ac:dyDescent="0.2">
      <c r="AX663" s="315"/>
      <c r="AY663" s="326"/>
      <c r="AZ663" s="175"/>
      <c r="BA663" s="42"/>
      <c r="BB663" s="426"/>
      <c r="BF663" s="315"/>
      <c r="BG663" s="42"/>
    </row>
    <row r="664" spans="50:59" x14ac:dyDescent="0.2">
      <c r="AX664" s="315"/>
      <c r="AY664" s="326"/>
      <c r="AZ664" s="175"/>
      <c r="BA664" s="42"/>
      <c r="BB664" s="426"/>
      <c r="BF664" s="315"/>
      <c r="BG664" s="42"/>
    </row>
    <row r="665" spans="50:59" x14ac:dyDescent="0.2">
      <c r="AX665" s="315"/>
      <c r="AY665" s="326"/>
      <c r="AZ665" s="175"/>
      <c r="BA665" s="42"/>
      <c r="BB665" s="426"/>
      <c r="BF665" s="315"/>
      <c r="BG665" s="42"/>
    </row>
    <row r="666" spans="50:59" x14ac:dyDescent="0.2">
      <c r="AX666" s="315"/>
      <c r="AY666" s="326"/>
      <c r="AZ666" s="175"/>
      <c r="BA666" s="42"/>
      <c r="BB666" s="426"/>
      <c r="BF666" s="315"/>
      <c r="BG666" s="42"/>
    </row>
    <row r="667" spans="50:59" x14ac:dyDescent="0.2">
      <c r="AX667" s="315"/>
      <c r="AY667" s="326"/>
      <c r="AZ667" s="175"/>
      <c r="BA667" s="42"/>
      <c r="BB667" s="426"/>
      <c r="BF667" s="315"/>
      <c r="BG667" s="42"/>
    </row>
    <row r="668" spans="50:59" x14ac:dyDescent="0.2">
      <c r="AX668" s="315"/>
      <c r="AY668" s="326"/>
      <c r="AZ668" s="175"/>
      <c r="BA668" s="42"/>
      <c r="BB668" s="426"/>
      <c r="BF668" s="315"/>
      <c r="BG668" s="42"/>
    </row>
    <row r="669" spans="50:59" x14ac:dyDescent="0.2">
      <c r="AX669" s="315"/>
      <c r="AY669" s="326"/>
      <c r="AZ669" s="175"/>
      <c r="BA669" s="42"/>
      <c r="BB669" s="426"/>
      <c r="BF669" s="315"/>
      <c r="BG669" s="42"/>
    </row>
    <row r="670" spans="50:59" x14ac:dyDescent="0.2">
      <c r="AX670" s="315"/>
      <c r="AY670" s="326"/>
      <c r="AZ670" s="175"/>
      <c r="BA670" s="42"/>
      <c r="BB670" s="426"/>
      <c r="BF670" s="315"/>
      <c r="BG670" s="42"/>
    </row>
    <row r="671" spans="50:59" x14ac:dyDescent="0.2">
      <c r="AX671" s="315"/>
      <c r="AY671" s="326"/>
      <c r="AZ671" s="175"/>
      <c r="BA671" s="42"/>
      <c r="BB671" s="426"/>
      <c r="BF671" s="315"/>
      <c r="BG671" s="42"/>
    </row>
    <row r="672" spans="50:59" x14ac:dyDescent="0.2">
      <c r="AX672" s="315"/>
      <c r="AY672" s="326"/>
      <c r="AZ672" s="175"/>
      <c r="BA672" s="42"/>
      <c r="BB672" s="426"/>
      <c r="BF672" s="315"/>
      <c r="BG672" s="42"/>
    </row>
    <row r="673" spans="50:59" x14ac:dyDescent="0.2">
      <c r="AX673" s="315"/>
      <c r="AY673" s="326"/>
      <c r="AZ673" s="175"/>
      <c r="BA673" s="42"/>
      <c r="BB673" s="426"/>
      <c r="BF673" s="315"/>
      <c r="BG673" s="42"/>
    </row>
    <row r="674" spans="50:59" x14ac:dyDescent="0.2">
      <c r="AX674" s="315"/>
      <c r="AY674" s="326"/>
      <c r="AZ674" s="175"/>
      <c r="BA674" s="42"/>
      <c r="BB674" s="426"/>
      <c r="BF674" s="315"/>
      <c r="BG674" s="42"/>
    </row>
    <row r="675" spans="50:59" x14ac:dyDescent="0.2">
      <c r="AX675" s="315"/>
      <c r="AY675" s="326"/>
      <c r="AZ675" s="175"/>
      <c r="BA675" s="42"/>
      <c r="BB675" s="426"/>
      <c r="BF675" s="315"/>
      <c r="BG675" s="42"/>
    </row>
    <row r="676" spans="50:59" x14ac:dyDescent="0.2">
      <c r="AX676" s="315"/>
      <c r="AY676" s="326"/>
      <c r="AZ676" s="175"/>
      <c r="BA676" s="42"/>
      <c r="BB676" s="426"/>
      <c r="BF676" s="315"/>
      <c r="BG676" s="42"/>
    </row>
    <row r="677" spans="50:59" x14ac:dyDescent="0.2">
      <c r="AX677" s="315"/>
      <c r="AY677" s="326"/>
      <c r="AZ677" s="175"/>
      <c r="BA677" s="42"/>
      <c r="BB677" s="426"/>
      <c r="BF677" s="315"/>
      <c r="BG677" s="42"/>
    </row>
    <row r="678" spans="50:59" x14ac:dyDescent="0.2">
      <c r="AX678" s="315"/>
      <c r="AY678" s="326"/>
      <c r="AZ678" s="175"/>
      <c r="BA678" s="42"/>
      <c r="BB678" s="426"/>
      <c r="BF678" s="315"/>
      <c r="BG678" s="42"/>
    </row>
    <row r="679" spans="50:59" x14ac:dyDescent="0.2">
      <c r="AX679" s="315"/>
      <c r="AY679" s="326"/>
      <c r="AZ679" s="175"/>
      <c r="BA679" s="42"/>
      <c r="BB679" s="426"/>
      <c r="BF679" s="315"/>
      <c r="BG679" s="42"/>
    </row>
    <row r="680" spans="50:59" x14ac:dyDescent="0.2">
      <c r="AX680" s="315"/>
      <c r="AY680" s="326"/>
      <c r="AZ680" s="175"/>
      <c r="BA680" s="42"/>
      <c r="BB680" s="426"/>
      <c r="BF680" s="315"/>
      <c r="BG680" s="42"/>
    </row>
    <row r="681" spans="50:59" x14ac:dyDescent="0.2">
      <c r="AX681" s="315"/>
      <c r="AY681" s="326"/>
      <c r="AZ681" s="175"/>
      <c r="BA681" s="42"/>
      <c r="BB681" s="426"/>
      <c r="BF681" s="315"/>
      <c r="BG681" s="42"/>
    </row>
    <row r="682" spans="50:59" x14ac:dyDescent="0.2">
      <c r="AX682" s="315"/>
      <c r="AY682" s="326"/>
      <c r="AZ682" s="175"/>
      <c r="BA682" s="42"/>
      <c r="BB682" s="426"/>
      <c r="BF682" s="315"/>
      <c r="BG682" s="42"/>
    </row>
    <row r="683" spans="50:59" x14ac:dyDescent="0.2">
      <c r="AX683" s="315"/>
      <c r="AY683" s="326"/>
      <c r="AZ683" s="175"/>
      <c r="BA683" s="42"/>
      <c r="BB683" s="426"/>
      <c r="BF683" s="315"/>
      <c r="BG683" s="42"/>
    </row>
    <row r="684" spans="50:59" x14ac:dyDescent="0.2">
      <c r="AX684" s="315"/>
      <c r="AY684" s="326"/>
      <c r="AZ684" s="175"/>
      <c r="BA684" s="42"/>
      <c r="BB684" s="426"/>
      <c r="BF684" s="315"/>
      <c r="BG684" s="42"/>
    </row>
    <row r="685" spans="50:59" x14ac:dyDescent="0.2">
      <c r="AX685" s="315"/>
      <c r="AY685" s="326"/>
      <c r="AZ685" s="175"/>
      <c r="BA685" s="42"/>
      <c r="BB685" s="426"/>
      <c r="BF685" s="315"/>
      <c r="BG685" s="42"/>
    </row>
    <row r="686" spans="50:59" x14ac:dyDescent="0.2">
      <c r="AX686" s="315"/>
      <c r="AY686" s="326"/>
      <c r="AZ686" s="175"/>
      <c r="BA686" s="42"/>
      <c r="BB686" s="426"/>
      <c r="BF686" s="315"/>
      <c r="BG686" s="42"/>
    </row>
    <row r="687" spans="50:59" x14ac:dyDescent="0.2">
      <c r="AX687" s="315"/>
      <c r="AY687" s="326"/>
      <c r="AZ687" s="175"/>
      <c r="BA687" s="42"/>
      <c r="BB687" s="426"/>
      <c r="BF687" s="315"/>
      <c r="BG687" s="42"/>
    </row>
    <row r="688" spans="50:59" x14ac:dyDescent="0.2">
      <c r="AX688" s="315"/>
      <c r="AY688" s="326"/>
      <c r="AZ688" s="175"/>
      <c r="BA688" s="42"/>
      <c r="BB688" s="426"/>
      <c r="BF688" s="315"/>
      <c r="BG688" s="42"/>
    </row>
    <row r="689" spans="50:59" x14ac:dyDescent="0.2">
      <c r="AX689" s="315"/>
      <c r="AY689" s="326"/>
      <c r="AZ689" s="175"/>
      <c r="BA689" s="42"/>
      <c r="BB689" s="426"/>
      <c r="BF689" s="315"/>
      <c r="BG689" s="42"/>
    </row>
    <row r="690" spans="50:59" x14ac:dyDescent="0.2">
      <c r="AX690" s="315"/>
      <c r="AY690" s="326"/>
      <c r="AZ690" s="175"/>
      <c r="BA690" s="42"/>
      <c r="BB690" s="426"/>
      <c r="BF690" s="315"/>
      <c r="BG690" s="42"/>
    </row>
    <row r="691" spans="50:59" x14ac:dyDescent="0.2">
      <c r="AX691" s="315"/>
      <c r="AY691" s="326"/>
      <c r="AZ691" s="175"/>
      <c r="BA691" s="42"/>
      <c r="BB691" s="426"/>
      <c r="BF691" s="315"/>
      <c r="BG691" s="42"/>
    </row>
    <row r="692" spans="50:59" x14ac:dyDescent="0.2">
      <c r="AX692" s="315"/>
      <c r="AY692" s="326"/>
      <c r="AZ692" s="175"/>
      <c r="BA692" s="42"/>
      <c r="BB692" s="426"/>
      <c r="BF692" s="315"/>
      <c r="BG692" s="42"/>
    </row>
    <row r="693" spans="50:59" x14ac:dyDescent="0.2">
      <c r="AX693" s="315"/>
      <c r="AY693" s="326"/>
      <c r="AZ693" s="175"/>
      <c r="BA693" s="42"/>
      <c r="BB693" s="426"/>
      <c r="BF693" s="315"/>
      <c r="BG693" s="42"/>
    </row>
    <row r="694" spans="50:59" x14ac:dyDescent="0.2">
      <c r="AX694" s="315"/>
      <c r="AY694" s="326"/>
      <c r="AZ694" s="175"/>
      <c r="BA694" s="42"/>
      <c r="BB694" s="426"/>
      <c r="BF694" s="315"/>
      <c r="BG694" s="42"/>
    </row>
    <row r="695" spans="50:59" x14ac:dyDescent="0.2">
      <c r="AX695" s="315"/>
      <c r="AY695" s="326"/>
      <c r="AZ695" s="175"/>
      <c r="BA695" s="42"/>
      <c r="BB695" s="426"/>
      <c r="BF695" s="315"/>
      <c r="BG695" s="42"/>
    </row>
    <row r="696" spans="50:59" x14ac:dyDescent="0.2">
      <c r="AX696" s="315"/>
      <c r="AY696" s="326"/>
      <c r="AZ696" s="175"/>
      <c r="BA696" s="42"/>
      <c r="BB696" s="426"/>
      <c r="BF696" s="315"/>
      <c r="BG696" s="42"/>
    </row>
    <row r="697" spans="50:59" x14ac:dyDescent="0.2">
      <c r="AX697" s="315"/>
      <c r="AY697" s="326"/>
      <c r="AZ697" s="175"/>
      <c r="BA697" s="42"/>
      <c r="BB697" s="426"/>
      <c r="BF697" s="315"/>
      <c r="BG697" s="42"/>
    </row>
    <row r="698" spans="50:59" x14ac:dyDescent="0.2">
      <c r="AX698" s="315"/>
      <c r="AY698" s="326"/>
      <c r="AZ698" s="175"/>
      <c r="BA698" s="42"/>
      <c r="BB698" s="426"/>
      <c r="BF698" s="315"/>
      <c r="BG698" s="42"/>
    </row>
    <row r="699" spans="50:59" x14ac:dyDescent="0.2">
      <c r="AX699" s="315"/>
      <c r="AY699" s="326"/>
      <c r="AZ699" s="175"/>
      <c r="BA699" s="42"/>
      <c r="BB699" s="426"/>
      <c r="BF699" s="315"/>
      <c r="BG699" s="42"/>
    </row>
    <row r="700" spans="50:59" x14ac:dyDescent="0.2">
      <c r="AX700" s="315"/>
      <c r="AY700" s="326"/>
      <c r="AZ700" s="175"/>
      <c r="BA700" s="42"/>
      <c r="BB700" s="426"/>
      <c r="BF700" s="315"/>
      <c r="BG700" s="42"/>
    </row>
    <row r="701" spans="50:59" x14ac:dyDescent="0.2">
      <c r="AX701" s="315"/>
      <c r="AY701" s="326"/>
      <c r="AZ701" s="175"/>
      <c r="BA701" s="42"/>
      <c r="BB701" s="426"/>
      <c r="BF701" s="315"/>
      <c r="BG701" s="42"/>
    </row>
    <row r="702" spans="50:59" x14ac:dyDescent="0.2">
      <c r="AX702" s="315"/>
      <c r="AY702" s="326"/>
      <c r="AZ702" s="175"/>
      <c r="BA702" s="42"/>
      <c r="BB702" s="426"/>
      <c r="BF702" s="315"/>
      <c r="BG702" s="42"/>
    </row>
    <row r="703" spans="50:59" x14ac:dyDescent="0.2">
      <c r="AX703" s="315"/>
      <c r="AY703" s="326"/>
      <c r="AZ703" s="175"/>
      <c r="BA703" s="42"/>
      <c r="BB703" s="426"/>
      <c r="BF703" s="315"/>
      <c r="BG703" s="42"/>
    </row>
    <row r="704" spans="50:59" x14ac:dyDescent="0.2">
      <c r="AX704" s="315"/>
      <c r="AY704" s="326"/>
      <c r="AZ704" s="175"/>
      <c r="BA704" s="42"/>
      <c r="BB704" s="426"/>
      <c r="BF704" s="315"/>
      <c r="BG704" s="42"/>
    </row>
    <row r="705" spans="50:59" x14ac:dyDescent="0.2">
      <c r="AX705" s="315"/>
      <c r="AY705" s="326"/>
      <c r="AZ705" s="175"/>
      <c r="BA705" s="42"/>
      <c r="BB705" s="426"/>
      <c r="BF705" s="315"/>
      <c r="BG705" s="42"/>
    </row>
    <row r="706" spans="50:59" x14ac:dyDescent="0.2">
      <c r="AX706" s="315"/>
      <c r="AY706" s="326"/>
      <c r="AZ706" s="175"/>
      <c r="BA706" s="42"/>
      <c r="BB706" s="426"/>
      <c r="BF706" s="315"/>
      <c r="BG706" s="42"/>
    </row>
    <row r="707" spans="50:59" x14ac:dyDescent="0.2">
      <c r="AX707" s="315"/>
      <c r="AY707" s="326"/>
      <c r="AZ707" s="175"/>
      <c r="BA707" s="42"/>
      <c r="BB707" s="426"/>
      <c r="BF707" s="315"/>
      <c r="BG707" s="42"/>
    </row>
    <row r="708" spans="50:59" x14ac:dyDescent="0.2">
      <c r="AX708" s="315"/>
      <c r="AY708" s="326"/>
      <c r="AZ708" s="175"/>
      <c r="BA708" s="42"/>
      <c r="BB708" s="426"/>
      <c r="BF708" s="315"/>
      <c r="BG708" s="42"/>
    </row>
    <row r="709" spans="50:59" x14ac:dyDescent="0.2">
      <c r="AX709" s="315"/>
      <c r="AY709" s="326"/>
      <c r="AZ709" s="175"/>
      <c r="BA709" s="42"/>
      <c r="BB709" s="426"/>
      <c r="BF709" s="315"/>
      <c r="BG709" s="42"/>
    </row>
    <row r="710" spans="50:59" x14ac:dyDescent="0.2">
      <c r="AX710" s="315"/>
      <c r="AY710" s="326"/>
      <c r="AZ710" s="175"/>
      <c r="BA710" s="42"/>
      <c r="BB710" s="426"/>
      <c r="BF710" s="315"/>
      <c r="BG710" s="42"/>
    </row>
    <row r="711" spans="50:59" x14ac:dyDescent="0.2">
      <c r="AX711" s="315"/>
      <c r="AY711" s="326"/>
      <c r="AZ711" s="175"/>
      <c r="BA711" s="42"/>
      <c r="BB711" s="426"/>
      <c r="BF711" s="315"/>
      <c r="BG711" s="42"/>
    </row>
    <row r="712" spans="50:59" x14ac:dyDescent="0.2">
      <c r="AX712" s="315"/>
      <c r="AY712" s="326"/>
      <c r="AZ712" s="175"/>
      <c r="BA712" s="42"/>
      <c r="BB712" s="426"/>
      <c r="BF712" s="315"/>
      <c r="BG712" s="42"/>
    </row>
    <row r="713" spans="50:59" x14ac:dyDescent="0.2">
      <c r="AX713" s="315"/>
      <c r="AY713" s="326"/>
      <c r="AZ713" s="175"/>
      <c r="BA713" s="42"/>
      <c r="BB713" s="426"/>
      <c r="BF713" s="315"/>
      <c r="BG713" s="42"/>
    </row>
    <row r="714" spans="50:59" x14ac:dyDescent="0.2">
      <c r="AX714" s="315"/>
      <c r="AY714" s="326"/>
      <c r="AZ714" s="175"/>
      <c r="BA714" s="42"/>
      <c r="BB714" s="426"/>
      <c r="BF714" s="315"/>
      <c r="BG714" s="42"/>
    </row>
    <row r="715" spans="50:59" x14ac:dyDescent="0.2">
      <c r="AX715" s="315"/>
      <c r="AY715" s="326"/>
      <c r="AZ715" s="175"/>
      <c r="BA715" s="42"/>
      <c r="BB715" s="426"/>
      <c r="BF715" s="315"/>
      <c r="BG715" s="42"/>
    </row>
    <row r="716" spans="50:59" x14ac:dyDescent="0.2">
      <c r="AX716" s="315"/>
      <c r="AY716" s="326"/>
      <c r="AZ716" s="175"/>
      <c r="BA716" s="42"/>
      <c r="BB716" s="426"/>
      <c r="BF716" s="315"/>
      <c r="BG716" s="42"/>
    </row>
    <row r="717" spans="50:59" x14ac:dyDescent="0.2">
      <c r="AX717" s="315"/>
      <c r="AY717" s="326"/>
      <c r="AZ717" s="175"/>
      <c r="BA717" s="42"/>
      <c r="BB717" s="426"/>
      <c r="BF717" s="315"/>
      <c r="BG717" s="42"/>
    </row>
    <row r="718" spans="50:59" x14ac:dyDescent="0.2">
      <c r="AX718" s="315"/>
      <c r="AY718" s="326"/>
      <c r="AZ718" s="175"/>
      <c r="BA718" s="42"/>
      <c r="BB718" s="426"/>
      <c r="BF718" s="315"/>
      <c r="BG718" s="42"/>
    </row>
    <row r="719" spans="50:59" x14ac:dyDescent="0.2">
      <c r="AX719" s="315"/>
      <c r="AY719" s="326"/>
      <c r="AZ719" s="175"/>
      <c r="BA719" s="42"/>
      <c r="BB719" s="426"/>
      <c r="BF719" s="315"/>
      <c r="BG719" s="42"/>
    </row>
    <row r="720" spans="50:59" x14ac:dyDescent="0.2">
      <c r="AX720" s="315"/>
      <c r="AY720" s="326"/>
      <c r="AZ720" s="175"/>
      <c r="BA720" s="42"/>
      <c r="BB720" s="426"/>
      <c r="BF720" s="315"/>
      <c r="BG720" s="42"/>
    </row>
    <row r="721" spans="50:59" x14ac:dyDescent="0.2">
      <c r="AX721" s="315"/>
      <c r="AY721" s="326"/>
      <c r="AZ721" s="175"/>
      <c r="BA721" s="42"/>
      <c r="BB721" s="426"/>
      <c r="BF721" s="315"/>
      <c r="BG721" s="42"/>
    </row>
    <row r="722" spans="50:59" x14ac:dyDescent="0.2">
      <c r="AX722" s="315"/>
      <c r="AY722" s="326"/>
      <c r="AZ722" s="175"/>
      <c r="BA722" s="42"/>
      <c r="BB722" s="426"/>
      <c r="BF722" s="315"/>
      <c r="BG722" s="42"/>
    </row>
    <row r="723" spans="50:59" x14ac:dyDescent="0.2">
      <c r="AX723" s="315"/>
      <c r="AY723" s="326"/>
      <c r="AZ723" s="175"/>
      <c r="BA723" s="42"/>
      <c r="BB723" s="426"/>
      <c r="BF723" s="315"/>
      <c r="BG723" s="42"/>
    </row>
    <row r="724" spans="50:59" x14ac:dyDescent="0.2">
      <c r="AX724" s="315"/>
      <c r="AY724" s="326"/>
      <c r="AZ724" s="175"/>
      <c r="BA724" s="42"/>
      <c r="BB724" s="426"/>
      <c r="BF724" s="315"/>
      <c r="BG724" s="42"/>
    </row>
    <row r="725" spans="50:59" x14ac:dyDescent="0.2">
      <c r="AX725" s="315"/>
      <c r="AY725" s="326"/>
      <c r="AZ725" s="175"/>
      <c r="BA725" s="42"/>
      <c r="BB725" s="426"/>
      <c r="BF725" s="315"/>
      <c r="BG725" s="42"/>
    </row>
    <row r="726" spans="50:59" x14ac:dyDescent="0.2">
      <c r="AX726" s="315"/>
      <c r="AY726" s="326"/>
      <c r="AZ726" s="175"/>
      <c r="BA726" s="42"/>
      <c r="BB726" s="426"/>
      <c r="BF726" s="315"/>
      <c r="BG726" s="42"/>
    </row>
    <row r="727" spans="50:59" x14ac:dyDescent="0.2">
      <c r="AX727" s="315"/>
      <c r="AY727" s="326"/>
      <c r="AZ727" s="175"/>
      <c r="BA727" s="42"/>
      <c r="BB727" s="426"/>
      <c r="BF727" s="315"/>
      <c r="BG727" s="42"/>
    </row>
    <row r="728" spans="50:59" x14ac:dyDescent="0.2">
      <c r="AX728" s="315"/>
      <c r="AY728" s="326"/>
      <c r="AZ728" s="175"/>
      <c r="BA728" s="42"/>
      <c r="BB728" s="426"/>
      <c r="BF728" s="315"/>
      <c r="BG728" s="42"/>
    </row>
    <row r="729" spans="50:59" x14ac:dyDescent="0.2">
      <c r="AX729" s="315"/>
      <c r="AY729" s="326"/>
      <c r="AZ729" s="175"/>
      <c r="BA729" s="42"/>
      <c r="BB729" s="426"/>
      <c r="BF729" s="315"/>
      <c r="BG729" s="42"/>
    </row>
    <row r="730" spans="50:59" x14ac:dyDescent="0.2">
      <c r="AX730" s="315"/>
      <c r="AY730" s="326"/>
      <c r="AZ730" s="175"/>
      <c r="BA730" s="42"/>
      <c r="BB730" s="426"/>
      <c r="BF730" s="315"/>
      <c r="BG730" s="42"/>
    </row>
    <row r="731" spans="50:59" x14ac:dyDescent="0.2">
      <c r="AX731" s="315"/>
      <c r="AY731" s="326"/>
      <c r="AZ731" s="175"/>
      <c r="BA731" s="42"/>
      <c r="BB731" s="426"/>
      <c r="BF731" s="315"/>
      <c r="BG731" s="42"/>
    </row>
    <row r="732" spans="50:59" x14ac:dyDescent="0.2">
      <c r="AX732" s="315"/>
      <c r="AY732" s="326"/>
      <c r="AZ732" s="175"/>
      <c r="BA732" s="42"/>
      <c r="BB732" s="426"/>
      <c r="BF732" s="315"/>
      <c r="BG732" s="42"/>
    </row>
    <row r="733" spans="50:59" x14ac:dyDescent="0.2">
      <c r="AX733" s="315"/>
      <c r="AY733" s="326"/>
      <c r="AZ733" s="175"/>
      <c r="BA733" s="42"/>
      <c r="BB733" s="426"/>
      <c r="BF733" s="315"/>
      <c r="BG733" s="42"/>
    </row>
    <row r="734" spans="50:59" x14ac:dyDescent="0.2">
      <c r="AX734" s="315"/>
      <c r="AY734" s="326"/>
      <c r="AZ734" s="175"/>
      <c r="BA734" s="42"/>
      <c r="BB734" s="426"/>
      <c r="BF734" s="315"/>
      <c r="BG734" s="42"/>
    </row>
    <row r="735" spans="50:59" x14ac:dyDescent="0.2">
      <c r="AX735" s="315"/>
      <c r="AY735" s="326"/>
      <c r="AZ735" s="175"/>
      <c r="BA735" s="42"/>
      <c r="BB735" s="426"/>
      <c r="BF735" s="315"/>
      <c r="BG735" s="42"/>
    </row>
    <row r="736" spans="50:59" x14ac:dyDescent="0.2">
      <c r="AX736" s="315"/>
      <c r="AY736" s="326"/>
      <c r="AZ736" s="175"/>
      <c r="BA736" s="42"/>
      <c r="BB736" s="426"/>
      <c r="BF736" s="315"/>
      <c r="BG736" s="42"/>
    </row>
    <row r="737" spans="50:59" x14ac:dyDescent="0.2">
      <c r="AX737" s="315"/>
      <c r="AY737" s="326"/>
      <c r="AZ737" s="175"/>
      <c r="BA737" s="42"/>
      <c r="BB737" s="426"/>
      <c r="BF737" s="315"/>
      <c r="BG737" s="42"/>
    </row>
    <row r="738" spans="50:59" x14ac:dyDescent="0.2">
      <c r="AX738" s="315"/>
      <c r="AY738" s="326"/>
      <c r="AZ738" s="175"/>
      <c r="BA738" s="42"/>
      <c r="BB738" s="426"/>
      <c r="BF738" s="315"/>
      <c r="BG738" s="42"/>
    </row>
    <row r="739" spans="50:59" x14ac:dyDescent="0.2">
      <c r="AX739" s="315"/>
      <c r="AY739" s="326"/>
      <c r="AZ739" s="175"/>
      <c r="BA739" s="42"/>
      <c r="BB739" s="426"/>
      <c r="BF739" s="315"/>
      <c r="BG739" s="42"/>
    </row>
    <row r="740" spans="50:59" x14ac:dyDescent="0.2">
      <c r="AX740" s="315"/>
      <c r="AY740" s="326"/>
      <c r="AZ740" s="175"/>
      <c r="BA740" s="42"/>
      <c r="BB740" s="426"/>
      <c r="BF740" s="315"/>
      <c r="BG740" s="42"/>
    </row>
    <row r="741" spans="50:59" x14ac:dyDescent="0.2">
      <c r="AX741" s="315"/>
      <c r="AY741" s="326"/>
      <c r="AZ741" s="175"/>
      <c r="BA741" s="42"/>
      <c r="BB741" s="426"/>
      <c r="BF741" s="315"/>
      <c r="BG741" s="42"/>
    </row>
    <row r="742" spans="50:59" x14ac:dyDescent="0.2">
      <c r="AX742" s="315"/>
      <c r="AY742" s="326"/>
      <c r="AZ742" s="175"/>
      <c r="BA742" s="42"/>
      <c r="BB742" s="426"/>
      <c r="BF742" s="315"/>
      <c r="BG742" s="42"/>
    </row>
    <row r="743" spans="50:59" x14ac:dyDescent="0.2">
      <c r="AX743" s="315"/>
      <c r="AY743" s="326"/>
      <c r="AZ743" s="175"/>
      <c r="BA743" s="42"/>
      <c r="BB743" s="426"/>
      <c r="BF743" s="315"/>
      <c r="BG743" s="42"/>
    </row>
    <row r="744" spans="50:59" x14ac:dyDescent="0.2">
      <c r="AX744" s="315"/>
      <c r="AY744" s="326"/>
      <c r="AZ744" s="175"/>
      <c r="BA744" s="42"/>
      <c r="BB744" s="426"/>
      <c r="BF744" s="315"/>
      <c r="BG744" s="42"/>
    </row>
    <row r="745" spans="50:59" x14ac:dyDescent="0.2">
      <c r="AX745" s="315"/>
      <c r="AY745" s="326"/>
      <c r="AZ745" s="175"/>
      <c r="BA745" s="42"/>
      <c r="BB745" s="426"/>
      <c r="BF745" s="315"/>
      <c r="BG745" s="42"/>
    </row>
    <row r="746" spans="50:59" x14ac:dyDescent="0.2">
      <c r="AX746" s="315"/>
      <c r="AY746" s="326"/>
      <c r="AZ746" s="175"/>
      <c r="BA746" s="42"/>
      <c r="BB746" s="426"/>
      <c r="BF746" s="315"/>
      <c r="BG746" s="42"/>
    </row>
    <row r="747" spans="50:59" x14ac:dyDescent="0.2">
      <c r="AX747" s="315"/>
      <c r="AY747" s="326"/>
      <c r="AZ747" s="175"/>
      <c r="BA747" s="42"/>
      <c r="BB747" s="426"/>
      <c r="BF747" s="315"/>
      <c r="BG747" s="42"/>
    </row>
    <row r="748" spans="50:59" x14ac:dyDescent="0.2">
      <c r="AX748" s="315"/>
      <c r="AY748" s="326"/>
      <c r="AZ748" s="175"/>
      <c r="BA748" s="42"/>
      <c r="BB748" s="426"/>
      <c r="BF748" s="315"/>
      <c r="BG748" s="42"/>
    </row>
    <row r="749" spans="50:59" x14ac:dyDescent="0.2">
      <c r="AX749" s="315"/>
      <c r="AY749" s="326"/>
      <c r="AZ749" s="175"/>
      <c r="BA749" s="42"/>
      <c r="BB749" s="426"/>
      <c r="BF749" s="315"/>
      <c r="BG749" s="42"/>
    </row>
    <row r="750" spans="50:59" x14ac:dyDescent="0.2">
      <c r="AX750" s="315"/>
      <c r="AY750" s="326"/>
      <c r="AZ750" s="175"/>
      <c r="BA750" s="42"/>
      <c r="BB750" s="426"/>
      <c r="BF750" s="315"/>
      <c r="BG750" s="42"/>
    </row>
    <row r="751" spans="50:59" x14ac:dyDescent="0.2">
      <c r="AX751" s="315"/>
      <c r="AY751" s="326"/>
      <c r="AZ751" s="175"/>
      <c r="BA751" s="42"/>
      <c r="BB751" s="426"/>
      <c r="BF751" s="315"/>
      <c r="BG751" s="42"/>
    </row>
    <row r="752" spans="50:59" x14ac:dyDescent="0.2">
      <c r="AX752" s="315"/>
      <c r="AY752" s="326"/>
      <c r="AZ752" s="175"/>
      <c r="BA752" s="42"/>
      <c r="BB752" s="426"/>
      <c r="BF752" s="315"/>
      <c r="BG752" s="42"/>
    </row>
    <row r="753" spans="50:59" x14ac:dyDescent="0.2">
      <c r="AX753" s="315"/>
      <c r="AY753" s="326"/>
      <c r="AZ753" s="175"/>
      <c r="BA753" s="42"/>
      <c r="BB753" s="426"/>
      <c r="BF753" s="315"/>
      <c r="BG753" s="42"/>
    </row>
    <row r="754" spans="50:59" x14ac:dyDescent="0.2">
      <c r="AX754" s="315"/>
      <c r="AY754" s="326"/>
      <c r="AZ754" s="175"/>
      <c r="BA754" s="42"/>
      <c r="BB754" s="426"/>
      <c r="BF754" s="315"/>
      <c r="BG754" s="42"/>
    </row>
    <row r="755" spans="50:59" x14ac:dyDescent="0.2">
      <c r="AX755" s="315"/>
      <c r="AY755" s="326"/>
      <c r="AZ755" s="175"/>
      <c r="BA755" s="42"/>
      <c r="BB755" s="426"/>
      <c r="BF755" s="315"/>
      <c r="BG755" s="42"/>
    </row>
    <row r="756" spans="50:59" x14ac:dyDescent="0.2">
      <c r="AX756" s="315"/>
      <c r="AY756" s="326"/>
      <c r="AZ756" s="175"/>
      <c r="BA756" s="42"/>
      <c r="BB756" s="426"/>
      <c r="BF756" s="315"/>
      <c r="BG756" s="42"/>
    </row>
    <row r="757" spans="50:59" x14ac:dyDescent="0.2">
      <c r="AX757" s="315"/>
      <c r="AY757" s="326"/>
      <c r="AZ757" s="175"/>
      <c r="BA757" s="42"/>
      <c r="BB757" s="426"/>
      <c r="BF757" s="315"/>
      <c r="BG757" s="42"/>
    </row>
    <row r="758" spans="50:59" x14ac:dyDescent="0.2">
      <c r="AX758" s="315"/>
      <c r="AY758" s="326"/>
      <c r="AZ758" s="175"/>
      <c r="BA758" s="42"/>
      <c r="BB758" s="426"/>
      <c r="BF758" s="315"/>
      <c r="BG758" s="42"/>
    </row>
    <row r="759" spans="50:59" x14ac:dyDescent="0.2">
      <c r="AX759" s="315"/>
      <c r="AY759" s="326"/>
      <c r="AZ759" s="175"/>
      <c r="BA759" s="42"/>
      <c r="BB759" s="426"/>
      <c r="BF759" s="315"/>
      <c r="BG759" s="42"/>
    </row>
    <row r="760" spans="50:59" x14ac:dyDescent="0.2">
      <c r="AX760" s="315"/>
      <c r="AY760" s="326"/>
      <c r="AZ760" s="175"/>
      <c r="BA760" s="42"/>
      <c r="BB760" s="426"/>
      <c r="BF760" s="315"/>
      <c r="BG760" s="42"/>
    </row>
    <row r="761" spans="50:59" x14ac:dyDescent="0.2">
      <c r="AX761" s="315"/>
      <c r="AY761" s="326"/>
      <c r="AZ761" s="175"/>
      <c r="BA761" s="42"/>
      <c r="BB761" s="426"/>
      <c r="BF761" s="315"/>
      <c r="BG761" s="42"/>
    </row>
    <row r="762" spans="50:59" x14ac:dyDescent="0.2">
      <c r="AX762" s="315"/>
      <c r="AY762" s="326"/>
      <c r="AZ762" s="175"/>
      <c r="BA762" s="42"/>
      <c r="BB762" s="426"/>
      <c r="BF762" s="315"/>
      <c r="BG762" s="42"/>
    </row>
    <row r="763" spans="50:59" x14ac:dyDescent="0.2">
      <c r="AX763" s="315"/>
      <c r="AY763" s="326"/>
      <c r="AZ763" s="175"/>
      <c r="BA763" s="42"/>
      <c r="BB763" s="426"/>
      <c r="BF763" s="315"/>
      <c r="BG763" s="42"/>
    </row>
    <row r="764" spans="50:59" x14ac:dyDescent="0.2">
      <c r="AX764" s="315"/>
      <c r="AY764" s="326"/>
      <c r="AZ764" s="175"/>
      <c r="BA764" s="42"/>
      <c r="BB764" s="426"/>
      <c r="BF764" s="315"/>
      <c r="BG764" s="42"/>
    </row>
    <row r="765" spans="50:59" x14ac:dyDescent="0.2">
      <c r="AX765" s="315"/>
      <c r="AY765" s="326"/>
      <c r="AZ765" s="175"/>
      <c r="BA765" s="42"/>
      <c r="BB765" s="426"/>
      <c r="BF765" s="315"/>
      <c r="BG765" s="42"/>
    </row>
    <row r="766" spans="50:59" x14ac:dyDescent="0.2">
      <c r="AX766" s="315"/>
      <c r="AY766" s="326"/>
      <c r="AZ766" s="175"/>
      <c r="BA766" s="42"/>
      <c r="BB766" s="426"/>
      <c r="BF766" s="315"/>
      <c r="BG766" s="42"/>
    </row>
    <row r="767" spans="50:59" x14ac:dyDescent="0.2">
      <c r="AX767" s="315"/>
      <c r="AY767" s="326"/>
      <c r="AZ767" s="175"/>
      <c r="BA767" s="42"/>
      <c r="BB767" s="426"/>
      <c r="BF767" s="315"/>
      <c r="BG767" s="42"/>
    </row>
    <row r="768" spans="50:59" x14ac:dyDescent="0.2">
      <c r="AX768" s="315"/>
      <c r="AY768" s="326"/>
      <c r="AZ768" s="175"/>
      <c r="BA768" s="42"/>
      <c r="BB768" s="426"/>
      <c r="BF768" s="315"/>
      <c r="BG768" s="42"/>
    </row>
    <row r="769" spans="50:59" x14ac:dyDescent="0.2">
      <c r="AX769" s="315"/>
      <c r="AY769" s="326"/>
      <c r="AZ769" s="175"/>
      <c r="BA769" s="42"/>
      <c r="BB769" s="426"/>
      <c r="BF769" s="315"/>
      <c r="BG769" s="42"/>
    </row>
    <row r="770" spans="50:59" x14ac:dyDescent="0.2">
      <c r="AX770" s="315"/>
      <c r="AY770" s="326"/>
      <c r="AZ770" s="175"/>
      <c r="BA770" s="42"/>
      <c r="BB770" s="426"/>
      <c r="BF770" s="315"/>
      <c r="BG770" s="42"/>
    </row>
    <row r="771" spans="50:59" x14ac:dyDescent="0.2">
      <c r="AX771" s="315"/>
      <c r="AY771" s="326"/>
      <c r="AZ771" s="175"/>
      <c r="BA771" s="42"/>
      <c r="BB771" s="426"/>
      <c r="BF771" s="315"/>
      <c r="BG771" s="42"/>
    </row>
    <row r="772" spans="50:59" x14ac:dyDescent="0.2">
      <c r="AX772" s="315"/>
      <c r="AY772" s="326"/>
      <c r="AZ772" s="175"/>
      <c r="BA772" s="42"/>
      <c r="BB772" s="426"/>
      <c r="BF772" s="315"/>
      <c r="BG772" s="42"/>
    </row>
    <row r="773" spans="50:59" x14ac:dyDescent="0.2">
      <c r="AX773" s="315"/>
      <c r="AY773" s="326"/>
      <c r="AZ773" s="175"/>
      <c r="BA773" s="42"/>
      <c r="BB773" s="426"/>
      <c r="BF773" s="315"/>
      <c r="BG773" s="42"/>
    </row>
    <row r="774" spans="50:59" x14ac:dyDescent="0.2">
      <c r="AX774" s="315"/>
      <c r="AY774" s="326"/>
      <c r="AZ774" s="175"/>
      <c r="BA774" s="42"/>
      <c r="BB774" s="426"/>
      <c r="BF774" s="315"/>
      <c r="BG774" s="42"/>
    </row>
    <row r="775" spans="50:59" x14ac:dyDescent="0.2">
      <c r="AX775" s="315"/>
      <c r="AY775" s="326"/>
      <c r="AZ775" s="175"/>
      <c r="BA775" s="42"/>
      <c r="BB775" s="426"/>
      <c r="BF775" s="315"/>
      <c r="BG775" s="42"/>
    </row>
    <row r="776" spans="50:59" x14ac:dyDescent="0.2">
      <c r="AX776" s="315"/>
      <c r="AY776" s="326"/>
      <c r="AZ776" s="175"/>
      <c r="BA776" s="42"/>
      <c r="BB776" s="426"/>
      <c r="BF776" s="315"/>
      <c r="BG776" s="42"/>
    </row>
    <row r="777" spans="50:59" x14ac:dyDescent="0.2">
      <c r="AX777" s="315"/>
      <c r="AY777" s="326"/>
      <c r="AZ777" s="175"/>
      <c r="BA777" s="42"/>
      <c r="BB777" s="426"/>
      <c r="BF777" s="315"/>
      <c r="BG777" s="42"/>
    </row>
    <row r="778" spans="50:59" x14ac:dyDescent="0.2">
      <c r="AX778" s="315"/>
      <c r="AY778" s="326"/>
      <c r="AZ778" s="175"/>
      <c r="BA778" s="42"/>
      <c r="BB778" s="426"/>
      <c r="BF778" s="315"/>
      <c r="BG778" s="42"/>
    </row>
    <row r="779" spans="50:59" x14ac:dyDescent="0.2">
      <c r="AX779" s="315"/>
      <c r="AY779" s="326"/>
      <c r="AZ779" s="175"/>
      <c r="BA779" s="42"/>
      <c r="BB779" s="426"/>
      <c r="BF779" s="315"/>
      <c r="BG779" s="42"/>
    </row>
    <row r="780" spans="50:59" x14ac:dyDescent="0.2">
      <c r="AX780" s="315"/>
      <c r="AY780" s="326"/>
      <c r="AZ780" s="175"/>
      <c r="BA780" s="42"/>
      <c r="BB780" s="426"/>
      <c r="BF780" s="315"/>
      <c r="BG780" s="42"/>
    </row>
    <row r="781" spans="50:59" x14ac:dyDescent="0.2">
      <c r="AX781" s="315"/>
      <c r="AY781" s="326"/>
      <c r="AZ781" s="175"/>
      <c r="BA781" s="42"/>
      <c r="BB781" s="426"/>
      <c r="BF781" s="315"/>
      <c r="BG781" s="42"/>
    </row>
    <row r="782" spans="50:59" x14ac:dyDescent="0.2">
      <c r="AX782" s="315"/>
      <c r="AY782" s="326"/>
      <c r="AZ782" s="175"/>
      <c r="BA782" s="42"/>
      <c r="BB782" s="426"/>
      <c r="BF782" s="315"/>
      <c r="BG782" s="42"/>
    </row>
    <row r="783" spans="50:59" x14ac:dyDescent="0.2">
      <c r="AX783" s="315"/>
      <c r="AY783" s="326"/>
      <c r="AZ783" s="175"/>
      <c r="BA783" s="42"/>
      <c r="BB783" s="426"/>
      <c r="BF783" s="315"/>
      <c r="BG783" s="42"/>
    </row>
    <row r="784" spans="50:59" x14ac:dyDescent="0.2">
      <c r="AX784" s="315"/>
      <c r="AY784" s="326"/>
      <c r="AZ784" s="175"/>
      <c r="BA784" s="42"/>
      <c r="BB784" s="426"/>
      <c r="BF784" s="315"/>
      <c r="BG784" s="42"/>
    </row>
    <row r="785" spans="50:59" x14ac:dyDescent="0.2">
      <c r="AX785" s="315"/>
      <c r="AY785" s="326"/>
      <c r="AZ785" s="175"/>
      <c r="BA785" s="42"/>
      <c r="BB785" s="426"/>
      <c r="BF785" s="315"/>
      <c r="BG785" s="42"/>
    </row>
    <row r="786" spans="50:59" x14ac:dyDescent="0.2">
      <c r="AX786" s="315"/>
      <c r="AY786" s="326"/>
      <c r="AZ786" s="175"/>
      <c r="BA786" s="42"/>
      <c r="BB786" s="426"/>
      <c r="BF786" s="315"/>
      <c r="BG786" s="42"/>
    </row>
    <row r="787" spans="50:59" x14ac:dyDescent="0.2">
      <c r="AX787" s="315"/>
      <c r="AY787" s="326"/>
      <c r="AZ787" s="175"/>
      <c r="BA787" s="42"/>
      <c r="BB787" s="426"/>
      <c r="BF787" s="315"/>
      <c r="BG787" s="42"/>
    </row>
    <row r="788" spans="50:59" x14ac:dyDescent="0.2">
      <c r="AX788" s="315"/>
      <c r="AY788" s="326"/>
      <c r="AZ788" s="175"/>
      <c r="BA788" s="42"/>
      <c r="BB788" s="426"/>
      <c r="BF788" s="315"/>
      <c r="BG788" s="42"/>
    </row>
    <row r="789" spans="50:59" x14ac:dyDescent="0.2">
      <c r="AX789" s="315"/>
      <c r="AY789" s="326"/>
      <c r="AZ789" s="175"/>
      <c r="BA789" s="42"/>
      <c r="BB789" s="426"/>
      <c r="BF789" s="315"/>
      <c r="BG789" s="42"/>
    </row>
    <row r="790" spans="50:59" x14ac:dyDescent="0.2">
      <c r="AX790" s="315"/>
      <c r="AY790" s="326"/>
      <c r="AZ790" s="175"/>
      <c r="BA790" s="42"/>
      <c r="BB790" s="426"/>
      <c r="BF790" s="315"/>
      <c r="BG790" s="42"/>
    </row>
    <row r="791" spans="50:59" x14ac:dyDescent="0.2">
      <c r="AX791" s="315"/>
      <c r="AY791" s="326"/>
      <c r="AZ791" s="175"/>
      <c r="BA791" s="42"/>
      <c r="BB791" s="426"/>
      <c r="BF791" s="315"/>
      <c r="BG791" s="42"/>
    </row>
    <row r="792" spans="50:59" x14ac:dyDescent="0.2">
      <c r="AX792" s="315"/>
      <c r="AY792" s="326"/>
      <c r="AZ792" s="175"/>
      <c r="BA792" s="42"/>
      <c r="BB792" s="426"/>
      <c r="BF792" s="315"/>
      <c r="BG792" s="42"/>
    </row>
    <row r="793" spans="50:59" x14ac:dyDescent="0.2">
      <c r="AX793" s="315"/>
      <c r="AY793" s="326"/>
      <c r="AZ793" s="175"/>
      <c r="BA793" s="42"/>
      <c r="BB793" s="426"/>
      <c r="BF793" s="315"/>
      <c r="BG793" s="42"/>
    </row>
    <row r="794" spans="50:59" x14ac:dyDescent="0.2">
      <c r="AX794" s="315"/>
      <c r="AY794" s="326"/>
      <c r="AZ794" s="175"/>
      <c r="BA794" s="42"/>
      <c r="BB794" s="426"/>
      <c r="BF794" s="315"/>
      <c r="BG794" s="42"/>
    </row>
    <row r="795" spans="50:59" x14ac:dyDescent="0.2">
      <c r="AX795" s="315"/>
      <c r="AY795" s="326"/>
      <c r="AZ795" s="175"/>
      <c r="BA795" s="42"/>
      <c r="BB795" s="426"/>
      <c r="BF795" s="315"/>
      <c r="BG795" s="42"/>
    </row>
    <row r="796" spans="50:59" x14ac:dyDescent="0.2">
      <c r="AX796" s="315"/>
      <c r="AY796" s="326"/>
      <c r="AZ796" s="175"/>
      <c r="BA796" s="42"/>
      <c r="BB796" s="426"/>
      <c r="BF796" s="315"/>
      <c r="BG796" s="42"/>
    </row>
    <row r="797" spans="50:59" x14ac:dyDescent="0.2">
      <c r="AX797" s="315"/>
      <c r="AY797" s="326"/>
      <c r="AZ797" s="175"/>
      <c r="BA797" s="42"/>
      <c r="BB797" s="426"/>
      <c r="BF797" s="315"/>
      <c r="BG797" s="42"/>
    </row>
    <row r="798" spans="50:59" x14ac:dyDescent="0.2">
      <c r="AX798" s="315"/>
      <c r="AY798" s="326"/>
      <c r="AZ798" s="175"/>
      <c r="BA798" s="42"/>
      <c r="BB798" s="426"/>
      <c r="BF798" s="315"/>
      <c r="BG798" s="42"/>
    </row>
    <row r="799" spans="50:59" x14ac:dyDescent="0.2">
      <c r="AX799" s="315"/>
      <c r="AY799" s="326"/>
      <c r="AZ799" s="175"/>
      <c r="BA799" s="42"/>
      <c r="BB799" s="426"/>
      <c r="BF799" s="315"/>
      <c r="BG799" s="42"/>
    </row>
    <row r="800" spans="50:59" x14ac:dyDescent="0.2">
      <c r="AX800" s="315"/>
      <c r="AY800" s="326"/>
      <c r="AZ800" s="175"/>
      <c r="BA800" s="42"/>
      <c r="BB800" s="426"/>
      <c r="BF800" s="315"/>
      <c r="BG800" s="42"/>
    </row>
    <row r="801" spans="50:59" x14ac:dyDescent="0.2">
      <c r="AX801" s="315"/>
      <c r="AY801" s="326"/>
      <c r="AZ801" s="175"/>
      <c r="BA801" s="42"/>
      <c r="BB801" s="426"/>
      <c r="BF801" s="315"/>
      <c r="BG801" s="42"/>
    </row>
    <row r="802" spans="50:59" x14ac:dyDescent="0.2">
      <c r="AX802" s="315"/>
      <c r="AY802" s="326"/>
      <c r="AZ802" s="175"/>
      <c r="BA802" s="42"/>
      <c r="BB802" s="426"/>
      <c r="BF802" s="315"/>
      <c r="BG802" s="42"/>
    </row>
    <row r="803" spans="50:59" x14ac:dyDescent="0.2">
      <c r="AX803" s="315"/>
      <c r="AY803" s="326"/>
      <c r="AZ803" s="175"/>
      <c r="BA803" s="42"/>
      <c r="BB803" s="426"/>
      <c r="BF803" s="315"/>
      <c r="BG803" s="42"/>
    </row>
    <row r="804" spans="50:59" x14ac:dyDescent="0.2">
      <c r="AX804" s="315"/>
      <c r="AY804" s="326"/>
      <c r="AZ804" s="175"/>
      <c r="BA804" s="42"/>
      <c r="BB804" s="426"/>
      <c r="BF804" s="315"/>
      <c r="BG804" s="42"/>
    </row>
    <row r="805" spans="50:59" x14ac:dyDescent="0.2">
      <c r="AX805" s="315"/>
      <c r="AY805" s="326"/>
      <c r="AZ805" s="175"/>
      <c r="BA805" s="42"/>
      <c r="BB805" s="426"/>
      <c r="BF805" s="315"/>
      <c r="BG805" s="42"/>
    </row>
    <row r="806" spans="50:59" x14ac:dyDescent="0.2">
      <c r="AX806" s="315"/>
      <c r="AY806" s="326"/>
      <c r="AZ806" s="175"/>
      <c r="BA806" s="42"/>
      <c r="BB806" s="426"/>
      <c r="BF806" s="315"/>
      <c r="BG806" s="42"/>
    </row>
    <row r="807" spans="50:59" x14ac:dyDescent="0.2">
      <c r="AX807" s="315"/>
      <c r="AY807" s="326"/>
      <c r="AZ807" s="175"/>
      <c r="BA807" s="42"/>
      <c r="BB807" s="426"/>
      <c r="BF807" s="315"/>
      <c r="BG807" s="42"/>
    </row>
    <row r="808" spans="50:59" x14ac:dyDescent="0.2">
      <c r="AX808" s="315"/>
      <c r="AY808" s="326"/>
      <c r="AZ808" s="175"/>
      <c r="BA808" s="42"/>
      <c r="BB808" s="426"/>
      <c r="BF808" s="315"/>
      <c r="BG808" s="42"/>
    </row>
    <row r="809" spans="50:59" x14ac:dyDescent="0.2">
      <c r="AX809" s="315"/>
      <c r="AY809" s="326"/>
      <c r="AZ809" s="175"/>
      <c r="BA809" s="42"/>
      <c r="BB809" s="426"/>
      <c r="BF809" s="315"/>
      <c r="BG809" s="42"/>
    </row>
    <row r="810" spans="50:59" x14ac:dyDescent="0.2">
      <c r="AX810" s="315"/>
      <c r="AY810" s="326"/>
      <c r="AZ810" s="175"/>
      <c r="BA810" s="42"/>
      <c r="BB810" s="426"/>
      <c r="BF810" s="315"/>
      <c r="BG810" s="42"/>
    </row>
    <row r="811" spans="50:59" x14ac:dyDescent="0.2">
      <c r="AX811" s="315"/>
      <c r="AY811" s="326"/>
      <c r="AZ811" s="175"/>
      <c r="BA811" s="42"/>
      <c r="BB811" s="426"/>
      <c r="BF811" s="315"/>
      <c r="BG811" s="42"/>
    </row>
    <row r="812" spans="50:59" x14ac:dyDescent="0.2">
      <c r="AX812" s="315"/>
      <c r="AY812" s="326"/>
      <c r="AZ812" s="175"/>
      <c r="BA812" s="42"/>
      <c r="BB812" s="426"/>
      <c r="BF812" s="315"/>
      <c r="BG812" s="42"/>
    </row>
    <row r="813" spans="50:59" x14ac:dyDescent="0.2">
      <c r="AX813" s="315"/>
      <c r="AY813" s="326"/>
      <c r="AZ813" s="175"/>
      <c r="BA813" s="42"/>
      <c r="BB813" s="426"/>
      <c r="BF813" s="315"/>
      <c r="BG813" s="42"/>
    </row>
    <row r="814" spans="50:59" x14ac:dyDescent="0.2">
      <c r="AX814" s="315"/>
      <c r="AY814" s="326"/>
      <c r="AZ814" s="175"/>
      <c r="BA814" s="42"/>
      <c r="BB814" s="426"/>
      <c r="BF814" s="315"/>
      <c r="BG814" s="42"/>
    </row>
    <row r="815" spans="50:59" x14ac:dyDescent="0.2">
      <c r="AX815" s="315"/>
      <c r="AY815" s="326"/>
      <c r="AZ815" s="175"/>
      <c r="BA815" s="42"/>
      <c r="BB815" s="426"/>
      <c r="BF815" s="315"/>
      <c r="BG815" s="42"/>
    </row>
    <row r="816" spans="50:59" x14ac:dyDescent="0.2">
      <c r="AX816" s="315"/>
      <c r="AY816" s="326"/>
      <c r="AZ816" s="175"/>
      <c r="BA816" s="42"/>
      <c r="BB816" s="426"/>
      <c r="BF816" s="315"/>
      <c r="BG816" s="42"/>
    </row>
    <row r="817" spans="50:59" x14ac:dyDescent="0.2">
      <c r="AX817" s="315"/>
      <c r="AY817" s="326"/>
      <c r="AZ817" s="175"/>
      <c r="BA817" s="42"/>
      <c r="BB817" s="426"/>
      <c r="BF817" s="315"/>
      <c r="BG817" s="42"/>
    </row>
    <row r="818" spans="50:59" x14ac:dyDescent="0.2">
      <c r="AX818" s="315"/>
      <c r="AY818" s="326"/>
      <c r="AZ818" s="175"/>
      <c r="BA818" s="42"/>
      <c r="BB818" s="426"/>
      <c r="BF818" s="315"/>
      <c r="BG818" s="42"/>
    </row>
    <row r="819" spans="50:59" x14ac:dyDescent="0.2">
      <c r="AX819" s="315"/>
      <c r="AY819" s="326"/>
      <c r="AZ819" s="175"/>
      <c r="BA819" s="42"/>
      <c r="BB819" s="426"/>
      <c r="BF819" s="315"/>
      <c r="BG819" s="42"/>
    </row>
    <row r="820" spans="50:59" x14ac:dyDescent="0.2">
      <c r="AX820" s="315"/>
      <c r="AY820" s="326"/>
      <c r="AZ820" s="175"/>
      <c r="BA820" s="42"/>
      <c r="BB820" s="426"/>
      <c r="BF820" s="315"/>
      <c r="BG820" s="42"/>
    </row>
    <row r="821" spans="50:59" x14ac:dyDescent="0.2">
      <c r="AX821" s="315"/>
      <c r="AY821" s="326"/>
      <c r="AZ821" s="175"/>
      <c r="BA821" s="42"/>
      <c r="BB821" s="426"/>
      <c r="BF821" s="315"/>
      <c r="BG821" s="42"/>
    </row>
    <row r="822" spans="50:59" x14ac:dyDescent="0.2">
      <c r="AX822" s="315"/>
      <c r="AY822" s="326"/>
      <c r="AZ822" s="175"/>
      <c r="BA822" s="42"/>
      <c r="BB822" s="426"/>
      <c r="BF822" s="315"/>
      <c r="BG822" s="42"/>
    </row>
    <row r="823" spans="50:59" x14ac:dyDescent="0.2">
      <c r="AX823" s="315"/>
      <c r="AY823" s="326"/>
      <c r="AZ823" s="175"/>
      <c r="BA823" s="42"/>
      <c r="BB823" s="426"/>
      <c r="BF823" s="315"/>
      <c r="BG823" s="42"/>
    </row>
    <row r="824" spans="50:59" x14ac:dyDescent="0.2">
      <c r="AX824" s="315"/>
      <c r="AY824" s="326"/>
      <c r="AZ824" s="175"/>
      <c r="BA824" s="42"/>
      <c r="BB824" s="426"/>
      <c r="BF824" s="315"/>
      <c r="BG824" s="42"/>
    </row>
    <row r="825" spans="50:59" x14ac:dyDescent="0.2">
      <c r="AX825" s="315"/>
      <c r="AY825" s="326"/>
      <c r="AZ825" s="175"/>
      <c r="BA825" s="42"/>
      <c r="BB825" s="426"/>
      <c r="BF825" s="315"/>
      <c r="BG825" s="42"/>
    </row>
    <row r="826" spans="50:59" x14ac:dyDescent="0.2">
      <c r="AX826" s="315"/>
      <c r="AY826" s="326"/>
      <c r="AZ826" s="175"/>
      <c r="BA826" s="42"/>
      <c r="BB826" s="426"/>
      <c r="BF826" s="315"/>
      <c r="BG826" s="42"/>
    </row>
    <row r="827" spans="50:59" x14ac:dyDescent="0.2">
      <c r="AX827" s="315"/>
      <c r="AY827" s="326"/>
      <c r="AZ827" s="175"/>
      <c r="BA827" s="42"/>
      <c r="BB827" s="426"/>
      <c r="BF827" s="315"/>
      <c r="BG827" s="42"/>
    </row>
    <row r="828" spans="50:59" x14ac:dyDescent="0.2">
      <c r="AX828" s="315"/>
      <c r="AY828" s="326"/>
      <c r="AZ828" s="175"/>
      <c r="BA828" s="42"/>
      <c r="BB828" s="426"/>
      <c r="BF828" s="315"/>
      <c r="BG828" s="42"/>
    </row>
    <row r="829" spans="50:59" x14ac:dyDescent="0.2">
      <c r="AX829" s="315"/>
      <c r="AY829" s="326"/>
      <c r="AZ829" s="175"/>
      <c r="BA829" s="42"/>
      <c r="BB829" s="426"/>
      <c r="BF829" s="315"/>
      <c r="BG829" s="42"/>
    </row>
    <row r="830" spans="50:59" x14ac:dyDescent="0.2">
      <c r="AX830" s="315"/>
      <c r="AY830" s="326"/>
      <c r="AZ830" s="175"/>
      <c r="BA830" s="42"/>
      <c r="BB830" s="426"/>
      <c r="BF830" s="315"/>
      <c r="BG830" s="42"/>
    </row>
    <row r="831" spans="50:59" x14ac:dyDescent="0.2">
      <c r="AX831" s="315"/>
      <c r="AY831" s="326"/>
      <c r="AZ831" s="175"/>
      <c r="BA831" s="42"/>
      <c r="BB831" s="426"/>
      <c r="BF831" s="315"/>
      <c r="BG831" s="42"/>
    </row>
    <row r="832" spans="50:59" x14ac:dyDescent="0.2">
      <c r="AX832" s="315"/>
      <c r="AY832" s="326"/>
      <c r="AZ832" s="175"/>
      <c r="BA832" s="42"/>
      <c r="BB832" s="426"/>
      <c r="BF832" s="315"/>
      <c r="BG832" s="42"/>
    </row>
    <row r="833" spans="50:59" x14ac:dyDescent="0.2">
      <c r="AX833" s="315"/>
      <c r="AY833" s="326"/>
      <c r="AZ833" s="175"/>
      <c r="BA833" s="42"/>
      <c r="BB833" s="426"/>
      <c r="BF833" s="315"/>
      <c r="BG833" s="42"/>
    </row>
    <row r="834" spans="50:59" x14ac:dyDescent="0.2">
      <c r="AX834" s="315"/>
      <c r="AY834" s="326"/>
      <c r="AZ834" s="175"/>
      <c r="BA834" s="42"/>
      <c r="BB834" s="426"/>
      <c r="BF834" s="315"/>
      <c r="BG834" s="42"/>
    </row>
    <row r="835" spans="50:59" x14ac:dyDescent="0.2">
      <c r="AX835" s="315"/>
      <c r="AY835" s="326"/>
      <c r="AZ835" s="175"/>
      <c r="BA835" s="42"/>
      <c r="BB835" s="426"/>
      <c r="BF835" s="315"/>
      <c r="BG835" s="42"/>
    </row>
    <row r="836" spans="50:59" x14ac:dyDescent="0.2">
      <c r="AX836" s="315"/>
      <c r="AY836" s="326"/>
      <c r="AZ836" s="175"/>
      <c r="BA836" s="42"/>
      <c r="BB836" s="426"/>
      <c r="BF836" s="315"/>
      <c r="BG836" s="42"/>
    </row>
    <row r="837" spans="50:59" x14ac:dyDescent="0.2">
      <c r="AX837" s="315"/>
      <c r="AY837" s="326"/>
      <c r="AZ837" s="175"/>
      <c r="BA837" s="42"/>
      <c r="BB837" s="426"/>
      <c r="BF837" s="315"/>
      <c r="BG837" s="42"/>
    </row>
    <row r="838" spans="50:59" x14ac:dyDescent="0.2">
      <c r="AX838" s="315"/>
      <c r="AY838" s="326"/>
      <c r="AZ838" s="175"/>
      <c r="BA838" s="42"/>
      <c r="BB838" s="426"/>
      <c r="BF838" s="315"/>
      <c r="BG838" s="42"/>
    </row>
    <row r="839" spans="50:59" x14ac:dyDescent="0.2">
      <c r="AX839" s="315"/>
      <c r="AY839" s="326"/>
      <c r="AZ839" s="175"/>
      <c r="BA839" s="42"/>
      <c r="BB839" s="426"/>
      <c r="BF839" s="315"/>
      <c r="BG839" s="42"/>
    </row>
    <row r="840" spans="50:59" x14ac:dyDescent="0.2">
      <c r="AX840" s="315"/>
      <c r="AY840" s="326"/>
      <c r="AZ840" s="175"/>
      <c r="BA840" s="42"/>
      <c r="BB840" s="426"/>
      <c r="BF840" s="315"/>
      <c r="BG840" s="42"/>
    </row>
    <row r="841" spans="50:59" x14ac:dyDescent="0.2">
      <c r="AX841" s="315"/>
      <c r="AY841" s="326"/>
      <c r="AZ841" s="175"/>
      <c r="BA841" s="42"/>
      <c r="BB841" s="426"/>
      <c r="BF841" s="315"/>
      <c r="BG841" s="42"/>
    </row>
    <row r="842" spans="50:59" x14ac:dyDescent="0.2">
      <c r="AX842" s="315"/>
      <c r="AY842" s="326"/>
      <c r="AZ842" s="175"/>
      <c r="BA842" s="42"/>
      <c r="BB842" s="426"/>
      <c r="BF842" s="315"/>
      <c r="BG842" s="42"/>
    </row>
    <row r="843" spans="50:59" x14ac:dyDescent="0.2">
      <c r="AX843" s="315"/>
      <c r="AY843" s="326"/>
      <c r="AZ843" s="175"/>
      <c r="BA843" s="42"/>
      <c r="BB843" s="426"/>
      <c r="BF843" s="315"/>
      <c r="BG843" s="42"/>
    </row>
    <row r="844" spans="50:59" x14ac:dyDescent="0.2">
      <c r="AX844" s="315"/>
      <c r="AY844" s="326"/>
      <c r="AZ844" s="175"/>
      <c r="BA844" s="42"/>
      <c r="BB844" s="426"/>
      <c r="BF844" s="315"/>
      <c r="BG844" s="42"/>
    </row>
    <row r="845" spans="50:59" x14ac:dyDescent="0.2">
      <c r="AX845" s="315"/>
      <c r="AY845" s="326"/>
      <c r="AZ845" s="175"/>
      <c r="BA845" s="42"/>
      <c r="BB845" s="426"/>
      <c r="BF845" s="315"/>
      <c r="BG845" s="42"/>
    </row>
    <row r="846" spans="50:59" x14ac:dyDescent="0.2">
      <c r="AX846" s="315"/>
      <c r="AY846" s="326"/>
      <c r="AZ846" s="175"/>
      <c r="BA846" s="42"/>
      <c r="BB846" s="426"/>
      <c r="BF846" s="315"/>
      <c r="BG846" s="42"/>
    </row>
    <row r="847" spans="50:59" x14ac:dyDescent="0.2">
      <c r="AX847" s="315"/>
      <c r="AY847" s="326"/>
      <c r="AZ847" s="175"/>
      <c r="BA847" s="42"/>
      <c r="BB847" s="426"/>
      <c r="BF847" s="315"/>
      <c r="BG847" s="42"/>
    </row>
    <row r="848" spans="50:59" x14ac:dyDescent="0.2">
      <c r="AX848" s="315"/>
      <c r="AY848" s="326"/>
      <c r="AZ848" s="175"/>
      <c r="BA848" s="42"/>
      <c r="BB848" s="426"/>
      <c r="BF848" s="315"/>
      <c r="BG848" s="42"/>
    </row>
    <row r="849" spans="50:59" x14ac:dyDescent="0.2">
      <c r="AX849" s="315"/>
      <c r="AY849" s="326"/>
      <c r="AZ849" s="175"/>
      <c r="BA849" s="42"/>
      <c r="BB849" s="426"/>
      <c r="BF849" s="315"/>
      <c r="BG849" s="42"/>
    </row>
    <row r="850" spans="50:59" x14ac:dyDescent="0.2">
      <c r="AX850" s="315"/>
      <c r="AY850" s="326"/>
      <c r="AZ850" s="175"/>
      <c r="BA850" s="42"/>
      <c r="BB850" s="426"/>
      <c r="BF850" s="315"/>
      <c r="BG850" s="42"/>
    </row>
    <row r="851" spans="50:59" x14ac:dyDescent="0.2">
      <c r="AX851" s="315"/>
      <c r="AY851" s="326"/>
      <c r="AZ851" s="175"/>
      <c r="BA851" s="42"/>
      <c r="BB851" s="426"/>
      <c r="BF851" s="315"/>
      <c r="BG851" s="42"/>
    </row>
    <row r="852" spans="50:59" x14ac:dyDescent="0.2">
      <c r="AX852" s="315"/>
      <c r="AY852" s="326"/>
      <c r="AZ852" s="175"/>
      <c r="BA852" s="42"/>
      <c r="BB852" s="426"/>
      <c r="BF852" s="315"/>
      <c r="BG852" s="42"/>
    </row>
    <row r="853" spans="50:59" x14ac:dyDescent="0.2">
      <c r="AX853" s="315"/>
      <c r="AY853" s="326"/>
      <c r="AZ853" s="175"/>
      <c r="BA853" s="42"/>
      <c r="BB853" s="426"/>
      <c r="BF853" s="315"/>
      <c r="BG853" s="42"/>
    </row>
    <row r="854" spans="50:59" x14ac:dyDescent="0.2">
      <c r="AX854" s="315"/>
      <c r="AY854" s="326"/>
      <c r="AZ854" s="175"/>
      <c r="BA854" s="42"/>
      <c r="BB854" s="426"/>
      <c r="BF854" s="315"/>
      <c r="BG854" s="42"/>
    </row>
    <row r="855" spans="50:59" x14ac:dyDescent="0.2">
      <c r="AX855" s="315"/>
      <c r="AY855" s="326"/>
      <c r="AZ855" s="175"/>
      <c r="BA855" s="42"/>
      <c r="BB855" s="426"/>
      <c r="BF855" s="315"/>
      <c r="BG855" s="42"/>
    </row>
    <row r="856" spans="50:59" x14ac:dyDescent="0.2">
      <c r="AX856" s="315"/>
      <c r="AY856" s="326"/>
      <c r="AZ856" s="175"/>
      <c r="BA856" s="42"/>
      <c r="BB856" s="426"/>
      <c r="BF856" s="315"/>
      <c r="BG856" s="42"/>
    </row>
    <row r="857" spans="50:59" x14ac:dyDescent="0.2">
      <c r="AX857" s="315"/>
      <c r="AY857" s="326"/>
      <c r="AZ857" s="175"/>
      <c r="BA857" s="42"/>
      <c r="BB857" s="426"/>
      <c r="BF857" s="315"/>
      <c r="BG857" s="42"/>
    </row>
    <row r="858" spans="50:59" x14ac:dyDescent="0.2">
      <c r="AX858" s="315"/>
      <c r="AY858" s="326"/>
      <c r="AZ858" s="175"/>
      <c r="BA858" s="42"/>
      <c r="BB858" s="426"/>
      <c r="BF858" s="315"/>
      <c r="BG858" s="42"/>
    </row>
    <row r="859" spans="50:59" x14ac:dyDescent="0.2">
      <c r="AX859" s="315"/>
      <c r="AY859" s="326"/>
      <c r="AZ859" s="175"/>
      <c r="BA859" s="42"/>
      <c r="BB859" s="426"/>
      <c r="BF859" s="315"/>
      <c r="BG859" s="42"/>
    </row>
    <row r="860" spans="50:59" x14ac:dyDescent="0.2">
      <c r="AX860" s="315"/>
      <c r="AY860" s="326"/>
      <c r="AZ860" s="175"/>
      <c r="BA860" s="42"/>
      <c r="BB860" s="426"/>
      <c r="BF860" s="315"/>
      <c r="BG860" s="42"/>
    </row>
    <row r="861" spans="50:59" x14ac:dyDescent="0.2">
      <c r="AX861" s="315"/>
      <c r="AY861" s="326"/>
      <c r="AZ861" s="175"/>
      <c r="BA861" s="42"/>
      <c r="BB861" s="426"/>
      <c r="BF861" s="315"/>
      <c r="BG861" s="42"/>
    </row>
    <row r="862" spans="50:59" x14ac:dyDescent="0.2">
      <c r="AX862" s="315"/>
      <c r="AY862" s="326"/>
      <c r="AZ862" s="175"/>
      <c r="BA862" s="42"/>
      <c r="BB862" s="426"/>
      <c r="BF862" s="315"/>
      <c r="BG862" s="42"/>
    </row>
    <row r="863" spans="50:59" x14ac:dyDescent="0.2">
      <c r="AX863" s="315"/>
      <c r="AY863" s="326"/>
      <c r="AZ863" s="175"/>
      <c r="BA863" s="42"/>
      <c r="BB863" s="426"/>
      <c r="BF863" s="315"/>
      <c r="BG863" s="42"/>
    </row>
    <row r="864" spans="50:59" x14ac:dyDescent="0.2">
      <c r="AX864" s="315"/>
      <c r="AY864" s="326"/>
      <c r="AZ864" s="175"/>
      <c r="BA864" s="42"/>
      <c r="BB864" s="426"/>
      <c r="BF864" s="315"/>
      <c r="BG864" s="42"/>
    </row>
    <row r="865" spans="50:59" x14ac:dyDescent="0.2">
      <c r="AX865" s="315"/>
      <c r="AY865" s="326"/>
      <c r="AZ865" s="175"/>
      <c r="BA865" s="42"/>
      <c r="BB865" s="426"/>
      <c r="BF865" s="315"/>
      <c r="BG865" s="42"/>
    </row>
    <row r="866" spans="50:59" x14ac:dyDescent="0.2">
      <c r="AX866" s="315"/>
      <c r="AY866" s="326"/>
      <c r="AZ866" s="175"/>
      <c r="BA866" s="42"/>
      <c r="BB866" s="426"/>
      <c r="BF866" s="315"/>
      <c r="BG866" s="42"/>
    </row>
    <row r="867" spans="50:59" x14ac:dyDescent="0.2">
      <c r="AX867" s="315"/>
      <c r="AY867" s="326"/>
      <c r="AZ867" s="175"/>
      <c r="BA867" s="42"/>
      <c r="BB867" s="426"/>
      <c r="BF867" s="315"/>
      <c r="BG867" s="42"/>
    </row>
    <row r="868" spans="50:59" x14ac:dyDescent="0.2">
      <c r="AX868" s="315"/>
      <c r="AY868" s="326"/>
      <c r="AZ868" s="175"/>
      <c r="BA868" s="42"/>
      <c r="BB868" s="426"/>
      <c r="BF868" s="315"/>
      <c r="BG868" s="42"/>
    </row>
    <row r="869" spans="50:59" x14ac:dyDescent="0.2">
      <c r="AX869" s="315"/>
      <c r="AY869" s="326"/>
      <c r="AZ869" s="175"/>
      <c r="BA869" s="42"/>
      <c r="BB869" s="426"/>
      <c r="BF869" s="315"/>
      <c r="BG869" s="42"/>
    </row>
    <row r="870" spans="50:59" x14ac:dyDescent="0.2">
      <c r="AX870" s="315"/>
      <c r="AY870" s="326"/>
      <c r="AZ870" s="175"/>
      <c r="BA870" s="42"/>
      <c r="BB870" s="426"/>
      <c r="BF870" s="315"/>
      <c r="BG870" s="42"/>
    </row>
    <row r="871" spans="50:59" x14ac:dyDescent="0.2">
      <c r="AX871" s="315"/>
      <c r="AY871" s="326"/>
      <c r="AZ871" s="175"/>
      <c r="BA871" s="42"/>
      <c r="BB871" s="426"/>
      <c r="BF871" s="315"/>
      <c r="BG871" s="42"/>
    </row>
    <row r="872" spans="50:59" x14ac:dyDescent="0.2">
      <c r="AX872" s="315"/>
      <c r="AY872" s="326"/>
      <c r="AZ872" s="175"/>
      <c r="BA872" s="42"/>
      <c r="BB872" s="426"/>
      <c r="BF872" s="315"/>
      <c r="BG872" s="42"/>
    </row>
    <row r="873" spans="50:59" x14ac:dyDescent="0.2">
      <c r="AX873" s="315"/>
      <c r="AY873" s="326"/>
      <c r="AZ873" s="175"/>
      <c r="BA873" s="42"/>
      <c r="BB873" s="426"/>
      <c r="BF873" s="315"/>
      <c r="BG873" s="42"/>
    </row>
    <row r="874" spans="50:59" x14ac:dyDescent="0.2">
      <c r="AX874" s="315"/>
      <c r="AY874" s="326"/>
      <c r="AZ874" s="175"/>
      <c r="BA874" s="42"/>
      <c r="BB874" s="426"/>
      <c r="BF874" s="315"/>
      <c r="BG874" s="42"/>
    </row>
    <row r="875" spans="50:59" x14ac:dyDescent="0.2">
      <c r="AX875" s="315"/>
      <c r="AY875" s="326"/>
      <c r="AZ875" s="175"/>
      <c r="BA875" s="42"/>
      <c r="BB875" s="426"/>
      <c r="BF875" s="315"/>
      <c r="BG875" s="42"/>
    </row>
    <row r="876" spans="50:59" x14ac:dyDescent="0.2">
      <c r="AX876" s="315"/>
      <c r="AY876" s="326"/>
      <c r="AZ876" s="175"/>
      <c r="BA876" s="42"/>
      <c r="BB876" s="426"/>
      <c r="BF876" s="315"/>
      <c r="BG876" s="42"/>
    </row>
    <row r="877" spans="50:59" x14ac:dyDescent="0.2">
      <c r="AX877" s="315"/>
      <c r="AY877" s="326"/>
      <c r="AZ877" s="175"/>
      <c r="BA877" s="42"/>
      <c r="BB877" s="426"/>
      <c r="BF877" s="315"/>
      <c r="BG877" s="42"/>
    </row>
    <row r="878" spans="50:59" x14ac:dyDescent="0.2">
      <c r="AX878" s="315"/>
      <c r="AY878" s="326"/>
      <c r="AZ878" s="175"/>
      <c r="BA878" s="42"/>
      <c r="BB878" s="426"/>
      <c r="BF878" s="315"/>
      <c r="BG878" s="42"/>
    </row>
    <row r="879" spans="50:59" x14ac:dyDescent="0.2">
      <c r="AX879" s="315"/>
      <c r="AY879" s="326"/>
      <c r="AZ879" s="175"/>
      <c r="BA879" s="42"/>
      <c r="BB879" s="426"/>
      <c r="BF879" s="315"/>
      <c r="BG879" s="42"/>
    </row>
    <row r="880" spans="50:59" x14ac:dyDescent="0.2">
      <c r="AX880" s="315"/>
      <c r="AY880" s="326"/>
      <c r="AZ880" s="175"/>
      <c r="BA880" s="42"/>
      <c r="BB880" s="426"/>
      <c r="BF880" s="315"/>
      <c r="BG880" s="42"/>
    </row>
    <row r="881" spans="50:59" x14ac:dyDescent="0.2">
      <c r="AX881" s="315"/>
      <c r="AY881" s="326"/>
      <c r="AZ881" s="175"/>
      <c r="BA881" s="42"/>
      <c r="BB881" s="426"/>
      <c r="BF881" s="315"/>
      <c r="BG881" s="42"/>
    </row>
    <row r="882" spans="50:59" x14ac:dyDescent="0.2">
      <c r="AX882" s="315"/>
      <c r="AY882" s="326"/>
      <c r="AZ882" s="175"/>
      <c r="BA882" s="42"/>
      <c r="BB882" s="426"/>
      <c r="BF882" s="315"/>
      <c r="BG882" s="42"/>
    </row>
    <row r="883" spans="50:59" x14ac:dyDescent="0.2">
      <c r="AX883" s="315"/>
      <c r="AY883" s="326"/>
      <c r="AZ883" s="175"/>
      <c r="BA883" s="42"/>
      <c r="BB883" s="426"/>
      <c r="BF883" s="315"/>
      <c r="BG883" s="42"/>
    </row>
    <row r="884" spans="50:59" x14ac:dyDescent="0.2">
      <c r="AX884" s="315"/>
      <c r="AY884" s="326"/>
      <c r="AZ884" s="175"/>
      <c r="BA884" s="42"/>
      <c r="BB884" s="426"/>
      <c r="BF884" s="315"/>
      <c r="BG884" s="42"/>
    </row>
    <row r="885" spans="50:59" x14ac:dyDescent="0.2">
      <c r="AX885" s="315"/>
      <c r="AY885" s="326"/>
      <c r="AZ885" s="175"/>
      <c r="BA885" s="42"/>
      <c r="BB885" s="426"/>
      <c r="BF885" s="315"/>
      <c r="BG885" s="42"/>
    </row>
    <row r="886" spans="50:59" x14ac:dyDescent="0.2">
      <c r="AX886" s="315"/>
      <c r="AY886" s="326"/>
      <c r="AZ886" s="175"/>
      <c r="BA886" s="42"/>
      <c r="BB886" s="426"/>
      <c r="BF886" s="315"/>
      <c r="BG886" s="42"/>
    </row>
    <row r="887" spans="50:59" x14ac:dyDescent="0.2">
      <c r="AX887" s="315"/>
      <c r="AY887" s="326"/>
      <c r="AZ887" s="175"/>
      <c r="BA887" s="42"/>
      <c r="BB887" s="426"/>
      <c r="BF887" s="315"/>
      <c r="BG887" s="42"/>
    </row>
    <row r="888" spans="50:59" x14ac:dyDescent="0.2">
      <c r="AX888" s="315"/>
      <c r="AY888" s="326"/>
      <c r="AZ888" s="175"/>
      <c r="BA888" s="42"/>
      <c r="BB888" s="426"/>
      <c r="BF888" s="315"/>
      <c r="BG888" s="42"/>
    </row>
    <row r="889" spans="50:59" x14ac:dyDescent="0.2">
      <c r="AX889" s="315"/>
      <c r="AY889" s="326"/>
      <c r="AZ889" s="175"/>
      <c r="BA889" s="42"/>
      <c r="BB889" s="426"/>
      <c r="BF889" s="315"/>
      <c r="BG889" s="42"/>
    </row>
    <row r="890" spans="50:59" x14ac:dyDescent="0.2">
      <c r="AX890" s="315"/>
      <c r="AY890" s="326"/>
      <c r="AZ890" s="175"/>
      <c r="BA890" s="42"/>
      <c r="BB890" s="426"/>
      <c r="BF890" s="315"/>
      <c r="BG890" s="42"/>
    </row>
    <row r="891" spans="50:59" x14ac:dyDescent="0.2">
      <c r="AX891" s="315"/>
      <c r="AY891" s="326"/>
      <c r="AZ891" s="175"/>
      <c r="BA891" s="42"/>
      <c r="BB891" s="426"/>
      <c r="BF891" s="315"/>
      <c r="BG891" s="42"/>
    </row>
    <row r="892" spans="50:59" x14ac:dyDescent="0.2">
      <c r="AX892" s="315"/>
      <c r="AY892" s="326"/>
      <c r="AZ892" s="175"/>
      <c r="BA892" s="42"/>
      <c r="BB892" s="426"/>
      <c r="BF892" s="315"/>
      <c r="BG892" s="42"/>
    </row>
    <row r="893" spans="50:59" x14ac:dyDescent="0.2">
      <c r="AX893" s="315"/>
      <c r="AY893" s="326"/>
      <c r="AZ893" s="175"/>
      <c r="BA893" s="42"/>
      <c r="BB893" s="426"/>
      <c r="BF893" s="315"/>
      <c r="BG893" s="42"/>
    </row>
    <row r="894" spans="50:59" x14ac:dyDescent="0.2">
      <c r="AX894" s="315"/>
      <c r="AY894" s="326"/>
      <c r="AZ894" s="175"/>
      <c r="BA894" s="42"/>
      <c r="BB894" s="426"/>
      <c r="BF894" s="315"/>
      <c r="BG894" s="42"/>
    </row>
    <row r="895" spans="50:59" x14ac:dyDescent="0.2">
      <c r="AX895" s="315"/>
      <c r="AY895" s="326"/>
      <c r="AZ895" s="175"/>
      <c r="BA895" s="42"/>
      <c r="BB895" s="426"/>
      <c r="BF895" s="315"/>
      <c r="BG895" s="42"/>
    </row>
    <row r="896" spans="50:59" x14ac:dyDescent="0.2">
      <c r="AX896" s="315"/>
      <c r="AY896" s="326"/>
      <c r="AZ896" s="175"/>
      <c r="BA896" s="42"/>
      <c r="BB896" s="426"/>
      <c r="BF896" s="315"/>
      <c r="BG896" s="42"/>
    </row>
    <row r="897" spans="50:59" x14ac:dyDescent="0.2">
      <c r="AX897" s="315"/>
      <c r="AY897" s="326"/>
      <c r="AZ897" s="175"/>
      <c r="BA897" s="42"/>
      <c r="BB897" s="426"/>
      <c r="BF897" s="315"/>
      <c r="BG897" s="42"/>
    </row>
    <row r="898" spans="50:59" x14ac:dyDescent="0.2">
      <c r="AX898" s="315"/>
      <c r="AY898" s="326"/>
      <c r="AZ898" s="175"/>
      <c r="BA898" s="42"/>
      <c r="BB898" s="426"/>
      <c r="BF898" s="315"/>
      <c r="BG898" s="42"/>
    </row>
    <row r="899" spans="50:59" x14ac:dyDescent="0.2">
      <c r="AX899" s="315"/>
      <c r="AY899" s="326"/>
      <c r="AZ899" s="175"/>
      <c r="BA899" s="42"/>
      <c r="BB899" s="426"/>
      <c r="BF899" s="315"/>
      <c r="BG899" s="42"/>
    </row>
    <row r="900" spans="50:59" x14ac:dyDescent="0.2">
      <c r="AX900" s="315"/>
      <c r="AY900" s="326"/>
      <c r="AZ900" s="175"/>
      <c r="BA900" s="42"/>
      <c r="BB900" s="426"/>
      <c r="BF900" s="315"/>
      <c r="BG900" s="42"/>
    </row>
    <row r="901" spans="50:59" x14ac:dyDescent="0.2">
      <c r="AX901" s="315"/>
      <c r="AY901" s="326"/>
      <c r="AZ901" s="175"/>
      <c r="BA901" s="42"/>
      <c r="BB901" s="426"/>
      <c r="BF901" s="315"/>
      <c r="BG901" s="42"/>
    </row>
    <row r="902" spans="50:59" x14ac:dyDescent="0.2">
      <c r="AX902" s="315"/>
      <c r="AY902" s="326"/>
      <c r="AZ902" s="175"/>
      <c r="BA902" s="42"/>
      <c r="BB902" s="426"/>
      <c r="BF902" s="315"/>
      <c r="BG902" s="42"/>
    </row>
    <row r="903" spans="50:59" x14ac:dyDescent="0.2">
      <c r="AX903" s="315"/>
      <c r="AY903" s="326"/>
      <c r="AZ903" s="175"/>
      <c r="BA903" s="42"/>
      <c r="BB903" s="426"/>
      <c r="BF903" s="315"/>
      <c r="BG903" s="42"/>
    </row>
    <row r="904" spans="50:59" x14ac:dyDescent="0.2">
      <c r="AX904" s="315"/>
      <c r="AY904" s="326"/>
      <c r="AZ904" s="175"/>
      <c r="BA904" s="42"/>
      <c r="BB904" s="426"/>
      <c r="BF904" s="315"/>
      <c r="BG904" s="42"/>
    </row>
    <row r="905" spans="50:59" x14ac:dyDescent="0.2">
      <c r="AX905" s="315"/>
      <c r="AY905" s="326"/>
      <c r="AZ905" s="175"/>
      <c r="BA905" s="42"/>
      <c r="BB905" s="426"/>
      <c r="BF905" s="315"/>
      <c r="BG905" s="42"/>
    </row>
    <row r="906" spans="50:59" x14ac:dyDescent="0.2">
      <c r="AX906" s="315"/>
      <c r="AY906" s="326"/>
      <c r="AZ906" s="175"/>
      <c r="BA906" s="42"/>
      <c r="BB906" s="426"/>
      <c r="BF906" s="315"/>
      <c r="BG906" s="42"/>
    </row>
    <row r="907" spans="50:59" x14ac:dyDescent="0.2">
      <c r="AX907" s="315"/>
      <c r="AY907" s="326"/>
      <c r="AZ907" s="175"/>
      <c r="BA907" s="42"/>
      <c r="BB907" s="426"/>
      <c r="BF907" s="315"/>
      <c r="BG907" s="42"/>
    </row>
    <row r="908" spans="50:59" x14ac:dyDescent="0.2">
      <c r="AX908" s="315"/>
      <c r="AY908" s="326"/>
      <c r="AZ908" s="175"/>
      <c r="BA908" s="42"/>
      <c r="BB908" s="426"/>
      <c r="BF908" s="315"/>
      <c r="BG908" s="42"/>
    </row>
    <row r="909" spans="50:59" x14ac:dyDescent="0.2">
      <c r="AX909" s="315"/>
      <c r="AY909" s="326"/>
      <c r="AZ909" s="175"/>
      <c r="BA909" s="42"/>
      <c r="BB909" s="426"/>
      <c r="BF909" s="315"/>
      <c r="BG909" s="42"/>
    </row>
    <row r="910" spans="50:59" x14ac:dyDescent="0.2">
      <c r="AX910" s="315"/>
      <c r="AY910" s="326"/>
      <c r="AZ910" s="175"/>
      <c r="BA910" s="42"/>
      <c r="BB910" s="426"/>
      <c r="BF910" s="315"/>
      <c r="BG910" s="42"/>
    </row>
    <row r="911" spans="50:59" x14ac:dyDescent="0.2">
      <c r="AX911" s="315"/>
      <c r="AY911" s="326"/>
      <c r="AZ911" s="175"/>
      <c r="BA911" s="42"/>
      <c r="BB911" s="426"/>
      <c r="BF911" s="315"/>
      <c r="BG911" s="42"/>
    </row>
    <row r="912" spans="50:59" x14ac:dyDescent="0.2">
      <c r="AX912" s="315"/>
      <c r="AY912" s="326"/>
      <c r="AZ912" s="175"/>
      <c r="BA912" s="42"/>
      <c r="BB912" s="426"/>
      <c r="BF912" s="315"/>
      <c r="BG912" s="42"/>
    </row>
    <row r="913" spans="50:59" x14ac:dyDescent="0.2">
      <c r="AX913" s="315"/>
      <c r="AY913" s="326"/>
      <c r="AZ913" s="175"/>
      <c r="BA913" s="42"/>
      <c r="BB913" s="426"/>
      <c r="BF913" s="315"/>
      <c r="BG913" s="42"/>
    </row>
    <row r="914" spans="50:59" x14ac:dyDescent="0.2">
      <c r="AX914" s="315"/>
      <c r="AY914" s="326"/>
      <c r="AZ914" s="175"/>
      <c r="BA914" s="42"/>
      <c r="BB914" s="426"/>
      <c r="BF914" s="315"/>
      <c r="BG914" s="42"/>
    </row>
    <row r="915" spans="50:59" x14ac:dyDescent="0.2">
      <c r="AX915" s="315"/>
      <c r="AY915" s="326"/>
      <c r="AZ915" s="175"/>
      <c r="BA915" s="42"/>
      <c r="BB915" s="426"/>
      <c r="BF915" s="315"/>
      <c r="BG915" s="42"/>
    </row>
    <row r="916" spans="50:59" x14ac:dyDescent="0.2">
      <c r="AX916" s="315"/>
      <c r="AY916" s="326"/>
      <c r="AZ916" s="175"/>
      <c r="BA916" s="42"/>
      <c r="BB916" s="426"/>
      <c r="BF916" s="315"/>
      <c r="BG916" s="42"/>
    </row>
    <row r="917" spans="50:59" x14ac:dyDescent="0.2">
      <c r="AX917" s="315"/>
      <c r="AY917" s="326"/>
      <c r="AZ917" s="175"/>
      <c r="BA917" s="42"/>
      <c r="BB917" s="426"/>
      <c r="BF917" s="315"/>
      <c r="BG917" s="42"/>
    </row>
    <row r="918" spans="50:59" x14ac:dyDescent="0.2">
      <c r="AX918" s="315"/>
      <c r="AY918" s="326"/>
      <c r="AZ918" s="175"/>
      <c r="BA918" s="42"/>
      <c r="BB918" s="426"/>
      <c r="BF918" s="315"/>
      <c r="BG918" s="42"/>
    </row>
    <row r="919" spans="50:59" x14ac:dyDescent="0.2">
      <c r="AX919" s="315"/>
      <c r="AY919" s="326"/>
      <c r="AZ919" s="175"/>
      <c r="BA919" s="42"/>
      <c r="BB919" s="426"/>
      <c r="BF919" s="315"/>
      <c r="BG919" s="42"/>
    </row>
    <row r="920" spans="50:59" x14ac:dyDescent="0.2">
      <c r="AX920" s="315"/>
      <c r="AY920" s="326"/>
      <c r="AZ920" s="175"/>
      <c r="BA920" s="42"/>
      <c r="BB920" s="426"/>
      <c r="BF920" s="315"/>
      <c r="BG920" s="42"/>
    </row>
    <row r="921" spans="50:59" x14ac:dyDescent="0.2">
      <c r="AX921" s="315"/>
      <c r="AY921" s="326"/>
      <c r="AZ921" s="175"/>
      <c r="BA921" s="42"/>
      <c r="BB921" s="426"/>
      <c r="BF921" s="315"/>
      <c r="BG921" s="42"/>
    </row>
    <row r="922" spans="50:59" x14ac:dyDescent="0.2">
      <c r="AX922" s="315"/>
      <c r="AY922" s="326"/>
      <c r="AZ922" s="175"/>
      <c r="BA922" s="42"/>
      <c r="BB922" s="426"/>
      <c r="BF922" s="315"/>
      <c r="BG922" s="42"/>
    </row>
    <row r="923" spans="50:59" x14ac:dyDescent="0.2">
      <c r="AX923" s="315"/>
      <c r="AY923" s="326"/>
      <c r="AZ923" s="175"/>
      <c r="BA923" s="42"/>
      <c r="BB923" s="426"/>
      <c r="BF923" s="315"/>
      <c r="BG923" s="42"/>
    </row>
    <row r="924" spans="50:59" x14ac:dyDescent="0.2">
      <c r="AX924" s="315"/>
      <c r="AY924" s="326"/>
      <c r="AZ924" s="175"/>
      <c r="BA924" s="42"/>
      <c r="BB924" s="426"/>
      <c r="BF924" s="315"/>
      <c r="BG924" s="42"/>
    </row>
    <row r="925" spans="50:59" x14ac:dyDescent="0.2">
      <c r="AX925" s="315"/>
      <c r="AY925" s="326"/>
      <c r="AZ925" s="175"/>
      <c r="BA925" s="42"/>
      <c r="BB925" s="426"/>
      <c r="BF925" s="315"/>
      <c r="BG925" s="42"/>
    </row>
    <row r="926" spans="50:59" x14ac:dyDescent="0.2">
      <c r="AX926" s="315"/>
      <c r="AY926" s="326"/>
      <c r="AZ926" s="175"/>
      <c r="BA926" s="42"/>
      <c r="BB926" s="426"/>
      <c r="BF926" s="315"/>
      <c r="BG926" s="42"/>
    </row>
    <row r="927" spans="50:59" x14ac:dyDescent="0.2">
      <c r="AX927" s="315"/>
      <c r="AY927" s="326"/>
      <c r="AZ927" s="175"/>
      <c r="BA927" s="42"/>
      <c r="BB927" s="426"/>
      <c r="BF927" s="315"/>
      <c r="BG927" s="42"/>
    </row>
    <row r="928" spans="50:59" x14ac:dyDescent="0.2">
      <c r="AX928" s="315"/>
      <c r="AY928" s="326"/>
      <c r="AZ928" s="175"/>
      <c r="BA928" s="42"/>
      <c r="BB928" s="426"/>
      <c r="BF928" s="315"/>
      <c r="BG928" s="42"/>
    </row>
    <row r="929" spans="50:59" x14ac:dyDescent="0.2">
      <c r="AX929" s="315"/>
      <c r="AY929" s="326"/>
      <c r="AZ929" s="175"/>
      <c r="BA929" s="42"/>
      <c r="BB929" s="426"/>
      <c r="BF929" s="315"/>
      <c r="BG929" s="42"/>
    </row>
    <row r="930" spans="50:59" x14ac:dyDescent="0.2">
      <c r="AX930" s="315"/>
      <c r="AY930" s="326"/>
      <c r="AZ930" s="175"/>
      <c r="BA930" s="42"/>
      <c r="BB930" s="426"/>
      <c r="BF930" s="315"/>
      <c r="BG930" s="42"/>
    </row>
    <row r="931" spans="50:59" x14ac:dyDescent="0.2">
      <c r="AX931" s="315"/>
      <c r="AY931" s="326"/>
      <c r="AZ931" s="175"/>
      <c r="BA931" s="42"/>
      <c r="BB931" s="426"/>
      <c r="BF931" s="315"/>
      <c r="BG931" s="42"/>
    </row>
    <row r="932" spans="50:59" x14ac:dyDescent="0.2">
      <c r="AX932" s="315"/>
      <c r="AY932" s="326"/>
      <c r="AZ932" s="175"/>
      <c r="BA932" s="42"/>
      <c r="BB932" s="426"/>
      <c r="BF932" s="315"/>
      <c r="BG932" s="42"/>
    </row>
    <row r="933" spans="50:59" x14ac:dyDescent="0.2">
      <c r="AX933" s="315"/>
      <c r="AY933" s="326"/>
      <c r="AZ933" s="175"/>
      <c r="BA933" s="42"/>
      <c r="BB933" s="426"/>
      <c r="BF933" s="315"/>
      <c r="BG933" s="42"/>
    </row>
    <row r="934" spans="50:59" x14ac:dyDescent="0.2">
      <c r="AX934" s="315"/>
      <c r="AY934" s="326"/>
      <c r="AZ934" s="175"/>
      <c r="BA934" s="42"/>
      <c r="BB934" s="426"/>
      <c r="BF934" s="315"/>
      <c r="BG934" s="42"/>
    </row>
    <row r="935" spans="50:59" x14ac:dyDescent="0.2">
      <c r="AX935" s="315"/>
      <c r="AY935" s="326"/>
      <c r="AZ935" s="175"/>
      <c r="BA935" s="42"/>
      <c r="BB935" s="426"/>
      <c r="BF935" s="315"/>
      <c r="BG935" s="42"/>
    </row>
    <row r="936" spans="50:59" x14ac:dyDescent="0.2">
      <c r="AX936" s="315"/>
      <c r="AY936" s="326"/>
      <c r="AZ936" s="175"/>
      <c r="BA936" s="42"/>
      <c r="BB936" s="426"/>
      <c r="BF936" s="315"/>
      <c r="BG936" s="42"/>
    </row>
    <row r="937" spans="50:59" x14ac:dyDescent="0.2">
      <c r="AX937" s="315"/>
      <c r="AY937" s="326"/>
      <c r="AZ937" s="175"/>
      <c r="BA937" s="42"/>
      <c r="BB937" s="426"/>
      <c r="BF937" s="315"/>
      <c r="BG937" s="42"/>
    </row>
    <row r="938" spans="50:59" x14ac:dyDescent="0.2">
      <c r="AX938" s="315"/>
      <c r="AY938" s="326"/>
      <c r="AZ938" s="175"/>
      <c r="BA938" s="42"/>
      <c r="BB938" s="426"/>
      <c r="BF938" s="315"/>
      <c r="BG938" s="42"/>
    </row>
    <row r="939" spans="50:59" x14ac:dyDescent="0.2">
      <c r="AX939" s="315"/>
      <c r="AY939" s="326"/>
      <c r="AZ939" s="175"/>
      <c r="BA939" s="42"/>
      <c r="BB939" s="426"/>
      <c r="BF939" s="315"/>
      <c r="BG939" s="42"/>
    </row>
    <row r="940" spans="50:59" x14ac:dyDescent="0.2">
      <c r="AX940" s="315"/>
      <c r="AY940" s="326"/>
      <c r="AZ940" s="175"/>
      <c r="BA940" s="42"/>
      <c r="BB940" s="426"/>
      <c r="BF940" s="315"/>
      <c r="BG940" s="42"/>
    </row>
    <row r="941" spans="50:59" x14ac:dyDescent="0.2">
      <c r="AX941" s="315"/>
      <c r="AY941" s="326"/>
      <c r="AZ941" s="175"/>
      <c r="BA941" s="42"/>
      <c r="BB941" s="426"/>
      <c r="BF941" s="315"/>
      <c r="BG941" s="42"/>
    </row>
    <row r="942" spans="50:59" x14ac:dyDescent="0.2">
      <c r="AX942" s="315"/>
      <c r="AY942" s="326"/>
      <c r="AZ942" s="175"/>
      <c r="BA942" s="42"/>
      <c r="BB942" s="426"/>
      <c r="BF942" s="315"/>
      <c r="BG942" s="42"/>
    </row>
    <row r="943" spans="50:59" x14ac:dyDescent="0.2">
      <c r="AX943" s="315"/>
      <c r="AY943" s="326"/>
      <c r="AZ943" s="175"/>
      <c r="BA943" s="42"/>
      <c r="BB943" s="426"/>
      <c r="BF943" s="315"/>
      <c r="BG943" s="42"/>
    </row>
    <row r="944" spans="50:59" x14ac:dyDescent="0.2">
      <c r="AX944" s="315"/>
      <c r="AY944" s="326"/>
      <c r="AZ944" s="175"/>
      <c r="BA944" s="42"/>
      <c r="BB944" s="426"/>
      <c r="BF944" s="315"/>
      <c r="BG944" s="42"/>
    </row>
    <row r="945" spans="50:59" x14ac:dyDescent="0.2">
      <c r="AX945" s="315"/>
      <c r="AY945" s="326"/>
      <c r="AZ945" s="175"/>
      <c r="BA945" s="42"/>
      <c r="BB945" s="426"/>
      <c r="BF945" s="315"/>
      <c r="BG945" s="42"/>
    </row>
    <row r="946" spans="50:59" x14ac:dyDescent="0.2">
      <c r="AX946" s="315"/>
      <c r="AY946" s="326"/>
      <c r="AZ946" s="175"/>
      <c r="BA946" s="42"/>
      <c r="BB946" s="426"/>
      <c r="BF946" s="315"/>
      <c r="BG946" s="42"/>
    </row>
    <row r="947" spans="50:59" x14ac:dyDescent="0.2">
      <c r="AX947" s="315"/>
      <c r="AY947" s="326"/>
      <c r="AZ947" s="175"/>
      <c r="BA947" s="42"/>
      <c r="BB947" s="426"/>
      <c r="BF947" s="315"/>
      <c r="BG947" s="42"/>
    </row>
    <row r="948" spans="50:59" x14ac:dyDescent="0.2">
      <c r="AX948" s="315"/>
      <c r="AY948" s="326"/>
      <c r="AZ948" s="175"/>
      <c r="BA948" s="42"/>
      <c r="BB948" s="426"/>
      <c r="BF948" s="315"/>
      <c r="BG948" s="42"/>
    </row>
    <row r="949" spans="50:59" x14ac:dyDescent="0.2">
      <c r="AX949" s="315"/>
      <c r="AY949" s="326"/>
      <c r="AZ949" s="175"/>
      <c r="BA949" s="42"/>
      <c r="BB949" s="426"/>
      <c r="BF949" s="315"/>
      <c r="BG949" s="42"/>
    </row>
    <row r="950" spans="50:59" x14ac:dyDescent="0.2">
      <c r="AX950" s="315"/>
      <c r="AY950" s="326"/>
      <c r="AZ950" s="175"/>
      <c r="BA950" s="42"/>
      <c r="BB950" s="426"/>
      <c r="BF950" s="315"/>
      <c r="BG950" s="42"/>
    </row>
    <row r="951" spans="50:59" x14ac:dyDescent="0.2">
      <c r="AX951" s="315"/>
      <c r="AY951" s="326"/>
      <c r="AZ951" s="175"/>
      <c r="BA951" s="42"/>
      <c r="BB951" s="426"/>
      <c r="BF951" s="315"/>
      <c r="BG951" s="42"/>
    </row>
    <row r="952" spans="50:59" x14ac:dyDescent="0.2">
      <c r="AX952" s="315"/>
      <c r="AY952" s="326"/>
      <c r="AZ952" s="175"/>
      <c r="BA952" s="42"/>
      <c r="BB952" s="426"/>
      <c r="BF952" s="315"/>
      <c r="BG952" s="42"/>
    </row>
    <row r="953" spans="50:59" x14ac:dyDescent="0.2">
      <c r="AX953" s="315"/>
      <c r="AY953" s="326"/>
      <c r="AZ953" s="175"/>
      <c r="BA953" s="42"/>
      <c r="BB953" s="426"/>
      <c r="BF953" s="315"/>
      <c r="BG953" s="42"/>
    </row>
    <row r="954" spans="50:59" x14ac:dyDescent="0.2">
      <c r="AX954" s="315"/>
      <c r="AY954" s="326"/>
      <c r="AZ954" s="175"/>
      <c r="BA954" s="42"/>
      <c r="BB954" s="426"/>
      <c r="BF954" s="315"/>
      <c r="BG954" s="42"/>
    </row>
    <row r="955" spans="50:59" x14ac:dyDescent="0.2">
      <c r="AX955" s="315"/>
      <c r="AY955" s="326"/>
      <c r="AZ955" s="175"/>
      <c r="BA955" s="42"/>
      <c r="BB955" s="426"/>
      <c r="BF955" s="315"/>
      <c r="BG955" s="42"/>
    </row>
    <row r="956" spans="50:59" x14ac:dyDescent="0.2">
      <c r="AX956" s="315"/>
      <c r="AY956" s="326"/>
      <c r="AZ956" s="175"/>
      <c r="BA956" s="42"/>
      <c r="BB956" s="426"/>
      <c r="BF956" s="315"/>
      <c r="BG956" s="42"/>
    </row>
    <row r="957" spans="50:59" x14ac:dyDescent="0.2">
      <c r="AX957" s="315"/>
      <c r="AY957" s="326"/>
      <c r="AZ957" s="175"/>
      <c r="BA957" s="42"/>
      <c r="BB957" s="426"/>
      <c r="BF957" s="315"/>
      <c r="BG957" s="42"/>
    </row>
    <row r="958" spans="50:59" x14ac:dyDescent="0.2">
      <c r="AX958" s="315"/>
      <c r="AY958" s="326"/>
      <c r="AZ958" s="175"/>
      <c r="BA958" s="42"/>
      <c r="BB958" s="426"/>
      <c r="BF958" s="315"/>
      <c r="BG958" s="42"/>
    </row>
    <row r="959" spans="50:59" x14ac:dyDescent="0.2">
      <c r="AX959" s="315"/>
      <c r="AY959" s="326"/>
      <c r="AZ959" s="175"/>
      <c r="BA959" s="42"/>
      <c r="BB959" s="426"/>
      <c r="BF959" s="315"/>
      <c r="BG959" s="42"/>
    </row>
    <row r="960" spans="50:59" x14ac:dyDescent="0.2">
      <c r="AX960" s="315"/>
      <c r="AY960" s="326"/>
      <c r="AZ960" s="175"/>
      <c r="BA960" s="42"/>
      <c r="BB960" s="426"/>
      <c r="BF960" s="315"/>
      <c r="BG960" s="42"/>
    </row>
    <row r="961" spans="50:59" x14ac:dyDescent="0.2">
      <c r="AX961" s="315"/>
      <c r="AY961" s="326"/>
      <c r="AZ961" s="175"/>
      <c r="BA961" s="42"/>
      <c r="BB961" s="426"/>
      <c r="BF961" s="315"/>
      <c r="BG961" s="42"/>
    </row>
    <row r="962" spans="50:59" x14ac:dyDescent="0.2">
      <c r="AX962" s="315"/>
      <c r="AY962" s="326"/>
      <c r="AZ962" s="175"/>
      <c r="BA962" s="42"/>
      <c r="BB962" s="426"/>
      <c r="BF962" s="315"/>
      <c r="BG962" s="42"/>
    </row>
    <row r="963" spans="50:59" x14ac:dyDescent="0.2">
      <c r="AX963" s="315"/>
      <c r="AY963" s="326"/>
      <c r="AZ963" s="175"/>
      <c r="BA963" s="42"/>
      <c r="BB963" s="426"/>
      <c r="BF963" s="315"/>
      <c r="BG963" s="42"/>
    </row>
    <row r="964" spans="50:59" x14ac:dyDescent="0.2">
      <c r="AX964" s="315"/>
      <c r="AY964" s="326"/>
      <c r="AZ964" s="175"/>
      <c r="BA964" s="42"/>
      <c r="BB964" s="426"/>
      <c r="BF964" s="315"/>
      <c r="BG964" s="42"/>
    </row>
    <row r="965" spans="50:59" x14ac:dyDescent="0.2">
      <c r="AX965" s="315"/>
      <c r="AY965" s="326"/>
      <c r="AZ965" s="175"/>
      <c r="BA965" s="42"/>
      <c r="BB965" s="426"/>
      <c r="BF965" s="315"/>
      <c r="BG965" s="42"/>
    </row>
    <row r="966" spans="50:59" x14ac:dyDescent="0.2">
      <c r="AX966" s="315"/>
      <c r="AY966" s="326"/>
      <c r="AZ966" s="175"/>
      <c r="BA966" s="42"/>
      <c r="BB966" s="426"/>
      <c r="BF966" s="315"/>
      <c r="BG966" s="42"/>
    </row>
    <row r="967" spans="50:59" x14ac:dyDescent="0.2">
      <c r="AX967" s="315"/>
      <c r="AY967" s="326"/>
      <c r="AZ967" s="175"/>
      <c r="BA967" s="42"/>
      <c r="BB967" s="426"/>
      <c r="BF967" s="315"/>
      <c r="BG967" s="42"/>
    </row>
    <row r="968" spans="50:59" x14ac:dyDescent="0.2">
      <c r="AX968" s="315"/>
      <c r="AY968" s="326"/>
      <c r="AZ968" s="175"/>
      <c r="BA968" s="42"/>
      <c r="BB968" s="426"/>
      <c r="BF968" s="315"/>
      <c r="BG968" s="42"/>
    </row>
    <row r="969" spans="50:59" x14ac:dyDescent="0.2">
      <c r="AX969" s="315"/>
      <c r="AY969" s="326"/>
      <c r="AZ969" s="175"/>
      <c r="BA969" s="42"/>
      <c r="BB969" s="426"/>
      <c r="BF969" s="315"/>
      <c r="BG969" s="42"/>
    </row>
    <row r="970" spans="50:59" x14ac:dyDescent="0.2">
      <c r="AX970" s="315"/>
      <c r="AY970" s="326"/>
      <c r="AZ970" s="175"/>
      <c r="BA970" s="42"/>
      <c r="BB970" s="426"/>
      <c r="BF970" s="315"/>
      <c r="BG970" s="42"/>
    </row>
    <row r="971" spans="50:59" x14ac:dyDescent="0.2">
      <c r="AX971" s="315"/>
      <c r="AY971" s="326"/>
      <c r="AZ971" s="175"/>
      <c r="BA971" s="42"/>
      <c r="BB971" s="426"/>
      <c r="BF971" s="315"/>
      <c r="BG971" s="42"/>
    </row>
    <row r="972" spans="50:59" x14ac:dyDescent="0.2">
      <c r="AX972" s="315"/>
      <c r="AY972" s="326"/>
      <c r="AZ972" s="175"/>
      <c r="BA972" s="42"/>
      <c r="BB972" s="426"/>
      <c r="BF972" s="315"/>
      <c r="BG972" s="42"/>
    </row>
    <row r="973" spans="50:59" x14ac:dyDescent="0.2">
      <c r="AX973" s="315"/>
      <c r="AY973" s="326"/>
      <c r="AZ973" s="175"/>
      <c r="BA973" s="42"/>
      <c r="BB973" s="426"/>
      <c r="BF973" s="315"/>
      <c r="BG973" s="42"/>
    </row>
    <row r="974" spans="50:59" x14ac:dyDescent="0.2">
      <c r="AX974" s="315"/>
      <c r="AY974" s="326"/>
      <c r="AZ974" s="175"/>
      <c r="BA974" s="42"/>
      <c r="BB974" s="426"/>
      <c r="BF974" s="315"/>
      <c r="BG974" s="42"/>
    </row>
    <row r="975" spans="50:59" x14ac:dyDescent="0.2">
      <c r="AX975" s="315"/>
      <c r="AY975" s="326"/>
      <c r="AZ975" s="175"/>
      <c r="BA975" s="42"/>
      <c r="BB975" s="426"/>
      <c r="BF975" s="315"/>
      <c r="BG975" s="42"/>
    </row>
    <row r="976" spans="50:59" x14ac:dyDescent="0.2">
      <c r="AX976" s="315"/>
      <c r="AY976" s="326"/>
      <c r="AZ976" s="175"/>
      <c r="BA976" s="42"/>
      <c r="BB976" s="426"/>
      <c r="BF976" s="315"/>
      <c r="BG976" s="42"/>
    </row>
    <row r="977" spans="50:59" x14ac:dyDescent="0.2">
      <c r="AX977" s="315"/>
      <c r="AY977" s="326"/>
      <c r="AZ977" s="175"/>
      <c r="BA977" s="42"/>
      <c r="BB977" s="426"/>
      <c r="BF977" s="315"/>
      <c r="BG977" s="42"/>
    </row>
    <row r="978" spans="50:59" x14ac:dyDescent="0.2">
      <c r="AX978" s="315"/>
      <c r="AY978" s="326"/>
      <c r="AZ978" s="175"/>
      <c r="BA978" s="42"/>
      <c r="BB978" s="426"/>
      <c r="BF978" s="315"/>
      <c r="BG978" s="42"/>
    </row>
    <row r="979" spans="50:59" x14ac:dyDescent="0.2">
      <c r="AX979" s="315"/>
      <c r="AY979" s="326"/>
      <c r="AZ979" s="175"/>
      <c r="BA979" s="42"/>
      <c r="BB979" s="426"/>
      <c r="BF979" s="315"/>
      <c r="BG979" s="42"/>
    </row>
    <row r="980" spans="50:59" x14ac:dyDescent="0.2">
      <c r="AX980" s="315"/>
      <c r="AY980" s="326"/>
      <c r="AZ980" s="175"/>
      <c r="BA980" s="42"/>
      <c r="BB980" s="426"/>
      <c r="BF980" s="315"/>
      <c r="BG980" s="42"/>
    </row>
    <row r="981" spans="50:59" x14ac:dyDescent="0.2">
      <c r="AX981" s="315"/>
      <c r="AY981" s="326"/>
      <c r="AZ981" s="175"/>
      <c r="BA981" s="42"/>
      <c r="BB981" s="426"/>
      <c r="BF981" s="315"/>
      <c r="BG981" s="42"/>
    </row>
    <row r="982" spans="50:59" x14ac:dyDescent="0.2">
      <c r="AX982" s="315"/>
      <c r="AY982" s="326"/>
      <c r="AZ982" s="175"/>
      <c r="BA982" s="42"/>
      <c r="BB982" s="426"/>
      <c r="BF982" s="315"/>
      <c r="BG982" s="42"/>
    </row>
    <row r="983" spans="50:59" x14ac:dyDescent="0.2">
      <c r="AX983" s="315"/>
      <c r="AY983" s="326"/>
      <c r="AZ983" s="175"/>
      <c r="BA983" s="42"/>
      <c r="BB983" s="426"/>
      <c r="BF983" s="315"/>
      <c r="BG983" s="42"/>
    </row>
    <row r="984" spans="50:59" x14ac:dyDescent="0.2">
      <c r="AX984" s="315"/>
      <c r="AY984" s="326"/>
      <c r="AZ984" s="175"/>
      <c r="BA984" s="42"/>
      <c r="BB984" s="426"/>
      <c r="BF984" s="315"/>
      <c r="BG984" s="42"/>
    </row>
    <row r="985" spans="50:59" x14ac:dyDescent="0.2">
      <c r="AX985" s="315"/>
      <c r="AY985" s="326"/>
      <c r="AZ985" s="175"/>
      <c r="BA985" s="42"/>
      <c r="BB985" s="426"/>
      <c r="BF985" s="315"/>
      <c r="BG985" s="42"/>
    </row>
    <row r="986" spans="50:59" x14ac:dyDescent="0.2">
      <c r="AX986" s="315"/>
      <c r="AY986" s="326"/>
      <c r="AZ986" s="175"/>
      <c r="BA986" s="42"/>
      <c r="BB986" s="426"/>
      <c r="BF986" s="315"/>
      <c r="BG986" s="42"/>
    </row>
    <row r="987" spans="50:59" x14ac:dyDescent="0.2">
      <c r="AX987" s="315"/>
      <c r="AY987" s="326"/>
      <c r="AZ987" s="175"/>
      <c r="BA987" s="42"/>
      <c r="BB987" s="426"/>
      <c r="BF987" s="315"/>
      <c r="BG987" s="42"/>
    </row>
    <row r="988" spans="50:59" x14ac:dyDescent="0.2">
      <c r="AX988" s="315"/>
      <c r="AY988" s="326"/>
      <c r="AZ988" s="175"/>
      <c r="BA988" s="42"/>
      <c r="BB988" s="426"/>
      <c r="BF988" s="315"/>
      <c r="BG988" s="42"/>
    </row>
    <row r="989" spans="50:59" x14ac:dyDescent="0.2">
      <c r="AX989" s="315"/>
      <c r="AY989" s="326"/>
      <c r="AZ989" s="175"/>
      <c r="BA989" s="42"/>
      <c r="BB989" s="426"/>
      <c r="BF989" s="315"/>
      <c r="BG989" s="42"/>
    </row>
    <row r="990" spans="50:59" x14ac:dyDescent="0.2">
      <c r="AX990" s="315"/>
      <c r="AY990" s="326"/>
      <c r="AZ990" s="175"/>
      <c r="BA990" s="42"/>
      <c r="BB990" s="426"/>
      <c r="BF990" s="315"/>
      <c r="BG990" s="42"/>
    </row>
    <row r="991" spans="50:59" x14ac:dyDescent="0.2">
      <c r="AX991" s="315"/>
      <c r="AY991" s="326"/>
      <c r="AZ991" s="175"/>
      <c r="BA991" s="42"/>
      <c r="BB991" s="426"/>
      <c r="BF991" s="315"/>
      <c r="BG991" s="42"/>
    </row>
    <row r="992" spans="50:59" x14ac:dyDescent="0.2">
      <c r="AX992" s="315"/>
      <c r="AY992" s="326"/>
      <c r="AZ992" s="175"/>
      <c r="BA992" s="42"/>
      <c r="BB992" s="426"/>
      <c r="BF992" s="315"/>
      <c r="BG992" s="42"/>
    </row>
    <row r="993" spans="50:59" x14ac:dyDescent="0.2">
      <c r="AX993" s="315"/>
      <c r="AY993" s="326"/>
      <c r="AZ993" s="175"/>
      <c r="BA993" s="42"/>
      <c r="BB993" s="426"/>
      <c r="BF993" s="315"/>
      <c r="BG993" s="42"/>
    </row>
    <row r="994" spans="50:59" x14ac:dyDescent="0.2">
      <c r="AX994" s="315"/>
      <c r="AY994" s="326"/>
      <c r="AZ994" s="175"/>
      <c r="BA994" s="42"/>
      <c r="BB994" s="426"/>
      <c r="BF994" s="315"/>
      <c r="BG994" s="42"/>
    </row>
    <row r="995" spans="50:59" x14ac:dyDescent="0.2">
      <c r="AX995" s="315"/>
      <c r="AY995" s="326"/>
      <c r="AZ995" s="175"/>
      <c r="BA995" s="42"/>
      <c r="BB995" s="426"/>
      <c r="BF995" s="315"/>
      <c r="BG995" s="42"/>
    </row>
    <row r="996" spans="50:59" x14ac:dyDescent="0.2">
      <c r="AX996" s="315"/>
      <c r="AY996" s="326"/>
      <c r="AZ996" s="175"/>
      <c r="BA996" s="42"/>
      <c r="BB996" s="426"/>
      <c r="BF996" s="315"/>
      <c r="BG996" s="42"/>
    </row>
    <row r="997" spans="50:59" x14ac:dyDescent="0.2">
      <c r="AX997" s="315"/>
      <c r="AY997" s="326"/>
      <c r="AZ997" s="175"/>
      <c r="BA997" s="42"/>
      <c r="BB997" s="426"/>
      <c r="BF997" s="315"/>
      <c r="BG997" s="42"/>
    </row>
    <row r="998" spans="50:59" x14ac:dyDescent="0.2">
      <c r="AX998" s="315"/>
      <c r="AY998" s="326"/>
      <c r="AZ998" s="175"/>
      <c r="BA998" s="42"/>
      <c r="BB998" s="426"/>
      <c r="BF998" s="315"/>
      <c r="BG998" s="42"/>
    </row>
    <row r="999" spans="50:59" x14ac:dyDescent="0.2">
      <c r="AX999" s="315"/>
      <c r="AY999" s="326"/>
      <c r="AZ999" s="175"/>
      <c r="BA999" s="42"/>
      <c r="BB999" s="426"/>
      <c r="BF999" s="315"/>
      <c r="BG999" s="42"/>
    </row>
    <row r="1000" spans="50:59" x14ac:dyDescent="0.2">
      <c r="AX1000" s="315"/>
      <c r="AY1000" s="326"/>
      <c r="AZ1000" s="175"/>
      <c r="BA1000" s="42"/>
      <c r="BB1000" s="426"/>
      <c r="BF1000" s="315"/>
      <c r="BG1000" s="42"/>
    </row>
    <row r="1001" spans="50:59" x14ac:dyDescent="0.2">
      <c r="AX1001" s="315"/>
      <c r="AY1001" s="326"/>
      <c r="AZ1001" s="175"/>
      <c r="BA1001" s="42"/>
      <c r="BB1001" s="426"/>
      <c r="BF1001" s="315"/>
      <c r="BG1001" s="42"/>
    </row>
    <row r="1002" spans="50:59" x14ac:dyDescent="0.2">
      <c r="AX1002" s="315"/>
      <c r="AY1002" s="326"/>
      <c r="AZ1002" s="175"/>
      <c r="BA1002" s="42"/>
      <c r="BB1002" s="426"/>
      <c r="BF1002" s="315"/>
      <c r="BG1002" s="42"/>
    </row>
    <row r="1003" spans="50:59" x14ac:dyDescent="0.2">
      <c r="AX1003" s="315"/>
      <c r="AY1003" s="326"/>
      <c r="AZ1003" s="175"/>
      <c r="BA1003" s="42"/>
      <c r="BB1003" s="426"/>
      <c r="BF1003" s="315"/>
      <c r="BG1003" s="42"/>
    </row>
    <row r="1004" spans="50:59" x14ac:dyDescent="0.2">
      <c r="AX1004" s="315"/>
      <c r="AY1004" s="326"/>
      <c r="AZ1004" s="175"/>
      <c r="BA1004" s="42"/>
      <c r="BB1004" s="426"/>
      <c r="BF1004" s="315"/>
      <c r="BG1004" s="42"/>
    </row>
    <row r="1005" spans="50:59" x14ac:dyDescent="0.2">
      <c r="AX1005" s="315"/>
      <c r="AY1005" s="326"/>
      <c r="AZ1005" s="175"/>
      <c r="BA1005" s="42"/>
      <c r="BB1005" s="426"/>
      <c r="BF1005" s="315"/>
      <c r="BG1005" s="42"/>
    </row>
    <row r="1006" spans="50:59" x14ac:dyDescent="0.2">
      <c r="AX1006" s="315"/>
      <c r="AY1006" s="326"/>
      <c r="AZ1006" s="175"/>
      <c r="BA1006" s="42"/>
      <c r="BB1006" s="426"/>
      <c r="BF1006" s="315"/>
      <c r="BG1006" s="42"/>
    </row>
    <row r="1007" spans="50:59" x14ac:dyDescent="0.2">
      <c r="AX1007" s="315"/>
      <c r="AY1007" s="326"/>
      <c r="AZ1007" s="175"/>
      <c r="BA1007" s="42"/>
      <c r="BB1007" s="426"/>
      <c r="BF1007" s="315"/>
      <c r="BG1007" s="42"/>
    </row>
    <row r="1008" spans="50:59" x14ac:dyDescent="0.2">
      <c r="AX1008" s="315"/>
      <c r="AY1008" s="326"/>
      <c r="AZ1008" s="175"/>
      <c r="BA1008" s="42"/>
      <c r="BB1008" s="426"/>
      <c r="BF1008" s="315"/>
      <c r="BG1008" s="42"/>
    </row>
    <row r="1009" spans="50:59" x14ac:dyDescent="0.2">
      <c r="AX1009" s="315"/>
      <c r="AY1009" s="326"/>
      <c r="AZ1009" s="175"/>
      <c r="BA1009" s="42"/>
      <c r="BB1009" s="426"/>
      <c r="BF1009" s="315"/>
      <c r="BG1009" s="42"/>
    </row>
    <row r="1010" spans="50:59" x14ac:dyDescent="0.2">
      <c r="AX1010" s="315"/>
      <c r="AY1010" s="326"/>
      <c r="AZ1010" s="175"/>
      <c r="BA1010" s="42"/>
      <c r="BB1010" s="426"/>
      <c r="BF1010" s="315"/>
      <c r="BG1010" s="42"/>
    </row>
    <row r="1011" spans="50:59" x14ac:dyDescent="0.2">
      <c r="AX1011" s="315"/>
      <c r="AY1011" s="326"/>
      <c r="AZ1011" s="175"/>
      <c r="BA1011" s="42"/>
      <c r="BB1011" s="426"/>
      <c r="BF1011" s="315"/>
      <c r="BG1011" s="42"/>
    </row>
    <row r="1012" spans="50:59" x14ac:dyDescent="0.2">
      <c r="AX1012" s="315"/>
      <c r="AY1012" s="326"/>
      <c r="AZ1012" s="175"/>
      <c r="BA1012" s="42"/>
      <c r="BB1012" s="426"/>
      <c r="BF1012" s="315"/>
      <c r="BG1012" s="42"/>
    </row>
    <row r="1013" spans="50:59" x14ac:dyDescent="0.2">
      <c r="AX1013" s="315"/>
      <c r="AY1013" s="326"/>
      <c r="AZ1013" s="175"/>
      <c r="BA1013" s="42"/>
      <c r="BB1013" s="426"/>
      <c r="BF1013" s="315"/>
      <c r="BG1013" s="42"/>
    </row>
    <row r="1014" spans="50:59" x14ac:dyDescent="0.2">
      <c r="AX1014" s="315"/>
      <c r="AY1014" s="326"/>
      <c r="AZ1014" s="175"/>
      <c r="BA1014" s="42"/>
      <c r="BB1014" s="426"/>
      <c r="BF1014" s="315"/>
      <c r="BG1014" s="42"/>
    </row>
    <row r="1015" spans="50:59" x14ac:dyDescent="0.2">
      <c r="AX1015" s="315"/>
      <c r="AY1015" s="326"/>
      <c r="AZ1015" s="175"/>
      <c r="BA1015" s="42"/>
      <c r="BB1015" s="426"/>
      <c r="BF1015" s="315"/>
      <c r="BG1015" s="42"/>
    </row>
    <row r="1016" spans="50:59" x14ac:dyDescent="0.2">
      <c r="AX1016" s="315"/>
      <c r="AY1016" s="326"/>
      <c r="AZ1016" s="175"/>
      <c r="BA1016" s="42"/>
      <c r="BB1016" s="426"/>
      <c r="BF1016" s="315"/>
      <c r="BG1016" s="42"/>
    </row>
    <row r="1017" spans="50:59" x14ac:dyDescent="0.2">
      <c r="AX1017" s="315"/>
      <c r="AY1017" s="326"/>
      <c r="AZ1017" s="175"/>
      <c r="BA1017" s="42"/>
      <c r="BB1017" s="426"/>
      <c r="BF1017" s="315"/>
      <c r="BG1017" s="42"/>
    </row>
    <row r="1018" spans="50:59" x14ac:dyDescent="0.2">
      <c r="AX1018" s="315"/>
      <c r="AY1018" s="326"/>
      <c r="AZ1018" s="175"/>
      <c r="BA1018" s="42"/>
      <c r="BB1018" s="426"/>
      <c r="BF1018" s="315"/>
      <c r="BG1018" s="42"/>
    </row>
    <row r="1019" spans="50:59" x14ac:dyDescent="0.2">
      <c r="AX1019" s="315"/>
      <c r="AY1019" s="326"/>
      <c r="AZ1019" s="175"/>
      <c r="BA1019" s="42"/>
      <c r="BB1019" s="426"/>
      <c r="BF1019" s="315"/>
      <c r="BG1019" s="42"/>
    </row>
    <row r="1020" spans="50:59" x14ac:dyDescent="0.2">
      <c r="AX1020" s="315"/>
      <c r="AY1020" s="326"/>
      <c r="AZ1020" s="175"/>
      <c r="BA1020" s="42"/>
      <c r="BB1020" s="426"/>
      <c r="BF1020" s="315"/>
      <c r="BG1020" s="42"/>
    </row>
    <row r="1021" spans="50:59" x14ac:dyDescent="0.2">
      <c r="AX1021" s="315"/>
      <c r="AY1021" s="326"/>
      <c r="AZ1021" s="175"/>
      <c r="BA1021" s="42"/>
      <c r="BB1021" s="426"/>
      <c r="BF1021" s="315"/>
      <c r="BG1021" s="42"/>
    </row>
    <row r="1022" spans="50:59" x14ac:dyDescent="0.2">
      <c r="AX1022" s="315"/>
      <c r="AY1022" s="326"/>
      <c r="AZ1022" s="175"/>
      <c r="BA1022" s="42"/>
      <c r="BB1022" s="426"/>
      <c r="BF1022" s="315"/>
      <c r="BG1022" s="42"/>
    </row>
    <row r="1023" spans="50:59" x14ac:dyDescent="0.2">
      <c r="AX1023" s="315"/>
      <c r="AY1023" s="326"/>
      <c r="AZ1023" s="175"/>
      <c r="BA1023" s="42"/>
      <c r="BB1023" s="426"/>
      <c r="BF1023" s="315"/>
      <c r="BG1023" s="42"/>
    </row>
    <row r="1024" spans="50:59" x14ac:dyDescent="0.2">
      <c r="AX1024" s="315"/>
      <c r="AY1024" s="326"/>
      <c r="AZ1024" s="175"/>
      <c r="BA1024" s="42"/>
      <c r="BB1024" s="426"/>
      <c r="BF1024" s="315"/>
      <c r="BG1024" s="42"/>
    </row>
    <row r="1025" spans="50:59" x14ac:dyDescent="0.2">
      <c r="AX1025" s="315"/>
      <c r="AY1025" s="326"/>
      <c r="AZ1025" s="175"/>
      <c r="BA1025" s="42"/>
      <c r="BB1025" s="426"/>
      <c r="BF1025" s="315"/>
      <c r="BG1025" s="42"/>
    </row>
    <row r="1026" spans="50:59" x14ac:dyDescent="0.2">
      <c r="AX1026" s="315"/>
      <c r="AY1026" s="326"/>
      <c r="AZ1026" s="175"/>
      <c r="BA1026" s="42"/>
      <c r="BB1026" s="426"/>
      <c r="BF1026" s="315"/>
      <c r="BG1026" s="42"/>
    </row>
    <row r="1027" spans="50:59" x14ac:dyDescent="0.2">
      <c r="AX1027" s="315"/>
      <c r="AY1027" s="326"/>
      <c r="AZ1027" s="175"/>
      <c r="BA1027" s="42"/>
      <c r="BB1027" s="426"/>
      <c r="BF1027" s="315"/>
      <c r="BG1027" s="42"/>
    </row>
    <row r="1028" spans="50:59" x14ac:dyDescent="0.2">
      <c r="AX1028" s="315"/>
      <c r="AY1028" s="326"/>
      <c r="AZ1028" s="175"/>
      <c r="BA1028" s="42"/>
      <c r="BB1028" s="426"/>
      <c r="BF1028" s="315"/>
      <c r="BG1028" s="42"/>
    </row>
    <row r="1029" spans="50:59" x14ac:dyDescent="0.2">
      <c r="AX1029" s="315"/>
      <c r="AY1029" s="326"/>
      <c r="AZ1029" s="175"/>
      <c r="BA1029" s="42"/>
      <c r="BB1029" s="426"/>
      <c r="BF1029" s="315"/>
      <c r="BG1029" s="42"/>
    </row>
    <row r="1030" spans="50:59" x14ac:dyDescent="0.2">
      <c r="AX1030" s="315"/>
      <c r="AY1030" s="326"/>
      <c r="AZ1030" s="175"/>
      <c r="BA1030" s="42"/>
      <c r="BB1030" s="426"/>
      <c r="BF1030" s="315"/>
      <c r="BG1030" s="42"/>
    </row>
    <row r="1031" spans="50:59" x14ac:dyDescent="0.2">
      <c r="AX1031" s="315"/>
      <c r="AY1031" s="326"/>
      <c r="AZ1031" s="175"/>
      <c r="BA1031" s="42"/>
      <c r="BB1031" s="426"/>
      <c r="BF1031" s="315"/>
      <c r="BG1031" s="42"/>
    </row>
    <row r="1032" spans="50:59" x14ac:dyDescent="0.2">
      <c r="AX1032" s="315"/>
      <c r="AY1032" s="326"/>
      <c r="AZ1032" s="175"/>
      <c r="BA1032" s="42"/>
      <c r="BB1032" s="426"/>
      <c r="BF1032" s="315"/>
      <c r="BG1032" s="42"/>
    </row>
    <row r="1033" spans="50:59" x14ac:dyDescent="0.2">
      <c r="AX1033" s="315"/>
      <c r="AY1033" s="326"/>
      <c r="AZ1033" s="175"/>
      <c r="BA1033" s="42"/>
      <c r="BB1033" s="426"/>
      <c r="BF1033" s="315"/>
      <c r="BG1033" s="42"/>
    </row>
    <row r="1034" spans="50:59" x14ac:dyDescent="0.2">
      <c r="AX1034" s="315"/>
      <c r="AY1034" s="326"/>
      <c r="AZ1034" s="175"/>
      <c r="BA1034" s="42"/>
      <c r="BB1034" s="426"/>
      <c r="BF1034" s="315"/>
      <c r="BG1034" s="42"/>
    </row>
    <row r="1035" spans="50:59" x14ac:dyDescent="0.2">
      <c r="AX1035" s="315"/>
      <c r="AY1035" s="326"/>
      <c r="AZ1035" s="175"/>
      <c r="BA1035" s="42"/>
      <c r="BB1035" s="426"/>
      <c r="BF1035" s="315"/>
      <c r="BG1035" s="42"/>
    </row>
    <row r="1036" spans="50:59" x14ac:dyDescent="0.2">
      <c r="AX1036" s="315"/>
      <c r="AY1036" s="326"/>
      <c r="AZ1036" s="175"/>
      <c r="BA1036" s="42"/>
      <c r="BB1036" s="426"/>
      <c r="BF1036" s="315"/>
      <c r="BG1036" s="42"/>
    </row>
    <row r="1037" spans="50:59" x14ac:dyDescent="0.2">
      <c r="AX1037" s="315"/>
      <c r="AY1037" s="326"/>
      <c r="AZ1037" s="175"/>
      <c r="BA1037" s="42"/>
      <c r="BB1037" s="426"/>
      <c r="BF1037" s="315"/>
      <c r="BG1037" s="42"/>
    </row>
    <row r="1038" spans="50:59" x14ac:dyDescent="0.2">
      <c r="AX1038" s="315"/>
      <c r="AY1038" s="326"/>
      <c r="AZ1038" s="175"/>
      <c r="BA1038" s="42"/>
      <c r="BB1038" s="426"/>
      <c r="BF1038" s="315"/>
      <c r="BG1038" s="42"/>
    </row>
    <row r="1039" spans="50:59" x14ac:dyDescent="0.2">
      <c r="AX1039" s="315"/>
      <c r="AY1039" s="326"/>
      <c r="AZ1039" s="175"/>
      <c r="BA1039" s="42"/>
      <c r="BB1039" s="426"/>
      <c r="BF1039" s="315"/>
      <c r="BG1039" s="42"/>
    </row>
    <row r="1040" spans="50:59" x14ac:dyDescent="0.2">
      <c r="AX1040" s="315"/>
      <c r="AY1040" s="326"/>
      <c r="AZ1040" s="175"/>
      <c r="BA1040" s="42"/>
      <c r="BB1040" s="426"/>
      <c r="BF1040" s="315"/>
      <c r="BG1040" s="42"/>
    </row>
    <row r="1041" spans="50:59" x14ac:dyDescent="0.2">
      <c r="AX1041" s="315"/>
      <c r="AY1041" s="326"/>
      <c r="AZ1041" s="175"/>
      <c r="BA1041" s="42"/>
      <c r="BB1041" s="426"/>
      <c r="BF1041" s="315"/>
      <c r="BG1041" s="42"/>
    </row>
    <row r="1042" spans="50:59" x14ac:dyDescent="0.2">
      <c r="AX1042" s="315"/>
      <c r="AY1042" s="326"/>
      <c r="AZ1042" s="175"/>
      <c r="BA1042" s="42"/>
      <c r="BB1042" s="426"/>
      <c r="BF1042" s="315"/>
      <c r="BG1042" s="42"/>
    </row>
    <row r="1043" spans="50:59" x14ac:dyDescent="0.2">
      <c r="AX1043" s="315"/>
      <c r="AY1043" s="326"/>
      <c r="AZ1043" s="175"/>
      <c r="BA1043" s="42"/>
      <c r="BB1043" s="426"/>
      <c r="BF1043" s="315"/>
      <c r="BG1043" s="42"/>
    </row>
    <row r="1044" spans="50:59" x14ac:dyDescent="0.2">
      <c r="AX1044" s="315"/>
      <c r="AY1044" s="326"/>
      <c r="AZ1044" s="175"/>
      <c r="BA1044" s="42"/>
      <c r="BB1044" s="426"/>
      <c r="BF1044" s="315"/>
      <c r="BG1044" s="42"/>
    </row>
    <row r="1045" spans="50:59" x14ac:dyDescent="0.2">
      <c r="AX1045" s="315"/>
      <c r="AY1045" s="326"/>
      <c r="AZ1045" s="175"/>
      <c r="BA1045" s="42"/>
      <c r="BB1045" s="426"/>
      <c r="BF1045" s="315"/>
      <c r="BG1045" s="42"/>
    </row>
    <row r="1046" spans="50:59" x14ac:dyDescent="0.2">
      <c r="AX1046" s="315"/>
      <c r="AY1046" s="326"/>
      <c r="AZ1046" s="175"/>
      <c r="BA1046" s="42"/>
      <c r="BB1046" s="426"/>
      <c r="BF1046" s="315"/>
      <c r="BG1046" s="42"/>
    </row>
    <row r="1047" spans="50:59" x14ac:dyDescent="0.2">
      <c r="AX1047" s="315"/>
      <c r="AY1047" s="326"/>
      <c r="AZ1047" s="175"/>
      <c r="BA1047" s="42"/>
      <c r="BB1047" s="426"/>
      <c r="BF1047" s="315"/>
      <c r="BG1047" s="42"/>
    </row>
    <row r="1048" spans="50:59" x14ac:dyDescent="0.2">
      <c r="AX1048" s="315"/>
      <c r="AY1048" s="326"/>
      <c r="AZ1048" s="175"/>
      <c r="BA1048" s="42"/>
      <c r="BB1048" s="426"/>
      <c r="BF1048" s="315"/>
      <c r="BG1048" s="42"/>
    </row>
    <row r="1049" spans="50:59" x14ac:dyDescent="0.2">
      <c r="AX1049" s="315"/>
      <c r="AY1049" s="326"/>
      <c r="AZ1049" s="175"/>
      <c r="BA1049" s="42"/>
      <c r="BB1049" s="426"/>
      <c r="BF1049" s="315"/>
      <c r="BG1049" s="42"/>
    </row>
    <row r="1050" spans="50:59" x14ac:dyDescent="0.2">
      <c r="AX1050" s="315"/>
      <c r="AY1050" s="326"/>
      <c r="AZ1050" s="175"/>
      <c r="BA1050" s="42"/>
      <c r="BB1050" s="426"/>
      <c r="BF1050" s="315"/>
      <c r="BG1050" s="42"/>
    </row>
    <row r="1051" spans="50:59" x14ac:dyDescent="0.2">
      <c r="AX1051" s="315"/>
      <c r="AY1051" s="326"/>
      <c r="AZ1051" s="175"/>
      <c r="BA1051" s="42"/>
      <c r="BB1051" s="426"/>
      <c r="BF1051" s="315"/>
      <c r="BG1051" s="42"/>
    </row>
    <row r="1052" spans="50:59" x14ac:dyDescent="0.2">
      <c r="AX1052" s="315"/>
      <c r="AY1052" s="326"/>
      <c r="AZ1052" s="175"/>
      <c r="BA1052" s="42"/>
      <c r="BB1052" s="426"/>
      <c r="BF1052" s="315"/>
      <c r="BG1052" s="42"/>
    </row>
    <row r="1053" spans="50:59" x14ac:dyDescent="0.2">
      <c r="AX1053" s="315"/>
      <c r="AY1053" s="326"/>
      <c r="AZ1053" s="175"/>
      <c r="BA1053" s="42"/>
      <c r="BB1053" s="426"/>
      <c r="BF1053" s="315"/>
      <c r="BG1053" s="42"/>
    </row>
    <row r="1054" spans="50:59" x14ac:dyDescent="0.2">
      <c r="AX1054" s="315"/>
      <c r="AY1054" s="326"/>
      <c r="AZ1054" s="175"/>
      <c r="BA1054" s="42"/>
      <c r="BB1054" s="426"/>
      <c r="BF1054" s="315"/>
      <c r="BG1054" s="42"/>
    </row>
    <row r="1055" spans="50:59" x14ac:dyDescent="0.2">
      <c r="AX1055" s="315"/>
      <c r="AY1055" s="326"/>
      <c r="AZ1055" s="175"/>
      <c r="BA1055" s="42"/>
      <c r="BB1055" s="426"/>
      <c r="BF1055" s="315"/>
      <c r="BG1055" s="42"/>
    </row>
    <row r="1056" spans="50:59" x14ac:dyDescent="0.2">
      <c r="AX1056" s="315"/>
      <c r="AY1056" s="326"/>
      <c r="AZ1056" s="175"/>
      <c r="BA1056" s="42"/>
      <c r="BB1056" s="426"/>
      <c r="BF1056" s="315"/>
      <c r="BG1056" s="42"/>
    </row>
    <row r="1057" spans="50:59" x14ac:dyDescent="0.2">
      <c r="AX1057" s="315"/>
      <c r="AY1057" s="326"/>
      <c r="AZ1057" s="175"/>
      <c r="BA1057" s="42"/>
      <c r="BB1057" s="426"/>
      <c r="BF1057" s="315"/>
      <c r="BG1057" s="42"/>
    </row>
    <row r="1058" spans="50:59" x14ac:dyDescent="0.2">
      <c r="AX1058" s="315"/>
      <c r="AY1058" s="326"/>
      <c r="AZ1058" s="175"/>
      <c r="BA1058" s="42"/>
      <c r="BB1058" s="426"/>
      <c r="BF1058" s="315"/>
      <c r="BG1058" s="42"/>
    </row>
    <row r="1059" spans="50:59" x14ac:dyDescent="0.2">
      <c r="AX1059" s="315"/>
      <c r="AY1059" s="326"/>
      <c r="AZ1059" s="175"/>
      <c r="BA1059" s="42"/>
      <c r="BB1059" s="426"/>
      <c r="BF1059" s="315"/>
      <c r="BG1059" s="42"/>
    </row>
    <row r="1060" spans="50:59" x14ac:dyDescent="0.2">
      <c r="AX1060" s="315"/>
      <c r="AY1060" s="326"/>
      <c r="AZ1060" s="175"/>
      <c r="BA1060" s="42"/>
      <c r="BB1060" s="426"/>
      <c r="BF1060" s="315"/>
      <c r="BG1060" s="42"/>
    </row>
    <row r="1061" spans="50:59" x14ac:dyDescent="0.2">
      <c r="AX1061" s="315"/>
      <c r="AY1061" s="326"/>
      <c r="AZ1061" s="175"/>
      <c r="BA1061" s="42"/>
      <c r="BB1061" s="426"/>
      <c r="BF1061" s="315"/>
      <c r="BG1061" s="42"/>
    </row>
    <row r="1062" spans="50:59" x14ac:dyDescent="0.2">
      <c r="AX1062" s="315"/>
      <c r="AY1062" s="326"/>
      <c r="AZ1062" s="175"/>
      <c r="BA1062" s="42"/>
      <c r="BB1062" s="426"/>
      <c r="BF1062" s="315"/>
      <c r="BG1062" s="42"/>
    </row>
    <row r="1063" spans="50:59" x14ac:dyDescent="0.2">
      <c r="AX1063" s="315"/>
      <c r="AY1063" s="326"/>
      <c r="AZ1063" s="175"/>
      <c r="BA1063" s="42"/>
      <c r="BB1063" s="426"/>
      <c r="BF1063" s="315"/>
      <c r="BG1063" s="42"/>
    </row>
    <row r="1064" spans="50:59" x14ac:dyDescent="0.2">
      <c r="AX1064" s="315"/>
      <c r="AY1064" s="326"/>
      <c r="AZ1064" s="175"/>
      <c r="BA1064" s="42"/>
      <c r="BB1064" s="426"/>
      <c r="BF1064" s="315"/>
      <c r="BG1064" s="42"/>
    </row>
    <row r="1065" spans="50:59" x14ac:dyDescent="0.2">
      <c r="AX1065" s="315"/>
      <c r="AY1065" s="326"/>
      <c r="AZ1065" s="175"/>
      <c r="BA1065" s="42"/>
      <c r="BB1065" s="426"/>
      <c r="BF1065" s="315"/>
      <c r="BG1065" s="42"/>
    </row>
    <row r="1066" spans="50:59" x14ac:dyDescent="0.2">
      <c r="AX1066" s="315"/>
      <c r="AY1066" s="326"/>
      <c r="AZ1066" s="175"/>
      <c r="BA1066" s="42"/>
      <c r="BB1066" s="426"/>
      <c r="BF1066" s="315"/>
      <c r="BG1066" s="42"/>
    </row>
    <row r="1067" spans="50:59" x14ac:dyDescent="0.2">
      <c r="AX1067" s="315"/>
      <c r="AY1067" s="326"/>
      <c r="AZ1067" s="175"/>
      <c r="BA1067" s="42"/>
      <c r="BB1067" s="426"/>
      <c r="BF1067" s="315"/>
      <c r="BG1067" s="42"/>
    </row>
    <row r="1068" spans="50:59" x14ac:dyDescent="0.2">
      <c r="AX1068" s="315"/>
      <c r="AY1068" s="326"/>
      <c r="AZ1068" s="175"/>
      <c r="BA1068" s="42"/>
      <c r="BB1068" s="426"/>
      <c r="BF1068" s="315"/>
      <c r="BG1068" s="42"/>
    </row>
    <row r="1069" spans="50:59" x14ac:dyDescent="0.2">
      <c r="AX1069" s="315"/>
      <c r="AY1069" s="326"/>
      <c r="AZ1069" s="175"/>
      <c r="BA1069" s="42"/>
      <c r="BB1069" s="426"/>
      <c r="BF1069" s="315"/>
      <c r="BG1069" s="42"/>
    </row>
    <row r="1070" spans="50:59" x14ac:dyDescent="0.2">
      <c r="AX1070" s="315"/>
      <c r="AY1070" s="326"/>
      <c r="AZ1070" s="175"/>
      <c r="BA1070" s="42"/>
      <c r="BB1070" s="426"/>
      <c r="BF1070" s="315"/>
      <c r="BG1070" s="42"/>
    </row>
    <row r="1071" spans="50:59" x14ac:dyDescent="0.2">
      <c r="AX1071" s="315"/>
      <c r="AY1071" s="326"/>
      <c r="AZ1071" s="175"/>
      <c r="BA1071" s="42"/>
      <c r="BB1071" s="426"/>
      <c r="BF1071" s="315"/>
      <c r="BG1071" s="42"/>
    </row>
    <row r="1072" spans="50:59" x14ac:dyDescent="0.2">
      <c r="AX1072" s="315"/>
      <c r="AY1072" s="326"/>
      <c r="AZ1072" s="175"/>
      <c r="BA1072" s="42"/>
      <c r="BB1072" s="426"/>
      <c r="BF1072" s="315"/>
      <c r="BG1072" s="42"/>
    </row>
    <row r="1073" spans="50:59" x14ac:dyDescent="0.2">
      <c r="AX1073" s="315"/>
      <c r="AY1073" s="326"/>
      <c r="AZ1073" s="175"/>
      <c r="BA1073" s="42"/>
      <c r="BB1073" s="426"/>
      <c r="BF1073" s="315"/>
      <c r="BG1073" s="42"/>
    </row>
    <row r="1074" spans="50:59" x14ac:dyDescent="0.2">
      <c r="AX1074" s="315"/>
      <c r="AY1074" s="326"/>
      <c r="AZ1074" s="175"/>
      <c r="BA1074" s="42"/>
      <c r="BB1074" s="426"/>
      <c r="BF1074" s="315"/>
      <c r="BG1074" s="42"/>
    </row>
    <row r="1075" spans="50:59" x14ac:dyDescent="0.2">
      <c r="AX1075" s="315"/>
      <c r="AY1075" s="326"/>
      <c r="AZ1075" s="175"/>
      <c r="BA1075" s="42"/>
      <c r="BB1075" s="426"/>
      <c r="BF1075" s="315"/>
      <c r="BG1075" s="42"/>
    </row>
    <row r="1076" spans="50:59" x14ac:dyDescent="0.2">
      <c r="AX1076" s="315"/>
      <c r="AY1076" s="326"/>
      <c r="AZ1076" s="175"/>
      <c r="BA1076" s="42"/>
      <c r="BB1076" s="426"/>
      <c r="BF1076" s="315"/>
      <c r="BG1076" s="42"/>
    </row>
    <row r="1077" spans="50:59" x14ac:dyDescent="0.2">
      <c r="AX1077" s="315"/>
      <c r="AY1077" s="326"/>
      <c r="AZ1077" s="175"/>
      <c r="BA1077" s="42"/>
      <c r="BB1077" s="426"/>
      <c r="BF1077" s="315"/>
      <c r="BG1077" s="42"/>
    </row>
    <row r="1078" spans="50:59" x14ac:dyDescent="0.2">
      <c r="AX1078" s="315"/>
      <c r="AY1078" s="326"/>
      <c r="AZ1078" s="175"/>
      <c r="BA1078" s="42"/>
      <c r="BB1078" s="426"/>
      <c r="BF1078" s="315"/>
      <c r="BG1078" s="42"/>
    </row>
    <row r="1079" spans="50:59" x14ac:dyDescent="0.2">
      <c r="AX1079" s="315"/>
      <c r="AY1079" s="326"/>
      <c r="AZ1079" s="175"/>
      <c r="BA1079" s="42"/>
      <c r="BB1079" s="426"/>
      <c r="BF1079" s="315"/>
      <c r="BG1079" s="42"/>
    </row>
    <row r="1080" spans="50:59" x14ac:dyDescent="0.2">
      <c r="AX1080" s="315"/>
      <c r="AY1080" s="326"/>
      <c r="AZ1080" s="175"/>
      <c r="BA1080" s="42"/>
      <c r="BB1080" s="426"/>
      <c r="BF1080" s="315"/>
      <c r="BG1080" s="42"/>
    </row>
    <row r="1081" spans="50:59" x14ac:dyDescent="0.2">
      <c r="AX1081" s="315"/>
      <c r="AY1081" s="326"/>
      <c r="AZ1081" s="175"/>
      <c r="BA1081" s="42"/>
      <c r="BB1081" s="426"/>
      <c r="BF1081" s="315"/>
      <c r="BG1081" s="42"/>
    </row>
    <row r="1082" spans="50:59" x14ac:dyDescent="0.2">
      <c r="AX1082" s="315"/>
      <c r="AY1082" s="326"/>
      <c r="AZ1082" s="175"/>
      <c r="BA1082" s="42"/>
      <c r="BB1082" s="426"/>
      <c r="BF1082" s="315"/>
      <c r="BG1082" s="42"/>
    </row>
    <row r="1083" spans="50:59" x14ac:dyDescent="0.2">
      <c r="AX1083" s="315"/>
      <c r="AY1083" s="326"/>
      <c r="AZ1083" s="175"/>
      <c r="BA1083" s="42"/>
      <c r="BB1083" s="426"/>
      <c r="BF1083" s="315"/>
      <c r="BG1083" s="42"/>
    </row>
    <row r="1084" spans="50:59" x14ac:dyDescent="0.2">
      <c r="AX1084" s="315"/>
      <c r="AY1084" s="326"/>
      <c r="AZ1084" s="175"/>
      <c r="BA1084" s="42"/>
      <c r="BB1084" s="426"/>
      <c r="BF1084" s="315"/>
      <c r="BG1084" s="42"/>
    </row>
    <row r="1085" spans="50:59" x14ac:dyDescent="0.2">
      <c r="AX1085" s="315"/>
      <c r="AY1085" s="326"/>
      <c r="AZ1085" s="175"/>
      <c r="BA1085" s="42"/>
      <c r="BB1085" s="426"/>
      <c r="BF1085" s="315"/>
      <c r="BG1085" s="42"/>
    </row>
    <row r="1086" spans="50:59" x14ac:dyDescent="0.2">
      <c r="AX1086" s="315"/>
      <c r="AY1086" s="326"/>
      <c r="AZ1086" s="175"/>
      <c r="BA1086" s="42"/>
      <c r="BB1086" s="426"/>
      <c r="BF1086" s="315"/>
      <c r="BG1086" s="42"/>
    </row>
    <row r="1087" spans="50:59" x14ac:dyDescent="0.2">
      <c r="AX1087" s="315"/>
      <c r="AY1087" s="326"/>
      <c r="AZ1087" s="175"/>
      <c r="BA1087" s="42"/>
      <c r="BB1087" s="426"/>
      <c r="BF1087" s="315"/>
      <c r="BG1087" s="42"/>
    </row>
    <row r="1088" spans="50:59" x14ac:dyDescent="0.2">
      <c r="AX1088" s="315"/>
      <c r="AY1088" s="326"/>
      <c r="AZ1088" s="175"/>
      <c r="BA1088" s="42"/>
      <c r="BB1088" s="426"/>
      <c r="BF1088" s="315"/>
      <c r="BG1088" s="42"/>
    </row>
    <row r="1089" spans="50:59" x14ac:dyDescent="0.2">
      <c r="AX1089" s="315"/>
      <c r="AY1089" s="326"/>
      <c r="AZ1089" s="175"/>
      <c r="BA1089" s="42"/>
      <c r="BB1089" s="426"/>
      <c r="BF1089" s="315"/>
      <c r="BG1089" s="42"/>
    </row>
    <row r="1090" spans="50:59" x14ac:dyDescent="0.2">
      <c r="AX1090" s="315"/>
      <c r="AY1090" s="326"/>
      <c r="AZ1090" s="175"/>
      <c r="BA1090" s="42"/>
      <c r="BB1090" s="426"/>
      <c r="BF1090" s="315"/>
      <c r="BG1090" s="42"/>
    </row>
    <row r="1091" spans="50:59" x14ac:dyDescent="0.2">
      <c r="AX1091" s="315"/>
      <c r="AY1091" s="326"/>
      <c r="AZ1091" s="175"/>
      <c r="BA1091" s="42"/>
      <c r="BB1091" s="426"/>
      <c r="BF1091" s="315"/>
      <c r="BG1091" s="42"/>
    </row>
    <row r="1092" spans="50:59" x14ac:dyDescent="0.2">
      <c r="AX1092" s="315"/>
      <c r="AY1092" s="326"/>
      <c r="AZ1092" s="175"/>
      <c r="BA1092" s="42"/>
      <c r="BB1092" s="426"/>
      <c r="BF1092" s="315"/>
      <c r="BG1092" s="42"/>
    </row>
    <row r="1093" spans="50:59" x14ac:dyDescent="0.2">
      <c r="AX1093" s="315"/>
      <c r="AY1093" s="326"/>
      <c r="AZ1093" s="175"/>
      <c r="BA1093" s="42"/>
      <c r="BB1093" s="426"/>
      <c r="BF1093" s="315"/>
      <c r="BG1093" s="42"/>
    </row>
    <row r="1094" spans="50:59" x14ac:dyDescent="0.2">
      <c r="AX1094" s="315"/>
      <c r="AY1094" s="326"/>
      <c r="AZ1094" s="175"/>
      <c r="BA1094" s="42"/>
      <c r="BB1094" s="426"/>
      <c r="BF1094" s="315"/>
      <c r="BG1094" s="42"/>
    </row>
    <row r="1095" spans="50:59" x14ac:dyDescent="0.2">
      <c r="AX1095" s="315"/>
      <c r="AY1095" s="326"/>
      <c r="AZ1095" s="175"/>
      <c r="BA1095" s="42"/>
      <c r="BB1095" s="426"/>
      <c r="BF1095" s="315"/>
      <c r="BG1095" s="42"/>
    </row>
    <row r="1096" spans="50:59" x14ac:dyDescent="0.2">
      <c r="AX1096" s="315"/>
      <c r="AY1096" s="326"/>
      <c r="AZ1096" s="175"/>
      <c r="BA1096" s="42"/>
      <c r="BB1096" s="426"/>
      <c r="BF1096" s="315"/>
      <c r="BG1096" s="42"/>
    </row>
    <row r="1097" spans="50:59" x14ac:dyDescent="0.2">
      <c r="AX1097" s="315"/>
      <c r="AY1097" s="326"/>
      <c r="AZ1097" s="175"/>
      <c r="BA1097" s="42"/>
      <c r="BB1097" s="426"/>
      <c r="BF1097" s="315"/>
      <c r="BG1097" s="42"/>
    </row>
    <row r="1098" spans="50:59" x14ac:dyDescent="0.2">
      <c r="AX1098" s="315"/>
      <c r="AY1098" s="326"/>
      <c r="AZ1098" s="175"/>
      <c r="BA1098" s="42"/>
      <c r="BB1098" s="426"/>
      <c r="BF1098" s="315"/>
      <c r="BG1098" s="42"/>
    </row>
    <row r="1099" spans="50:59" x14ac:dyDescent="0.2">
      <c r="AX1099" s="315"/>
      <c r="AY1099" s="326"/>
      <c r="AZ1099" s="175"/>
      <c r="BA1099" s="42"/>
      <c r="BB1099" s="426"/>
      <c r="BF1099" s="315"/>
      <c r="BG1099" s="42"/>
    </row>
    <row r="1100" spans="50:59" x14ac:dyDescent="0.2">
      <c r="AX1100" s="315"/>
      <c r="AY1100" s="326"/>
      <c r="AZ1100" s="175"/>
      <c r="BA1100" s="42"/>
      <c r="BB1100" s="426"/>
      <c r="BF1100" s="315"/>
      <c r="BG1100" s="42"/>
    </row>
    <row r="1101" spans="50:59" x14ac:dyDescent="0.2">
      <c r="AX1101" s="315"/>
      <c r="AY1101" s="326"/>
      <c r="AZ1101" s="175"/>
      <c r="BA1101" s="42"/>
      <c r="BB1101" s="426"/>
      <c r="BF1101" s="315"/>
      <c r="BG1101" s="42"/>
    </row>
    <row r="1102" spans="50:59" x14ac:dyDescent="0.2">
      <c r="AX1102" s="315"/>
      <c r="AY1102" s="326"/>
      <c r="AZ1102" s="175"/>
      <c r="BA1102" s="42"/>
      <c r="BB1102" s="426"/>
      <c r="BF1102" s="315"/>
      <c r="BG1102" s="42"/>
    </row>
    <row r="1103" spans="50:59" x14ac:dyDescent="0.2">
      <c r="AX1103" s="315"/>
      <c r="AY1103" s="326"/>
      <c r="AZ1103" s="175"/>
      <c r="BA1103" s="42"/>
      <c r="BB1103" s="426"/>
      <c r="BF1103" s="315"/>
      <c r="BG1103" s="42"/>
    </row>
    <row r="1104" spans="50:59" x14ac:dyDescent="0.2">
      <c r="AX1104" s="315"/>
      <c r="AY1104" s="326"/>
      <c r="AZ1104" s="175"/>
      <c r="BA1104" s="42"/>
      <c r="BB1104" s="426"/>
      <c r="BF1104" s="315"/>
      <c r="BG1104" s="42"/>
    </row>
    <row r="1105" spans="50:59" x14ac:dyDescent="0.2">
      <c r="AX1105" s="315"/>
      <c r="AY1105" s="326"/>
      <c r="AZ1105" s="175"/>
      <c r="BA1105" s="42"/>
      <c r="BB1105" s="426"/>
      <c r="BF1105" s="315"/>
      <c r="BG1105" s="42"/>
    </row>
    <row r="1106" spans="50:59" x14ac:dyDescent="0.2">
      <c r="AX1106" s="315"/>
      <c r="AY1106" s="326"/>
      <c r="AZ1106" s="175"/>
      <c r="BA1106" s="42"/>
      <c r="BB1106" s="426"/>
      <c r="BF1106" s="315"/>
      <c r="BG1106" s="42"/>
    </row>
    <row r="1107" spans="50:59" x14ac:dyDescent="0.2">
      <c r="AX1107" s="315"/>
      <c r="AY1107" s="326"/>
      <c r="AZ1107" s="175"/>
      <c r="BA1107" s="42"/>
      <c r="BB1107" s="426"/>
      <c r="BF1107" s="315"/>
      <c r="BG1107" s="42"/>
    </row>
    <row r="1108" spans="50:59" x14ac:dyDescent="0.2">
      <c r="AX1108" s="315"/>
      <c r="AY1108" s="326"/>
      <c r="AZ1108" s="175"/>
      <c r="BA1108" s="42"/>
      <c r="BB1108" s="426"/>
      <c r="BF1108" s="315"/>
      <c r="BG1108" s="42"/>
    </row>
    <row r="1109" spans="50:59" x14ac:dyDescent="0.2">
      <c r="AX1109" s="315"/>
      <c r="AY1109" s="326"/>
      <c r="AZ1109" s="175"/>
      <c r="BA1109" s="42"/>
      <c r="BB1109" s="426"/>
      <c r="BF1109" s="315"/>
      <c r="BG1109" s="42"/>
    </row>
    <row r="1110" spans="50:59" x14ac:dyDescent="0.2">
      <c r="AX1110" s="315"/>
      <c r="AY1110" s="326"/>
      <c r="AZ1110" s="175"/>
      <c r="BA1110" s="42"/>
      <c r="BB1110" s="426"/>
      <c r="BF1110" s="315"/>
      <c r="BG1110" s="42"/>
    </row>
    <row r="1111" spans="50:59" x14ac:dyDescent="0.2">
      <c r="AX1111" s="315"/>
      <c r="AY1111" s="326"/>
      <c r="AZ1111" s="175"/>
      <c r="BA1111" s="42"/>
      <c r="BB1111" s="426"/>
      <c r="BF1111" s="315"/>
      <c r="BG1111" s="42"/>
    </row>
    <row r="1112" spans="50:59" x14ac:dyDescent="0.2">
      <c r="AX1112" s="315"/>
      <c r="AY1112" s="326"/>
      <c r="AZ1112" s="175"/>
      <c r="BA1112" s="42"/>
      <c r="BB1112" s="426"/>
      <c r="BF1112" s="315"/>
      <c r="BG1112" s="42"/>
    </row>
    <row r="1113" spans="50:59" x14ac:dyDescent="0.2">
      <c r="AX1113" s="315"/>
      <c r="AY1113" s="326"/>
      <c r="AZ1113" s="175"/>
      <c r="BA1113" s="42"/>
      <c r="BB1113" s="426"/>
      <c r="BF1113" s="315"/>
      <c r="BG1113" s="42"/>
    </row>
    <row r="1114" spans="50:59" x14ac:dyDescent="0.2">
      <c r="AX1114" s="315"/>
      <c r="AY1114" s="326"/>
      <c r="AZ1114" s="175"/>
      <c r="BA1114" s="42"/>
      <c r="BB1114" s="426"/>
      <c r="BF1114" s="315"/>
      <c r="BG1114" s="42"/>
    </row>
    <row r="1115" spans="50:59" x14ac:dyDescent="0.2">
      <c r="AX1115" s="315"/>
      <c r="AY1115" s="326"/>
      <c r="AZ1115" s="175"/>
      <c r="BA1115" s="42"/>
      <c r="BB1115" s="426"/>
      <c r="BF1115" s="315"/>
      <c r="BG1115" s="42"/>
    </row>
    <row r="1116" spans="50:59" x14ac:dyDescent="0.2">
      <c r="AX1116" s="315"/>
      <c r="AY1116" s="326"/>
      <c r="AZ1116" s="175"/>
      <c r="BA1116" s="42"/>
      <c r="BB1116" s="426"/>
      <c r="BF1116" s="315"/>
      <c r="BG1116" s="42"/>
    </row>
    <row r="1117" spans="50:59" x14ac:dyDescent="0.2">
      <c r="AX1117" s="315"/>
      <c r="AY1117" s="326"/>
      <c r="AZ1117" s="175"/>
      <c r="BA1117" s="42"/>
      <c r="BB1117" s="426"/>
      <c r="BF1117" s="315"/>
      <c r="BG1117" s="42"/>
    </row>
    <row r="1118" spans="50:59" x14ac:dyDescent="0.2">
      <c r="AX1118" s="315"/>
      <c r="AY1118" s="326"/>
      <c r="AZ1118" s="175"/>
      <c r="BA1118" s="42"/>
      <c r="BB1118" s="426"/>
      <c r="BF1118" s="315"/>
      <c r="BG1118" s="42"/>
    </row>
    <row r="1119" spans="50:59" x14ac:dyDescent="0.2">
      <c r="AX1119" s="315"/>
      <c r="AY1119" s="326"/>
      <c r="AZ1119" s="175"/>
      <c r="BA1119" s="42"/>
      <c r="BB1119" s="426"/>
      <c r="BF1119" s="315"/>
      <c r="BG1119" s="42"/>
    </row>
    <row r="1120" spans="50:59" x14ac:dyDescent="0.2">
      <c r="AX1120" s="315"/>
      <c r="AY1120" s="326"/>
      <c r="AZ1120" s="175"/>
      <c r="BA1120" s="42"/>
      <c r="BB1120" s="426"/>
      <c r="BF1120" s="315"/>
      <c r="BG1120" s="42"/>
    </row>
    <row r="1121" spans="50:59" x14ac:dyDescent="0.2">
      <c r="AX1121" s="315"/>
      <c r="AY1121" s="326"/>
      <c r="AZ1121" s="175"/>
      <c r="BA1121" s="42"/>
      <c r="BB1121" s="426"/>
      <c r="BF1121" s="315"/>
      <c r="BG1121" s="42"/>
    </row>
    <row r="1122" spans="50:59" x14ac:dyDescent="0.2">
      <c r="AX1122" s="315"/>
      <c r="AY1122" s="326"/>
      <c r="AZ1122" s="175"/>
      <c r="BA1122" s="42"/>
      <c r="BB1122" s="426"/>
      <c r="BF1122" s="315"/>
      <c r="BG1122" s="42"/>
    </row>
    <row r="1123" spans="50:59" x14ac:dyDescent="0.2">
      <c r="AX1123" s="315"/>
      <c r="AY1123" s="326"/>
      <c r="AZ1123" s="175"/>
      <c r="BA1123" s="42"/>
      <c r="BB1123" s="426"/>
      <c r="BF1123" s="315"/>
      <c r="BG1123" s="42"/>
    </row>
    <row r="1124" spans="50:59" x14ac:dyDescent="0.2">
      <c r="AX1124" s="315"/>
      <c r="AY1124" s="326"/>
      <c r="AZ1124" s="175"/>
      <c r="BA1124" s="42"/>
      <c r="BB1124" s="426"/>
      <c r="BF1124" s="315"/>
      <c r="BG1124" s="42"/>
    </row>
    <row r="1125" spans="50:59" x14ac:dyDescent="0.2">
      <c r="AX1125" s="315"/>
      <c r="AY1125" s="326"/>
      <c r="AZ1125" s="175"/>
      <c r="BA1125" s="42"/>
      <c r="BB1125" s="426"/>
      <c r="BF1125" s="315"/>
      <c r="BG1125" s="42"/>
    </row>
    <row r="1126" spans="50:59" x14ac:dyDescent="0.2">
      <c r="AX1126" s="315"/>
      <c r="AY1126" s="326"/>
      <c r="AZ1126" s="175"/>
      <c r="BA1126" s="42"/>
      <c r="BB1126" s="426"/>
      <c r="BF1126" s="315"/>
      <c r="BG1126" s="42"/>
    </row>
    <row r="1127" spans="50:59" x14ac:dyDescent="0.2">
      <c r="AX1127" s="315"/>
      <c r="AY1127" s="326"/>
      <c r="AZ1127" s="175"/>
      <c r="BA1127" s="42"/>
      <c r="BB1127" s="426"/>
      <c r="BF1127" s="315"/>
      <c r="BG1127" s="42"/>
    </row>
    <row r="1128" spans="50:59" x14ac:dyDescent="0.2">
      <c r="AX1128" s="315"/>
      <c r="AY1128" s="326"/>
      <c r="AZ1128" s="175"/>
      <c r="BA1128" s="42"/>
      <c r="BB1128" s="426"/>
      <c r="BF1128" s="315"/>
      <c r="BG1128" s="42"/>
    </row>
    <row r="1129" spans="50:59" x14ac:dyDescent="0.2">
      <c r="AX1129" s="315"/>
      <c r="AY1129" s="326"/>
      <c r="AZ1129" s="175"/>
      <c r="BA1129" s="42"/>
      <c r="BB1129" s="426"/>
      <c r="BF1129" s="315"/>
      <c r="BG1129" s="42"/>
    </row>
    <row r="1130" spans="50:59" x14ac:dyDescent="0.2">
      <c r="AX1130" s="315"/>
      <c r="AY1130" s="326"/>
      <c r="AZ1130" s="175"/>
      <c r="BA1130" s="42"/>
      <c r="BB1130" s="426"/>
      <c r="BF1130" s="315"/>
      <c r="BG1130" s="42"/>
    </row>
    <row r="1131" spans="50:59" x14ac:dyDescent="0.2">
      <c r="AX1131" s="315"/>
      <c r="AY1131" s="326"/>
      <c r="AZ1131" s="175"/>
      <c r="BA1131" s="42"/>
      <c r="BB1131" s="426"/>
      <c r="BF1131" s="315"/>
      <c r="BG1131" s="42"/>
    </row>
    <row r="1132" spans="50:59" x14ac:dyDescent="0.2">
      <c r="AX1132" s="315"/>
      <c r="AY1132" s="326"/>
      <c r="AZ1132" s="175"/>
      <c r="BA1132" s="42"/>
      <c r="BB1132" s="426"/>
      <c r="BF1132" s="315"/>
      <c r="BG1132" s="42"/>
    </row>
    <row r="1133" spans="50:59" x14ac:dyDescent="0.2">
      <c r="AX1133" s="315"/>
      <c r="AY1133" s="326"/>
      <c r="AZ1133" s="175"/>
      <c r="BA1133" s="42"/>
      <c r="BB1133" s="426"/>
      <c r="BF1133" s="315"/>
      <c r="BG1133" s="42"/>
    </row>
    <row r="1134" spans="50:59" x14ac:dyDescent="0.2">
      <c r="AX1134" s="315"/>
      <c r="AY1134" s="326"/>
      <c r="AZ1134" s="175"/>
      <c r="BA1134" s="42"/>
      <c r="BB1134" s="426"/>
      <c r="BF1134" s="315"/>
      <c r="BG1134" s="42"/>
    </row>
    <row r="1135" spans="50:59" x14ac:dyDescent="0.2">
      <c r="AX1135" s="315"/>
      <c r="AY1135" s="326"/>
      <c r="AZ1135" s="175"/>
      <c r="BA1135" s="42"/>
      <c r="BB1135" s="426"/>
      <c r="BF1135" s="315"/>
      <c r="BG1135" s="42"/>
    </row>
    <row r="1136" spans="50:59" x14ac:dyDescent="0.2">
      <c r="AX1136" s="315"/>
      <c r="AY1136" s="326"/>
      <c r="AZ1136" s="175"/>
      <c r="BA1136" s="42"/>
      <c r="BB1136" s="426"/>
      <c r="BF1136" s="315"/>
      <c r="BG1136" s="42"/>
    </row>
    <row r="1137" spans="50:59" x14ac:dyDescent="0.2">
      <c r="AX1137" s="315"/>
      <c r="AY1137" s="326"/>
      <c r="AZ1137" s="175"/>
      <c r="BA1137" s="42"/>
      <c r="BB1137" s="426"/>
      <c r="BF1137" s="315"/>
      <c r="BG1137" s="42"/>
    </row>
    <row r="1138" spans="50:59" x14ac:dyDescent="0.2">
      <c r="AX1138" s="315"/>
      <c r="AY1138" s="326"/>
      <c r="AZ1138" s="175"/>
      <c r="BA1138" s="42"/>
      <c r="BB1138" s="426"/>
      <c r="BF1138" s="315"/>
      <c r="BG1138" s="42"/>
    </row>
    <row r="1139" spans="50:59" x14ac:dyDescent="0.2">
      <c r="AX1139" s="315"/>
      <c r="AY1139" s="326"/>
      <c r="AZ1139" s="175"/>
      <c r="BA1139" s="42"/>
      <c r="BB1139" s="426"/>
      <c r="BF1139" s="315"/>
      <c r="BG1139" s="42"/>
    </row>
    <row r="1140" spans="50:59" x14ac:dyDescent="0.2">
      <c r="AX1140" s="315"/>
      <c r="AY1140" s="326"/>
      <c r="AZ1140" s="175"/>
      <c r="BA1140" s="42"/>
      <c r="BB1140" s="426"/>
      <c r="BF1140" s="315"/>
      <c r="BG1140" s="42"/>
    </row>
    <row r="1141" spans="50:59" x14ac:dyDescent="0.2">
      <c r="AX1141" s="315"/>
      <c r="AY1141" s="326"/>
      <c r="AZ1141" s="175"/>
      <c r="BA1141" s="42"/>
      <c r="BB1141" s="426"/>
      <c r="BF1141" s="315"/>
      <c r="BG1141" s="42"/>
    </row>
    <row r="1142" spans="50:59" x14ac:dyDescent="0.2">
      <c r="AX1142" s="315"/>
      <c r="AY1142" s="326"/>
      <c r="AZ1142" s="175"/>
      <c r="BA1142" s="42"/>
      <c r="BB1142" s="426"/>
      <c r="BF1142" s="315"/>
      <c r="BG1142" s="42"/>
    </row>
    <row r="1143" spans="50:59" x14ac:dyDescent="0.2">
      <c r="AX1143" s="315"/>
      <c r="AY1143" s="326"/>
      <c r="AZ1143" s="175"/>
      <c r="BA1143" s="42"/>
      <c r="BB1143" s="426"/>
      <c r="BF1143" s="315"/>
      <c r="BG1143" s="42"/>
    </row>
    <row r="1144" spans="50:59" x14ac:dyDescent="0.2">
      <c r="AX1144" s="315"/>
      <c r="AY1144" s="326"/>
      <c r="AZ1144" s="175"/>
      <c r="BA1144" s="42"/>
      <c r="BB1144" s="426"/>
      <c r="BF1144" s="315"/>
      <c r="BG1144" s="42"/>
    </row>
    <row r="1145" spans="50:59" x14ac:dyDescent="0.2">
      <c r="AX1145" s="315"/>
      <c r="AY1145" s="326"/>
      <c r="AZ1145" s="175"/>
      <c r="BA1145" s="42"/>
      <c r="BB1145" s="426"/>
      <c r="BF1145" s="315"/>
      <c r="BG1145" s="42"/>
    </row>
    <row r="1146" spans="50:59" x14ac:dyDescent="0.2">
      <c r="AX1146" s="315"/>
      <c r="AY1146" s="326"/>
      <c r="AZ1146" s="175"/>
      <c r="BA1146" s="42"/>
      <c r="BB1146" s="426"/>
      <c r="BF1146" s="315"/>
      <c r="BG1146" s="42"/>
    </row>
    <row r="1147" spans="50:59" x14ac:dyDescent="0.2">
      <c r="AX1147" s="315"/>
      <c r="AY1147" s="326"/>
      <c r="AZ1147" s="175"/>
      <c r="BA1147" s="42"/>
      <c r="BB1147" s="426"/>
      <c r="BF1147" s="315"/>
      <c r="BG1147" s="42"/>
    </row>
    <row r="1148" spans="50:59" x14ac:dyDescent="0.2">
      <c r="AX1148" s="315"/>
      <c r="AY1148" s="326"/>
      <c r="AZ1148" s="175"/>
      <c r="BA1148" s="42"/>
      <c r="BB1148" s="426"/>
      <c r="BF1148" s="315"/>
      <c r="BG1148" s="42"/>
    </row>
    <row r="1149" spans="50:59" x14ac:dyDescent="0.2">
      <c r="AX1149" s="315"/>
      <c r="AY1149" s="326"/>
      <c r="AZ1149" s="175"/>
      <c r="BA1149" s="42"/>
      <c r="BB1149" s="426"/>
      <c r="BF1149" s="315"/>
      <c r="BG1149" s="42"/>
    </row>
    <row r="1150" spans="50:59" x14ac:dyDescent="0.2">
      <c r="AX1150" s="315"/>
      <c r="AY1150" s="326"/>
      <c r="AZ1150" s="175"/>
      <c r="BA1150" s="42"/>
      <c r="BB1150" s="426"/>
      <c r="BF1150" s="315"/>
      <c r="BG1150" s="42"/>
    </row>
    <row r="1151" spans="50:59" x14ac:dyDescent="0.2">
      <c r="AX1151" s="315"/>
      <c r="AY1151" s="326"/>
      <c r="AZ1151" s="175"/>
      <c r="BA1151" s="42"/>
      <c r="BB1151" s="426"/>
      <c r="BF1151" s="315"/>
      <c r="BG1151" s="42"/>
    </row>
    <row r="1152" spans="50:59" x14ac:dyDescent="0.2">
      <c r="AX1152" s="315"/>
      <c r="AY1152" s="326"/>
      <c r="AZ1152" s="175"/>
      <c r="BA1152" s="42"/>
      <c r="BB1152" s="426"/>
      <c r="BF1152" s="315"/>
      <c r="BG1152" s="42"/>
    </row>
    <row r="1153" spans="50:59" x14ac:dyDescent="0.2">
      <c r="AX1153" s="315"/>
      <c r="AY1153" s="326"/>
      <c r="AZ1153" s="175"/>
      <c r="BA1153" s="42"/>
      <c r="BB1153" s="426"/>
      <c r="BF1153" s="315"/>
      <c r="BG1153" s="42"/>
    </row>
    <row r="1154" spans="50:59" x14ac:dyDescent="0.2">
      <c r="AX1154" s="315"/>
      <c r="AY1154" s="326"/>
      <c r="AZ1154" s="175"/>
      <c r="BA1154" s="42"/>
      <c r="BB1154" s="426"/>
      <c r="BF1154" s="315"/>
      <c r="BG1154" s="42"/>
    </row>
    <row r="1155" spans="50:59" x14ac:dyDescent="0.2">
      <c r="AX1155" s="315"/>
      <c r="AY1155" s="326"/>
      <c r="AZ1155" s="175"/>
      <c r="BA1155" s="42"/>
      <c r="BB1155" s="426"/>
      <c r="BF1155" s="315"/>
      <c r="BG1155" s="42"/>
    </row>
    <row r="1156" spans="50:59" x14ac:dyDescent="0.2">
      <c r="AX1156" s="315"/>
      <c r="AY1156" s="326"/>
      <c r="AZ1156" s="175"/>
      <c r="BA1156" s="42"/>
      <c r="BB1156" s="426"/>
      <c r="BF1156" s="315"/>
      <c r="BG1156" s="42"/>
    </row>
    <row r="1157" spans="50:59" x14ac:dyDescent="0.2">
      <c r="AX1157" s="315"/>
      <c r="AY1157" s="326"/>
      <c r="AZ1157" s="175"/>
      <c r="BA1157" s="42"/>
      <c r="BB1157" s="426"/>
      <c r="BF1157" s="315"/>
      <c r="BG1157" s="42"/>
    </row>
    <row r="1158" spans="50:59" x14ac:dyDescent="0.2">
      <c r="AX1158" s="315"/>
      <c r="AY1158" s="326"/>
      <c r="AZ1158" s="175"/>
      <c r="BA1158" s="42"/>
      <c r="BB1158" s="426"/>
      <c r="BF1158" s="315"/>
      <c r="BG1158" s="42"/>
    </row>
    <row r="1159" spans="50:59" x14ac:dyDescent="0.2">
      <c r="AX1159" s="315"/>
      <c r="AY1159" s="326"/>
      <c r="AZ1159" s="175"/>
      <c r="BA1159" s="42"/>
      <c r="BB1159" s="426"/>
      <c r="BF1159" s="315"/>
      <c r="BG1159" s="42"/>
    </row>
    <row r="1160" spans="50:59" x14ac:dyDescent="0.2">
      <c r="AX1160" s="315"/>
      <c r="AY1160" s="326"/>
      <c r="AZ1160" s="175"/>
      <c r="BA1160" s="42"/>
      <c r="BB1160" s="426"/>
      <c r="BF1160" s="315"/>
      <c r="BG1160" s="42"/>
    </row>
    <row r="1161" spans="50:59" x14ac:dyDescent="0.2">
      <c r="AX1161" s="315"/>
      <c r="AY1161" s="326"/>
      <c r="AZ1161" s="175"/>
      <c r="BA1161" s="42"/>
      <c r="BB1161" s="426"/>
      <c r="BF1161" s="315"/>
      <c r="BG1161" s="42"/>
    </row>
    <row r="1162" spans="50:59" x14ac:dyDescent="0.2">
      <c r="AX1162" s="315"/>
      <c r="AY1162" s="326"/>
      <c r="AZ1162" s="175"/>
      <c r="BA1162" s="42"/>
      <c r="BB1162" s="426"/>
      <c r="BF1162" s="315"/>
      <c r="BG1162" s="42"/>
    </row>
    <row r="1163" spans="50:59" x14ac:dyDescent="0.2">
      <c r="AX1163" s="315"/>
      <c r="AY1163" s="326"/>
      <c r="AZ1163" s="175"/>
      <c r="BA1163" s="42"/>
      <c r="BB1163" s="426"/>
      <c r="BF1163" s="315"/>
      <c r="BG1163" s="42"/>
    </row>
    <row r="1164" spans="50:59" x14ac:dyDescent="0.2">
      <c r="AX1164" s="315"/>
      <c r="AY1164" s="326"/>
      <c r="AZ1164" s="175"/>
      <c r="BA1164" s="42"/>
      <c r="BB1164" s="426"/>
      <c r="BF1164" s="315"/>
      <c r="BG1164" s="42"/>
    </row>
    <row r="1165" spans="50:59" x14ac:dyDescent="0.2">
      <c r="AX1165" s="315"/>
      <c r="AY1165" s="326"/>
      <c r="AZ1165" s="175"/>
      <c r="BA1165" s="42"/>
      <c r="BB1165" s="426"/>
      <c r="BF1165" s="315"/>
      <c r="BG1165" s="42"/>
    </row>
    <row r="1166" spans="50:59" x14ac:dyDescent="0.2">
      <c r="AX1166" s="315"/>
      <c r="AY1166" s="326"/>
      <c r="AZ1166" s="175"/>
      <c r="BA1166" s="42"/>
      <c r="BB1166" s="426"/>
      <c r="BF1166" s="315"/>
      <c r="BG1166" s="42"/>
    </row>
    <row r="1167" spans="50:59" x14ac:dyDescent="0.2">
      <c r="AX1167" s="315"/>
      <c r="AY1167" s="326"/>
      <c r="AZ1167" s="175"/>
      <c r="BA1167" s="42"/>
      <c r="BB1167" s="426"/>
      <c r="BF1167" s="315"/>
      <c r="BG1167" s="42"/>
    </row>
    <row r="1168" spans="50:59" x14ac:dyDescent="0.2">
      <c r="AX1168" s="315"/>
      <c r="AY1168" s="326"/>
      <c r="AZ1168" s="175"/>
      <c r="BA1168" s="42"/>
      <c r="BB1168" s="426"/>
      <c r="BF1168" s="315"/>
      <c r="BG1168" s="42"/>
    </row>
    <row r="1169" spans="50:59" x14ac:dyDescent="0.2">
      <c r="AX1169" s="315"/>
      <c r="AY1169" s="326"/>
      <c r="AZ1169" s="175"/>
      <c r="BA1169" s="42"/>
      <c r="BB1169" s="426"/>
      <c r="BF1169" s="315"/>
      <c r="BG1169" s="42"/>
    </row>
    <row r="1170" spans="50:59" x14ac:dyDescent="0.2">
      <c r="AX1170" s="315"/>
      <c r="AY1170" s="326"/>
      <c r="AZ1170" s="175"/>
      <c r="BA1170" s="42"/>
      <c r="BB1170" s="426"/>
      <c r="BF1170" s="315"/>
      <c r="BG1170" s="42"/>
    </row>
    <row r="1171" spans="50:59" x14ac:dyDescent="0.2">
      <c r="AX1171" s="315"/>
      <c r="AY1171" s="326"/>
      <c r="AZ1171" s="175"/>
      <c r="BA1171" s="42"/>
      <c r="BB1171" s="426"/>
      <c r="BF1171" s="315"/>
      <c r="BG1171" s="42"/>
    </row>
    <row r="1172" spans="50:59" x14ac:dyDescent="0.2">
      <c r="AX1172" s="315"/>
      <c r="AY1172" s="326"/>
      <c r="AZ1172" s="175"/>
      <c r="BA1172" s="42"/>
      <c r="BB1172" s="426"/>
      <c r="BF1172" s="315"/>
      <c r="BG1172" s="42"/>
    </row>
    <row r="1173" spans="50:59" x14ac:dyDescent="0.2">
      <c r="AX1173" s="315"/>
      <c r="AY1173" s="326"/>
      <c r="AZ1173" s="175"/>
      <c r="BA1173" s="42"/>
      <c r="BB1173" s="426"/>
      <c r="BF1173" s="315"/>
      <c r="BG1173" s="42"/>
    </row>
    <row r="1174" spans="50:59" x14ac:dyDescent="0.2">
      <c r="AX1174" s="315"/>
      <c r="AY1174" s="326"/>
      <c r="AZ1174" s="175"/>
      <c r="BA1174" s="42"/>
      <c r="BB1174" s="426"/>
      <c r="BF1174" s="315"/>
      <c r="BG1174" s="42"/>
    </row>
    <row r="1175" spans="50:59" x14ac:dyDescent="0.2">
      <c r="AX1175" s="315"/>
      <c r="AY1175" s="326"/>
      <c r="AZ1175" s="175"/>
      <c r="BA1175" s="42"/>
      <c r="BB1175" s="426"/>
      <c r="BF1175" s="315"/>
      <c r="BG1175" s="42"/>
    </row>
    <row r="1176" spans="50:59" x14ac:dyDescent="0.2">
      <c r="AX1176" s="315"/>
      <c r="AY1176" s="326"/>
      <c r="AZ1176" s="175"/>
      <c r="BA1176" s="42"/>
      <c r="BB1176" s="426"/>
      <c r="BF1176" s="315"/>
      <c r="BG1176" s="42"/>
    </row>
    <row r="1177" spans="50:59" x14ac:dyDescent="0.2">
      <c r="AX1177" s="315"/>
      <c r="AY1177" s="326"/>
      <c r="AZ1177" s="175"/>
      <c r="BA1177" s="42"/>
      <c r="BB1177" s="426"/>
      <c r="BF1177" s="315"/>
      <c r="BG1177" s="42"/>
    </row>
    <row r="1178" spans="50:59" x14ac:dyDescent="0.2">
      <c r="AX1178" s="315"/>
      <c r="AY1178" s="326"/>
      <c r="AZ1178" s="175"/>
      <c r="BA1178" s="42"/>
      <c r="BB1178" s="426"/>
      <c r="BF1178" s="315"/>
      <c r="BG1178" s="42"/>
    </row>
    <row r="1179" spans="50:59" x14ac:dyDescent="0.2">
      <c r="AX1179" s="315"/>
      <c r="AY1179" s="326"/>
      <c r="AZ1179" s="175"/>
      <c r="BA1179" s="42"/>
      <c r="BB1179" s="426"/>
      <c r="BF1179" s="315"/>
      <c r="BG1179" s="42"/>
    </row>
    <row r="1180" spans="50:59" x14ac:dyDescent="0.2">
      <c r="AX1180" s="315"/>
      <c r="AY1180" s="326"/>
      <c r="AZ1180" s="175"/>
      <c r="BA1180" s="42"/>
      <c r="BB1180" s="426"/>
      <c r="BF1180" s="315"/>
      <c r="BG1180" s="42"/>
    </row>
    <row r="1181" spans="50:59" x14ac:dyDescent="0.2">
      <c r="AX1181" s="315"/>
      <c r="AY1181" s="326"/>
      <c r="AZ1181" s="175"/>
      <c r="BA1181" s="42"/>
      <c r="BB1181" s="426"/>
      <c r="BF1181" s="315"/>
      <c r="BG1181" s="42"/>
    </row>
    <row r="1182" spans="50:59" x14ac:dyDescent="0.2">
      <c r="AX1182" s="315"/>
      <c r="AY1182" s="326"/>
      <c r="AZ1182" s="175"/>
      <c r="BA1182" s="42"/>
      <c r="BB1182" s="426"/>
      <c r="BF1182" s="315"/>
      <c r="BG1182" s="42"/>
    </row>
    <row r="1183" spans="50:59" x14ac:dyDescent="0.2">
      <c r="AX1183" s="315"/>
      <c r="AY1183" s="326"/>
      <c r="AZ1183" s="175"/>
      <c r="BA1183" s="42"/>
      <c r="BB1183" s="426"/>
      <c r="BF1183" s="315"/>
      <c r="BG1183" s="42"/>
    </row>
    <row r="1184" spans="50:59" x14ac:dyDescent="0.2">
      <c r="AX1184" s="315"/>
      <c r="AY1184" s="326"/>
      <c r="AZ1184" s="175"/>
      <c r="BA1184" s="42"/>
      <c r="BB1184" s="426"/>
      <c r="BF1184" s="315"/>
      <c r="BG1184" s="42"/>
    </row>
    <row r="1185" spans="50:59" x14ac:dyDescent="0.2">
      <c r="AX1185" s="315"/>
      <c r="AY1185" s="326"/>
      <c r="AZ1185" s="175"/>
      <c r="BA1185" s="42"/>
      <c r="BB1185" s="426"/>
      <c r="BF1185" s="315"/>
      <c r="BG1185" s="42"/>
    </row>
    <row r="1186" spans="50:59" x14ac:dyDescent="0.2">
      <c r="AX1186" s="315"/>
      <c r="AY1186" s="326"/>
      <c r="AZ1186" s="175"/>
      <c r="BA1186" s="42"/>
      <c r="BB1186" s="426"/>
      <c r="BF1186" s="315"/>
      <c r="BG1186" s="42"/>
    </row>
    <row r="1187" spans="50:59" x14ac:dyDescent="0.2">
      <c r="AX1187" s="315"/>
      <c r="AY1187" s="326"/>
      <c r="AZ1187" s="175"/>
      <c r="BA1187" s="42"/>
      <c r="BB1187" s="426"/>
      <c r="BF1187" s="315"/>
      <c r="BG1187" s="42"/>
    </row>
    <row r="1188" spans="50:59" x14ac:dyDescent="0.2">
      <c r="AX1188" s="315"/>
      <c r="AY1188" s="326"/>
      <c r="AZ1188" s="175"/>
      <c r="BA1188" s="42"/>
      <c r="BB1188" s="426"/>
      <c r="BF1188" s="315"/>
      <c r="BG1188" s="42"/>
    </row>
    <row r="1189" spans="50:59" x14ac:dyDescent="0.2">
      <c r="AX1189" s="315"/>
      <c r="AY1189" s="326"/>
      <c r="AZ1189" s="175"/>
      <c r="BA1189" s="42"/>
      <c r="BB1189" s="426"/>
      <c r="BF1189" s="315"/>
      <c r="BG1189" s="42"/>
    </row>
    <row r="1190" spans="50:59" x14ac:dyDescent="0.2">
      <c r="AX1190" s="315"/>
      <c r="AY1190" s="326"/>
      <c r="AZ1190" s="175"/>
      <c r="BA1190" s="42"/>
      <c r="BB1190" s="426"/>
      <c r="BF1190" s="315"/>
      <c r="BG1190" s="42"/>
    </row>
    <row r="1191" spans="50:59" x14ac:dyDescent="0.2">
      <c r="AX1191" s="315"/>
      <c r="AY1191" s="326"/>
      <c r="AZ1191" s="175"/>
      <c r="BA1191" s="42"/>
      <c r="BB1191" s="426"/>
      <c r="BF1191" s="315"/>
      <c r="BG1191" s="42"/>
    </row>
    <row r="1192" spans="50:59" x14ac:dyDescent="0.2">
      <c r="AX1192" s="315"/>
      <c r="AY1192" s="326"/>
      <c r="AZ1192" s="175"/>
      <c r="BA1192" s="42"/>
      <c r="BB1192" s="426"/>
      <c r="BF1192" s="315"/>
      <c r="BG1192" s="42"/>
    </row>
    <row r="1193" spans="50:59" x14ac:dyDescent="0.2">
      <c r="AX1193" s="315"/>
      <c r="AY1193" s="326"/>
      <c r="AZ1193" s="175"/>
      <c r="BA1193" s="42"/>
      <c r="BB1193" s="426"/>
      <c r="BF1193" s="315"/>
      <c r="BG1193" s="42"/>
    </row>
    <row r="1194" spans="50:59" x14ac:dyDescent="0.2">
      <c r="AX1194" s="315"/>
      <c r="AY1194" s="326"/>
      <c r="AZ1194" s="175"/>
      <c r="BA1194" s="42"/>
      <c r="BB1194" s="426"/>
      <c r="BF1194" s="315"/>
      <c r="BG1194" s="42"/>
    </row>
    <row r="1195" spans="50:59" x14ac:dyDescent="0.2">
      <c r="AX1195" s="315"/>
      <c r="AY1195" s="326"/>
      <c r="AZ1195" s="175"/>
      <c r="BA1195" s="42"/>
      <c r="BB1195" s="426"/>
      <c r="BF1195" s="315"/>
      <c r="BG1195" s="42"/>
    </row>
    <row r="1196" spans="50:59" x14ac:dyDescent="0.2">
      <c r="AX1196" s="315"/>
      <c r="AY1196" s="326"/>
      <c r="AZ1196" s="175"/>
      <c r="BA1196" s="42"/>
      <c r="BB1196" s="426"/>
      <c r="BF1196" s="315"/>
      <c r="BG1196" s="42"/>
    </row>
    <row r="1197" spans="50:59" x14ac:dyDescent="0.2">
      <c r="AX1197" s="315"/>
      <c r="AY1197" s="326"/>
      <c r="AZ1197" s="175"/>
      <c r="BA1197" s="42"/>
      <c r="BB1197" s="426"/>
      <c r="BF1197" s="315"/>
      <c r="BG1197" s="42"/>
    </row>
    <row r="1198" spans="50:59" x14ac:dyDescent="0.2">
      <c r="AX1198" s="315"/>
      <c r="AY1198" s="326"/>
      <c r="AZ1198" s="175"/>
      <c r="BA1198" s="42"/>
      <c r="BB1198" s="426"/>
      <c r="BF1198" s="315"/>
      <c r="BG1198" s="42"/>
    </row>
    <row r="1199" spans="50:59" x14ac:dyDescent="0.2">
      <c r="AX1199" s="315"/>
      <c r="AY1199" s="326"/>
      <c r="AZ1199" s="175"/>
      <c r="BA1199" s="42"/>
      <c r="BB1199" s="426"/>
      <c r="BF1199" s="315"/>
      <c r="BG1199" s="42"/>
    </row>
    <row r="1200" spans="50:59" x14ac:dyDescent="0.2">
      <c r="AX1200" s="315"/>
      <c r="AY1200" s="326"/>
      <c r="AZ1200" s="175"/>
      <c r="BA1200" s="42"/>
      <c r="BB1200" s="426"/>
      <c r="BF1200" s="315"/>
      <c r="BG1200" s="42"/>
    </row>
    <row r="1201" spans="50:59" x14ac:dyDescent="0.2">
      <c r="AX1201" s="315"/>
      <c r="AY1201" s="326"/>
      <c r="AZ1201" s="175"/>
      <c r="BA1201" s="42"/>
      <c r="BB1201" s="426"/>
      <c r="BF1201" s="315"/>
      <c r="BG1201" s="42"/>
    </row>
    <row r="1202" spans="50:59" x14ac:dyDescent="0.2">
      <c r="AX1202" s="315"/>
      <c r="AY1202" s="326"/>
      <c r="AZ1202" s="175"/>
      <c r="BA1202" s="42"/>
      <c r="BB1202" s="426"/>
      <c r="BF1202" s="315"/>
      <c r="BG1202" s="42"/>
    </row>
    <row r="1203" spans="50:59" x14ac:dyDescent="0.2">
      <c r="AX1203" s="315"/>
      <c r="AY1203" s="326"/>
      <c r="AZ1203" s="175"/>
      <c r="BA1203" s="42"/>
      <c r="BB1203" s="426"/>
      <c r="BF1203" s="315"/>
      <c r="BG1203" s="42"/>
    </row>
    <row r="1204" spans="50:59" x14ac:dyDescent="0.2">
      <c r="AX1204" s="315"/>
      <c r="AY1204" s="326"/>
      <c r="AZ1204" s="175"/>
      <c r="BA1204" s="42"/>
      <c r="BB1204" s="426"/>
      <c r="BF1204" s="315"/>
      <c r="BG1204" s="42"/>
    </row>
    <row r="1205" spans="50:59" x14ac:dyDescent="0.2">
      <c r="AX1205" s="315"/>
      <c r="AY1205" s="326"/>
      <c r="AZ1205" s="175"/>
      <c r="BA1205" s="42"/>
      <c r="BB1205" s="426"/>
      <c r="BF1205" s="315"/>
      <c r="BG1205" s="42"/>
    </row>
    <row r="1206" spans="50:59" x14ac:dyDescent="0.2">
      <c r="AX1206" s="315"/>
      <c r="AY1206" s="326"/>
      <c r="AZ1206" s="175"/>
      <c r="BA1206" s="42"/>
      <c r="BB1206" s="426"/>
      <c r="BF1206" s="315"/>
      <c r="BG1206" s="42"/>
    </row>
    <row r="1207" spans="50:59" x14ac:dyDescent="0.2">
      <c r="AX1207" s="315"/>
      <c r="AY1207" s="326"/>
      <c r="AZ1207" s="175"/>
      <c r="BA1207" s="42"/>
      <c r="BB1207" s="426"/>
      <c r="BF1207" s="315"/>
      <c r="BG1207" s="42"/>
    </row>
    <row r="1208" spans="50:59" x14ac:dyDescent="0.2">
      <c r="AX1208" s="315"/>
      <c r="AY1208" s="326"/>
      <c r="AZ1208" s="175"/>
      <c r="BA1208" s="42"/>
      <c r="BB1208" s="426"/>
      <c r="BF1208" s="315"/>
      <c r="BG1208" s="42"/>
    </row>
    <row r="1209" spans="50:59" x14ac:dyDescent="0.2">
      <c r="AX1209" s="315"/>
      <c r="AY1209" s="326"/>
      <c r="AZ1209" s="175"/>
      <c r="BA1209" s="42"/>
      <c r="BB1209" s="426"/>
      <c r="BF1209" s="315"/>
      <c r="BG1209" s="42"/>
    </row>
    <row r="1210" spans="50:59" x14ac:dyDescent="0.2">
      <c r="AX1210" s="315"/>
      <c r="AY1210" s="326"/>
      <c r="AZ1210" s="175"/>
      <c r="BA1210" s="42"/>
      <c r="BB1210" s="426"/>
      <c r="BF1210" s="315"/>
      <c r="BG1210" s="42"/>
    </row>
    <row r="1211" spans="50:59" x14ac:dyDescent="0.2">
      <c r="AX1211" s="315"/>
      <c r="AY1211" s="326"/>
      <c r="AZ1211" s="175"/>
      <c r="BA1211" s="42"/>
      <c r="BB1211" s="426"/>
      <c r="BF1211" s="315"/>
      <c r="BG1211" s="42"/>
    </row>
    <row r="1212" spans="50:59" x14ac:dyDescent="0.2">
      <c r="AX1212" s="315"/>
      <c r="AY1212" s="326"/>
      <c r="AZ1212" s="175"/>
      <c r="BA1212" s="42"/>
      <c r="BB1212" s="426"/>
      <c r="BF1212" s="315"/>
      <c r="BG1212" s="42"/>
    </row>
    <row r="1213" spans="50:59" x14ac:dyDescent="0.2">
      <c r="AX1213" s="315"/>
      <c r="AY1213" s="326"/>
      <c r="AZ1213" s="175"/>
      <c r="BA1213" s="42"/>
      <c r="BB1213" s="426"/>
      <c r="BF1213" s="315"/>
      <c r="BG1213" s="42"/>
    </row>
    <row r="1214" spans="50:59" x14ac:dyDescent="0.2">
      <c r="AX1214" s="315"/>
      <c r="AY1214" s="326"/>
      <c r="AZ1214" s="175"/>
      <c r="BA1214" s="42"/>
      <c r="BB1214" s="426"/>
      <c r="BF1214" s="315"/>
      <c r="BG1214" s="42"/>
    </row>
    <row r="1215" spans="50:59" x14ac:dyDescent="0.2">
      <c r="AX1215" s="315"/>
      <c r="AY1215" s="326"/>
      <c r="AZ1215" s="175"/>
      <c r="BA1215" s="42"/>
      <c r="BB1215" s="426"/>
      <c r="BF1215" s="315"/>
      <c r="BG1215" s="42"/>
    </row>
    <row r="1216" spans="50:59" x14ac:dyDescent="0.2">
      <c r="AX1216" s="315"/>
      <c r="AY1216" s="326"/>
      <c r="AZ1216" s="175"/>
      <c r="BA1216" s="42"/>
      <c r="BB1216" s="426"/>
      <c r="BF1216" s="315"/>
      <c r="BG1216" s="42"/>
    </row>
    <row r="1217" spans="50:59" x14ac:dyDescent="0.2">
      <c r="AX1217" s="315"/>
      <c r="AY1217" s="326"/>
      <c r="AZ1217" s="175"/>
      <c r="BA1217" s="42"/>
      <c r="BB1217" s="426"/>
      <c r="BF1217" s="315"/>
      <c r="BG1217" s="42"/>
    </row>
    <row r="1218" spans="50:59" x14ac:dyDescent="0.2">
      <c r="AX1218" s="315"/>
      <c r="AY1218" s="326"/>
      <c r="AZ1218" s="175"/>
      <c r="BA1218" s="42"/>
      <c r="BB1218" s="426"/>
      <c r="BF1218" s="315"/>
      <c r="BG1218" s="42"/>
    </row>
    <row r="1219" spans="50:59" x14ac:dyDescent="0.2">
      <c r="AX1219" s="315"/>
      <c r="AY1219" s="326"/>
      <c r="AZ1219" s="175"/>
      <c r="BA1219" s="42"/>
      <c r="BB1219" s="426"/>
      <c r="BF1219" s="315"/>
      <c r="BG1219" s="42"/>
    </row>
    <row r="1220" spans="50:59" x14ac:dyDescent="0.2">
      <c r="AX1220" s="315"/>
      <c r="AY1220" s="326"/>
      <c r="AZ1220" s="175"/>
      <c r="BA1220" s="42"/>
      <c r="BB1220" s="426"/>
      <c r="BF1220" s="315"/>
      <c r="BG1220" s="42"/>
    </row>
    <row r="1221" spans="50:59" x14ac:dyDescent="0.2">
      <c r="AX1221" s="315"/>
      <c r="AY1221" s="326"/>
      <c r="AZ1221" s="175"/>
      <c r="BA1221" s="42"/>
      <c r="BB1221" s="426"/>
      <c r="BF1221" s="315"/>
      <c r="BG1221" s="42"/>
    </row>
    <row r="1222" spans="50:59" x14ac:dyDescent="0.2">
      <c r="AX1222" s="315"/>
      <c r="AY1222" s="326"/>
      <c r="AZ1222" s="175"/>
      <c r="BA1222" s="42"/>
      <c r="BB1222" s="426"/>
      <c r="BF1222" s="315"/>
      <c r="BG1222" s="42"/>
    </row>
    <row r="1223" spans="50:59" x14ac:dyDescent="0.2">
      <c r="AX1223" s="315"/>
      <c r="AY1223" s="326"/>
      <c r="AZ1223" s="175"/>
      <c r="BA1223" s="42"/>
      <c r="BB1223" s="426"/>
      <c r="BF1223" s="315"/>
      <c r="BG1223" s="42"/>
    </row>
    <row r="1224" spans="50:59" x14ac:dyDescent="0.2">
      <c r="AX1224" s="315"/>
      <c r="AY1224" s="326"/>
      <c r="AZ1224" s="175"/>
      <c r="BA1224" s="42"/>
      <c r="BB1224" s="426"/>
      <c r="BF1224" s="315"/>
      <c r="BG1224" s="42"/>
    </row>
    <row r="1225" spans="50:59" x14ac:dyDescent="0.2">
      <c r="AX1225" s="315"/>
      <c r="AY1225" s="326"/>
      <c r="AZ1225" s="175"/>
      <c r="BA1225" s="42"/>
      <c r="BB1225" s="426"/>
      <c r="BF1225" s="315"/>
      <c r="BG1225" s="42"/>
    </row>
    <row r="1226" spans="50:59" x14ac:dyDescent="0.2">
      <c r="AX1226" s="315"/>
      <c r="AY1226" s="326"/>
      <c r="AZ1226" s="175"/>
      <c r="BA1226" s="42"/>
      <c r="BB1226" s="426"/>
      <c r="BF1226" s="315"/>
      <c r="BG1226" s="42"/>
    </row>
    <row r="1227" spans="50:59" x14ac:dyDescent="0.2">
      <c r="AX1227" s="315"/>
      <c r="AY1227" s="326"/>
      <c r="AZ1227" s="175"/>
      <c r="BA1227" s="42"/>
      <c r="BB1227" s="426"/>
      <c r="BF1227" s="315"/>
      <c r="BG1227" s="42"/>
    </row>
    <row r="1228" spans="50:59" x14ac:dyDescent="0.2">
      <c r="AX1228" s="315"/>
      <c r="AY1228" s="326"/>
      <c r="AZ1228" s="175"/>
      <c r="BA1228" s="42"/>
      <c r="BB1228" s="426"/>
      <c r="BF1228" s="315"/>
      <c r="BG1228" s="42"/>
    </row>
    <row r="1229" spans="50:59" x14ac:dyDescent="0.2">
      <c r="AX1229" s="315"/>
      <c r="AY1229" s="326"/>
      <c r="AZ1229" s="175"/>
      <c r="BA1229" s="42"/>
      <c r="BB1229" s="426"/>
      <c r="BF1229" s="315"/>
      <c r="BG1229" s="42"/>
    </row>
    <row r="1230" spans="50:59" x14ac:dyDescent="0.2">
      <c r="AX1230" s="315"/>
      <c r="AY1230" s="326"/>
      <c r="AZ1230" s="175"/>
      <c r="BA1230" s="42"/>
      <c r="BB1230" s="426"/>
      <c r="BF1230" s="315"/>
      <c r="BG1230" s="42"/>
    </row>
    <row r="1231" spans="50:59" x14ac:dyDescent="0.2">
      <c r="AX1231" s="315"/>
      <c r="AY1231" s="326"/>
      <c r="AZ1231" s="175"/>
      <c r="BA1231" s="42"/>
      <c r="BB1231" s="426"/>
      <c r="BF1231" s="315"/>
      <c r="BG1231" s="42"/>
    </row>
    <row r="1232" spans="50:59" x14ac:dyDescent="0.2">
      <c r="AX1232" s="315"/>
      <c r="AY1232" s="326"/>
      <c r="AZ1232" s="175"/>
      <c r="BA1232" s="42"/>
      <c r="BB1232" s="426"/>
      <c r="BF1232" s="315"/>
      <c r="BG1232" s="42"/>
    </row>
    <row r="1233" spans="50:59" x14ac:dyDescent="0.2">
      <c r="AX1233" s="315"/>
      <c r="AY1233" s="326"/>
      <c r="AZ1233" s="175"/>
      <c r="BA1233" s="42"/>
      <c r="BB1233" s="426"/>
      <c r="BF1233" s="315"/>
      <c r="BG1233" s="42"/>
    </row>
    <row r="1234" spans="50:59" x14ac:dyDescent="0.2">
      <c r="AX1234" s="315"/>
      <c r="AY1234" s="326"/>
      <c r="AZ1234" s="175"/>
      <c r="BA1234" s="42"/>
      <c r="BB1234" s="426"/>
      <c r="BF1234" s="315"/>
      <c r="BG1234" s="42"/>
    </row>
    <row r="1235" spans="50:59" x14ac:dyDescent="0.2">
      <c r="AX1235" s="315"/>
      <c r="AY1235" s="326"/>
      <c r="AZ1235" s="175"/>
      <c r="BA1235" s="42"/>
      <c r="BB1235" s="426"/>
      <c r="BF1235" s="315"/>
      <c r="BG1235" s="42"/>
    </row>
    <row r="1236" spans="50:59" x14ac:dyDescent="0.2">
      <c r="AX1236" s="315"/>
      <c r="AY1236" s="326"/>
      <c r="AZ1236" s="175"/>
      <c r="BA1236" s="42"/>
      <c r="BB1236" s="426"/>
      <c r="BF1236" s="315"/>
      <c r="BG1236" s="42"/>
    </row>
    <row r="1237" spans="50:59" x14ac:dyDescent="0.2">
      <c r="AX1237" s="315"/>
      <c r="AY1237" s="326"/>
      <c r="AZ1237" s="175"/>
      <c r="BA1237" s="42"/>
      <c r="BB1237" s="426"/>
      <c r="BF1237" s="315"/>
      <c r="BG1237" s="42"/>
    </row>
    <row r="1238" spans="50:59" x14ac:dyDescent="0.2">
      <c r="AX1238" s="315"/>
      <c r="AY1238" s="326"/>
      <c r="AZ1238" s="175"/>
      <c r="BA1238" s="42"/>
      <c r="BB1238" s="426"/>
      <c r="BF1238" s="315"/>
      <c r="BG1238" s="42"/>
    </row>
    <row r="1239" spans="50:59" x14ac:dyDescent="0.2">
      <c r="AX1239" s="315"/>
      <c r="AY1239" s="326"/>
      <c r="AZ1239" s="175"/>
      <c r="BA1239" s="42"/>
      <c r="BB1239" s="426"/>
      <c r="BF1239" s="315"/>
      <c r="BG1239" s="42"/>
    </row>
    <row r="1240" spans="50:59" x14ac:dyDescent="0.2">
      <c r="AX1240" s="315"/>
      <c r="AY1240" s="326"/>
      <c r="AZ1240" s="175"/>
      <c r="BA1240" s="42"/>
      <c r="BB1240" s="426"/>
      <c r="BF1240" s="315"/>
      <c r="BG1240" s="42"/>
    </row>
    <row r="1241" spans="50:59" x14ac:dyDescent="0.2">
      <c r="AX1241" s="315"/>
      <c r="AY1241" s="326"/>
      <c r="AZ1241" s="175"/>
      <c r="BA1241" s="42"/>
      <c r="BB1241" s="426"/>
      <c r="BF1241" s="315"/>
      <c r="BG1241" s="42"/>
    </row>
    <row r="1242" spans="50:59" x14ac:dyDescent="0.2">
      <c r="AX1242" s="315"/>
      <c r="AY1242" s="326"/>
      <c r="AZ1242" s="175"/>
      <c r="BA1242" s="42"/>
      <c r="BB1242" s="426"/>
      <c r="BF1242" s="315"/>
      <c r="BG1242" s="42"/>
    </row>
    <row r="1243" spans="50:59" x14ac:dyDescent="0.2">
      <c r="AX1243" s="315"/>
      <c r="AY1243" s="326"/>
      <c r="AZ1243" s="175"/>
      <c r="BA1243" s="42"/>
      <c r="BB1243" s="426"/>
      <c r="BF1243" s="315"/>
      <c r="BG1243" s="42"/>
    </row>
    <row r="1244" spans="50:59" x14ac:dyDescent="0.2">
      <c r="AX1244" s="315"/>
      <c r="AY1244" s="326"/>
      <c r="AZ1244" s="175"/>
      <c r="BA1244" s="42"/>
      <c r="BB1244" s="426"/>
      <c r="BF1244" s="315"/>
      <c r="BG1244" s="42"/>
    </row>
    <row r="1245" spans="50:59" x14ac:dyDescent="0.2">
      <c r="AX1245" s="315"/>
      <c r="AY1245" s="326"/>
      <c r="AZ1245" s="175"/>
      <c r="BA1245" s="42"/>
      <c r="BB1245" s="426"/>
      <c r="BF1245" s="315"/>
      <c r="BG1245" s="42"/>
    </row>
    <row r="1246" spans="50:59" x14ac:dyDescent="0.2">
      <c r="AX1246" s="315"/>
      <c r="AY1246" s="326"/>
      <c r="AZ1246" s="175"/>
      <c r="BA1246" s="42"/>
      <c r="BB1246" s="426"/>
      <c r="BF1246" s="315"/>
      <c r="BG1246" s="42"/>
    </row>
    <row r="1247" spans="50:59" x14ac:dyDescent="0.2">
      <c r="AX1247" s="315"/>
      <c r="AY1247" s="326"/>
      <c r="AZ1247" s="175"/>
      <c r="BA1247" s="42"/>
      <c r="BB1247" s="426"/>
      <c r="BF1247" s="315"/>
      <c r="BG1247" s="42"/>
    </row>
    <row r="1248" spans="50:59" x14ac:dyDescent="0.2">
      <c r="AX1248" s="315"/>
      <c r="AY1248" s="326"/>
      <c r="AZ1248" s="175"/>
      <c r="BA1248" s="42"/>
      <c r="BB1248" s="426"/>
      <c r="BF1248" s="315"/>
      <c r="BG1248" s="42"/>
    </row>
    <row r="1249" spans="50:59" x14ac:dyDescent="0.2">
      <c r="AX1249" s="315"/>
      <c r="AY1249" s="326"/>
      <c r="AZ1249" s="175"/>
      <c r="BA1249" s="42"/>
      <c r="BB1249" s="426"/>
      <c r="BF1249" s="315"/>
      <c r="BG1249" s="42"/>
    </row>
    <row r="1250" spans="50:59" x14ac:dyDescent="0.2">
      <c r="AX1250" s="315"/>
      <c r="AY1250" s="326"/>
      <c r="AZ1250" s="175"/>
      <c r="BA1250" s="42"/>
      <c r="BB1250" s="426"/>
      <c r="BF1250" s="315"/>
      <c r="BG1250" s="42"/>
    </row>
    <row r="1251" spans="50:59" x14ac:dyDescent="0.2">
      <c r="AX1251" s="315"/>
      <c r="AY1251" s="326"/>
      <c r="AZ1251" s="175"/>
      <c r="BA1251" s="42"/>
      <c r="BB1251" s="426"/>
      <c r="BF1251" s="315"/>
      <c r="BG1251" s="42"/>
    </row>
    <row r="1252" spans="50:59" x14ac:dyDescent="0.2">
      <c r="AX1252" s="315"/>
      <c r="AY1252" s="326"/>
      <c r="AZ1252" s="175"/>
      <c r="BA1252" s="42"/>
      <c r="BB1252" s="426"/>
      <c r="BF1252" s="315"/>
      <c r="BG1252" s="42"/>
    </row>
    <row r="1253" spans="50:59" x14ac:dyDescent="0.2">
      <c r="AX1253" s="315"/>
      <c r="AY1253" s="326"/>
      <c r="AZ1253" s="175"/>
      <c r="BA1253" s="42"/>
      <c r="BB1253" s="426"/>
      <c r="BF1253" s="315"/>
      <c r="BG1253" s="42"/>
    </row>
    <row r="1254" spans="50:59" x14ac:dyDescent="0.2">
      <c r="AX1254" s="315"/>
      <c r="AY1254" s="326"/>
      <c r="AZ1254" s="175"/>
      <c r="BA1254" s="42"/>
      <c r="BB1254" s="426"/>
      <c r="BF1254" s="315"/>
      <c r="BG1254" s="42"/>
    </row>
    <row r="1255" spans="50:59" x14ac:dyDescent="0.2">
      <c r="AX1255" s="315"/>
      <c r="AY1255" s="326"/>
      <c r="AZ1255" s="175"/>
      <c r="BA1255" s="42"/>
      <c r="BB1255" s="426"/>
      <c r="BF1255" s="315"/>
      <c r="BG1255" s="42"/>
    </row>
    <row r="1256" spans="50:59" x14ac:dyDescent="0.2">
      <c r="AX1256" s="315"/>
      <c r="AY1256" s="326"/>
      <c r="AZ1256" s="175"/>
      <c r="BA1256" s="42"/>
      <c r="BB1256" s="426"/>
      <c r="BF1256" s="315"/>
      <c r="BG1256" s="42"/>
    </row>
    <row r="1257" spans="50:59" x14ac:dyDescent="0.2">
      <c r="AX1257" s="315"/>
      <c r="AY1257" s="326"/>
      <c r="AZ1257" s="175"/>
      <c r="BA1257" s="42"/>
      <c r="BB1257" s="426"/>
      <c r="BF1257" s="315"/>
      <c r="BG1257" s="42"/>
    </row>
    <row r="1258" spans="50:59" x14ac:dyDescent="0.2">
      <c r="AX1258" s="315"/>
      <c r="AY1258" s="326"/>
      <c r="AZ1258" s="175"/>
      <c r="BA1258" s="42"/>
      <c r="BB1258" s="426"/>
      <c r="BF1258" s="315"/>
      <c r="BG1258" s="42"/>
    </row>
    <row r="1259" spans="50:59" x14ac:dyDescent="0.2">
      <c r="AX1259" s="315"/>
      <c r="AY1259" s="326"/>
      <c r="AZ1259" s="175"/>
      <c r="BA1259" s="42"/>
      <c r="BB1259" s="426"/>
      <c r="BF1259" s="315"/>
      <c r="BG1259" s="42"/>
    </row>
    <row r="1260" spans="50:59" x14ac:dyDescent="0.2">
      <c r="AX1260" s="315"/>
      <c r="AY1260" s="326"/>
      <c r="AZ1260" s="175"/>
      <c r="BA1260" s="42"/>
      <c r="BB1260" s="426"/>
      <c r="BF1260" s="315"/>
      <c r="BG1260" s="42"/>
    </row>
    <row r="1261" spans="50:59" x14ac:dyDescent="0.2">
      <c r="AX1261" s="315"/>
      <c r="AY1261" s="326"/>
      <c r="AZ1261" s="175"/>
      <c r="BA1261" s="42"/>
      <c r="BB1261" s="426"/>
      <c r="BF1261" s="315"/>
      <c r="BG1261" s="42"/>
    </row>
    <row r="1262" spans="50:59" x14ac:dyDescent="0.2">
      <c r="AX1262" s="315"/>
      <c r="AY1262" s="326"/>
      <c r="AZ1262" s="175"/>
      <c r="BA1262" s="42"/>
      <c r="BB1262" s="426"/>
      <c r="BF1262" s="315"/>
      <c r="BG1262" s="42"/>
    </row>
    <row r="1263" spans="50:59" x14ac:dyDescent="0.2">
      <c r="AX1263" s="315"/>
      <c r="AY1263" s="326"/>
      <c r="AZ1263" s="175"/>
      <c r="BA1263" s="42"/>
      <c r="BB1263" s="426"/>
      <c r="BF1263" s="315"/>
      <c r="BG1263" s="42"/>
    </row>
    <row r="1264" spans="50:59" x14ac:dyDescent="0.2">
      <c r="AX1264" s="315"/>
      <c r="AY1264" s="326"/>
      <c r="AZ1264" s="175"/>
      <c r="BA1264" s="42"/>
      <c r="BB1264" s="426"/>
      <c r="BF1264" s="315"/>
      <c r="BG1264" s="42"/>
    </row>
    <row r="1265" spans="50:59" x14ac:dyDescent="0.2">
      <c r="AX1265" s="315"/>
      <c r="AY1265" s="326"/>
      <c r="AZ1265" s="175"/>
      <c r="BA1265" s="42"/>
      <c r="BB1265" s="426"/>
      <c r="BF1265" s="315"/>
      <c r="BG1265" s="42"/>
    </row>
    <row r="1266" spans="50:59" x14ac:dyDescent="0.2">
      <c r="AX1266" s="315"/>
      <c r="AY1266" s="326"/>
      <c r="AZ1266" s="175"/>
      <c r="BA1266" s="42"/>
      <c r="BB1266" s="426"/>
      <c r="BF1266" s="315"/>
      <c r="BG1266" s="42"/>
    </row>
    <row r="1267" spans="50:59" x14ac:dyDescent="0.2">
      <c r="AX1267" s="315"/>
      <c r="AY1267" s="326"/>
      <c r="AZ1267" s="175"/>
      <c r="BA1267" s="42"/>
      <c r="BB1267" s="426"/>
      <c r="BF1267" s="315"/>
      <c r="BG1267" s="42"/>
    </row>
    <row r="1268" spans="50:59" x14ac:dyDescent="0.2">
      <c r="AX1268" s="315"/>
      <c r="AY1268" s="326"/>
      <c r="AZ1268" s="175"/>
      <c r="BA1268" s="42"/>
      <c r="BB1268" s="426"/>
      <c r="BF1268" s="315"/>
      <c r="BG1268" s="42"/>
    </row>
    <row r="1269" spans="50:59" x14ac:dyDescent="0.2">
      <c r="AX1269" s="315"/>
      <c r="AY1269" s="326"/>
      <c r="AZ1269" s="175"/>
      <c r="BA1269" s="42"/>
      <c r="BB1269" s="426"/>
      <c r="BF1269" s="315"/>
      <c r="BG1269" s="42"/>
    </row>
    <row r="1270" spans="50:59" x14ac:dyDescent="0.2">
      <c r="AX1270" s="315"/>
      <c r="AY1270" s="326"/>
      <c r="AZ1270" s="175"/>
      <c r="BA1270" s="42"/>
      <c r="BB1270" s="426"/>
      <c r="BF1270" s="315"/>
      <c r="BG1270" s="42"/>
    </row>
    <row r="1271" spans="50:59" x14ac:dyDescent="0.2">
      <c r="AX1271" s="315"/>
      <c r="AY1271" s="326"/>
      <c r="AZ1271" s="175"/>
      <c r="BA1271" s="42"/>
      <c r="BB1271" s="426"/>
      <c r="BF1271" s="315"/>
      <c r="BG1271" s="42"/>
    </row>
    <row r="1272" spans="50:59" x14ac:dyDescent="0.2">
      <c r="AX1272" s="315"/>
      <c r="AY1272" s="326"/>
      <c r="AZ1272" s="175"/>
      <c r="BA1272" s="42"/>
      <c r="BB1272" s="426"/>
      <c r="BF1272" s="315"/>
      <c r="BG1272" s="42"/>
    </row>
    <row r="1273" spans="50:59" x14ac:dyDescent="0.2">
      <c r="AX1273" s="315"/>
      <c r="AY1273" s="326"/>
      <c r="AZ1273" s="175"/>
      <c r="BA1273" s="42"/>
      <c r="BB1273" s="426"/>
      <c r="BF1273" s="315"/>
      <c r="BG1273" s="42"/>
    </row>
    <row r="1274" spans="50:59" x14ac:dyDescent="0.2">
      <c r="AX1274" s="315"/>
      <c r="AY1274" s="326"/>
      <c r="AZ1274" s="175"/>
      <c r="BA1274" s="42"/>
      <c r="BB1274" s="426"/>
      <c r="BF1274" s="315"/>
      <c r="BG1274" s="42"/>
    </row>
    <row r="1275" spans="50:59" x14ac:dyDescent="0.2">
      <c r="AX1275" s="315"/>
      <c r="AY1275" s="326"/>
      <c r="AZ1275" s="175"/>
      <c r="BA1275" s="42"/>
      <c r="BB1275" s="426"/>
      <c r="BF1275" s="315"/>
      <c r="BG1275" s="42"/>
    </row>
    <row r="1276" spans="50:59" x14ac:dyDescent="0.2">
      <c r="AX1276" s="315"/>
      <c r="AY1276" s="326"/>
      <c r="AZ1276" s="175"/>
      <c r="BA1276" s="42"/>
      <c r="BB1276" s="426"/>
      <c r="BF1276" s="315"/>
      <c r="BG1276" s="42"/>
    </row>
    <row r="1277" spans="50:59" x14ac:dyDescent="0.2">
      <c r="AX1277" s="315"/>
      <c r="AY1277" s="326"/>
      <c r="AZ1277" s="175"/>
      <c r="BA1277" s="42"/>
      <c r="BB1277" s="426"/>
      <c r="BF1277" s="315"/>
      <c r="BG1277" s="42"/>
    </row>
    <row r="1278" spans="50:59" x14ac:dyDescent="0.2">
      <c r="AX1278" s="315"/>
      <c r="AY1278" s="326"/>
      <c r="AZ1278" s="175"/>
      <c r="BA1278" s="42"/>
      <c r="BB1278" s="426"/>
      <c r="BF1278" s="315"/>
      <c r="BG1278" s="42"/>
    </row>
    <row r="1279" spans="50:59" x14ac:dyDescent="0.2">
      <c r="AX1279" s="315"/>
      <c r="AY1279" s="326"/>
      <c r="AZ1279" s="175"/>
      <c r="BA1279" s="42"/>
      <c r="BB1279" s="426"/>
      <c r="BF1279" s="315"/>
      <c r="BG1279" s="42"/>
    </row>
    <row r="1280" spans="50:59" x14ac:dyDescent="0.2">
      <c r="AX1280" s="315"/>
      <c r="AY1280" s="326"/>
      <c r="AZ1280" s="175"/>
      <c r="BA1280" s="42"/>
      <c r="BB1280" s="426"/>
      <c r="BF1280" s="315"/>
      <c r="BG1280" s="42"/>
    </row>
    <row r="1281" spans="50:59" x14ac:dyDescent="0.2">
      <c r="AX1281" s="315"/>
      <c r="AY1281" s="326"/>
      <c r="AZ1281" s="175"/>
      <c r="BA1281" s="42"/>
      <c r="BB1281" s="426"/>
      <c r="BF1281" s="315"/>
      <c r="BG1281" s="42"/>
    </row>
    <row r="1282" spans="50:59" x14ac:dyDescent="0.2">
      <c r="AX1282" s="315"/>
      <c r="AY1282" s="326"/>
      <c r="AZ1282" s="175"/>
      <c r="BA1282" s="42"/>
      <c r="BB1282" s="426"/>
      <c r="BF1282" s="315"/>
      <c r="BG1282" s="42"/>
    </row>
    <row r="1283" spans="50:59" x14ac:dyDescent="0.2">
      <c r="AX1283" s="315"/>
      <c r="AY1283" s="326"/>
      <c r="AZ1283" s="175"/>
      <c r="BA1283" s="42"/>
      <c r="BB1283" s="426"/>
      <c r="BF1283" s="315"/>
      <c r="BG1283" s="42"/>
    </row>
    <row r="1284" spans="50:59" x14ac:dyDescent="0.2">
      <c r="AX1284" s="315"/>
      <c r="AY1284" s="326"/>
      <c r="AZ1284" s="175"/>
      <c r="BA1284" s="42"/>
      <c r="BB1284" s="426"/>
      <c r="BF1284" s="315"/>
      <c r="BG1284" s="42"/>
    </row>
    <row r="1285" spans="50:59" x14ac:dyDescent="0.2">
      <c r="AX1285" s="315"/>
      <c r="AY1285" s="326"/>
      <c r="AZ1285" s="175"/>
      <c r="BA1285" s="42"/>
      <c r="BB1285" s="426"/>
      <c r="BF1285" s="315"/>
      <c r="BG1285" s="42"/>
    </row>
    <row r="1286" spans="50:59" x14ac:dyDescent="0.2">
      <c r="AX1286" s="315"/>
      <c r="AY1286" s="326"/>
      <c r="AZ1286" s="175"/>
      <c r="BA1286" s="42"/>
      <c r="BB1286" s="426"/>
      <c r="BF1286" s="315"/>
      <c r="BG1286" s="42"/>
    </row>
    <row r="1287" spans="50:59" x14ac:dyDescent="0.2">
      <c r="AX1287" s="315"/>
      <c r="AY1287" s="326"/>
      <c r="AZ1287" s="175"/>
      <c r="BA1287" s="42"/>
      <c r="BB1287" s="426"/>
      <c r="BF1287" s="315"/>
      <c r="BG1287" s="42"/>
    </row>
    <row r="1288" spans="50:59" x14ac:dyDescent="0.2">
      <c r="AX1288" s="315"/>
      <c r="AY1288" s="326"/>
      <c r="AZ1288" s="175"/>
      <c r="BA1288" s="42"/>
      <c r="BB1288" s="426"/>
      <c r="BF1288" s="315"/>
      <c r="BG1288" s="42"/>
    </row>
    <row r="1289" spans="50:59" x14ac:dyDescent="0.2">
      <c r="AX1289" s="315"/>
      <c r="AY1289" s="326"/>
      <c r="AZ1289" s="175"/>
      <c r="BA1289" s="42"/>
      <c r="BB1289" s="426"/>
      <c r="BF1289" s="315"/>
      <c r="BG1289" s="42"/>
    </row>
    <row r="1290" spans="50:59" x14ac:dyDescent="0.2">
      <c r="AX1290" s="315"/>
      <c r="AY1290" s="326"/>
      <c r="AZ1290" s="175"/>
      <c r="BA1290" s="42"/>
      <c r="BB1290" s="426"/>
      <c r="BF1290" s="315"/>
      <c r="BG1290" s="42"/>
    </row>
    <row r="1291" spans="50:59" x14ac:dyDescent="0.2">
      <c r="AX1291" s="315"/>
      <c r="AY1291" s="326"/>
      <c r="AZ1291" s="175"/>
      <c r="BA1291" s="42"/>
      <c r="BB1291" s="426"/>
      <c r="BF1291" s="315"/>
      <c r="BG1291" s="42"/>
    </row>
    <row r="1292" spans="50:59" x14ac:dyDescent="0.2">
      <c r="AX1292" s="315"/>
      <c r="AY1292" s="326"/>
      <c r="AZ1292" s="175"/>
      <c r="BA1292" s="42"/>
      <c r="BB1292" s="426"/>
      <c r="BF1292" s="315"/>
      <c r="BG1292" s="42"/>
    </row>
    <row r="1293" spans="50:59" x14ac:dyDescent="0.2">
      <c r="AX1293" s="315"/>
      <c r="AY1293" s="326"/>
      <c r="AZ1293" s="175"/>
      <c r="BA1293" s="42"/>
      <c r="BB1293" s="426"/>
      <c r="BF1293" s="315"/>
      <c r="BG1293" s="42"/>
    </row>
    <row r="1294" spans="50:59" x14ac:dyDescent="0.2">
      <c r="AX1294" s="315"/>
      <c r="AY1294" s="326"/>
      <c r="AZ1294" s="175"/>
      <c r="BA1294" s="42"/>
      <c r="BB1294" s="426"/>
      <c r="BF1294" s="315"/>
      <c r="BG1294" s="42"/>
    </row>
    <row r="1295" spans="50:59" x14ac:dyDescent="0.2">
      <c r="AX1295" s="315"/>
      <c r="AY1295" s="326"/>
      <c r="AZ1295" s="175"/>
      <c r="BA1295" s="42"/>
      <c r="BB1295" s="426"/>
      <c r="BF1295" s="315"/>
      <c r="BG1295" s="42"/>
    </row>
    <row r="1296" spans="50:59" x14ac:dyDescent="0.2">
      <c r="AX1296" s="315"/>
      <c r="AY1296" s="326"/>
      <c r="AZ1296" s="175"/>
      <c r="BA1296" s="42"/>
      <c r="BB1296" s="426"/>
      <c r="BF1296" s="315"/>
      <c r="BG1296" s="42"/>
    </row>
    <row r="1297" spans="50:59" x14ac:dyDescent="0.2">
      <c r="AX1297" s="315"/>
      <c r="AY1297" s="326"/>
      <c r="AZ1297" s="175"/>
      <c r="BA1297" s="42"/>
      <c r="BB1297" s="426"/>
      <c r="BF1297" s="315"/>
      <c r="BG1297" s="42"/>
    </row>
    <row r="1298" spans="50:59" x14ac:dyDescent="0.2">
      <c r="AX1298" s="315"/>
      <c r="AY1298" s="326"/>
      <c r="AZ1298" s="175"/>
      <c r="BA1298" s="42"/>
      <c r="BB1298" s="426"/>
      <c r="BF1298" s="315"/>
      <c r="BG1298" s="42"/>
    </row>
    <row r="1299" spans="50:59" x14ac:dyDescent="0.2">
      <c r="AX1299" s="315"/>
      <c r="AY1299" s="326"/>
      <c r="AZ1299" s="175"/>
      <c r="BA1299" s="42"/>
      <c r="BB1299" s="426"/>
      <c r="BF1299" s="315"/>
      <c r="BG1299" s="42"/>
    </row>
    <row r="1300" spans="50:59" x14ac:dyDescent="0.2">
      <c r="AX1300" s="315"/>
      <c r="AY1300" s="326"/>
      <c r="AZ1300" s="175"/>
      <c r="BA1300" s="42"/>
      <c r="BB1300" s="426"/>
      <c r="BF1300" s="315"/>
      <c r="BG1300" s="42"/>
    </row>
    <row r="1301" spans="50:59" x14ac:dyDescent="0.2">
      <c r="AX1301" s="315"/>
      <c r="AY1301" s="326"/>
      <c r="AZ1301" s="175"/>
      <c r="BA1301" s="42"/>
      <c r="BB1301" s="426"/>
      <c r="BF1301" s="315"/>
      <c r="BG1301" s="42"/>
    </row>
    <row r="1302" spans="50:59" x14ac:dyDescent="0.2">
      <c r="AX1302" s="315"/>
      <c r="AY1302" s="326"/>
      <c r="AZ1302" s="175"/>
      <c r="BA1302" s="42"/>
      <c r="BB1302" s="426"/>
      <c r="BF1302" s="315"/>
      <c r="BG1302" s="42"/>
    </row>
    <row r="1303" spans="50:59" x14ac:dyDescent="0.2">
      <c r="AX1303" s="315"/>
      <c r="AY1303" s="326"/>
      <c r="AZ1303" s="175"/>
      <c r="BA1303" s="42"/>
      <c r="BB1303" s="426"/>
      <c r="BF1303" s="315"/>
      <c r="BG1303" s="42"/>
    </row>
    <row r="1304" spans="50:59" x14ac:dyDescent="0.2">
      <c r="AX1304" s="315"/>
      <c r="AY1304" s="326"/>
      <c r="AZ1304" s="175"/>
      <c r="BA1304" s="42"/>
      <c r="BB1304" s="426"/>
      <c r="BF1304" s="315"/>
      <c r="BG1304" s="42"/>
    </row>
    <row r="1305" spans="50:59" x14ac:dyDescent="0.2">
      <c r="AX1305" s="315"/>
      <c r="AY1305" s="326"/>
      <c r="AZ1305" s="175"/>
      <c r="BA1305" s="42"/>
      <c r="BB1305" s="426"/>
      <c r="BF1305" s="315"/>
      <c r="BG1305" s="42"/>
    </row>
    <row r="1306" spans="50:59" x14ac:dyDescent="0.2">
      <c r="AX1306" s="315"/>
      <c r="AY1306" s="326"/>
      <c r="AZ1306" s="175"/>
      <c r="BA1306" s="42"/>
      <c r="BB1306" s="426"/>
      <c r="BF1306" s="315"/>
      <c r="BG1306" s="42"/>
    </row>
    <row r="1307" spans="50:59" x14ac:dyDescent="0.2">
      <c r="AX1307" s="315"/>
      <c r="AY1307" s="326"/>
      <c r="AZ1307" s="175"/>
      <c r="BA1307" s="42"/>
      <c r="BB1307" s="426"/>
      <c r="BF1307" s="315"/>
      <c r="BG1307" s="42"/>
    </row>
    <row r="1308" spans="50:59" x14ac:dyDescent="0.2">
      <c r="AX1308" s="315"/>
      <c r="AY1308" s="326"/>
      <c r="AZ1308" s="175"/>
      <c r="BA1308" s="42"/>
      <c r="BB1308" s="426"/>
      <c r="BF1308" s="315"/>
      <c r="BG1308" s="42"/>
    </row>
    <row r="1309" spans="50:59" x14ac:dyDescent="0.2">
      <c r="AX1309" s="315"/>
      <c r="AY1309" s="326"/>
      <c r="AZ1309" s="175"/>
      <c r="BA1309" s="42"/>
      <c r="BB1309" s="426"/>
      <c r="BF1309" s="315"/>
      <c r="BG1309" s="42"/>
    </row>
    <row r="1310" spans="50:59" x14ac:dyDescent="0.2">
      <c r="AX1310" s="315"/>
      <c r="AY1310" s="326"/>
      <c r="AZ1310" s="175"/>
      <c r="BA1310" s="42"/>
      <c r="BB1310" s="426"/>
      <c r="BF1310" s="315"/>
      <c r="BG1310" s="42"/>
    </row>
    <row r="1311" spans="50:59" x14ac:dyDescent="0.2">
      <c r="AX1311" s="315"/>
      <c r="AY1311" s="326"/>
      <c r="AZ1311" s="175"/>
      <c r="BA1311" s="42"/>
      <c r="BB1311" s="426"/>
      <c r="BF1311" s="315"/>
      <c r="BG1311" s="42"/>
    </row>
    <row r="1312" spans="50:59" x14ac:dyDescent="0.2">
      <c r="AX1312" s="315"/>
      <c r="AY1312" s="326"/>
      <c r="AZ1312" s="175"/>
      <c r="BA1312" s="42"/>
      <c r="BB1312" s="426"/>
      <c r="BF1312" s="315"/>
      <c r="BG1312" s="42"/>
    </row>
    <row r="1313" spans="50:59" x14ac:dyDescent="0.2">
      <c r="AX1313" s="315"/>
      <c r="AY1313" s="326"/>
      <c r="AZ1313" s="175"/>
      <c r="BA1313" s="42"/>
      <c r="BB1313" s="426"/>
      <c r="BF1313" s="315"/>
      <c r="BG1313" s="42"/>
    </row>
    <row r="1314" spans="50:59" x14ac:dyDescent="0.2">
      <c r="AX1314" s="315"/>
      <c r="AY1314" s="326"/>
      <c r="AZ1314" s="175"/>
      <c r="BA1314" s="42"/>
      <c r="BB1314" s="426"/>
      <c r="BF1314" s="315"/>
      <c r="BG1314" s="42"/>
    </row>
    <row r="1315" spans="50:59" x14ac:dyDescent="0.2">
      <c r="AX1315" s="315"/>
      <c r="AY1315" s="326"/>
      <c r="AZ1315" s="175"/>
      <c r="BA1315" s="42"/>
      <c r="BB1315" s="426"/>
      <c r="BF1315" s="315"/>
      <c r="BG1315" s="42"/>
    </row>
    <row r="1316" spans="50:59" x14ac:dyDescent="0.2">
      <c r="AX1316" s="315"/>
      <c r="AY1316" s="326"/>
      <c r="AZ1316" s="175"/>
      <c r="BA1316" s="42"/>
      <c r="BB1316" s="426"/>
      <c r="BF1316" s="315"/>
      <c r="BG1316" s="42"/>
    </row>
    <row r="1317" spans="50:59" x14ac:dyDescent="0.2">
      <c r="AX1317" s="315"/>
      <c r="AY1317" s="326"/>
      <c r="AZ1317" s="175"/>
      <c r="BA1317" s="42"/>
      <c r="BB1317" s="426"/>
      <c r="BF1317" s="315"/>
      <c r="BG1317" s="42"/>
    </row>
    <row r="1318" spans="50:59" x14ac:dyDescent="0.2">
      <c r="AX1318" s="315"/>
      <c r="AY1318" s="326"/>
      <c r="AZ1318" s="175"/>
      <c r="BA1318" s="42"/>
      <c r="BB1318" s="426"/>
      <c r="BF1318" s="315"/>
      <c r="BG1318" s="42"/>
    </row>
    <row r="1319" spans="50:59" x14ac:dyDescent="0.2">
      <c r="AX1319" s="315"/>
      <c r="AY1319" s="326"/>
      <c r="AZ1319" s="175"/>
      <c r="BA1319" s="42"/>
      <c r="BB1319" s="426"/>
      <c r="BF1319" s="315"/>
      <c r="BG1319" s="42"/>
    </row>
    <row r="1320" spans="50:59" x14ac:dyDescent="0.2">
      <c r="AX1320" s="315"/>
      <c r="AY1320" s="326"/>
      <c r="AZ1320" s="175"/>
      <c r="BA1320" s="42"/>
      <c r="BB1320" s="426"/>
      <c r="BF1320" s="315"/>
      <c r="BG1320" s="42"/>
    </row>
    <row r="1321" spans="50:59" x14ac:dyDescent="0.2">
      <c r="AX1321" s="315"/>
      <c r="AY1321" s="326"/>
      <c r="AZ1321" s="175"/>
      <c r="BA1321" s="42"/>
      <c r="BB1321" s="426"/>
      <c r="BF1321" s="315"/>
      <c r="BG1321" s="42"/>
    </row>
    <row r="1322" spans="50:59" x14ac:dyDescent="0.2">
      <c r="AX1322" s="315"/>
      <c r="AY1322" s="326"/>
      <c r="AZ1322" s="175"/>
      <c r="BA1322" s="42"/>
      <c r="BB1322" s="426"/>
      <c r="BF1322" s="315"/>
      <c r="BG1322" s="42"/>
    </row>
    <row r="1323" spans="50:59" x14ac:dyDescent="0.2">
      <c r="AX1323" s="315"/>
      <c r="AY1323" s="326"/>
      <c r="AZ1323" s="175"/>
      <c r="BA1323" s="42"/>
      <c r="BB1323" s="426"/>
      <c r="BF1323" s="315"/>
      <c r="BG1323" s="42"/>
    </row>
    <row r="1324" spans="50:59" x14ac:dyDescent="0.2">
      <c r="AX1324" s="315"/>
      <c r="AY1324" s="326"/>
      <c r="AZ1324" s="175"/>
      <c r="BA1324" s="42"/>
      <c r="BB1324" s="426"/>
      <c r="BF1324" s="315"/>
      <c r="BG1324" s="42"/>
    </row>
    <row r="1325" spans="50:59" x14ac:dyDescent="0.2">
      <c r="AX1325" s="315"/>
      <c r="AY1325" s="326"/>
      <c r="AZ1325" s="175"/>
      <c r="BA1325" s="42"/>
      <c r="BB1325" s="426"/>
      <c r="BF1325" s="315"/>
      <c r="BG1325" s="42"/>
    </row>
    <row r="1326" spans="50:59" x14ac:dyDescent="0.2">
      <c r="AX1326" s="315"/>
      <c r="AY1326" s="326"/>
      <c r="AZ1326" s="175"/>
      <c r="BA1326" s="42"/>
      <c r="BB1326" s="426"/>
      <c r="BF1326" s="315"/>
      <c r="BG1326" s="42"/>
    </row>
    <row r="1327" spans="50:59" x14ac:dyDescent="0.2">
      <c r="AX1327" s="315"/>
      <c r="AY1327" s="326"/>
      <c r="AZ1327" s="175"/>
      <c r="BA1327" s="42"/>
      <c r="BB1327" s="426"/>
      <c r="BF1327" s="315"/>
      <c r="BG1327" s="42"/>
    </row>
    <row r="1328" spans="50:59" x14ac:dyDescent="0.2">
      <c r="AX1328" s="315"/>
      <c r="AY1328" s="326"/>
      <c r="AZ1328" s="175"/>
      <c r="BA1328" s="42"/>
      <c r="BB1328" s="426"/>
      <c r="BF1328" s="315"/>
      <c r="BG1328" s="42"/>
    </row>
    <row r="1329" spans="50:59" x14ac:dyDescent="0.2">
      <c r="AX1329" s="315"/>
      <c r="AY1329" s="326"/>
      <c r="AZ1329" s="175"/>
      <c r="BA1329" s="42"/>
      <c r="BB1329" s="426"/>
      <c r="BF1329" s="315"/>
      <c r="BG1329" s="42"/>
    </row>
    <row r="1330" spans="50:59" x14ac:dyDescent="0.2">
      <c r="AX1330" s="315"/>
      <c r="AY1330" s="326"/>
      <c r="AZ1330" s="175"/>
      <c r="BA1330" s="42"/>
      <c r="BB1330" s="426"/>
      <c r="BF1330" s="315"/>
      <c r="BG1330" s="42"/>
    </row>
    <row r="1331" spans="50:59" x14ac:dyDescent="0.2">
      <c r="AX1331" s="315"/>
      <c r="AY1331" s="326"/>
      <c r="AZ1331" s="175"/>
      <c r="BA1331" s="42"/>
      <c r="BB1331" s="426"/>
      <c r="BF1331" s="315"/>
      <c r="BG1331" s="42"/>
    </row>
    <row r="1332" spans="50:59" x14ac:dyDescent="0.2">
      <c r="AX1332" s="315"/>
      <c r="AY1332" s="326"/>
      <c r="AZ1332" s="175"/>
      <c r="BA1332" s="42"/>
      <c r="BB1332" s="426"/>
      <c r="BF1332" s="315"/>
      <c r="BG1332" s="42"/>
    </row>
    <row r="1333" spans="50:59" x14ac:dyDescent="0.2">
      <c r="AX1333" s="315"/>
      <c r="AY1333" s="326"/>
      <c r="AZ1333" s="175"/>
      <c r="BA1333" s="42"/>
      <c r="BB1333" s="426"/>
      <c r="BF1333" s="315"/>
      <c r="BG1333" s="42"/>
    </row>
    <row r="1334" spans="50:59" x14ac:dyDescent="0.2">
      <c r="AX1334" s="315"/>
      <c r="AY1334" s="326"/>
      <c r="AZ1334" s="175"/>
      <c r="BA1334" s="42"/>
      <c r="BB1334" s="426"/>
      <c r="BF1334" s="315"/>
      <c r="BG1334" s="42"/>
    </row>
    <row r="1335" spans="50:59" x14ac:dyDescent="0.2">
      <c r="AX1335" s="315"/>
      <c r="AY1335" s="326"/>
      <c r="AZ1335" s="175"/>
      <c r="BA1335" s="42"/>
      <c r="BB1335" s="426"/>
      <c r="BF1335" s="315"/>
      <c r="BG1335" s="42"/>
    </row>
    <row r="1336" spans="50:59" x14ac:dyDescent="0.2">
      <c r="AX1336" s="315"/>
      <c r="AY1336" s="326"/>
      <c r="AZ1336" s="175"/>
      <c r="BA1336" s="42"/>
      <c r="BB1336" s="426"/>
      <c r="BF1336" s="315"/>
      <c r="BG1336" s="42"/>
    </row>
    <row r="1337" spans="50:59" x14ac:dyDescent="0.2">
      <c r="AX1337" s="315"/>
      <c r="AY1337" s="326"/>
      <c r="AZ1337" s="175"/>
      <c r="BA1337" s="42"/>
      <c r="BB1337" s="426"/>
      <c r="BF1337" s="315"/>
      <c r="BG1337" s="42"/>
    </row>
    <row r="1338" spans="50:59" x14ac:dyDescent="0.2">
      <c r="AX1338" s="315"/>
      <c r="AY1338" s="326"/>
      <c r="AZ1338" s="175"/>
      <c r="BA1338" s="42"/>
      <c r="BB1338" s="426"/>
      <c r="BF1338" s="315"/>
      <c r="BG1338" s="42"/>
    </row>
    <row r="1339" spans="50:59" x14ac:dyDescent="0.2">
      <c r="AX1339" s="315"/>
      <c r="AY1339" s="326"/>
      <c r="AZ1339" s="175"/>
      <c r="BA1339" s="42"/>
      <c r="BB1339" s="426"/>
      <c r="BF1339" s="315"/>
      <c r="BG1339" s="42"/>
    </row>
    <row r="1340" spans="50:59" x14ac:dyDescent="0.2">
      <c r="AX1340" s="315"/>
      <c r="AY1340" s="326"/>
      <c r="AZ1340" s="175"/>
      <c r="BA1340" s="42"/>
      <c r="BB1340" s="426"/>
      <c r="BF1340" s="315"/>
      <c r="BG1340" s="42"/>
    </row>
    <row r="1341" spans="50:59" x14ac:dyDescent="0.2">
      <c r="AX1341" s="315"/>
      <c r="AY1341" s="326"/>
      <c r="AZ1341" s="175"/>
      <c r="BA1341" s="42"/>
      <c r="BB1341" s="426"/>
      <c r="BF1341" s="315"/>
      <c r="BG1341" s="42"/>
    </row>
    <row r="1342" spans="50:59" x14ac:dyDescent="0.2">
      <c r="AX1342" s="315"/>
      <c r="AY1342" s="326"/>
      <c r="AZ1342" s="175"/>
      <c r="BA1342" s="42"/>
      <c r="BB1342" s="426"/>
      <c r="BF1342" s="315"/>
      <c r="BG1342" s="42"/>
    </row>
    <row r="1343" spans="50:59" x14ac:dyDescent="0.2">
      <c r="AX1343" s="315"/>
      <c r="AY1343" s="326"/>
      <c r="AZ1343" s="175"/>
      <c r="BA1343" s="42"/>
      <c r="BB1343" s="426"/>
      <c r="BF1343" s="315"/>
      <c r="BG1343" s="42"/>
    </row>
    <row r="1344" spans="50:59" x14ac:dyDescent="0.2">
      <c r="AX1344" s="315"/>
      <c r="AY1344" s="326"/>
      <c r="AZ1344" s="175"/>
      <c r="BA1344" s="42"/>
      <c r="BB1344" s="426"/>
      <c r="BF1344" s="315"/>
      <c r="BG1344" s="42"/>
    </row>
    <row r="1345" spans="50:59" x14ac:dyDescent="0.2">
      <c r="AX1345" s="315"/>
      <c r="AY1345" s="326"/>
      <c r="AZ1345" s="175"/>
      <c r="BA1345" s="42"/>
      <c r="BB1345" s="426"/>
      <c r="BF1345" s="315"/>
      <c r="BG1345" s="42"/>
    </row>
    <row r="1346" spans="50:59" x14ac:dyDescent="0.2">
      <c r="AX1346" s="315"/>
      <c r="AY1346" s="326"/>
      <c r="AZ1346" s="175"/>
      <c r="BA1346" s="42"/>
      <c r="BB1346" s="426"/>
      <c r="BF1346" s="315"/>
      <c r="BG1346" s="42"/>
    </row>
    <row r="1347" spans="50:59" x14ac:dyDescent="0.2">
      <c r="AX1347" s="315"/>
      <c r="AY1347" s="326"/>
      <c r="AZ1347" s="175"/>
      <c r="BA1347" s="42"/>
      <c r="BB1347" s="426"/>
      <c r="BF1347" s="315"/>
      <c r="BG1347" s="42"/>
    </row>
    <row r="1348" spans="50:59" x14ac:dyDescent="0.2">
      <c r="AX1348" s="315"/>
      <c r="AY1348" s="326"/>
      <c r="AZ1348" s="175"/>
      <c r="BA1348" s="42"/>
      <c r="BB1348" s="426"/>
      <c r="BF1348" s="315"/>
      <c r="BG1348" s="42"/>
    </row>
    <row r="1349" spans="50:59" x14ac:dyDescent="0.2">
      <c r="AX1349" s="315"/>
      <c r="AY1349" s="326"/>
      <c r="AZ1349" s="175"/>
      <c r="BA1349" s="42"/>
      <c r="BB1349" s="426"/>
      <c r="BF1349" s="315"/>
      <c r="BG1349" s="42"/>
    </row>
    <row r="1350" spans="50:59" x14ac:dyDescent="0.2">
      <c r="AX1350" s="315"/>
      <c r="AY1350" s="326"/>
      <c r="AZ1350" s="175"/>
      <c r="BA1350" s="42"/>
      <c r="BB1350" s="426"/>
      <c r="BF1350" s="315"/>
      <c r="BG1350" s="42"/>
    </row>
    <row r="1351" spans="50:59" x14ac:dyDescent="0.2">
      <c r="AX1351" s="315"/>
      <c r="AY1351" s="326"/>
      <c r="AZ1351" s="175"/>
      <c r="BA1351" s="42"/>
      <c r="BB1351" s="426"/>
      <c r="BF1351" s="315"/>
      <c r="BG1351" s="42"/>
    </row>
    <row r="1352" spans="50:59" x14ac:dyDescent="0.2">
      <c r="AX1352" s="315"/>
      <c r="AY1352" s="326"/>
      <c r="AZ1352" s="175"/>
      <c r="BA1352" s="42"/>
      <c r="BB1352" s="426"/>
      <c r="BF1352" s="315"/>
      <c r="BG1352" s="42"/>
    </row>
    <row r="1353" spans="50:59" x14ac:dyDescent="0.2">
      <c r="AX1353" s="315"/>
      <c r="AY1353" s="326"/>
      <c r="AZ1353" s="175"/>
      <c r="BA1353" s="42"/>
      <c r="BB1353" s="426"/>
      <c r="BF1353" s="315"/>
      <c r="BG1353" s="42"/>
    </row>
    <row r="1354" spans="50:59" x14ac:dyDescent="0.2">
      <c r="AX1354" s="315"/>
      <c r="AY1354" s="326"/>
      <c r="AZ1354" s="175"/>
      <c r="BA1354" s="42"/>
      <c r="BB1354" s="426"/>
      <c r="BF1354" s="315"/>
      <c r="BG1354" s="42"/>
    </row>
    <row r="1355" spans="50:59" x14ac:dyDescent="0.2">
      <c r="AX1355" s="315"/>
      <c r="AY1355" s="326"/>
      <c r="AZ1355" s="175"/>
      <c r="BA1355" s="42"/>
      <c r="BB1355" s="426"/>
      <c r="BF1355" s="315"/>
      <c r="BG1355" s="42"/>
    </row>
    <row r="1356" spans="50:59" x14ac:dyDescent="0.2">
      <c r="AX1356" s="315"/>
      <c r="AY1356" s="326"/>
      <c r="AZ1356" s="175"/>
      <c r="BA1356" s="42"/>
      <c r="BB1356" s="426"/>
      <c r="BF1356" s="315"/>
      <c r="BG1356" s="42"/>
    </row>
    <row r="1357" spans="50:59" x14ac:dyDescent="0.2">
      <c r="AX1357" s="315"/>
      <c r="AY1357" s="326"/>
      <c r="AZ1357" s="175"/>
      <c r="BA1357" s="42"/>
      <c r="BB1357" s="426"/>
      <c r="BF1357" s="315"/>
      <c r="BG1357" s="42"/>
    </row>
    <row r="1358" spans="50:59" x14ac:dyDescent="0.2">
      <c r="AX1358" s="315"/>
      <c r="AY1358" s="326"/>
      <c r="AZ1358" s="175"/>
      <c r="BA1358" s="42"/>
      <c r="BB1358" s="426"/>
      <c r="BF1358" s="315"/>
      <c r="BG1358" s="42"/>
    </row>
    <row r="1359" spans="50:59" x14ac:dyDescent="0.2">
      <c r="AX1359" s="315"/>
      <c r="AY1359" s="326"/>
      <c r="AZ1359" s="175"/>
      <c r="BA1359" s="42"/>
      <c r="BB1359" s="426"/>
      <c r="BF1359" s="315"/>
      <c r="BG1359" s="42"/>
    </row>
    <row r="1360" spans="50:59" x14ac:dyDescent="0.2">
      <c r="AX1360" s="315"/>
      <c r="AY1360" s="326"/>
      <c r="AZ1360" s="175"/>
      <c r="BA1360" s="42"/>
      <c r="BB1360" s="426"/>
      <c r="BF1360" s="315"/>
      <c r="BG1360" s="42"/>
    </row>
    <row r="1361" spans="50:59" x14ac:dyDescent="0.2">
      <c r="AX1361" s="315"/>
      <c r="AY1361" s="326"/>
      <c r="AZ1361" s="175"/>
      <c r="BA1361" s="42"/>
      <c r="BB1361" s="426"/>
      <c r="BF1361" s="315"/>
      <c r="BG1361" s="42"/>
    </row>
    <row r="1362" spans="50:59" x14ac:dyDescent="0.2">
      <c r="AX1362" s="315"/>
      <c r="AY1362" s="326"/>
      <c r="AZ1362" s="175"/>
      <c r="BA1362" s="42"/>
      <c r="BB1362" s="426"/>
      <c r="BF1362" s="315"/>
      <c r="BG1362" s="42"/>
    </row>
    <row r="1363" spans="50:59" x14ac:dyDescent="0.2">
      <c r="AX1363" s="315"/>
      <c r="AY1363" s="326"/>
      <c r="AZ1363" s="175"/>
      <c r="BA1363" s="42"/>
      <c r="BB1363" s="426"/>
      <c r="BF1363" s="315"/>
      <c r="BG1363" s="42"/>
    </row>
    <row r="1364" spans="50:59" x14ac:dyDescent="0.2">
      <c r="AX1364" s="315"/>
      <c r="AY1364" s="326"/>
      <c r="AZ1364" s="175"/>
      <c r="BA1364" s="42"/>
      <c r="BB1364" s="426"/>
      <c r="BF1364" s="315"/>
      <c r="BG1364" s="42"/>
    </row>
    <row r="1365" spans="50:59" x14ac:dyDescent="0.2">
      <c r="AX1365" s="315"/>
      <c r="AY1365" s="326"/>
      <c r="AZ1365" s="175"/>
      <c r="BA1365" s="42"/>
      <c r="BB1365" s="426"/>
      <c r="BF1365" s="315"/>
      <c r="BG1365" s="42"/>
    </row>
    <row r="1366" spans="50:59" x14ac:dyDescent="0.2">
      <c r="AX1366" s="315"/>
      <c r="AY1366" s="326"/>
      <c r="AZ1366" s="175"/>
      <c r="BA1366" s="42"/>
      <c r="BB1366" s="426"/>
      <c r="BF1366" s="315"/>
      <c r="BG1366" s="42"/>
    </row>
    <row r="1367" spans="50:59" x14ac:dyDescent="0.2">
      <c r="AX1367" s="315"/>
      <c r="AY1367" s="326"/>
      <c r="AZ1367" s="175"/>
      <c r="BA1367" s="42"/>
      <c r="BB1367" s="426"/>
      <c r="BF1367" s="315"/>
      <c r="BG1367" s="42"/>
    </row>
    <row r="1368" spans="50:59" x14ac:dyDescent="0.2">
      <c r="AX1368" s="315"/>
      <c r="AY1368" s="326"/>
      <c r="AZ1368" s="175"/>
      <c r="BA1368" s="42"/>
      <c r="BB1368" s="426"/>
      <c r="BF1368" s="315"/>
      <c r="BG1368" s="42"/>
    </row>
    <row r="1369" spans="50:59" x14ac:dyDescent="0.2">
      <c r="AX1369" s="315"/>
      <c r="AY1369" s="326"/>
      <c r="AZ1369" s="175"/>
      <c r="BA1369" s="42"/>
      <c r="BB1369" s="426"/>
      <c r="BF1369" s="315"/>
      <c r="BG1369" s="42"/>
    </row>
    <row r="1370" spans="50:59" x14ac:dyDescent="0.2">
      <c r="AX1370" s="315"/>
      <c r="AY1370" s="326"/>
      <c r="AZ1370" s="175"/>
      <c r="BA1370" s="42"/>
      <c r="BB1370" s="426"/>
      <c r="BF1370" s="315"/>
      <c r="BG1370" s="42"/>
    </row>
    <row r="1371" spans="50:59" x14ac:dyDescent="0.2">
      <c r="AX1371" s="315"/>
      <c r="AY1371" s="326"/>
      <c r="AZ1371" s="175"/>
      <c r="BA1371" s="42"/>
      <c r="BB1371" s="426"/>
      <c r="BF1371" s="315"/>
      <c r="BG1371" s="42"/>
    </row>
    <row r="1372" spans="50:59" x14ac:dyDescent="0.2">
      <c r="AX1372" s="315"/>
      <c r="AY1372" s="326"/>
      <c r="AZ1372" s="175"/>
      <c r="BA1372" s="42"/>
      <c r="BB1372" s="426"/>
      <c r="BF1372" s="315"/>
      <c r="BG1372" s="42"/>
    </row>
    <row r="1373" spans="50:59" x14ac:dyDescent="0.2">
      <c r="AX1373" s="315"/>
      <c r="AY1373" s="326"/>
      <c r="AZ1373" s="175"/>
      <c r="BA1373" s="42"/>
      <c r="BB1373" s="426"/>
      <c r="BF1373" s="315"/>
      <c r="BG1373" s="42"/>
    </row>
    <row r="1374" spans="50:59" x14ac:dyDescent="0.2">
      <c r="AX1374" s="315"/>
      <c r="AY1374" s="326"/>
      <c r="AZ1374" s="175"/>
      <c r="BA1374" s="42"/>
      <c r="BB1374" s="426"/>
      <c r="BF1374" s="315"/>
      <c r="BG1374" s="42"/>
    </row>
    <row r="1375" spans="50:59" x14ac:dyDescent="0.2">
      <c r="AX1375" s="315"/>
      <c r="AY1375" s="326"/>
      <c r="AZ1375" s="175"/>
      <c r="BA1375" s="42"/>
      <c r="BB1375" s="426"/>
      <c r="BF1375" s="315"/>
      <c r="BG1375" s="42"/>
    </row>
    <row r="1376" spans="50:59" x14ac:dyDescent="0.2">
      <c r="AX1376" s="315"/>
      <c r="AY1376" s="326"/>
      <c r="AZ1376" s="175"/>
      <c r="BA1376" s="42"/>
      <c r="BB1376" s="426"/>
      <c r="BF1376" s="315"/>
      <c r="BG1376" s="42"/>
    </row>
    <row r="1377" spans="50:59" x14ac:dyDescent="0.2">
      <c r="AX1377" s="315"/>
      <c r="AY1377" s="326"/>
      <c r="AZ1377" s="175"/>
      <c r="BA1377" s="42"/>
      <c r="BB1377" s="426"/>
      <c r="BF1377" s="315"/>
      <c r="BG1377" s="42"/>
    </row>
    <row r="1378" spans="50:59" x14ac:dyDescent="0.2">
      <c r="AX1378" s="315"/>
      <c r="AY1378" s="326"/>
      <c r="AZ1378" s="175"/>
      <c r="BA1378" s="42"/>
      <c r="BB1378" s="426"/>
      <c r="BF1378" s="315"/>
      <c r="BG1378" s="42"/>
    </row>
    <row r="1379" spans="50:59" x14ac:dyDescent="0.2">
      <c r="AX1379" s="315"/>
      <c r="AY1379" s="326"/>
      <c r="AZ1379" s="175"/>
      <c r="BA1379" s="42"/>
      <c r="BB1379" s="426"/>
      <c r="BF1379" s="315"/>
      <c r="BG1379" s="42"/>
    </row>
    <row r="1380" spans="50:59" x14ac:dyDescent="0.2">
      <c r="AX1380" s="315"/>
      <c r="AY1380" s="326"/>
      <c r="AZ1380" s="175"/>
      <c r="BA1380" s="42"/>
      <c r="BB1380" s="426"/>
      <c r="BF1380" s="315"/>
      <c r="BG1380" s="42"/>
    </row>
    <row r="1381" spans="50:59" x14ac:dyDescent="0.2">
      <c r="AX1381" s="315"/>
      <c r="AY1381" s="326"/>
      <c r="AZ1381" s="175"/>
      <c r="BA1381" s="42"/>
      <c r="BB1381" s="426"/>
      <c r="BF1381" s="315"/>
      <c r="BG1381" s="42"/>
    </row>
    <row r="1382" spans="50:59" x14ac:dyDescent="0.2">
      <c r="AX1382" s="315"/>
      <c r="AY1382" s="326"/>
      <c r="AZ1382" s="175"/>
      <c r="BA1382" s="42"/>
      <c r="BB1382" s="426"/>
      <c r="BF1382" s="315"/>
      <c r="BG1382" s="42"/>
    </row>
    <row r="1383" spans="50:59" x14ac:dyDescent="0.2">
      <c r="AX1383" s="315"/>
      <c r="AY1383" s="326"/>
      <c r="AZ1383" s="175"/>
      <c r="BA1383" s="42"/>
      <c r="BB1383" s="426"/>
      <c r="BF1383" s="315"/>
      <c r="BG1383" s="42"/>
    </row>
    <row r="1384" spans="50:59" x14ac:dyDescent="0.2">
      <c r="AX1384" s="315"/>
      <c r="AY1384" s="326"/>
      <c r="AZ1384" s="175"/>
      <c r="BA1384" s="42"/>
      <c r="BB1384" s="426"/>
      <c r="BF1384" s="315"/>
      <c r="BG1384" s="42"/>
    </row>
    <row r="1385" spans="50:59" x14ac:dyDescent="0.2">
      <c r="AX1385" s="315"/>
      <c r="AY1385" s="326"/>
      <c r="AZ1385" s="175"/>
      <c r="BA1385" s="42"/>
      <c r="BB1385" s="426"/>
      <c r="BF1385" s="315"/>
      <c r="BG1385" s="42"/>
    </row>
    <row r="1386" spans="50:59" x14ac:dyDescent="0.2">
      <c r="AX1386" s="315"/>
      <c r="AY1386" s="326"/>
      <c r="AZ1386" s="175"/>
      <c r="BA1386" s="42"/>
      <c r="BB1386" s="426"/>
      <c r="BF1386" s="315"/>
      <c r="BG1386" s="42"/>
    </row>
    <row r="1387" spans="50:59" x14ac:dyDescent="0.2">
      <c r="AX1387" s="315"/>
      <c r="AY1387" s="326"/>
      <c r="AZ1387" s="175"/>
      <c r="BA1387" s="42"/>
      <c r="BB1387" s="426"/>
      <c r="BF1387" s="315"/>
      <c r="BG1387" s="42"/>
    </row>
    <row r="1388" spans="50:59" x14ac:dyDescent="0.2">
      <c r="AX1388" s="315"/>
      <c r="AY1388" s="326"/>
      <c r="AZ1388" s="175"/>
      <c r="BA1388" s="42"/>
      <c r="BB1388" s="426"/>
      <c r="BF1388" s="315"/>
      <c r="BG1388" s="42"/>
    </row>
    <row r="1389" spans="50:59" x14ac:dyDescent="0.2">
      <c r="AX1389" s="315"/>
      <c r="AY1389" s="326"/>
      <c r="AZ1389" s="175"/>
      <c r="BA1389" s="42"/>
      <c r="BB1389" s="426"/>
      <c r="BF1389" s="315"/>
      <c r="BG1389" s="42"/>
    </row>
    <row r="1390" spans="50:59" x14ac:dyDescent="0.2">
      <c r="AX1390" s="315"/>
      <c r="AY1390" s="326"/>
      <c r="AZ1390" s="175"/>
      <c r="BA1390" s="42"/>
      <c r="BB1390" s="426"/>
      <c r="BF1390" s="315"/>
      <c r="BG1390" s="42"/>
    </row>
    <row r="1391" spans="50:59" x14ac:dyDescent="0.2">
      <c r="AX1391" s="315"/>
      <c r="AY1391" s="326"/>
      <c r="AZ1391" s="175"/>
      <c r="BA1391" s="42"/>
      <c r="BB1391" s="426"/>
      <c r="BF1391" s="315"/>
      <c r="BG1391" s="42"/>
    </row>
    <row r="1392" spans="50:59" x14ac:dyDescent="0.2">
      <c r="AX1392" s="315"/>
      <c r="AY1392" s="326"/>
      <c r="AZ1392" s="175"/>
      <c r="BA1392" s="42"/>
      <c r="BB1392" s="426"/>
      <c r="BF1392" s="315"/>
      <c r="BG1392" s="42"/>
    </row>
    <row r="1393" spans="50:59" x14ac:dyDescent="0.2">
      <c r="AX1393" s="315"/>
      <c r="AY1393" s="326"/>
      <c r="AZ1393" s="175"/>
      <c r="BA1393" s="42"/>
      <c r="BB1393" s="426"/>
      <c r="BF1393" s="315"/>
      <c r="BG1393" s="42"/>
    </row>
    <row r="1394" spans="50:59" x14ac:dyDescent="0.2">
      <c r="AX1394" s="315"/>
      <c r="AY1394" s="326"/>
      <c r="AZ1394" s="175"/>
      <c r="BA1394" s="42"/>
      <c r="BB1394" s="426"/>
      <c r="BF1394" s="315"/>
      <c r="BG1394" s="42"/>
    </row>
    <row r="1395" spans="50:59" x14ac:dyDescent="0.2">
      <c r="AX1395" s="315"/>
      <c r="AY1395" s="326"/>
      <c r="AZ1395" s="175"/>
      <c r="BA1395" s="42"/>
      <c r="BB1395" s="426"/>
      <c r="BF1395" s="315"/>
      <c r="BG1395" s="42"/>
    </row>
    <row r="1396" spans="50:59" x14ac:dyDescent="0.2">
      <c r="AX1396" s="315"/>
      <c r="AY1396" s="326"/>
      <c r="AZ1396" s="175"/>
      <c r="BA1396" s="42"/>
      <c r="BB1396" s="426"/>
      <c r="BF1396" s="315"/>
      <c r="BG1396" s="42"/>
    </row>
    <row r="1397" spans="50:59" x14ac:dyDescent="0.2">
      <c r="AX1397" s="315"/>
      <c r="AY1397" s="326"/>
      <c r="AZ1397" s="175"/>
      <c r="BA1397" s="42"/>
      <c r="BB1397" s="426"/>
      <c r="BF1397" s="315"/>
      <c r="BG1397" s="42"/>
    </row>
    <row r="1398" spans="50:59" x14ac:dyDescent="0.2">
      <c r="AX1398" s="315"/>
      <c r="AY1398" s="326"/>
      <c r="AZ1398" s="175"/>
      <c r="BA1398" s="42"/>
      <c r="BB1398" s="426"/>
      <c r="BF1398" s="315"/>
      <c r="BG1398" s="42"/>
    </row>
    <row r="1399" spans="50:59" x14ac:dyDescent="0.2">
      <c r="AX1399" s="315"/>
      <c r="AY1399" s="326"/>
      <c r="AZ1399" s="175"/>
      <c r="BA1399" s="42"/>
      <c r="BB1399" s="426"/>
      <c r="BF1399" s="315"/>
      <c r="BG1399" s="42"/>
    </row>
    <row r="1400" spans="50:59" x14ac:dyDescent="0.2">
      <c r="AX1400" s="315"/>
      <c r="AY1400" s="326"/>
      <c r="AZ1400" s="175"/>
      <c r="BA1400" s="42"/>
      <c r="BB1400" s="426"/>
      <c r="BF1400" s="315"/>
      <c r="BG1400" s="42"/>
    </row>
    <row r="1401" spans="50:59" x14ac:dyDescent="0.2">
      <c r="AX1401" s="315"/>
      <c r="AY1401" s="326"/>
      <c r="AZ1401" s="175"/>
      <c r="BA1401" s="42"/>
      <c r="BB1401" s="426"/>
      <c r="BF1401" s="315"/>
      <c r="BG1401" s="42"/>
    </row>
    <row r="1402" spans="50:59" x14ac:dyDescent="0.2">
      <c r="AX1402" s="315"/>
      <c r="AY1402" s="326"/>
      <c r="AZ1402" s="175"/>
      <c r="BA1402" s="42"/>
      <c r="BB1402" s="426"/>
      <c r="BF1402" s="315"/>
      <c r="BG1402" s="42"/>
    </row>
    <row r="1403" spans="50:59" x14ac:dyDescent="0.2">
      <c r="AX1403" s="315"/>
      <c r="AY1403" s="326"/>
      <c r="AZ1403" s="175"/>
      <c r="BA1403" s="42"/>
      <c r="BB1403" s="426"/>
      <c r="BF1403" s="315"/>
      <c r="BG1403" s="42"/>
    </row>
    <row r="1404" spans="50:59" x14ac:dyDescent="0.2">
      <c r="AX1404" s="315"/>
      <c r="AY1404" s="326"/>
      <c r="AZ1404" s="175"/>
      <c r="BA1404" s="42"/>
      <c r="BB1404" s="426"/>
      <c r="BF1404" s="315"/>
      <c r="BG1404" s="42"/>
    </row>
    <row r="1405" spans="50:59" x14ac:dyDescent="0.2">
      <c r="AX1405" s="315"/>
      <c r="AY1405" s="326"/>
      <c r="AZ1405" s="175"/>
      <c r="BA1405" s="42"/>
      <c r="BB1405" s="426"/>
      <c r="BF1405" s="315"/>
      <c r="BG1405" s="42"/>
    </row>
    <row r="1406" spans="50:59" x14ac:dyDescent="0.2">
      <c r="AX1406" s="315"/>
      <c r="AY1406" s="326"/>
      <c r="AZ1406" s="175"/>
      <c r="BA1406" s="42"/>
      <c r="BB1406" s="426"/>
      <c r="BF1406" s="315"/>
      <c r="BG1406" s="42"/>
    </row>
    <row r="1407" spans="50:59" x14ac:dyDescent="0.2">
      <c r="AX1407" s="315"/>
      <c r="AY1407" s="326"/>
      <c r="AZ1407" s="175"/>
      <c r="BA1407" s="42"/>
      <c r="BB1407" s="426"/>
      <c r="BF1407" s="315"/>
      <c r="BG1407" s="42"/>
    </row>
    <row r="1408" spans="50:59" x14ac:dyDescent="0.2">
      <c r="AX1408" s="315"/>
      <c r="AY1408" s="326"/>
      <c r="AZ1408" s="175"/>
      <c r="BA1408" s="42"/>
      <c r="BB1408" s="426"/>
      <c r="BF1408" s="315"/>
      <c r="BG1408" s="42"/>
    </row>
    <row r="1409" spans="50:59" x14ac:dyDescent="0.2">
      <c r="AX1409" s="315"/>
      <c r="AY1409" s="326"/>
      <c r="AZ1409" s="175"/>
      <c r="BA1409" s="42"/>
      <c r="BB1409" s="426"/>
      <c r="BF1409" s="315"/>
      <c r="BG1409" s="42"/>
    </row>
    <row r="1410" spans="50:59" x14ac:dyDescent="0.2">
      <c r="AX1410" s="315"/>
      <c r="AY1410" s="326"/>
      <c r="AZ1410" s="175"/>
      <c r="BA1410" s="42"/>
      <c r="BB1410" s="426"/>
      <c r="BF1410" s="315"/>
      <c r="BG1410" s="42"/>
    </row>
    <row r="1411" spans="50:59" x14ac:dyDescent="0.2">
      <c r="AX1411" s="315"/>
      <c r="AY1411" s="326"/>
      <c r="AZ1411" s="175"/>
      <c r="BA1411" s="42"/>
      <c r="BB1411" s="426"/>
      <c r="BF1411" s="315"/>
      <c r="BG1411" s="42"/>
    </row>
    <row r="1412" spans="50:59" x14ac:dyDescent="0.2">
      <c r="AX1412" s="315"/>
      <c r="AY1412" s="326"/>
      <c r="AZ1412" s="175"/>
      <c r="BA1412" s="42"/>
      <c r="BB1412" s="426"/>
      <c r="BF1412" s="315"/>
      <c r="BG1412" s="42"/>
    </row>
    <row r="1413" spans="50:59" x14ac:dyDescent="0.2">
      <c r="AX1413" s="315"/>
      <c r="AY1413" s="326"/>
      <c r="AZ1413" s="175"/>
      <c r="BA1413" s="42"/>
      <c r="BB1413" s="426"/>
      <c r="BF1413" s="315"/>
      <c r="BG1413" s="42"/>
    </row>
    <row r="1414" spans="50:59" x14ac:dyDescent="0.2">
      <c r="AX1414" s="315"/>
      <c r="AY1414" s="326"/>
      <c r="AZ1414" s="175"/>
      <c r="BA1414" s="42"/>
      <c r="BB1414" s="426"/>
      <c r="BF1414" s="315"/>
      <c r="BG1414" s="42"/>
    </row>
    <row r="1415" spans="50:59" x14ac:dyDescent="0.2">
      <c r="AX1415" s="315"/>
      <c r="AY1415" s="326"/>
      <c r="AZ1415" s="175"/>
      <c r="BA1415" s="42"/>
      <c r="BB1415" s="426"/>
      <c r="BF1415" s="315"/>
      <c r="BG1415" s="42"/>
    </row>
    <row r="1416" spans="50:59" x14ac:dyDescent="0.2">
      <c r="AX1416" s="315"/>
      <c r="AY1416" s="326"/>
      <c r="AZ1416" s="175"/>
      <c r="BA1416" s="42"/>
      <c r="BB1416" s="426"/>
      <c r="BF1416" s="315"/>
      <c r="BG1416" s="42"/>
    </row>
    <row r="1417" spans="50:59" x14ac:dyDescent="0.2">
      <c r="AX1417" s="315"/>
      <c r="AY1417" s="326"/>
      <c r="AZ1417" s="175"/>
      <c r="BA1417" s="42"/>
      <c r="BB1417" s="426"/>
      <c r="BF1417" s="315"/>
      <c r="BG1417" s="42"/>
    </row>
    <row r="1418" spans="50:59" x14ac:dyDescent="0.2">
      <c r="AX1418" s="315"/>
      <c r="AY1418" s="326"/>
      <c r="AZ1418" s="175"/>
      <c r="BA1418" s="42"/>
      <c r="BB1418" s="426"/>
      <c r="BF1418" s="315"/>
      <c r="BG1418" s="42"/>
    </row>
    <row r="1419" spans="50:59" x14ac:dyDescent="0.2">
      <c r="AX1419" s="315"/>
      <c r="AY1419" s="326"/>
      <c r="AZ1419" s="175"/>
      <c r="BA1419" s="42"/>
      <c r="BB1419" s="426"/>
      <c r="BF1419" s="315"/>
      <c r="BG1419" s="42"/>
    </row>
    <row r="1420" spans="50:59" x14ac:dyDescent="0.2">
      <c r="AX1420" s="315"/>
      <c r="AY1420" s="326"/>
      <c r="AZ1420" s="175"/>
      <c r="BA1420" s="42"/>
      <c r="BB1420" s="426"/>
      <c r="BF1420" s="315"/>
      <c r="BG1420" s="42"/>
    </row>
    <row r="1421" spans="50:59" x14ac:dyDescent="0.2">
      <c r="AX1421" s="315"/>
      <c r="AY1421" s="326"/>
      <c r="AZ1421" s="175"/>
      <c r="BA1421" s="42"/>
      <c r="BB1421" s="426"/>
      <c r="BF1421" s="315"/>
      <c r="BG1421" s="42"/>
    </row>
    <row r="1422" spans="50:59" x14ac:dyDescent="0.2">
      <c r="AX1422" s="315"/>
      <c r="AY1422" s="326"/>
      <c r="AZ1422" s="175"/>
      <c r="BA1422" s="42"/>
      <c r="BB1422" s="426"/>
      <c r="BF1422" s="315"/>
      <c r="BG1422" s="42"/>
    </row>
    <row r="1423" spans="50:59" x14ac:dyDescent="0.2">
      <c r="AX1423" s="315"/>
      <c r="AY1423" s="326"/>
      <c r="AZ1423" s="175"/>
      <c r="BA1423" s="42"/>
      <c r="BB1423" s="426"/>
      <c r="BF1423" s="315"/>
      <c r="BG1423" s="42"/>
    </row>
    <row r="1424" spans="50:59" x14ac:dyDescent="0.2">
      <c r="AX1424" s="315"/>
      <c r="AY1424" s="326"/>
      <c r="AZ1424" s="175"/>
      <c r="BA1424" s="42"/>
      <c r="BB1424" s="426"/>
      <c r="BF1424" s="315"/>
      <c r="BG1424" s="42"/>
    </row>
    <row r="1425" spans="50:59" x14ac:dyDescent="0.2">
      <c r="AX1425" s="315"/>
      <c r="AY1425" s="326"/>
      <c r="AZ1425" s="175"/>
      <c r="BA1425" s="42"/>
      <c r="BB1425" s="426"/>
      <c r="BF1425" s="315"/>
      <c r="BG1425" s="42"/>
    </row>
    <row r="1426" spans="50:59" x14ac:dyDescent="0.2">
      <c r="AX1426" s="315"/>
      <c r="AY1426" s="326"/>
      <c r="AZ1426" s="175"/>
      <c r="BA1426" s="42"/>
      <c r="BB1426" s="426"/>
      <c r="BF1426" s="315"/>
      <c r="BG1426" s="42"/>
    </row>
    <row r="1427" spans="50:59" x14ac:dyDescent="0.2">
      <c r="AX1427" s="315"/>
      <c r="AY1427" s="326"/>
      <c r="AZ1427" s="175"/>
      <c r="BA1427" s="42"/>
      <c r="BB1427" s="426"/>
      <c r="BF1427" s="315"/>
      <c r="BG1427" s="42"/>
    </row>
    <row r="1428" spans="50:59" x14ac:dyDescent="0.2">
      <c r="AX1428" s="315"/>
      <c r="AY1428" s="326"/>
      <c r="AZ1428" s="175"/>
      <c r="BA1428" s="42"/>
      <c r="BB1428" s="426"/>
      <c r="BF1428" s="315"/>
      <c r="BG1428" s="42"/>
    </row>
    <row r="1429" spans="50:59" x14ac:dyDescent="0.2">
      <c r="AX1429" s="315"/>
      <c r="AY1429" s="326"/>
      <c r="AZ1429" s="175"/>
      <c r="BA1429" s="42"/>
      <c r="BB1429" s="426"/>
      <c r="BF1429" s="315"/>
      <c r="BG1429" s="42"/>
    </row>
    <row r="1430" spans="50:59" x14ac:dyDescent="0.2">
      <c r="AX1430" s="315"/>
      <c r="AY1430" s="326"/>
      <c r="AZ1430" s="175"/>
      <c r="BA1430" s="42"/>
      <c r="BB1430" s="426"/>
      <c r="BF1430" s="315"/>
      <c r="BG1430" s="42"/>
    </row>
    <row r="1431" spans="50:59" x14ac:dyDescent="0.2">
      <c r="AX1431" s="315"/>
      <c r="AY1431" s="326"/>
      <c r="AZ1431" s="175"/>
      <c r="BA1431" s="42"/>
      <c r="BB1431" s="426"/>
      <c r="BF1431" s="315"/>
      <c r="BG1431" s="42"/>
    </row>
    <row r="1432" spans="50:59" x14ac:dyDescent="0.2">
      <c r="AX1432" s="315"/>
      <c r="AY1432" s="326"/>
      <c r="AZ1432" s="175"/>
      <c r="BA1432" s="42"/>
      <c r="BB1432" s="426"/>
      <c r="BF1432" s="315"/>
      <c r="BG1432" s="42"/>
    </row>
    <row r="1433" spans="50:59" x14ac:dyDescent="0.2">
      <c r="AX1433" s="315"/>
      <c r="AY1433" s="326"/>
      <c r="AZ1433" s="175"/>
      <c r="BA1433" s="42"/>
      <c r="BB1433" s="426"/>
      <c r="BF1433" s="315"/>
      <c r="BG1433" s="42"/>
    </row>
    <row r="1434" spans="50:59" x14ac:dyDescent="0.2">
      <c r="AX1434" s="315"/>
      <c r="AY1434" s="326"/>
      <c r="AZ1434" s="175"/>
      <c r="BA1434" s="42"/>
      <c r="BB1434" s="426"/>
      <c r="BF1434" s="315"/>
      <c r="BG1434" s="42"/>
    </row>
    <row r="1435" spans="50:59" x14ac:dyDescent="0.2">
      <c r="AX1435" s="315"/>
      <c r="AY1435" s="326"/>
      <c r="AZ1435" s="175"/>
      <c r="BA1435" s="42"/>
      <c r="BB1435" s="426"/>
      <c r="BF1435" s="315"/>
      <c r="BG1435" s="42"/>
    </row>
    <row r="1436" spans="50:59" x14ac:dyDescent="0.2">
      <c r="AX1436" s="315"/>
      <c r="AY1436" s="326"/>
      <c r="AZ1436" s="175"/>
      <c r="BA1436" s="42"/>
      <c r="BB1436" s="426"/>
      <c r="BF1436" s="315"/>
      <c r="BG1436" s="42"/>
    </row>
    <row r="1437" spans="50:59" x14ac:dyDescent="0.2">
      <c r="AX1437" s="315"/>
      <c r="AY1437" s="326"/>
      <c r="AZ1437" s="175"/>
      <c r="BA1437" s="42"/>
      <c r="BB1437" s="426"/>
      <c r="BF1437" s="315"/>
      <c r="BG1437" s="42"/>
    </row>
    <row r="1438" spans="50:59" x14ac:dyDescent="0.2">
      <c r="AX1438" s="315"/>
      <c r="AY1438" s="326"/>
      <c r="AZ1438" s="175"/>
      <c r="BA1438" s="42"/>
      <c r="BB1438" s="426"/>
      <c r="BF1438" s="315"/>
      <c r="BG1438" s="42"/>
    </row>
    <row r="1439" spans="50:59" x14ac:dyDescent="0.2">
      <c r="AX1439" s="315"/>
      <c r="AY1439" s="326"/>
      <c r="AZ1439" s="175"/>
      <c r="BA1439" s="42"/>
      <c r="BB1439" s="426"/>
      <c r="BF1439" s="315"/>
      <c r="BG1439" s="42"/>
    </row>
    <row r="1440" spans="50:59" x14ac:dyDescent="0.2">
      <c r="AX1440" s="315"/>
      <c r="AY1440" s="326"/>
      <c r="AZ1440" s="175"/>
      <c r="BA1440" s="42"/>
      <c r="BB1440" s="426"/>
      <c r="BF1440" s="315"/>
      <c r="BG1440" s="42"/>
    </row>
    <row r="1441" spans="50:59" x14ac:dyDescent="0.2">
      <c r="AX1441" s="315"/>
      <c r="AY1441" s="326"/>
      <c r="AZ1441" s="175"/>
      <c r="BA1441" s="42"/>
      <c r="BB1441" s="426"/>
      <c r="BF1441" s="315"/>
      <c r="BG1441" s="42"/>
    </row>
    <row r="1442" spans="50:59" x14ac:dyDescent="0.2">
      <c r="AX1442" s="315"/>
      <c r="AY1442" s="326"/>
      <c r="AZ1442" s="175"/>
      <c r="BA1442" s="42"/>
      <c r="BB1442" s="426"/>
      <c r="BF1442" s="315"/>
      <c r="BG1442" s="42"/>
    </row>
    <row r="1443" spans="50:59" x14ac:dyDescent="0.2">
      <c r="AX1443" s="315"/>
      <c r="AY1443" s="326"/>
      <c r="AZ1443" s="175"/>
      <c r="BA1443" s="42"/>
      <c r="BB1443" s="426"/>
      <c r="BF1443" s="315"/>
      <c r="BG1443" s="42"/>
    </row>
    <row r="1444" spans="50:59" x14ac:dyDescent="0.2">
      <c r="AX1444" s="315"/>
      <c r="AY1444" s="326"/>
      <c r="AZ1444" s="175"/>
      <c r="BA1444" s="42"/>
      <c r="BB1444" s="426"/>
      <c r="BF1444" s="315"/>
      <c r="BG1444" s="42"/>
    </row>
    <row r="1445" spans="50:59" x14ac:dyDescent="0.2">
      <c r="AX1445" s="315"/>
      <c r="AY1445" s="326"/>
      <c r="AZ1445" s="175"/>
      <c r="BA1445" s="42"/>
      <c r="BB1445" s="426"/>
      <c r="BF1445" s="315"/>
      <c r="BG1445" s="42"/>
    </row>
    <row r="1446" spans="50:59" x14ac:dyDescent="0.2">
      <c r="AX1446" s="315"/>
      <c r="AY1446" s="326"/>
      <c r="AZ1446" s="175"/>
      <c r="BA1446" s="42"/>
      <c r="BB1446" s="426"/>
      <c r="BF1446" s="315"/>
      <c r="BG1446" s="42"/>
    </row>
    <row r="1447" spans="50:59" x14ac:dyDescent="0.2">
      <c r="AX1447" s="315"/>
      <c r="AY1447" s="326"/>
      <c r="AZ1447" s="175"/>
      <c r="BA1447" s="42"/>
      <c r="BB1447" s="426"/>
      <c r="BF1447" s="315"/>
      <c r="BG1447" s="42"/>
    </row>
    <row r="1448" spans="50:59" x14ac:dyDescent="0.2">
      <c r="AX1448" s="315"/>
      <c r="AY1448" s="326"/>
      <c r="AZ1448" s="175"/>
      <c r="BA1448" s="42"/>
      <c r="BB1448" s="426"/>
      <c r="BF1448" s="315"/>
      <c r="BG1448" s="42"/>
    </row>
    <row r="1449" spans="50:59" x14ac:dyDescent="0.2">
      <c r="AX1449" s="315"/>
      <c r="AY1449" s="326"/>
      <c r="AZ1449" s="175"/>
      <c r="BA1449" s="42"/>
      <c r="BB1449" s="426"/>
      <c r="BF1449" s="315"/>
      <c r="BG1449" s="42"/>
    </row>
    <row r="1450" spans="50:59" x14ac:dyDescent="0.2">
      <c r="AX1450" s="315"/>
      <c r="AY1450" s="326"/>
      <c r="AZ1450" s="175"/>
      <c r="BA1450" s="42"/>
      <c r="BB1450" s="426"/>
      <c r="BF1450" s="315"/>
      <c r="BG1450" s="42"/>
    </row>
    <row r="1451" spans="50:59" x14ac:dyDescent="0.2">
      <c r="AX1451" s="315"/>
      <c r="AY1451" s="326"/>
      <c r="AZ1451" s="175"/>
      <c r="BA1451" s="42"/>
      <c r="BB1451" s="426"/>
      <c r="BF1451" s="315"/>
      <c r="BG1451" s="42"/>
    </row>
    <row r="1452" spans="50:59" x14ac:dyDescent="0.2">
      <c r="AX1452" s="315"/>
      <c r="AY1452" s="326"/>
      <c r="AZ1452" s="175"/>
      <c r="BA1452" s="42"/>
      <c r="BB1452" s="426"/>
      <c r="BF1452" s="315"/>
      <c r="BG1452" s="42"/>
    </row>
    <row r="1453" spans="50:59" x14ac:dyDescent="0.2">
      <c r="AX1453" s="315"/>
      <c r="AY1453" s="326"/>
      <c r="AZ1453" s="175"/>
      <c r="BA1453" s="42"/>
      <c r="BB1453" s="426"/>
      <c r="BF1453" s="315"/>
      <c r="BG1453" s="42"/>
    </row>
    <row r="1454" spans="50:59" x14ac:dyDescent="0.2">
      <c r="AX1454" s="315"/>
      <c r="AY1454" s="326"/>
      <c r="AZ1454" s="175"/>
      <c r="BA1454" s="42"/>
      <c r="BB1454" s="426"/>
      <c r="BF1454" s="315"/>
      <c r="BG1454" s="42"/>
    </row>
    <row r="1455" spans="50:59" x14ac:dyDescent="0.2">
      <c r="AX1455" s="315"/>
      <c r="AY1455" s="326"/>
      <c r="AZ1455" s="175"/>
      <c r="BA1455" s="42"/>
      <c r="BB1455" s="426"/>
      <c r="BF1455" s="315"/>
      <c r="BG1455" s="42"/>
    </row>
    <row r="1456" spans="50:59" x14ac:dyDescent="0.2">
      <c r="AX1456" s="315"/>
      <c r="AY1456" s="326"/>
      <c r="AZ1456" s="175"/>
      <c r="BA1456" s="42"/>
      <c r="BB1456" s="426"/>
      <c r="BF1456" s="315"/>
      <c r="BG1456" s="42"/>
    </row>
    <row r="1457" spans="50:59" x14ac:dyDescent="0.2">
      <c r="AX1457" s="315"/>
      <c r="AY1457" s="326"/>
      <c r="AZ1457" s="175"/>
      <c r="BA1457" s="42"/>
      <c r="BB1457" s="426"/>
      <c r="BF1457" s="315"/>
      <c r="BG1457" s="42"/>
    </row>
    <row r="1458" spans="50:59" x14ac:dyDescent="0.2">
      <c r="AX1458" s="315"/>
      <c r="AY1458" s="326"/>
      <c r="AZ1458" s="175"/>
      <c r="BA1458" s="42"/>
      <c r="BB1458" s="426"/>
      <c r="BF1458" s="315"/>
      <c r="BG1458" s="42"/>
    </row>
    <row r="1459" spans="50:59" x14ac:dyDescent="0.2">
      <c r="AX1459" s="315"/>
      <c r="AY1459" s="326"/>
      <c r="AZ1459" s="175"/>
      <c r="BA1459" s="42"/>
      <c r="BB1459" s="426"/>
      <c r="BF1459" s="315"/>
      <c r="BG1459" s="42"/>
    </row>
    <row r="1460" spans="50:59" x14ac:dyDescent="0.2">
      <c r="AX1460" s="315"/>
      <c r="AY1460" s="326"/>
      <c r="AZ1460" s="175"/>
      <c r="BA1460" s="42"/>
      <c r="BB1460" s="426"/>
      <c r="BF1460" s="315"/>
      <c r="BG1460" s="42"/>
    </row>
    <row r="1461" spans="50:59" x14ac:dyDescent="0.2">
      <c r="AX1461" s="315"/>
      <c r="AY1461" s="326"/>
      <c r="AZ1461" s="175"/>
      <c r="BA1461" s="42"/>
      <c r="BB1461" s="426"/>
      <c r="BF1461" s="315"/>
      <c r="BG1461" s="42"/>
    </row>
    <row r="1462" spans="50:59" x14ac:dyDescent="0.2">
      <c r="AX1462" s="315"/>
      <c r="AY1462" s="326"/>
      <c r="AZ1462" s="175"/>
      <c r="BA1462" s="42"/>
      <c r="BB1462" s="426"/>
      <c r="BF1462" s="315"/>
      <c r="BG1462" s="42"/>
    </row>
    <row r="1463" spans="50:59" x14ac:dyDescent="0.2">
      <c r="AX1463" s="315"/>
      <c r="AY1463" s="326"/>
      <c r="AZ1463" s="175"/>
      <c r="BA1463" s="42"/>
      <c r="BB1463" s="426"/>
      <c r="BF1463" s="315"/>
      <c r="BG1463" s="42"/>
    </row>
    <row r="1464" spans="50:59" x14ac:dyDescent="0.2">
      <c r="AX1464" s="315"/>
      <c r="AY1464" s="326"/>
      <c r="AZ1464" s="175"/>
      <c r="BA1464" s="42"/>
      <c r="BB1464" s="426"/>
      <c r="BF1464" s="315"/>
      <c r="BG1464" s="42"/>
    </row>
    <row r="1465" spans="50:59" x14ac:dyDescent="0.2">
      <c r="AX1465" s="315"/>
      <c r="AY1465" s="326"/>
      <c r="AZ1465" s="175"/>
      <c r="BA1465" s="42"/>
      <c r="BB1465" s="426"/>
      <c r="BF1465" s="315"/>
      <c r="BG1465" s="42"/>
    </row>
    <row r="1466" spans="50:59" x14ac:dyDescent="0.2">
      <c r="AX1466" s="315"/>
      <c r="AY1466" s="326"/>
      <c r="AZ1466" s="175"/>
      <c r="BA1466" s="42"/>
      <c r="BB1466" s="426"/>
      <c r="BF1466" s="315"/>
      <c r="BG1466" s="42"/>
    </row>
    <row r="1467" spans="50:59" x14ac:dyDescent="0.2">
      <c r="AX1467" s="315"/>
      <c r="AY1467" s="326"/>
      <c r="AZ1467" s="175"/>
      <c r="BA1467" s="42"/>
      <c r="BB1467" s="426"/>
      <c r="BF1467" s="315"/>
      <c r="BG1467" s="42"/>
    </row>
    <row r="1468" spans="50:59" x14ac:dyDescent="0.2">
      <c r="AX1468" s="315"/>
      <c r="AY1468" s="326"/>
      <c r="AZ1468" s="175"/>
      <c r="BA1468" s="42"/>
      <c r="BB1468" s="426"/>
      <c r="BF1468" s="315"/>
      <c r="BG1468" s="42"/>
    </row>
    <row r="1469" spans="50:59" x14ac:dyDescent="0.2">
      <c r="AX1469" s="315"/>
      <c r="AY1469" s="326"/>
      <c r="AZ1469" s="175"/>
      <c r="BA1469" s="42"/>
      <c r="BB1469" s="426"/>
      <c r="BF1469" s="315"/>
      <c r="BG1469" s="42"/>
    </row>
    <row r="1470" spans="50:59" x14ac:dyDescent="0.2">
      <c r="AX1470" s="315"/>
      <c r="AY1470" s="326"/>
      <c r="AZ1470" s="175"/>
      <c r="BA1470" s="42"/>
      <c r="BB1470" s="426"/>
      <c r="BF1470" s="315"/>
      <c r="BG1470" s="42"/>
    </row>
    <row r="1471" spans="50:59" x14ac:dyDescent="0.2">
      <c r="AX1471" s="315"/>
      <c r="AY1471" s="326"/>
      <c r="AZ1471" s="175"/>
      <c r="BA1471" s="42"/>
      <c r="BB1471" s="426"/>
      <c r="BF1471" s="315"/>
      <c r="BG1471" s="42"/>
    </row>
    <row r="1472" spans="50:59" x14ac:dyDescent="0.2">
      <c r="AX1472" s="315"/>
      <c r="AY1472" s="326"/>
      <c r="AZ1472" s="175"/>
      <c r="BA1472" s="42"/>
      <c r="BB1472" s="426"/>
      <c r="BF1472" s="315"/>
      <c r="BG1472" s="42"/>
    </row>
    <row r="1473" spans="50:59" x14ac:dyDescent="0.2">
      <c r="AX1473" s="315"/>
      <c r="AY1473" s="326"/>
      <c r="AZ1473" s="175"/>
      <c r="BA1473" s="42"/>
      <c r="BB1473" s="426"/>
      <c r="BF1473" s="315"/>
      <c r="BG1473" s="42"/>
    </row>
    <row r="1474" spans="50:59" x14ac:dyDescent="0.2">
      <c r="AX1474" s="315"/>
      <c r="AY1474" s="326"/>
      <c r="AZ1474" s="175"/>
      <c r="BA1474" s="42"/>
      <c r="BB1474" s="426"/>
      <c r="BF1474" s="315"/>
      <c r="BG1474" s="42"/>
    </row>
    <row r="1475" spans="50:59" x14ac:dyDescent="0.2">
      <c r="AX1475" s="315"/>
      <c r="AY1475" s="326"/>
      <c r="AZ1475" s="175"/>
      <c r="BA1475" s="42"/>
      <c r="BB1475" s="426"/>
      <c r="BF1475" s="315"/>
      <c r="BG1475" s="42"/>
    </row>
    <row r="1476" spans="50:59" x14ac:dyDescent="0.2">
      <c r="AX1476" s="315"/>
      <c r="AY1476" s="326"/>
      <c r="AZ1476" s="175"/>
      <c r="BA1476" s="42"/>
      <c r="BB1476" s="426"/>
      <c r="BF1476" s="315"/>
      <c r="BG1476" s="42"/>
    </row>
    <row r="1477" spans="50:59" x14ac:dyDescent="0.2">
      <c r="AX1477" s="315"/>
      <c r="AY1477" s="326"/>
      <c r="AZ1477" s="175"/>
      <c r="BA1477" s="42"/>
      <c r="BB1477" s="426"/>
      <c r="BF1477" s="315"/>
      <c r="BG1477" s="42"/>
    </row>
    <row r="1478" spans="50:59" x14ac:dyDescent="0.2">
      <c r="AX1478" s="315"/>
      <c r="AY1478" s="326"/>
      <c r="AZ1478" s="175"/>
      <c r="BA1478" s="42"/>
      <c r="BB1478" s="426"/>
      <c r="BF1478" s="315"/>
      <c r="BG1478" s="42"/>
    </row>
    <row r="1479" spans="50:59" x14ac:dyDescent="0.2">
      <c r="AX1479" s="315"/>
      <c r="AY1479" s="326"/>
      <c r="AZ1479" s="175"/>
      <c r="BA1479" s="42"/>
      <c r="BB1479" s="426"/>
      <c r="BF1479" s="315"/>
      <c r="BG1479" s="42"/>
    </row>
    <row r="1480" spans="50:59" x14ac:dyDescent="0.2">
      <c r="AX1480" s="315"/>
      <c r="AY1480" s="326"/>
      <c r="AZ1480" s="175"/>
      <c r="BA1480" s="42"/>
      <c r="BB1480" s="426"/>
      <c r="BF1480" s="315"/>
      <c r="BG1480" s="42"/>
    </row>
    <row r="1481" spans="50:59" x14ac:dyDescent="0.2">
      <c r="AX1481" s="315"/>
      <c r="AY1481" s="326"/>
      <c r="AZ1481" s="175"/>
      <c r="BA1481" s="42"/>
      <c r="BB1481" s="426"/>
      <c r="BF1481" s="315"/>
      <c r="BG1481" s="42"/>
    </row>
    <row r="1482" spans="50:59" x14ac:dyDescent="0.2">
      <c r="AX1482" s="315"/>
      <c r="AY1482" s="326"/>
      <c r="AZ1482" s="175"/>
      <c r="BA1482" s="42"/>
      <c r="BB1482" s="426"/>
      <c r="BF1482" s="315"/>
      <c r="BG1482" s="42"/>
    </row>
    <row r="1483" spans="50:59" x14ac:dyDescent="0.2">
      <c r="AX1483" s="315"/>
      <c r="AY1483" s="326"/>
      <c r="AZ1483" s="175"/>
      <c r="BA1483" s="42"/>
      <c r="BB1483" s="426"/>
      <c r="BF1483" s="315"/>
      <c r="BG1483" s="42"/>
    </row>
    <row r="1484" spans="50:59" x14ac:dyDescent="0.2">
      <c r="AX1484" s="315"/>
      <c r="AY1484" s="326"/>
      <c r="AZ1484" s="175"/>
      <c r="BA1484" s="42"/>
      <c r="BB1484" s="426"/>
      <c r="BF1484" s="315"/>
      <c r="BG1484" s="42"/>
    </row>
    <row r="1485" spans="50:59" x14ac:dyDescent="0.2">
      <c r="AX1485" s="315"/>
      <c r="AY1485" s="326"/>
      <c r="AZ1485" s="175"/>
      <c r="BA1485" s="42"/>
      <c r="BB1485" s="426"/>
      <c r="BF1485" s="315"/>
      <c r="BG1485" s="42"/>
    </row>
    <row r="1486" spans="50:59" x14ac:dyDescent="0.2">
      <c r="AX1486" s="315"/>
      <c r="AY1486" s="326"/>
      <c r="AZ1486" s="175"/>
      <c r="BA1486" s="42"/>
      <c r="BB1486" s="426"/>
      <c r="BF1486" s="315"/>
      <c r="BG1486" s="42"/>
    </row>
    <row r="1487" spans="50:59" x14ac:dyDescent="0.2">
      <c r="AX1487" s="315"/>
      <c r="AY1487" s="326"/>
      <c r="AZ1487" s="175"/>
      <c r="BA1487" s="42"/>
      <c r="BB1487" s="426"/>
      <c r="BF1487" s="315"/>
      <c r="BG1487" s="42"/>
    </row>
    <row r="1488" spans="50:59" x14ac:dyDescent="0.2">
      <c r="AX1488" s="315"/>
      <c r="AY1488" s="326"/>
      <c r="AZ1488" s="175"/>
      <c r="BA1488" s="42"/>
      <c r="BB1488" s="426"/>
      <c r="BF1488" s="315"/>
      <c r="BG1488" s="42"/>
    </row>
    <row r="1489" spans="50:59" x14ac:dyDescent="0.2">
      <c r="AX1489" s="315"/>
      <c r="AY1489" s="326"/>
      <c r="AZ1489" s="175"/>
      <c r="BA1489" s="42"/>
      <c r="BB1489" s="426"/>
      <c r="BF1489" s="315"/>
      <c r="BG1489" s="42"/>
    </row>
    <row r="1490" spans="50:59" x14ac:dyDescent="0.2">
      <c r="AX1490" s="315"/>
      <c r="AY1490" s="326"/>
      <c r="AZ1490" s="175"/>
      <c r="BA1490" s="42"/>
      <c r="BB1490" s="426"/>
      <c r="BF1490" s="315"/>
      <c r="BG1490" s="42"/>
    </row>
    <row r="1491" spans="50:59" x14ac:dyDescent="0.2">
      <c r="AX1491" s="315"/>
      <c r="AY1491" s="326"/>
      <c r="AZ1491" s="175"/>
      <c r="BA1491" s="42"/>
      <c r="BB1491" s="426"/>
      <c r="BF1491" s="315"/>
      <c r="BG1491" s="42"/>
    </row>
    <row r="1492" spans="50:59" x14ac:dyDescent="0.2">
      <c r="AX1492" s="315"/>
      <c r="AY1492" s="326"/>
      <c r="AZ1492" s="175"/>
      <c r="BA1492" s="42"/>
      <c r="BB1492" s="426"/>
      <c r="BF1492" s="315"/>
      <c r="BG1492" s="42"/>
    </row>
    <row r="1493" spans="50:59" x14ac:dyDescent="0.2">
      <c r="AX1493" s="315"/>
      <c r="AY1493" s="326"/>
      <c r="AZ1493" s="175"/>
      <c r="BA1493" s="42"/>
      <c r="BB1493" s="426"/>
      <c r="BF1493" s="315"/>
      <c r="BG1493" s="42"/>
    </row>
    <row r="1494" spans="50:59" x14ac:dyDescent="0.2">
      <c r="AX1494" s="315"/>
      <c r="AY1494" s="326"/>
      <c r="AZ1494" s="175"/>
      <c r="BA1494" s="42"/>
      <c r="BB1494" s="426"/>
      <c r="BF1494" s="315"/>
      <c r="BG1494" s="42"/>
    </row>
    <row r="1495" spans="50:59" x14ac:dyDescent="0.2">
      <c r="AX1495" s="315"/>
      <c r="AY1495" s="326"/>
      <c r="AZ1495" s="175"/>
      <c r="BA1495" s="42"/>
      <c r="BB1495" s="426"/>
      <c r="BF1495" s="315"/>
      <c r="BG1495" s="42"/>
    </row>
    <row r="1496" spans="50:59" x14ac:dyDescent="0.2">
      <c r="AX1496" s="315"/>
      <c r="AY1496" s="326"/>
      <c r="AZ1496" s="175"/>
      <c r="BA1496" s="42"/>
      <c r="BB1496" s="426"/>
      <c r="BF1496" s="315"/>
      <c r="BG1496" s="42"/>
    </row>
    <row r="1497" spans="50:59" x14ac:dyDescent="0.2">
      <c r="AX1497" s="315"/>
      <c r="AY1497" s="326"/>
      <c r="AZ1497" s="175"/>
      <c r="BA1497" s="42"/>
      <c r="BB1497" s="426"/>
      <c r="BF1497" s="315"/>
      <c r="BG1497" s="42"/>
    </row>
    <row r="1498" spans="50:59" x14ac:dyDescent="0.2">
      <c r="AX1498" s="315"/>
      <c r="AY1498" s="326"/>
      <c r="AZ1498" s="175"/>
      <c r="BA1498" s="42"/>
      <c r="BB1498" s="426"/>
      <c r="BF1498" s="315"/>
      <c r="BG1498" s="42"/>
    </row>
    <row r="1499" spans="50:59" x14ac:dyDescent="0.2">
      <c r="AX1499" s="315"/>
      <c r="AY1499" s="326"/>
      <c r="AZ1499" s="175"/>
      <c r="BA1499" s="42"/>
      <c r="BB1499" s="426"/>
      <c r="BF1499" s="315"/>
      <c r="BG1499" s="42"/>
    </row>
    <row r="1500" spans="50:59" x14ac:dyDescent="0.2">
      <c r="AX1500" s="315"/>
      <c r="AY1500" s="326"/>
      <c r="AZ1500" s="175"/>
      <c r="BA1500" s="42"/>
      <c r="BB1500" s="426"/>
      <c r="BF1500" s="315"/>
      <c r="BG1500" s="42"/>
    </row>
    <row r="1501" spans="50:59" x14ac:dyDescent="0.2">
      <c r="AX1501" s="315"/>
      <c r="AY1501" s="326"/>
      <c r="AZ1501" s="175"/>
      <c r="BA1501" s="42"/>
      <c r="BB1501" s="426"/>
      <c r="BF1501" s="315"/>
      <c r="BG1501" s="42"/>
    </row>
    <row r="1502" spans="50:59" x14ac:dyDescent="0.2">
      <c r="AX1502" s="315"/>
      <c r="AY1502" s="326"/>
      <c r="AZ1502" s="175"/>
      <c r="BA1502" s="42"/>
      <c r="BB1502" s="426"/>
      <c r="BF1502" s="315"/>
      <c r="BG1502" s="42"/>
    </row>
    <row r="1503" spans="50:59" x14ac:dyDescent="0.2">
      <c r="AX1503" s="315"/>
      <c r="AY1503" s="326"/>
      <c r="AZ1503" s="175"/>
      <c r="BA1503" s="42"/>
      <c r="BB1503" s="426"/>
      <c r="BF1503" s="315"/>
      <c r="BG1503" s="42"/>
    </row>
    <row r="1504" spans="50:59" x14ac:dyDescent="0.2">
      <c r="AX1504" s="315"/>
      <c r="AY1504" s="326"/>
      <c r="AZ1504" s="175"/>
      <c r="BA1504" s="42"/>
      <c r="BB1504" s="426"/>
      <c r="BF1504" s="315"/>
      <c r="BG1504" s="42"/>
    </row>
    <row r="1505" spans="50:59" x14ac:dyDescent="0.2">
      <c r="AX1505" s="315"/>
      <c r="AY1505" s="326"/>
      <c r="AZ1505" s="175"/>
      <c r="BA1505" s="42"/>
      <c r="BB1505" s="426"/>
      <c r="BF1505" s="315"/>
      <c r="BG1505" s="42"/>
    </row>
    <row r="1506" spans="50:59" x14ac:dyDescent="0.2">
      <c r="AX1506" s="315"/>
      <c r="AY1506" s="326"/>
      <c r="AZ1506" s="175"/>
      <c r="BA1506" s="42"/>
      <c r="BB1506" s="426"/>
      <c r="BF1506" s="315"/>
      <c r="BG1506" s="42"/>
    </row>
    <row r="1507" spans="50:59" x14ac:dyDescent="0.2">
      <c r="AX1507" s="315"/>
      <c r="AY1507" s="326"/>
      <c r="AZ1507" s="175"/>
      <c r="BA1507" s="42"/>
      <c r="BB1507" s="426"/>
      <c r="BF1507" s="315"/>
      <c r="BG1507" s="42"/>
    </row>
    <row r="1508" spans="50:59" x14ac:dyDescent="0.2">
      <c r="AX1508" s="315"/>
      <c r="AY1508" s="326"/>
      <c r="AZ1508" s="175"/>
      <c r="BA1508" s="42"/>
      <c r="BB1508" s="426"/>
      <c r="BF1508" s="315"/>
      <c r="BG1508" s="42"/>
    </row>
    <row r="1509" spans="50:59" x14ac:dyDescent="0.2">
      <c r="AX1509" s="315"/>
      <c r="AY1509" s="326"/>
      <c r="AZ1509" s="175"/>
      <c r="BA1509" s="42"/>
      <c r="BB1509" s="426"/>
      <c r="BF1509" s="315"/>
      <c r="BG1509" s="42"/>
    </row>
    <row r="1510" spans="50:59" x14ac:dyDescent="0.2">
      <c r="AX1510" s="315"/>
      <c r="AY1510" s="326"/>
      <c r="AZ1510" s="175"/>
      <c r="BA1510" s="42"/>
      <c r="BB1510" s="426"/>
      <c r="BF1510" s="315"/>
      <c r="BG1510" s="42"/>
    </row>
    <row r="1511" spans="50:59" x14ac:dyDescent="0.2">
      <c r="AX1511" s="315"/>
      <c r="AY1511" s="326"/>
      <c r="AZ1511" s="175"/>
      <c r="BA1511" s="42"/>
      <c r="BB1511" s="426"/>
      <c r="BF1511" s="315"/>
      <c r="BG1511" s="42"/>
    </row>
    <row r="1512" spans="50:59" x14ac:dyDescent="0.2">
      <c r="AX1512" s="315"/>
      <c r="AY1512" s="326"/>
      <c r="AZ1512" s="175"/>
      <c r="BA1512" s="42"/>
      <c r="BB1512" s="426"/>
      <c r="BF1512" s="315"/>
      <c r="BG1512" s="42"/>
    </row>
    <row r="1513" spans="50:59" x14ac:dyDescent="0.2">
      <c r="AX1513" s="315"/>
      <c r="AY1513" s="326"/>
      <c r="AZ1513" s="175"/>
      <c r="BA1513" s="42"/>
      <c r="BB1513" s="426"/>
      <c r="BF1513" s="315"/>
      <c r="BG1513" s="42"/>
    </row>
    <row r="1514" spans="50:59" x14ac:dyDescent="0.2">
      <c r="AX1514" s="315"/>
      <c r="AY1514" s="326"/>
      <c r="AZ1514" s="175"/>
      <c r="BA1514" s="42"/>
      <c r="BB1514" s="426"/>
      <c r="BF1514" s="315"/>
      <c r="BG1514" s="42"/>
    </row>
    <row r="1515" spans="50:59" x14ac:dyDescent="0.2">
      <c r="AX1515" s="315"/>
      <c r="AY1515" s="326"/>
      <c r="AZ1515" s="175"/>
      <c r="BA1515" s="42"/>
      <c r="BB1515" s="426"/>
      <c r="BF1515" s="315"/>
      <c r="BG1515" s="42"/>
    </row>
    <row r="1516" spans="50:59" x14ac:dyDescent="0.2">
      <c r="AX1516" s="315"/>
      <c r="AY1516" s="326"/>
      <c r="AZ1516" s="175"/>
      <c r="BA1516" s="42"/>
      <c r="BB1516" s="426"/>
      <c r="BF1516" s="315"/>
      <c r="BG1516" s="42"/>
    </row>
    <row r="1517" spans="50:59" x14ac:dyDescent="0.2">
      <c r="AX1517" s="315"/>
      <c r="AY1517" s="326"/>
      <c r="AZ1517" s="175"/>
      <c r="BA1517" s="42"/>
      <c r="BB1517" s="426"/>
      <c r="BF1517" s="315"/>
      <c r="BG1517" s="42"/>
    </row>
    <row r="1518" spans="50:59" x14ac:dyDescent="0.2">
      <c r="AX1518" s="315"/>
      <c r="AY1518" s="326"/>
      <c r="AZ1518" s="175"/>
      <c r="BA1518" s="42"/>
      <c r="BB1518" s="426"/>
      <c r="BF1518" s="315"/>
      <c r="BG1518" s="42"/>
    </row>
    <row r="1519" spans="50:59" x14ac:dyDescent="0.2">
      <c r="AX1519" s="315"/>
      <c r="AY1519" s="326"/>
      <c r="AZ1519" s="175"/>
      <c r="BA1519" s="42"/>
      <c r="BB1519" s="426"/>
      <c r="BF1519" s="315"/>
      <c r="BG1519" s="42"/>
    </row>
    <row r="1520" spans="50:59" x14ac:dyDescent="0.2">
      <c r="AX1520" s="315"/>
      <c r="AY1520" s="326"/>
      <c r="AZ1520" s="175"/>
      <c r="BA1520" s="42"/>
      <c r="BB1520" s="426"/>
      <c r="BF1520" s="315"/>
      <c r="BG1520" s="42"/>
    </row>
    <row r="1521" spans="50:59" x14ac:dyDescent="0.2">
      <c r="AX1521" s="315"/>
      <c r="AY1521" s="326"/>
      <c r="AZ1521" s="175"/>
      <c r="BA1521" s="42"/>
      <c r="BB1521" s="426"/>
      <c r="BF1521" s="315"/>
      <c r="BG1521" s="42"/>
    </row>
    <row r="1522" spans="50:59" x14ac:dyDescent="0.2">
      <c r="AX1522" s="315"/>
      <c r="AY1522" s="326"/>
      <c r="AZ1522" s="175"/>
      <c r="BA1522" s="42"/>
      <c r="BB1522" s="426"/>
      <c r="BF1522" s="315"/>
      <c r="BG1522" s="42"/>
    </row>
    <row r="1523" spans="50:59" x14ac:dyDescent="0.2">
      <c r="AX1523" s="315"/>
      <c r="AY1523" s="326"/>
      <c r="AZ1523" s="175"/>
      <c r="BA1523" s="42"/>
      <c r="BB1523" s="426"/>
      <c r="BF1523" s="315"/>
      <c r="BG1523" s="42"/>
    </row>
    <row r="1524" spans="50:59" x14ac:dyDescent="0.2">
      <c r="AX1524" s="315"/>
      <c r="AY1524" s="326"/>
      <c r="AZ1524" s="175"/>
      <c r="BA1524" s="42"/>
      <c r="BB1524" s="426"/>
      <c r="BF1524" s="315"/>
      <c r="BG1524" s="42"/>
    </row>
    <row r="1525" spans="50:59" x14ac:dyDescent="0.2">
      <c r="AX1525" s="315"/>
      <c r="AY1525" s="326"/>
      <c r="AZ1525" s="175"/>
      <c r="BA1525" s="42"/>
      <c r="BB1525" s="426"/>
      <c r="BF1525" s="315"/>
      <c r="BG1525" s="42"/>
    </row>
    <row r="1526" spans="50:59" x14ac:dyDescent="0.2">
      <c r="AX1526" s="315"/>
      <c r="AY1526" s="326"/>
      <c r="AZ1526" s="175"/>
      <c r="BA1526" s="42"/>
      <c r="BB1526" s="426"/>
      <c r="BF1526" s="315"/>
      <c r="BG1526" s="42"/>
    </row>
    <row r="1527" spans="50:59" x14ac:dyDescent="0.2">
      <c r="AX1527" s="315"/>
      <c r="AY1527" s="326"/>
      <c r="AZ1527" s="175"/>
      <c r="BA1527" s="42"/>
      <c r="BB1527" s="426"/>
      <c r="BF1527" s="315"/>
      <c r="BG1527" s="42"/>
    </row>
    <row r="1528" spans="50:59" x14ac:dyDescent="0.2">
      <c r="AX1528" s="315"/>
      <c r="AY1528" s="326"/>
      <c r="AZ1528" s="175"/>
      <c r="BA1528" s="42"/>
      <c r="BB1528" s="426"/>
      <c r="BF1528" s="315"/>
      <c r="BG1528" s="42"/>
    </row>
    <row r="1529" spans="50:59" x14ac:dyDescent="0.2">
      <c r="AX1529" s="315"/>
      <c r="AY1529" s="326"/>
      <c r="AZ1529" s="175"/>
      <c r="BA1529" s="42"/>
      <c r="BB1529" s="426"/>
      <c r="BF1529" s="315"/>
      <c r="BG1529" s="42"/>
    </row>
    <row r="1530" spans="50:59" x14ac:dyDescent="0.2">
      <c r="AX1530" s="315"/>
      <c r="AY1530" s="326"/>
      <c r="AZ1530" s="175"/>
      <c r="BA1530" s="42"/>
      <c r="BB1530" s="426"/>
      <c r="BF1530" s="315"/>
      <c r="BG1530" s="42"/>
    </row>
    <row r="1531" spans="50:59" x14ac:dyDescent="0.2">
      <c r="AX1531" s="315"/>
      <c r="AY1531" s="326"/>
      <c r="AZ1531" s="175"/>
      <c r="BA1531" s="42"/>
      <c r="BB1531" s="426"/>
      <c r="BF1531" s="315"/>
      <c r="BG1531" s="42"/>
    </row>
    <row r="1532" spans="50:59" x14ac:dyDescent="0.2">
      <c r="AX1532" s="315"/>
      <c r="AY1532" s="326"/>
      <c r="AZ1532" s="175"/>
      <c r="BA1532" s="42"/>
      <c r="BB1532" s="426"/>
      <c r="BF1532" s="315"/>
      <c r="BG1532" s="42"/>
    </row>
    <row r="1533" spans="50:59" x14ac:dyDescent="0.2">
      <c r="AX1533" s="315"/>
      <c r="AY1533" s="326"/>
      <c r="AZ1533" s="175"/>
      <c r="BA1533" s="42"/>
      <c r="BB1533" s="426"/>
      <c r="BF1533" s="315"/>
      <c r="BG1533" s="42"/>
    </row>
    <row r="1534" spans="50:59" x14ac:dyDescent="0.2">
      <c r="AX1534" s="315"/>
      <c r="AY1534" s="326"/>
      <c r="AZ1534" s="175"/>
      <c r="BA1534" s="42"/>
      <c r="BB1534" s="426"/>
      <c r="BF1534" s="315"/>
      <c r="BG1534" s="42"/>
    </row>
    <row r="1535" spans="50:59" x14ac:dyDescent="0.2">
      <c r="AX1535" s="315"/>
      <c r="AY1535" s="326"/>
      <c r="AZ1535" s="175"/>
      <c r="BA1535" s="42"/>
      <c r="BB1535" s="426"/>
      <c r="BF1535" s="315"/>
      <c r="BG1535" s="42"/>
    </row>
    <row r="1536" spans="50:59" x14ac:dyDescent="0.2">
      <c r="AX1536" s="315"/>
      <c r="AY1536" s="326"/>
      <c r="AZ1536" s="175"/>
      <c r="BA1536" s="42"/>
      <c r="BB1536" s="426"/>
      <c r="BF1536" s="315"/>
      <c r="BG1536" s="42"/>
    </row>
    <row r="1537" spans="50:59" x14ac:dyDescent="0.2">
      <c r="AX1537" s="315"/>
      <c r="AY1537" s="326"/>
      <c r="AZ1537" s="175"/>
      <c r="BA1537" s="42"/>
      <c r="BB1537" s="426"/>
      <c r="BF1537" s="315"/>
      <c r="BG1537" s="42"/>
    </row>
    <row r="1538" spans="50:59" x14ac:dyDescent="0.2">
      <c r="AX1538" s="315"/>
      <c r="AY1538" s="326"/>
      <c r="AZ1538" s="175"/>
      <c r="BA1538" s="42"/>
      <c r="BB1538" s="426"/>
      <c r="BF1538" s="315"/>
      <c r="BG1538" s="42"/>
    </row>
    <row r="1539" spans="50:59" x14ac:dyDescent="0.2">
      <c r="AX1539" s="315"/>
      <c r="AY1539" s="326"/>
      <c r="AZ1539" s="175"/>
      <c r="BA1539" s="42"/>
      <c r="BB1539" s="426"/>
      <c r="BF1539" s="315"/>
      <c r="BG1539" s="42"/>
    </row>
    <row r="1540" spans="50:59" x14ac:dyDescent="0.2">
      <c r="AX1540" s="315"/>
      <c r="AY1540" s="326"/>
      <c r="AZ1540" s="175"/>
      <c r="BA1540" s="42"/>
      <c r="BB1540" s="426"/>
      <c r="BF1540" s="315"/>
      <c r="BG1540" s="42"/>
    </row>
    <row r="1541" spans="50:59" x14ac:dyDescent="0.2">
      <c r="AX1541" s="315"/>
      <c r="AY1541" s="326"/>
      <c r="AZ1541" s="175"/>
      <c r="BA1541" s="42"/>
      <c r="BB1541" s="426"/>
      <c r="BF1541" s="315"/>
      <c r="BG1541" s="42"/>
    </row>
    <row r="1542" spans="50:59" x14ac:dyDescent="0.2">
      <c r="AX1542" s="315"/>
      <c r="AY1542" s="326"/>
      <c r="AZ1542" s="175"/>
      <c r="BA1542" s="42"/>
      <c r="BB1542" s="426"/>
      <c r="BF1542" s="315"/>
      <c r="BG1542" s="42"/>
    </row>
    <row r="1543" spans="50:59" x14ac:dyDescent="0.2">
      <c r="AX1543" s="315"/>
      <c r="AY1543" s="326"/>
      <c r="AZ1543" s="175"/>
      <c r="BA1543" s="42"/>
      <c r="BB1543" s="426"/>
      <c r="BF1543" s="315"/>
      <c r="BG1543" s="42"/>
    </row>
    <row r="1544" spans="50:59" x14ac:dyDescent="0.2">
      <c r="AX1544" s="315"/>
      <c r="AY1544" s="326"/>
      <c r="AZ1544" s="175"/>
      <c r="BA1544" s="42"/>
      <c r="BB1544" s="426"/>
      <c r="BF1544" s="315"/>
      <c r="BG1544" s="42"/>
    </row>
    <row r="1545" spans="50:59" x14ac:dyDescent="0.2">
      <c r="AX1545" s="315"/>
      <c r="AY1545" s="326"/>
      <c r="AZ1545" s="175"/>
      <c r="BA1545" s="42"/>
      <c r="BB1545" s="426"/>
      <c r="BF1545" s="315"/>
      <c r="BG1545" s="42"/>
    </row>
    <row r="1546" spans="50:59" x14ac:dyDescent="0.2">
      <c r="AX1546" s="315"/>
      <c r="AY1546" s="326"/>
      <c r="AZ1546" s="175"/>
      <c r="BA1546" s="42"/>
      <c r="BB1546" s="426"/>
      <c r="BF1546" s="315"/>
      <c r="BG1546" s="42"/>
    </row>
    <row r="1547" spans="50:59" x14ac:dyDescent="0.2">
      <c r="AX1547" s="315"/>
      <c r="AY1547" s="326"/>
      <c r="AZ1547" s="175"/>
      <c r="BA1547" s="42"/>
      <c r="BB1547" s="426"/>
      <c r="BF1547" s="315"/>
      <c r="BG1547" s="42"/>
    </row>
    <row r="1548" spans="50:59" x14ac:dyDescent="0.2">
      <c r="AX1548" s="315"/>
      <c r="AY1548" s="326"/>
      <c r="AZ1548" s="175"/>
      <c r="BA1548" s="42"/>
      <c r="BB1548" s="426"/>
      <c r="BF1548" s="315"/>
      <c r="BG1548" s="42"/>
    </row>
    <row r="1549" spans="50:59" x14ac:dyDescent="0.2">
      <c r="AX1549" s="315"/>
      <c r="AY1549" s="326"/>
      <c r="AZ1549" s="175"/>
      <c r="BA1549" s="42"/>
      <c r="BB1549" s="426"/>
      <c r="BF1549" s="315"/>
      <c r="BG1549" s="42"/>
    </row>
    <row r="1550" spans="50:59" x14ac:dyDescent="0.2">
      <c r="AX1550" s="315"/>
      <c r="AY1550" s="326"/>
      <c r="AZ1550" s="175"/>
      <c r="BA1550" s="42"/>
      <c r="BB1550" s="426"/>
      <c r="BF1550" s="315"/>
      <c r="BG1550" s="42"/>
    </row>
    <row r="1551" spans="50:59" x14ac:dyDescent="0.2">
      <c r="AX1551" s="315"/>
      <c r="AY1551" s="326"/>
      <c r="AZ1551" s="175"/>
      <c r="BA1551" s="42"/>
      <c r="BB1551" s="426"/>
      <c r="BF1551" s="315"/>
      <c r="BG1551" s="42"/>
    </row>
    <row r="1552" spans="50:59" x14ac:dyDescent="0.2">
      <c r="AX1552" s="315"/>
      <c r="AY1552" s="326"/>
      <c r="AZ1552" s="175"/>
      <c r="BA1552" s="42"/>
      <c r="BB1552" s="426"/>
      <c r="BF1552" s="315"/>
      <c r="BG1552" s="42"/>
    </row>
    <row r="1553" spans="50:59" x14ac:dyDescent="0.2">
      <c r="AX1553" s="315"/>
      <c r="AY1553" s="326"/>
      <c r="AZ1553" s="175"/>
      <c r="BA1553" s="42"/>
      <c r="BB1553" s="426"/>
      <c r="BF1553" s="315"/>
      <c r="BG1553" s="42"/>
    </row>
    <row r="1554" spans="50:59" x14ac:dyDescent="0.2">
      <c r="AX1554" s="315"/>
      <c r="AY1554" s="326"/>
      <c r="AZ1554" s="175"/>
      <c r="BA1554" s="42"/>
      <c r="BB1554" s="426"/>
      <c r="BF1554" s="315"/>
      <c r="BG1554" s="42"/>
    </row>
    <row r="1555" spans="50:59" x14ac:dyDescent="0.2">
      <c r="AX1555" s="315"/>
      <c r="AY1555" s="326"/>
      <c r="AZ1555" s="175"/>
      <c r="BA1555" s="42"/>
      <c r="BB1555" s="426"/>
      <c r="BF1555" s="315"/>
      <c r="BG1555" s="42"/>
    </row>
    <row r="1556" spans="50:59" x14ac:dyDescent="0.2">
      <c r="AX1556" s="315"/>
      <c r="AY1556" s="326"/>
      <c r="AZ1556" s="175"/>
      <c r="BA1556" s="42"/>
      <c r="BB1556" s="426"/>
      <c r="BF1556" s="315"/>
      <c r="BG1556" s="42"/>
    </row>
    <row r="1557" spans="50:59" x14ac:dyDescent="0.2">
      <c r="AX1557" s="315"/>
      <c r="AY1557" s="326"/>
      <c r="AZ1557" s="175"/>
      <c r="BA1557" s="42"/>
      <c r="BB1557" s="426"/>
      <c r="BF1557" s="315"/>
      <c r="BG1557" s="42"/>
    </row>
    <row r="1558" spans="50:59" x14ac:dyDescent="0.2">
      <c r="AX1558" s="315"/>
      <c r="AY1558" s="326"/>
      <c r="AZ1558" s="175"/>
      <c r="BA1558" s="42"/>
      <c r="BB1558" s="426"/>
      <c r="BF1558" s="315"/>
      <c r="BG1558" s="42"/>
    </row>
    <row r="1559" spans="50:59" x14ac:dyDescent="0.2">
      <c r="AX1559" s="315"/>
      <c r="AY1559" s="326"/>
      <c r="AZ1559" s="175"/>
      <c r="BA1559" s="42"/>
      <c r="BB1559" s="426"/>
      <c r="BF1559" s="315"/>
      <c r="BG1559" s="42"/>
    </row>
    <row r="1560" spans="50:59" x14ac:dyDescent="0.2">
      <c r="AX1560" s="315"/>
      <c r="AY1560" s="326"/>
      <c r="AZ1560" s="175"/>
      <c r="BA1560" s="42"/>
      <c r="BB1560" s="426"/>
      <c r="BF1560" s="315"/>
      <c r="BG1560" s="42"/>
    </row>
    <row r="1561" spans="50:59" x14ac:dyDescent="0.2">
      <c r="AX1561" s="315"/>
      <c r="AY1561" s="326"/>
      <c r="AZ1561" s="175"/>
      <c r="BA1561" s="42"/>
      <c r="BB1561" s="426"/>
      <c r="BF1561" s="315"/>
      <c r="BG1561" s="42"/>
    </row>
    <row r="1562" spans="50:59" x14ac:dyDescent="0.2">
      <c r="AX1562" s="315"/>
      <c r="AY1562" s="326"/>
      <c r="AZ1562" s="175"/>
      <c r="BA1562" s="42"/>
      <c r="BB1562" s="426"/>
      <c r="BF1562" s="315"/>
      <c r="BG1562" s="42"/>
    </row>
    <row r="1563" spans="50:59" x14ac:dyDescent="0.2">
      <c r="AX1563" s="315"/>
      <c r="AY1563" s="326"/>
      <c r="AZ1563" s="175"/>
      <c r="BA1563" s="42"/>
      <c r="BB1563" s="426"/>
      <c r="BF1563" s="315"/>
      <c r="BG1563" s="42"/>
    </row>
    <row r="1564" spans="50:59" x14ac:dyDescent="0.2">
      <c r="AX1564" s="315"/>
      <c r="AY1564" s="326"/>
      <c r="AZ1564" s="175"/>
      <c r="BA1564" s="42"/>
      <c r="BB1564" s="426"/>
      <c r="BF1564" s="315"/>
      <c r="BG1564" s="42"/>
    </row>
    <row r="1565" spans="50:59" x14ac:dyDescent="0.2">
      <c r="AX1565" s="315"/>
      <c r="AY1565" s="326"/>
      <c r="AZ1565" s="175"/>
      <c r="BA1565" s="42"/>
      <c r="BB1565" s="426"/>
      <c r="BF1565" s="315"/>
      <c r="BG1565" s="42"/>
    </row>
    <row r="1566" spans="50:59" x14ac:dyDescent="0.2">
      <c r="AX1566" s="315"/>
      <c r="AY1566" s="326"/>
      <c r="AZ1566" s="175"/>
      <c r="BA1566" s="42"/>
      <c r="BB1566" s="426"/>
      <c r="BF1566" s="315"/>
      <c r="BG1566" s="42"/>
    </row>
    <row r="1567" spans="50:59" x14ac:dyDescent="0.2">
      <c r="AX1567" s="315"/>
      <c r="AY1567" s="326"/>
      <c r="AZ1567" s="175"/>
      <c r="BA1567" s="42"/>
      <c r="BB1567" s="426"/>
      <c r="BF1567" s="315"/>
      <c r="BG1567" s="42"/>
    </row>
    <row r="1568" spans="50:59" x14ac:dyDescent="0.2">
      <c r="AX1568" s="315"/>
      <c r="AY1568" s="326"/>
      <c r="AZ1568" s="175"/>
      <c r="BA1568" s="42"/>
      <c r="BB1568" s="426"/>
      <c r="BF1568" s="315"/>
      <c r="BG1568" s="42"/>
    </row>
    <row r="1569" spans="50:59" x14ac:dyDescent="0.2">
      <c r="AX1569" s="315"/>
      <c r="AY1569" s="326"/>
      <c r="AZ1569" s="175"/>
      <c r="BA1569" s="42"/>
      <c r="BB1569" s="426"/>
      <c r="BF1569" s="315"/>
      <c r="BG1569" s="42"/>
    </row>
    <row r="1570" spans="50:59" x14ac:dyDescent="0.2">
      <c r="AX1570" s="315"/>
      <c r="AY1570" s="326"/>
      <c r="AZ1570" s="175"/>
      <c r="BA1570" s="42"/>
      <c r="BB1570" s="426"/>
      <c r="BF1570" s="315"/>
      <c r="BG1570" s="42"/>
    </row>
    <row r="1571" spans="50:59" x14ac:dyDescent="0.2">
      <c r="AX1571" s="315"/>
      <c r="AY1571" s="326"/>
      <c r="AZ1571" s="175"/>
      <c r="BA1571" s="42"/>
      <c r="BB1571" s="426"/>
      <c r="BF1571" s="315"/>
      <c r="BG1571" s="42"/>
    </row>
    <row r="1572" spans="50:59" x14ac:dyDescent="0.2">
      <c r="AX1572" s="315"/>
      <c r="AY1572" s="326"/>
      <c r="AZ1572" s="175"/>
      <c r="BA1572" s="42"/>
      <c r="BB1572" s="426"/>
      <c r="BF1572" s="315"/>
      <c r="BG1572" s="42"/>
    </row>
    <row r="1573" spans="50:59" x14ac:dyDescent="0.2">
      <c r="AX1573" s="315"/>
      <c r="AY1573" s="326"/>
      <c r="AZ1573" s="175"/>
      <c r="BA1573" s="42"/>
      <c r="BB1573" s="426"/>
      <c r="BF1573" s="315"/>
      <c r="BG1573" s="42"/>
    </row>
    <row r="1574" spans="50:59" x14ac:dyDescent="0.2">
      <c r="AX1574" s="315"/>
      <c r="AY1574" s="326"/>
      <c r="AZ1574" s="175"/>
      <c r="BA1574" s="42"/>
      <c r="BB1574" s="426"/>
      <c r="BF1574" s="315"/>
      <c r="BG1574" s="42"/>
    </row>
    <row r="1575" spans="50:59" x14ac:dyDescent="0.2">
      <c r="AX1575" s="315"/>
      <c r="AY1575" s="326"/>
      <c r="AZ1575" s="175"/>
      <c r="BA1575" s="42"/>
      <c r="BB1575" s="426"/>
      <c r="BF1575" s="315"/>
      <c r="BG1575" s="42"/>
    </row>
    <row r="1576" spans="50:59" x14ac:dyDescent="0.2">
      <c r="AX1576" s="315"/>
      <c r="AY1576" s="326"/>
      <c r="AZ1576" s="175"/>
      <c r="BA1576" s="42"/>
      <c r="BB1576" s="426"/>
      <c r="BF1576" s="315"/>
      <c r="BG1576" s="42"/>
    </row>
    <row r="1577" spans="50:59" x14ac:dyDescent="0.2">
      <c r="AX1577" s="315"/>
      <c r="AY1577" s="326"/>
      <c r="AZ1577" s="175"/>
      <c r="BA1577" s="42"/>
      <c r="BB1577" s="426"/>
      <c r="BF1577" s="315"/>
      <c r="BG1577" s="42"/>
    </row>
    <row r="1578" spans="50:59" x14ac:dyDescent="0.2">
      <c r="AX1578" s="315"/>
      <c r="AY1578" s="326"/>
      <c r="AZ1578" s="175"/>
      <c r="BA1578" s="42"/>
      <c r="BB1578" s="426"/>
      <c r="BF1578" s="315"/>
      <c r="BG1578" s="42"/>
    </row>
    <row r="1579" spans="50:59" x14ac:dyDescent="0.2">
      <c r="AX1579" s="315"/>
      <c r="AY1579" s="326"/>
      <c r="AZ1579" s="175"/>
      <c r="BA1579" s="42"/>
      <c r="BB1579" s="426"/>
      <c r="BF1579" s="315"/>
      <c r="BG1579" s="42"/>
    </row>
    <row r="1580" spans="50:59" x14ac:dyDescent="0.2">
      <c r="AX1580" s="315"/>
      <c r="AY1580" s="326"/>
      <c r="AZ1580" s="175"/>
      <c r="BA1580" s="42"/>
      <c r="BB1580" s="426"/>
      <c r="BF1580" s="315"/>
      <c r="BG1580" s="42"/>
    </row>
    <row r="1581" spans="50:59" x14ac:dyDescent="0.2">
      <c r="AX1581" s="315"/>
      <c r="AY1581" s="326"/>
      <c r="AZ1581" s="175"/>
      <c r="BA1581" s="42"/>
      <c r="BB1581" s="426"/>
      <c r="BF1581" s="315"/>
      <c r="BG1581" s="42"/>
    </row>
    <row r="1582" spans="50:59" x14ac:dyDescent="0.2">
      <c r="AX1582" s="315"/>
      <c r="AY1582" s="326"/>
      <c r="AZ1582" s="175"/>
      <c r="BA1582" s="42"/>
      <c r="BB1582" s="426"/>
      <c r="BF1582" s="315"/>
      <c r="BG1582" s="42"/>
    </row>
    <row r="1583" spans="50:59" x14ac:dyDescent="0.2">
      <c r="AX1583" s="315"/>
      <c r="AY1583" s="326"/>
      <c r="AZ1583" s="175"/>
      <c r="BA1583" s="42"/>
      <c r="BB1583" s="426"/>
      <c r="BF1583" s="315"/>
      <c r="BG1583" s="42"/>
    </row>
    <row r="1584" spans="50:59" x14ac:dyDescent="0.2">
      <c r="AX1584" s="315"/>
      <c r="AY1584" s="326"/>
      <c r="AZ1584" s="175"/>
      <c r="BA1584" s="42"/>
      <c r="BB1584" s="426"/>
      <c r="BF1584" s="315"/>
      <c r="BG1584" s="42"/>
    </row>
    <row r="1585" spans="50:59" x14ac:dyDescent="0.2">
      <c r="AX1585" s="315"/>
      <c r="AY1585" s="326"/>
      <c r="AZ1585" s="175"/>
      <c r="BA1585" s="42"/>
      <c r="BB1585" s="426"/>
      <c r="BF1585" s="315"/>
      <c r="BG1585" s="42"/>
    </row>
    <row r="1586" spans="50:59" x14ac:dyDescent="0.2">
      <c r="AX1586" s="315"/>
      <c r="AY1586" s="326"/>
      <c r="AZ1586" s="175"/>
      <c r="BA1586" s="42"/>
      <c r="BB1586" s="426"/>
      <c r="BF1586" s="315"/>
      <c r="BG1586" s="42"/>
    </row>
    <row r="1587" spans="50:59" x14ac:dyDescent="0.2">
      <c r="AX1587" s="315"/>
      <c r="AY1587" s="326"/>
      <c r="AZ1587" s="175"/>
      <c r="BA1587" s="42"/>
      <c r="BB1587" s="426"/>
      <c r="BF1587" s="315"/>
      <c r="BG1587" s="42"/>
    </row>
    <row r="1588" spans="50:59" x14ac:dyDescent="0.2">
      <c r="AX1588" s="315"/>
      <c r="AY1588" s="326"/>
      <c r="AZ1588" s="175"/>
      <c r="BA1588" s="42"/>
      <c r="BB1588" s="426"/>
      <c r="BF1588" s="315"/>
      <c r="BG1588" s="42"/>
    </row>
    <row r="1589" spans="50:59" x14ac:dyDescent="0.2">
      <c r="AX1589" s="315"/>
      <c r="AY1589" s="326"/>
      <c r="AZ1589" s="175"/>
      <c r="BA1589" s="42"/>
      <c r="BB1589" s="426"/>
      <c r="BF1589" s="315"/>
      <c r="BG1589" s="42"/>
    </row>
    <row r="1590" spans="50:59" x14ac:dyDescent="0.2">
      <c r="AX1590" s="315"/>
      <c r="AY1590" s="326"/>
      <c r="AZ1590" s="175"/>
      <c r="BA1590" s="42"/>
      <c r="BB1590" s="426"/>
      <c r="BF1590" s="315"/>
      <c r="BG1590" s="42"/>
    </row>
    <row r="1591" spans="50:59" x14ac:dyDescent="0.2">
      <c r="AX1591" s="315"/>
      <c r="AY1591" s="326"/>
      <c r="AZ1591" s="175"/>
      <c r="BA1591" s="42"/>
      <c r="BB1591" s="426"/>
      <c r="BF1591" s="315"/>
      <c r="BG1591" s="42"/>
    </row>
    <row r="1592" spans="50:59" x14ac:dyDescent="0.2">
      <c r="AX1592" s="315"/>
      <c r="AY1592" s="326"/>
      <c r="AZ1592" s="175"/>
      <c r="BA1592" s="42"/>
      <c r="BB1592" s="426"/>
      <c r="BF1592" s="315"/>
      <c r="BG1592" s="42"/>
    </row>
    <row r="1593" spans="50:59" x14ac:dyDescent="0.2">
      <c r="AX1593" s="315"/>
      <c r="AY1593" s="326"/>
      <c r="AZ1593" s="175"/>
      <c r="BA1593" s="42"/>
      <c r="BB1593" s="426"/>
      <c r="BF1593" s="315"/>
      <c r="BG1593" s="42"/>
    </row>
    <row r="1594" spans="50:59" x14ac:dyDescent="0.2">
      <c r="AX1594" s="315"/>
      <c r="AY1594" s="326"/>
      <c r="AZ1594" s="175"/>
      <c r="BA1594" s="42"/>
      <c r="BB1594" s="426"/>
      <c r="BF1594" s="315"/>
      <c r="BG1594" s="42"/>
    </row>
    <row r="1595" spans="50:59" x14ac:dyDescent="0.2">
      <c r="AX1595" s="315"/>
      <c r="AY1595" s="326"/>
      <c r="AZ1595" s="175"/>
      <c r="BA1595" s="42"/>
      <c r="BB1595" s="426"/>
      <c r="BF1595" s="315"/>
      <c r="BG1595" s="42"/>
    </row>
    <row r="1596" spans="50:59" x14ac:dyDescent="0.2">
      <c r="AX1596" s="315"/>
      <c r="AY1596" s="326"/>
      <c r="AZ1596" s="175"/>
      <c r="BA1596" s="42"/>
      <c r="BB1596" s="426"/>
      <c r="BF1596" s="315"/>
      <c r="BG1596" s="42"/>
    </row>
    <row r="1597" spans="50:59" x14ac:dyDescent="0.2">
      <c r="AX1597" s="315"/>
      <c r="AY1597" s="326"/>
      <c r="AZ1597" s="175"/>
      <c r="BA1597" s="42"/>
      <c r="BB1597" s="426"/>
      <c r="BF1597" s="315"/>
      <c r="BG1597" s="42"/>
    </row>
    <row r="1598" spans="50:59" x14ac:dyDescent="0.2">
      <c r="AX1598" s="315"/>
      <c r="AY1598" s="326"/>
      <c r="AZ1598" s="175"/>
      <c r="BA1598" s="42"/>
      <c r="BB1598" s="426"/>
      <c r="BF1598" s="315"/>
      <c r="BG1598" s="42"/>
    </row>
    <row r="1599" spans="50:59" x14ac:dyDescent="0.2">
      <c r="AX1599" s="315"/>
      <c r="AY1599" s="326"/>
      <c r="AZ1599" s="175"/>
      <c r="BA1599" s="42"/>
      <c r="BB1599" s="426"/>
      <c r="BF1599" s="315"/>
      <c r="BG1599" s="42"/>
    </row>
    <row r="1600" spans="50:59" x14ac:dyDescent="0.2">
      <c r="AX1600" s="315"/>
      <c r="AY1600" s="326"/>
      <c r="AZ1600" s="175"/>
      <c r="BA1600" s="42"/>
      <c r="BB1600" s="426"/>
      <c r="BF1600" s="315"/>
      <c r="BG1600" s="42"/>
    </row>
    <row r="1601" spans="50:59" x14ac:dyDescent="0.2">
      <c r="AX1601" s="315"/>
      <c r="AY1601" s="326"/>
      <c r="AZ1601" s="175"/>
      <c r="BA1601" s="42"/>
      <c r="BB1601" s="426"/>
      <c r="BF1601" s="315"/>
      <c r="BG1601" s="42"/>
    </row>
    <row r="1602" spans="50:59" x14ac:dyDescent="0.2">
      <c r="AX1602" s="315"/>
      <c r="AY1602" s="326"/>
      <c r="AZ1602" s="175"/>
      <c r="BA1602" s="42"/>
      <c r="BB1602" s="426"/>
      <c r="BF1602" s="315"/>
      <c r="BG1602" s="42"/>
    </row>
    <row r="1603" spans="50:59" x14ac:dyDescent="0.2">
      <c r="AX1603" s="315"/>
      <c r="AY1603" s="326"/>
      <c r="AZ1603" s="175"/>
      <c r="BA1603" s="42"/>
      <c r="BB1603" s="426"/>
      <c r="BF1603" s="315"/>
      <c r="BG1603" s="42"/>
    </row>
    <row r="1604" spans="50:59" x14ac:dyDescent="0.2">
      <c r="AX1604" s="315"/>
      <c r="AY1604" s="326"/>
      <c r="AZ1604" s="175"/>
      <c r="BA1604" s="42"/>
      <c r="BB1604" s="426"/>
      <c r="BF1604" s="315"/>
      <c r="BG1604" s="42"/>
    </row>
    <row r="1605" spans="50:59" x14ac:dyDescent="0.2">
      <c r="AX1605" s="315"/>
      <c r="AY1605" s="326"/>
      <c r="AZ1605" s="175"/>
      <c r="BA1605" s="42"/>
      <c r="BB1605" s="426"/>
      <c r="BF1605" s="315"/>
      <c r="BG1605" s="42"/>
    </row>
    <row r="1606" spans="50:59" x14ac:dyDescent="0.2">
      <c r="AX1606" s="315"/>
      <c r="AY1606" s="326"/>
      <c r="AZ1606" s="175"/>
      <c r="BA1606" s="42"/>
      <c r="BB1606" s="426"/>
      <c r="BF1606" s="315"/>
      <c r="BG1606" s="42"/>
    </row>
    <row r="1607" spans="50:59" x14ac:dyDescent="0.2">
      <c r="AX1607" s="315"/>
      <c r="AY1607" s="326"/>
      <c r="AZ1607" s="175"/>
      <c r="BA1607" s="42"/>
      <c r="BB1607" s="426"/>
      <c r="BF1607" s="315"/>
      <c r="BG1607" s="42"/>
    </row>
    <row r="1608" spans="50:59" x14ac:dyDescent="0.2">
      <c r="AX1608" s="315"/>
      <c r="AY1608" s="326"/>
      <c r="AZ1608" s="175"/>
      <c r="BA1608" s="42"/>
      <c r="BB1608" s="426"/>
      <c r="BF1608" s="315"/>
      <c r="BG1608" s="42"/>
    </row>
    <row r="1609" spans="50:59" x14ac:dyDescent="0.2">
      <c r="AX1609" s="315"/>
      <c r="AY1609" s="326"/>
      <c r="AZ1609" s="175"/>
      <c r="BA1609" s="42"/>
      <c r="BB1609" s="426"/>
      <c r="BF1609" s="315"/>
      <c r="BG1609" s="42"/>
    </row>
    <row r="1610" spans="50:59" x14ac:dyDescent="0.2">
      <c r="AX1610" s="315"/>
      <c r="AY1610" s="326"/>
      <c r="AZ1610" s="175"/>
      <c r="BA1610" s="42"/>
      <c r="BB1610" s="426"/>
      <c r="BF1610" s="315"/>
      <c r="BG1610" s="42"/>
    </row>
    <row r="1611" spans="50:59" x14ac:dyDescent="0.2">
      <c r="AX1611" s="315"/>
      <c r="AY1611" s="326"/>
      <c r="AZ1611" s="175"/>
      <c r="BA1611" s="42"/>
      <c r="BB1611" s="426"/>
      <c r="BF1611" s="315"/>
      <c r="BG1611" s="42"/>
    </row>
    <row r="1612" spans="50:59" x14ac:dyDescent="0.2">
      <c r="AX1612" s="315"/>
      <c r="AY1612" s="326"/>
      <c r="AZ1612" s="175"/>
      <c r="BA1612" s="42"/>
      <c r="BB1612" s="426"/>
      <c r="BF1612" s="315"/>
      <c r="BG1612" s="42"/>
    </row>
    <row r="1613" spans="50:59" x14ac:dyDescent="0.2">
      <c r="AX1613" s="315"/>
      <c r="AY1613" s="326"/>
      <c r="AZ1613" s="175"/>
      <c r="BA1613" s="42"/>
      <c r="BB1613" s="426"/>
      <c r="BF1613" s="315"/>
      <c r="BG1613" s="42"/>
    </row>
    <row r="1614" spans="50:59" x14ac:dyDescent="0.2">
      <c r="AX1614" s="315"/>
      <c r="AY1614" s="326"/>
      <c r="AZ1614" s="175"/>
      <c r="BA1614" s="42"/>
      <c r="BB1614" s="426"/>
      <c r="BF1614" s="315"/>
      <c r="BG1614" s="42"/>
    </row>
    <row r="1615" spans="50:59" x14ac:dyDescent="0.2">
      <c r="AX1615" s="315"/>
      <c r="AY1615" s="326"/>
      <c r="AZ1615" s="175"/>
      <c r="BA1615" s="42"/>
      <c r="BB1615" s="426"/>
      <c r="BF1615" s="315"/>
      <c r="BG1615" s="42"/>
    </row>
    <row r="1616" spans="50:59" x14ac:dyDescent="0.2">
      <c r="AX1616" s="315"/>
      <c r="AY1616" s="326"/>
      <c r="AZ1616" s="175"/>
      <c r="BA1616" s="42"/>
      <c r="BB1616" s="426"/>
      <c r="BF1616" s="315"/>
      <c r="BG1616" s="42"/>
    </row>
    <row r="1617" spans="50:59" x14ac:dyDescent="0.2">
      <c r="AX1617" s="315"/>
      <c r="AY1617" s="326"/>
      <c r="AZ1617" s="175"/>
      <c r="BA1617" s="42"/>
      <c r="BB1617" s="426"/>
      <c r="BF1617" s="315"/>
      <c r="BG1617" s="42"/>
    </row>
    <row r="1618" spans="50:59" x14ac:dyDescent="0.2">
      <c r="AX1618" s="315"/>
      <c r="AY1618" s="326"/>
      <c r="AZ1618" s="175"/>
      <c r="BA1618" s="42"/>
      <c r="BB1618" s="426"/>
      <c r="BF1618" s="315"/>
      <c r="BG1618" s="42"/>
    </row>
    <row r="1619" spans="50:59" x14ac:dyDescent="0.2">
      <c r="AX1619" s="315"/>
      <c r="AY1619" s="326"/>
      <c r="AZ1619" s="175"/>
      <c r="BA1619" s="42"/>
      <c r="BB1619" s="426"/>
      <c r="BF1619" s="315"/>
      <c r="BG1619" s="42"/>
    </row>
    <row r="1620" spans="50:59" x14ac:dyDescent="0.2">
      <c r="AX1620" s="315"/>
      <c r="AY1620" s="326"/>
      <c r="AZ1620" s="175"/>
      <c r="BA1620" s="42"/>
      <c r="BB1620" s="426"/>
      <c r="BF1620" s="315"/>
      <c r="BG1620" s="42"/>
    </row>
    <row r="1621" spans="50:59" x14ac:dyDescent="0.2">
      <c r="AX1621" s="315"/>
      <c r="AY1621" s="326"/>
      <c r="AZ1621" s="175"/>
      <c r="BA1621" s="42"/>
      <c r="BB1621" s="426"/>
      <c r="BF1621" s="315"/>
      <c r="BG1621" s="42"/>
    </row>
    <row r="1622" spans="50:59" x14ac:dyDescent="0.2">
      <c r="AX1622" s="315"/>
      <c r="AY1622" s="326"/>
      <c r="AZ1622" s="175"/>
      <c r="BA1622" s="42"/>
      <c r="BB1622" s="426"/>
      <c r="BF1622" s="315"/>
      <c r="BG1622" s="42"/>
    </row>
    <row r="1623" spans="50:59" x14ac:dyDescent="0.2">
      <c r="AX1623" s="315"/>
      <c r="AY1623" s="326"/>
      <c r="AZ1623" s="175"/>
      <c r="BA1623" s="42"/>
      <c r="BB1623" s="426"/>
      <c r="BF1623" s="315"/>
      <c r="BG1623" s="42"/>
    </row>
    <row r="1624" spans="50:59" x14ac:dyDescent="0.2">
      <c r="AX1624" s="315"/>
      <c r="AY1624" s="326"/>
      <c r="AZ1624" s="175"/>
      <c r="BA1624" s="42"/>
      <c r="BB1624" s="426"/>
      <c r="BF1624" s="315"/>
      <c r="BG1624" s="42"/>
    </row>
    <row r="1625" spans="50:59" x14ac:dyDescent="0.2">
      <c r="AX1625" s="315"/>
      <c r="AY1625" s="326"/>
      <c r="AZ1625" s="175"/>
      <c r="BA1625" s="42"/>
      <c r="BB1625" s="426"/>
      <c r="BF1625" s="315"/>
      <c r="BG1625" s="42"/>
    </row>
    <row r="1626" spans="50:59" x14ac:dyDescent="0.2">
      <c r="AX1626" s="315"/>
      <c r="AY1626" s="326"/>
      <c r="AZ1626" s="175"/>
      <c r="BA1626" s="42"/>
      <c r="BB1626" s="426"/>
      <c r="BF1626" s="315"/>
      <c r="BG1626" s="42"/>
    </row>
    <row r="1627" spans="50:59" x14ac:dyDescent="0.2">
      <c r="AX1627" s="315"/>
      <c r="AY1627" s="326"/>
      <c r="AZ1627" s="175"/>
      <c r="BA1627" s="42"/>
      <c r="BB1627" s="426"/>
      <c r="BF1627" s="315"/>
      <c r="BG1627" s="42"/>
    </row>
    <row r="1628" spans="50:59" x14ac:dyDescent="0.2">
      <c r="AX1628" s="315"/>
      <c r="AY1628" s="326"/>
      <c r="AZ1628" s="175"/>
      <c r="BA1628" s="42"/>
      <c r="BB1628" s="426"/>
      <c r="BF1628" s="315"/>
      <c r="BG1628" s="42"/>
    </row>
    <row r="1629" spans="50:59" x14ac:dyDescent="0.2">
      <c r="AX1629" s="315"/>
      <c r="AY1629" s="326"/>
      <c r="AZ1629" s="175"/>
      <c r="BA1629" s="42"/>
      <c r="BB1629" s="426"/>
      <c r="BF1629" s="315"/>
      <c r="BG1629" s="42"/>
    </row>
    <row r="1630" spans="50:59" x14ac:dyDescent="0.2">
      <c r="AX1630" s="315"/>
      <c r="AY1630" s="326"/>
      <c r="AZ1630" s="175"/>
      <c r="BA1630" s="42"/>
      <c r="BB1630" s="426"/>
      <c r="BF1630" s="315"/>
      <c r="BG1630" s="42"/>
    </row>
    <row r="1631" spans="50:59" x14ac:dyDescent="0.2">
      <c r="AX1631" s="315"/>
      <c r="AY1631" s="326"/>
      <c r="AZ1631" s="175"/>
      <c r="BA1631" s="42"/>
      <c r="BB1631" s="426"/>
      <c r="BF1631" s="315"/>
      <c r="BG1631" s="42"/>
    </row>
    <row r="1632" spans="50:59" x14ac:dyDescent="0.2">
      <c r="AX1632" s="315"/>
      <c r="AY1632" s="326"/>
      <c r="AZ1632" s="175"/>
      <c r="BA1632" s="42"/>
      <c r="BB1632" s="426"/>
      <c r="BF1632" s="315"/>
      <c r="BG1632" s="42"/>
    </row>
    <row r="1633" spans="50:59" x14ac:dyDescent="0.2">
      <c r="AX1633" s="315"/>
      <c r="AY1633" s="326"/>
      <c r="AZ1633" s="175"/>
      <c r="BA1633" s="42"/>
      <c r="BB1633" s="426"/>
      <c r="BF1633" s="315"/>
      <c r="BG1633" s="42"/>
    </row>
    <row r="1634" spans="50:59" x14ac:dyDescent="0.2">
      <c r="AX1634" s="315"/>
      <c r="AY1634" s="326"/>
      <c r="AZ1634" s="175"/>
      <c r="BA1634" s="42"/>
      <c r="BB1634" s="426"/>
      <c r="BF1634" s="315"/>
      <c r="BG1634" s="42"/>
    </row>
    <row r="1635" spans="50:59" x14ac:dyDescent="0.2">
      <c r="AX1635" s="315"/>
      <c r="AY1635" s="326"/>
      <c r="AZ1635" s="175"/>
      <c r="BA1635" s="42"/>
      <c r="BB1635" s="426"/>
      <c r="BF1635" s="315"/>
      <c r="BG1635" s="42"/>
    </row>
    <row r="1636" spans="50:59" x14ac:dyDescent="0.2">
      <c r="AX1636" s="315"/>
      <c r="AY1636" s="326"/>
      <c r="AZ1636" s="175"/>
      <c r="BA1636" s="42"/>
      <c r="BB1636" s="426"/>
      <c r="BF1636" s="315"/>
      <c r="BG1636" s="42"/>
    </row>
    <row r="1637" spans="50:59" x14ac:dyDescent="0.2">
      <c r="AX1637" s="315"/>
      <c r="AY1637" s="326"/>
      <c r="AZ1637" s="175"/>
      <c r="BA1637" s="42"/>
      <c r="BB1637" s="426"/>
      <c r="BF1637" s="315"/>
      <c r="BG1637" s="42"/>
    </row>
    <row r="1638" spans="50:59" x14ac:dyDescent="0.2">
      <c r="AX1638" s="315"/>
      <c r="AY1638" s="326"/>
      <c r="AZ1638" s="175"/>
      <c r="BA1638" s="42"/>
      <c r="BB1638" s="426"/>
      <c r="BF1638" s="315"/>
      <c r="BG1638" s="42"/>
    </row>
    <row r="1639" spans="50:59" x14ac:dyDescent="0.2">
      <c r="AX1639" s="315"/>
      <c r="AY1639" s="326"/>
      <c r="AZ1639" s="175"/>
      <c r="BA1639" s="42"/>
      <c r="BB1639" s="426"/>
      <c r="BF1639" s="315"/>
      <c r="BG1639" s="42"/>
    </row>
    <row r="1640" spans="50:59" x14ac:dyDescent="0.2">
      <c r="AX1640" s="315"/>
      <c r="AY1640" s="326"/>
      <c r="AZ1640" s="175"/>
      <c r="BA1640" s="42"/>
      <c r="BB1640" s="426"/>
      <c r="BF1640" s="315"/>
      <c r="BG1640" s="42"/>
    </row>
    <row r="1641" spans="50:59" x14ac:dyDescent="0.2">
      <c r="AX1641" s="315"/>
      <c r="AY1641" s="326"/>
      <c r="AZ1641" s="175"/>
      <c r="BA1641" s="42"/>
      <c r="BB1641" s="426"/>
      <c r="BF1641" s="315"/>
      <c r="BG1641" s="42"/>
    </row>
    <row r="1642" spans="50:59" x14ac:dyDescent="0.2">
      <c r="AX1642" s="315"/>
      <c r="AY1642" s="326"/>
      <c r="AZ1642" s="175"/>
      <c r="BA1642" s="42"/>
      <c r="BB1642" s="426"/>
      <c r="BF1642" s="315"/>
      <c r="BG1642" s="42"/>
    </row>
    <row r="1643" spans="50:59" x14ac:dyDescent="0.2">
      <c r="AX1643" s="315"/>
      <c r="AY1643" s="326"/>
      <c r="AZ1643" s="175"/>
      <c r="BA1643" s="42"/>
      <c r="BB1643" s="426"/>
      <c r="BF1643" s="315"/>
      <c r="BG1643" s="42"/>
    </row>
    <row r="1644" spans="50:59" x14ac:dyDescent="0.2">
      <c r="AX1644" s="315"/>
      <c r="AY1644" s="326"/>
      <c r="AZ1644" s="175"/>
      <c r="BA1644" s="42"/>
      <c r="BB1644" s="426"/>
      <c r="BF1644" s="315"/>
      <c r="BG1644" s="42"/>
    </row>
    <row r="1645" spans="50:59" x14ac:dyDescent="0.2">
      <c r="AX1645" s="315"/>
      <c r="AY1645" s="326"/>
      <c r="AZ1645" s="175"/>
      <c r="BA1645" s="42"/>
      <c r="BB1645" s="426"/>
      <c r="BF1645" s="315"/>
      <c r="BG1645" s="42"/>
    </row>
    <row r="1646" spans="50:59" x14ac:dyDescent="0.2">
      <c r="AX1646" s="315"/>
      <c r="AY1646" s="326"/>
      <c r="AZ1646" s="175"/>
      <c r="BA1646" s="42"/>
      <c r="BB1646" s="426"/>
      <c r="BF1646" s="315"/>
      <c r="BG1646" s="42"/>
    </row>
    <row r="1647" spans="50:59" x14ac:dyDescent="0.2">
      <c r="AX1647" s="315"/>
      <c r="AY1647" s="326"/>
      <c r="AZ1647" s="175"/>
      <c r="BA1647" s="42"/>
      <c r="BB1647" s="426"/>
      <c r="BF1647" s="315"/>
      <c r="BG1647" s="42"/>
    </row>
    <row r="1648" spans="50:59" x14ac:dyDescent="0.2">
      <c r="AX1648" s="315"/>
      <c r="AY1648" s="326"/>
      <c r="AZ1648" s="175"/>
      <c r="BA1648" s="42"/>
      <c r="BB1648" s="426"/>
      <c r="BF1648" s="315"/>
      <c r="BG1648" s="42"/>
    </row>
    <row r="1649" spans="50:59" x14ac:dyDescent="0.2">
      <c r="AX1649" s="315"/>
      <c r="AY1649" s="326"/>
      <c r="AZ1649" s="175"/>
      <c r="BA1649" s="42"/>
      <c r="BB1649" s="426"/>
      <c r="BF1649" s="315"/>
      <c r="BG1649" s="42"/>
    </row>
    <row r="1650" spans="50:59" x14ac:dyDescent="0.2">
      <c r="AX1650" s="315"/>
      <c r="AY1650" s="326"/>
      <c r="AZ1650" s="175"/>
      <c r="BA1650" s="42"/>
      <c r="BB1650" s="426"/>
      <c r="BF1650" s="315"/>
      <c r="BG1650" s="42"/>
    </row>
    <row r="1651" spans="50:59" x14ac:dyDescent="0.2">
      <c r="AX1651" s="315"/>
      <c r="AY1651" s="326"/>
      <c r="AZ1651" s="175"/>
      <c r="BA1651" s="42"/>
      <c r="BB1651" s="426"/>
      <c r="BF1651" s="315"/>
      <c r="BG1651" s="42"/>
    </row>
    <row r="1652" spans="50:59" x14ac:dyDescent="0.2">
      <c r="AX1652" s="315"/>
      <c r="AY1652" s="326"/>
      <c r="AZ1652" s="175"/>
      <c r="BA1652" s="42"/>
      <c r="BB1652" s="426"/>
      <c r="BF1652" s="315"/>
      <c r="BG1652" s="42"/>
    </row>
    <row r="1653" spans="50:59" x14ac:dyDescent="0.2">
      <c r="AX1653" s="315"/>
      <c r="AY1653" s="326"/>
      <c r="AZ1653" s="175"/>
      <c r="BA1653" s="42"/>
      <c r="BB1653" s="426"/>
      <c r="BF1653" s="315"/>
      <c r="BG1653" s="42"/>
    </row>
    <row r="1654" spans="50:59" x14ac:dyDescent="0.2">
      <c r="AX1654" s="315"/>
      <c r="AY1654" s="326"/>
      <c r="AZ1654" s="175"/>
      <c r="BA1654" s="42"/>
      <c r="BB1654" s="426"/>
      <c r="BF1654" s="315"/>
      <c r="BG1654" s="42"/>
    </row>
    <row r="1655" spans="50:59" x14ac:dyDescent="0.2">
      <c r="AX1655" s="315"/>
      <c r="AY1655" s="326"/>
      <c r="AZ1655" s="175"/>
      <c r="BA1655" s="42"/>
      <c r="BB1655" s="426"/>
      <c r="BF1655" s="315"/>
      <c r="BG1655" s="42"/>
    </row>
    <row r="1656" spans="50:59" x14ac:dyDescent="0.2">
      <c r="AX1656" s="315"/>
      <c r="AY1656" s="326"/>
      <c r="AZ1656" s="175"/>
      <c r="BA1656" s="42"/>
      <c r="BB1656" s="426"/>
      <c r="BF1656" s="315"/>
      <c r="BG1656" s="42"/>
    </row>
    <row r="1657" spans="50:59" x14ac:dyDescent="0.2">
      <c r="AX1657" s="315"/>
      <c r="AY1657" s="326"/>
      <c r="AZ1657" s="175"/>
      <c r="BA1657" s="42"/>
      <c r="BB1657" s="426"/>
      <c r="BF1657" s="315"/>
      <c r="BG1657" s="42"/>
    </row>
    <row r="1658" spans="50:59" x14ac:dyDescent="0.2">
      <c r="AX1658" s="315"/>
      <c r="AY1658" s="326"/>
      <c r="AZ1658" s="175"/>
      <c r="BA1658" s="42"/>
      <c r="BB1658" s="426"/>
      <c r="BF1658" s="315"/>
      <c r="BG1658" s="42"/>
    </row>
    <row r="1659" spans="50:59" x14ac:dyDescent="0.2">
      <c r="AX1659" s="315"/>
      <c r="AY1659" s="326"/>
      <c r="AZ1659" s="175"/>
      <c r="BA1659" s="42"/>
      <c r="BB1659" s="426"/>
      <c r="BF1659" s="315"/>
      <c r="BG1659" s="42"/>
    </row>
    <row r="1660" spans="50:59" x14ac:dyDescent="0.2">
      <c r="AX1660" s="315"/>
      <c r="AY1660" s="326"/>
      <c r="AZ1660" s="175"/>
      <c r="BA1660" s="42"/>
      <c r="BB1660" s="426"/>
      <c r="BF1660" s="315"/>
      <c r="BG1660" s="42"/>
    </row>
    <row r="1661" spans="50:59" x14ac:dyDescent="0.2">
      <c r="AX1661" s="315"/>
      <c r="AY1661" s="326"/>
      <c r="AZ1661" s="175"/>
      <c r="BA1661" s="42"/>
      <c r="BB1661" s="426"/>
      <c r="BF1661" s="315"/>
      <c r="BG1661" s="42"/>
    </row>
    <row r="1662" spans="50:59" x14ac:dyDescent="0.2">
      <c r="AX1662" s="315"/>
      <c r="AY1662" s="326"/>
      <c r="AZ1662" s="175"/>
      <c r="BA1662" s="42"/>
      <c r="BB1662" s="426"/>
      <c r="BF1662" s="315"/>
      <c r="BG1662" s="42"/>
    </row>
    <row r="1663" spans="50:59" x14ac:dyDescent="0.2">
      <c r="AX1663" s="315"/>
      <c r="AY1663" s="326"/>
      <c r="AZ1663" s="175"/>
      <c r="BA1663" s="42"/>
      <c r="BB1663" s="426"/>
      <c r="BF1663" s="315"/>
      <c r="BG1663" s="42"/>
    </row>
    <row r="1664" spans="50:59" x14ac:dyDescent="0.2">
      <c r="AX1664" s="315"/>
      <c r="AY1664" s="326"/>
      <c r="AZ1664" s="175"/>
      <c r="BA1664" s="42"/>
      <c r="BB1664" s="426"/>
      <c r="BF1664" s="315"/>
      <c r="BG1664" s="42"/>
    </row>
    <row r="1665" spans="50:59" x14ac:dyDescent="0.2">
      <c r="AX1665" s="315"/>
      <c r="AY1665" s="326"/>
      <c r="AZ1665" s="175"/>
      <c r="BA1665" s="42"/>
      <c r="BB1665" s="426"/>
      <c r="BF1665" s="315"/>
      <c r="BG1665" s="42"/>
    </row>
    <row r="1666" spans="50:59" x14ac:dyDescent="0.2">
      <c r="AX1666" s="315"/>
      <c r="AY1666" s="326"/>
      <c r="AZ1666" s="175"/>
      <c r="BA1666" s="42"/>
      <c r="BB1666" s="426"/>
      <c r="BF1666" s="315"/>
      <c r="BG1666" s="42"/>
    </row>
    <row r="1667" spans="50:59" x14ac:dyDescent="0.2">
      <c r="AX1667" s="315"/>
      <c r="AY1667" s="326"/>
      <c r="AZ1667" s="175"/>
      <c r="BA1667" s="42"/>
      <c r="BB1667" s="426"/>
      <c r="BF1667" s="315"/>
      <c r="BG1667" s="42"/>
    </row>
    <row r="1668" spans="50:59" x14ac:dyDescent="0.2">
      <c r="AX1668" s="315"/>
      <c r="AY1668" s="326"/>
      <c r="AZ1668" s="175"/>
      <c r="BA1668" s="42"/>
      <c r="BB1668" s="426"/>
      <c r="BF1668" s="315"/>
      <c r="BG1668" s="42"/>
    </row>
    <row r="1669" spans="50:59" x14ac:dyDescent="0.2">
      <c r="AX1669" s="315"/>
      <c r="AY1669" s="326"/>
      <c r="AZ1669" s="175"/>
      <c r="BA1669" s="42"/>
      <c r="BB1669" s="426"/>
      <c r="BF1669" s="315"/>
      <c r="BG1669" s="42"/>
    </row>
    <row r="1670" spans="50:59" x14ac:dyDescent="0.2">
      <c r="AX1670" s="315"/>
      <c r="AY1670" s="326"/>
      <c r="AZ1670" s="175"/>
      <c r="BA1670" s="42"/>
      <c r="BB1670" s="426"/>
      <c r="BF1670" s="315"/>
      <c r="BG1670" s="42"/>
    </row>
    <row r="1671" spans="50:59" x14ac:dyDescent="0.2">
      <c r="AX1671" s="315"/>
      <c r="AY1671" s="326"/>
      <c r="AZ1671" s="175"/>
      <c r="BA1671" s="42"/>
      <c r="BB1671" s="426"/>
      <c r="BF1671" s="315"/>
      <c r="BG1671" s="42"/>
    </row>
    <row r="1672" spans="50:59" x14ac:dyDescent="0.2">
      <c r="AX1672" s="315"/>
      <c r="AY1672" s="326"/>
      <c r="AZ1672" s="175"/>
      <c r="BA1672" s="42"/>
      <c r="BB1672" s="426"/>
      <c r="BF1672" s="315"/>
      <c r="BG1672" s="42"/>
    </row>
    <row r="1673" spans="50:59" x14ac:dyDescent="0.2">
      <c r="AX1673" s="315"/>
      <c r="AY1673" s="326"/>
      <c r="AZ1673" s="175"/>
      <c r="BA1673" s="42"/>
      <c r="BB1673" s="426"/>
      <c r="BF1673" s="315"/>
      <c r="BG1673" s="42"/>
    </row>
    <row r="1674" spans="50:59" x14ac:dyDescent="0.2">
      <c r="AX1674" s="315"/>
      <c r="AY1674" s="326"/>
      <c r="AZ1674" s="175"/>
      <c r="BA1674" s="42"/>
      <c r="BB1674" s="426"/>
      <c r="BF1674" s="315"/>
      <c r="BG1674" s="42"/>
    </row>
    <row r="1675" spans="50:59" x14ac:dyDescent="0.2">
      <c r="AX1675" s="315"/>
      <c r="AY1675" s="326"/>
      <c r="AZ1675" s="175"/>
      <c r="BA1675" s="42"/>
      <c r="BB1675" s="426"/>
      <c r="BF1675" s="315"/>
      <c r="BG1675" s="42"/>
    </row>
    <row r="1676" spans="50:59" x14ac:dyDescent="0.2">
      <c r="AX1676" s="315"/>
      <c r="AY1676" s="326"/>
      <c r="AZ1676" s="175"/>
      <c r="BA1676" s="42"/>
      <c r="BB1676" s="426"/>
      <c r="BF1676" s="315"/>
      <c r="BG1676" s="42"/>
    </row>
    <row r="1677" spans="50:59" x14ac:dyDescent="0.2">
      <c r="AX1677" s="315"/>
      <c r="AY1677" s="326"/>
      <c r="AZ1677" s="175"/>
      <c r="BA1677" s="42"/>
      <c r="BB1677" s="426"/>
      <c r="BF1677" s="315"/>
      <c r="BG1677" s="42"/>
    </row>
    <row r="1678" spans="50:59" x14ac:dyDescent="0.2">
      <c r="AX1678" s="315"/>
      <c r="AY1678" s="326"/>
      <c r="AZ1678" s="175"/>
      <c r="BA1678" s="42"/>
      <c r="BB1678" s="426"/>
      <c r="BF1678" s="315"/>
      <c r="BG1678" s="42"/>
    </row>
    <row r="1679" spans="50:59" x14ac:dyDescent="0.2">
      <c r="AX1679" s="315"/>
      <c r="AY1679" s="326"/>
      <c r="AZ1679" s="175"/>
      <c r="BA1679" s="42"/>
      <c r="BB1679" s="426"/>
      <c r="BF1679" s="315"/>
      <c r="BG1679" s="42"/>
    </row>
    <row r="1680" spans="50:59" x14ac:dyDescent="0.2">
      <c r="AX1680" s="315"/>
      <c r="AY1680" s="326"/>
      <c r="AZ1680" s="175"/>
      <c r="BA1680" s="42"/>
      <c r="BB1680" s="426"/>
      <c r="BF1680" s="315"/>
      <c r="BG1680" s="42"/>
    </row>
    <row r="1681" spans="50:59" x14ac:dyDescent="0.2">
      <c r="AX1681" s="315"/>
      <c r="AY1681" s="326"/>
      <c r="AZ1681" s="175"/>
      <c r="BA1681" s="42"/>
      <c r="BB1681" s="426"/>
      <c r="BF1681" s="315"/>
      <c r="BG1681" s="42"/>
    </row>
    <row r="1682" spans="50:59" x14ac:dyDescent="0.2">
      <c r="AX1682" s="315"/>
      <c r="AY1682" s="326"/>
      <c r="AZ1682" s="175"/>
      <c r="BA1682" s="42"/>
      <c r="BB1682" s="426"/>
      <c r="BF1682" s="315"/>
      <c r="BG1682" s="42"/>
    </row>
    <row r="1683" spans="50:59" x14ac:dyDescent="0.2">
      <c r="AX1683" s="315"/>
      <c r="AY1683" s="326"/>
      <c r="AZ1683" s="175"/>
      <c r="BA1683" s="42"/>
      <c r="BB1683" s="426"/>
      <c r="BF1683" s="315"/>
      <c r="BG1683" s="42"/>
    </row>
    <row r="1684" spans="50:59" x14ac:dyDescent="0.2">
      <c r="AX1684" s="315"/>
      <c r="AY1684" s="326"/>
      <c r="AZ1684" s="175"/>
      <c r="BA1684" s="42"/>
      <c r="BB1684" s="426"/>
      <c r="BF1684" s="315"/>
      <c r="BG1684" s="42"/>
    </row>
    <row r="1685" spans="50:59" x14ac:dyDescent="0.2">
      <c r="AX1685" s="315"/>
      <c r="AY1685" s="326"/>
      <c r="AZ1685" s="175"/>
      <c r="BA1685" s="42"/>
      <c r="BB1685" s="426"/>
      <c r="BF1685" s="315"/>
      <c r="BG1685" s="42"/>
    </row>
    <row r="1686" spans="50:59" x14ac:dyDescent="0.2">
      <c r="AX1686" s="315"/>
      <c r="AY1686" s="326"/>
      <c r="AZ1686" s="175"/>
      <c r="BA1686" s="42"/>
      <c r="BB1686" s="426"/>
      <c r="BF1686" s="315"/>
      <c r="BG1686" s="42"/>
    </row>
    <row r="1687" spans="50:59" x14ac:dyDescent="0.2">
      <c r="AX1687" s="315"/>
      <c r="AY1687" s="326"/>
      <c r="AZ1687" s="175"/>
      <c r="BA1687" s="42"/>
      <c r="BB1687" s="426"/>
      <c r="BF1687" s="315"/>
      <c r="BG1687" s="42"/>
    </row>
    <row r="1688" spans="50:59" x14ac:dyDescent="0.2">
      <c r="AX1688" s="315"/>
      <c r="AY1688" s="326"/>
      <c r="AZ1688" s="175"/>
      <c r="BA1688" s="42"/>
      <c r="BB1688" s="426"/>
      <c r="BF1688" s="315"/>
      <c r="BG1688" s="42"/>
    </row>
    <row r="1689" spans="50:59" x14ac:dyDescent="0.2">
      <c r="AX1689" s="315"/>
      <c r="AY1689" s="326"/>
      <c r="AZ1689" s="175"/>
      <c r="BA1689" s="42"/>
      <c r="BB1689" s="426"/>
      <c r="BF1689" s="315"/>
      <c r="BG1689" s="42"/>
    </row>
    <row r="1690" spans="50:59" x14ac:dyDescent="0.2">
      <c r="AX1690" s="315"/>
      <c r="AY1690" s="326"/>
      <c r="AZ1690" s="175"/>
      <c r="BA1690" s="42"/>
      <c r="BB1690" s="426"/>
      <c r="BF1690" s="315"/>
      <c r="BG1690" s="42"/>
    </row>
    <row r="1691" spans="50:59" x14ac:dyDescent="0.2">
      <c r="AX1691" s="315"/>
      <c r="AY1691" s="326"/>
      <c r="AZ1691" s="175"/>
      <c r="BA1691" s="42"/>
      <c r="BB1691" s="426"/>
      <c r="BF1691" s="315"/>
      <c r="BG1691" s="42"/>
    </row>
    <row r="1692" spans="50:59" x14ac:dyDescent="0.2">
      <c r="AX1692" s="315"/>
      <c r="AY1692" s="326"/>
      <c r="AZ1692" s="175"/>
      <c r="BA1692" s="42"/>
      <c r="BB1692" s="426"/>
      <c r="BF1692" s="315"/>
      <c r="BG1692" s="42"/>
    </row>
    <row r="1693" spans="50:59" x14ac:dyDescent="0.2">
      <c r="AX1693" s="315"/>
      <c r="AY1693" s="326"/>
      <c r="AZ1693" s="175"/>
      <c r="BA1693" s="42"/>
      <c r="BB1693" s="426"/>
      <c r="BF1693" s="315"/>
      <c r="BG1693" s="42"/>
    </row>
    <row r="1694" spans="50:59" x14ac:dyDescent="0.2">
      <c r="AX1694" s="315"/>
      <c r="AY1694" s="326"/>
      <c r="AZ1694" s="175"/>
      <c r="BA1694" s="42"/>
      <c r="BB1694" s="426"/>
      <c r="BF1694" s="315"/>
      <c r="BG1694" s="42"/>
    </row>
    <row r="1695" spans="50:59" x14ac:dyDescent="0.2">
      <c r="AX1695" s="315"/>
      <c r="AY1695" s="326"/>
      <c r="AZ1695" s="175"/>
      <c r="BA1695" s="42"/>
      <c r="BB1695" s="426"/>
      <c r="BF1695" s="315"/>
      <c r="BG1695" s="42"/>
    </row>
    <row r="1696" spans="50:59" x14ac:dyDescent="0.2">
      <c r="AX1696" s="315"/>
      <c r="AY1696" s="326"/>
      <c r="AZ1696" s="175"/>
      <c r="BA1696" s="42"/>
      <c r="BB1696" s="426"/>
      <c r="BF1696" s="315"/>
      <c r="BG1696" s="42"/>
    </row>
    <row r="1697" spans="50:59" x14ac:dyDescent="0.2">
      <c r="AX1697" s="315"/>
      <c r="AY1697" s="326"/>
      <c r="AZ1697" s="175"/>
      <c r="BA1697" s="42"/>
      <c r="BB1697" s="426"/>
      <c r="BF1697" s="315"/>
      <c r="BG1697" s="42"/>
    </row>
    <row r="1698" spans="50:59" x14ac:dyDescent="0.2">
      <c r="AX1698" s="315"/>
      <c r="AY1698" s="326"/>
      <c r="AZ1698" s="175"/>
      <c r="BA1698" s="42"/>
      <c r="BB1698" s="426"/>
      <c r="BF1698" s="315"/>
      <c r="BG1698" s="42"/>
    </row>
    <row r="1699" spans="50:59" x14ac:dyDescent="0.2">
      <c r="AX1699" s="315"/>
      <c r="AY1699" s="326"/>
      <c r="AZ1699" s="175"/>
      <c r="BA1699" s="42"/>
      <c r="BB1699" s="426"/>
      <c r="BF1699" s="315"/>
      <c r="BG1699" s="42"/>
    </row>
    <row r="1700" spans="50:59" x14ac:dyDescent="0.2">
      <c r="AX1700" s="315"/>
      <c r="AY1700" s="326"/>
      <c r="AZ1700" s="175"/>
      <c r="BA1700" s="42"/>
      <c r="BB1700" s="426"/>
      <c r="BF1700" s="315"/>
      <c r="BG1700" s="42"/>
    </row>
    <row r="1701" spans="50:59" x14ac:dyDescent="0.2">
      <c r="AX1701" s="315"/>
      <c r="AY1701" s="326"/>
      <c r="AZ1701" s="175"/>
      <c r="BA1701" s="42"/>
      <c r="BB1701" s="426"/>
      <c r="BF1701" s="315"/>
      <c r="BG1701" s="42"/>
    </row>
    <row r="1702" spans="50:59" x14ac:dyDescent="0.2">
      <c r="AX1702" s="315"/>
      <c r="AY1702" s="326"/>
      <c r="AZ1702" s="175"/>
      <c r="BA1702" s="42"/>
      <c r="BB1702" s="426"/>
      <c r="BF1702" s="315"/>
      <c r="BG1702" s="42"/>
    </row>
    <row r="1703" spans="50:59" x14ac:dyDescent="0.2">
      <c r="AX1703" s="315"/>
      <c r="AY1703" s="326"/>
      <c r="AZ1703" s="175"/>
      <c r="BA1703" s="42"/>
      <c r="BB1703" s="426"/>
      <c r="BF1703" s="315"/>
      <c r="BG1703" s="42"/>
    </row>
    <row r="1704" spans="50:59" x14ac:dyDescent="0.2">
      <c r="AX1704" s="315"/>
      <c r="AY1704" s="326"/>
      <c r="AZ1704" s="175"/>
      <c r="BA1704" s="42"/>
      <c r="BB1704" s="426"/>
      <c r="BF1704" s="315"/>
      <c r="BG1704" s="42"/>
    </row>
    <row r="1705" spans="50:59" x14ac:dyDescent="0.2">
      <c r="AX1705" s="315"/>
      <c r="AY1705" s="326"/>
      <c r="AZ1705" s="175"/>
      <c r="BA1705" s="42"/>
      <c r="BB1705" s="426"/>
      <c r="BF1705" s="315"/>
      <c r="BG1705" s="42"/>
    </row>
    <row r="1706" spans="50:59" x14ac:dyDescent="0.2">
      <c r="AX1706" s="315"/>
      <c r="AY1706" s="326"/>
      <c r="AZ1706" s="175"/>
      <c r="BA1706" s="42"/>
      <c r="BB1706" s="426"/>
      <c r="BF1706" s="315"/>
      <c r="BG1706" s="42"/>
    </row>
    <row r="1707" spans="50:59" x14ac:dyDescent="0.2">
      <c r="AX1707" s="315"/>
      <c r="AY1707" s="326"/>
      <c r="AZ1707" s="175"/>
      <c r="BA1707" s="42"/>
      <c r="BB1707" s="426"/>
      <c r="BF1707" s="315"/>
      <c r="BG1707" s="42"/>
    </row>
    <row r="1708" spans="50:59" x14ac:dyDescent="0.2">
      <c r="AX1708" s="315"/>
      <c r="AY1708" s="326"/>
      <c r="AZ1708" s="175"/>
      <c r="BA1708" s="42"/>
      <c r="BB1708" s="426"/>
      <c r="BF1708" s="315"/>
      <c r="BG1708" s="42"/>
    </row>
    <row r="1709" spans="50:59" x14ac:dyDescent="0.2">
      <c r="AX1709" s="315"/>
      <c r="AY1709" s="326"/>
      <c r="AZ1709" s="175"/>
      <c r="BA1709" s="42"/>
      <c r="BB1709" s="426"/>
      <c r="BF1709" s="315"/>
      <c r="BG1709" s="42"/>
    </row>
    <row r="1710" spans="50:59" x14ac:dyDescent="0.2">
      <c r="AX1710" s="315"/>
      <c r="AY1710" s="326"/>
      <c r="AZ1710" s="175"/>
      <c r="BA1710" s="42"/>
      <c r="BB1710" s="426"/>
      <c r="BF1710" s="315"/>
      <c r="BG1710" s="42"/>
    </row>
    <row r="1711" spans="50:59" x14ac:dyDescent="0.2">
      <c r="AX1711" s="315"/>
      <c r="AY1711" s="326"/>
      <c r="AZ1711" s="175"/>
      <c r="BA1711" s="42"/>
      <c r="BB1711" s="426"/>
      <c r="BF1711" s="315"/>
      <c r="BG1711" s="42"/>
    </row>
    <row r="1712" spans="50:59" x14ac:dyDescent="0.2">
      <c r="AX1712" s="315"/>
      <c r="AY1712" s="326"/>
      <c r="AZ1712" s="175"/>
      <c r="BA1712" s="42"/>
      <c r="BB1712" s="426"/>
      <c r="BF1712" s="315"/>
      <c r="BG1712" s="42"/>
    </row>
    <row r="1713" spans="50:59" x14ac:dyDescent="0.2">
      <c r="AX1713" s="315"/>
      <c r="AY1713" s="326"/>
      <c r="AZ1713" s="175"/>
      <c r="BA1713" s="42"/>
      <c r="BB1713" s="426"/>
      <c r="BF1713" s="315"/>
      <c r="BG1713" s="42"/>
    </row>
    <row r="1714" spans="50:59" x14ac:dyDescent="0.2">
      <c r="AX1714" s="315"/>
      <c r="AY1714" s="326"/>
      <c r="AZ1714" s="175"/>
      <c r="BA1714" s="42"/>
      <c r="BB1714" s="426"/>
      <c r="BF1714" s="315"/>
      <c r="BG1714" s="42"/>
    </row>
    <row r="1715" spans="50:59" x14ac:dyDescent="0.2">
      <c r="AX1715" s="315"/>
      <c r="AY1715" s="326"/>
      <c r="AZ1715" s="175"/>
      <c r="BA1715" s="42"/>
      <c r="BB1715" s="426"/>
      <c r="BF1715" s="315"/>
      <c r="BG1715" s="42"/>
    </row>
    <row r="1716" spans="50:59" x14ac:dyDescent="0.2">
      <c r="AX1716" s="315"/>
      <c r="AY1716" s="326"/>
      <c r="AZ1716" s="175"/>
      <c r="BA1716" s="42"/>
      <c r="BB1716" s="426"/>
      <c r="BF1716" s="315"/>
      <c r="BG1716" s="42"/>
    </row>
    <row r="1717" spans="50:59" x14ac:dyDescent="0.2">
      <c r="AX1717" s="315"/>
      <c r="AY1717" s="326"/>
      <c r="AZ1717" s="175"/>
      <c r="BA1717" s="42"/>
      <c r="BB1717" s="426"/>
      <c r="BF1717" s="315"/>
      <c r="BG1717" s="42"/>
    </row>
    <row r="1718" spans="50:59" x14ac:dyDescent="0.2">
      <c r="AX1718" s="315"/>
      <c r="AY1718" s="326"/>
      <c r="AZ1718" s="175"/>
      <c r="BA1718" s="42"/>
      <c r="BB1718" s="426"/>
      <c r="BF1718" s="315"/>
      <c r="BG1718" s="42"/>
    </row>
    <row r="1719" spans="50:59" x14ac:dyDescent="0.2">
      <c r="AX1719" s="315"/>
      <c r="AY1719" s="326"/>
      <c r="AZ1719" s="175"/>
      <c r="BA1719" s="42"/>
      <c r="BB1719" s="426"/>
      <c r="BF1719" s="315"/>
      <c r="BG1719" s="42"/>
    </row>
    <row r="1720" spans="50:59" x14ac:dyDescent="0.2">
      <c r="AX1720" s="315"/>
      <c r="AY1720" s="326"/>
      <c r="AZ1720" s="175"/>
      <c r="BA1720" s="42"/>
      <c r="BB1720" s="426"/>
      <c r="BF1720" s="315"/>
      <c r="BG1720" s="42"/>
    </row>
    <row r="1721" spans="50:59" x14ac:dyDescent="0.2">
      <c r="AX1721" s="315"/>
      <c r="AY1721" s="326"/>
      <c r="AZ1721" s="175"/>
      <c r="BA1721" s="42"/>
      <c r="BB1721" s="426"/>
      <c r="BF1721" s="315"/>
      <c r="BG1721" s="42"/>
    </row>
    <row r="1722" spans="50:59" x14ac:dyDescent="0.2">
      <c r="AX1722" s="315"/>
      <c r="AY1722" s="326"/>
      <c r="AZ1722" s="175"/>
      <c r="BA1722" s="42"/>
      <c r="BB1722" s="426"/>
      <c r="BF1722" s="315"/>
      <c r="BG1722" s="42"/>
    </row>
    <row r="1723" spans="50:59" x14ac:dyDescent="0.2">
      <c r="AX1723" s="315"/>
      <c r="AY1723" s="326"/>
      <c r="AZ1723" s="175"/>
      <c r="BA1723" s="42"/>
      <c r="BB1723" s="426"/>
      <c r="BF1723" s="315"/>
      <c r="BG1723" s="42"/>
    </row>
    <row r="1724" spans="50:59" x14ac:dyDescent="0.2">
      <c r="AX1724" s="315"/>
      <c r="AY1724" s="326"/>
      <c r="AZ1724" s="175"/>
      <c r="BA1724" s="42"/>
      <c r="BB1724" s="426"/>
      <c r="BF1724" s="315"/>
      <c r="BG1724" s="42"/>
    </row>
    <row r="1725" spans="50:59" x14ac:dyDescent="0.2">
      <c r="AX1725" s="315"/>
      <c r="AY1725" s="326"/>
      <c r="AZ1725" s="175"/>
      <c r="BA1725" s="42"/>
      <c r="BB1725" s="426"/>
      <c r="BF1725" s="315"/>
      <c r="BG1725" s="42"/>
    </row>
    <row r="1726" spans="50:59" x14ac:dyDescent="0.2">
      <c r="AX1726" s="315"/>
      <c r="AY1726" s="326"/>
      <c r="AZ1726" s="175"/>
      <c r="BA1726" s="42"/>
      <c r="BB1726" s="426"/>
      <c r="BF1726" s="315"/>
      <c r="BG1726" s="42"/>
    </row>
    <row r="1727" spans="50:59" x14ac:dyDescent="0.2">
      <c r="AX1727" s="315"/>
      <c r="AY1727" s="326"/>
      <c r="AZ1727" s="175"/>
      <c r="BA1727" s="42"/>
      <c r="BB1727" s="426"/>
      <c r="BF1727" s="315"/>
      <c r="BG1727" s="42"/>
    </row>
    <row r="1728" spans="50:59" x14ac:dyDescent="0.2">
      <c r="AX1728" s="315"/>
      <c r="AY1728" s="326"/>
      <c r="AZ1728" s="175"/>
      <c r="BA1728" s="42"/>
      <c r="BB1728" s="426"/>
      <c r="BF1728" s="315"/>
      <c r="BG1728" s="42"/>
    </row>
    <row r="1729" spans="50:59" x14ac:dyDescent="0.2">
      <c r="AX1729" s="315"/>
      <c r="AY1729" s="326"/>
      <c r="AZ1729" s="175"/>
      <c r="BA1729" s="42"/>
      <c r="BB1729" s="426"/>
      <c r="BF1729" s="315"/>
      <c r="BG1729" s="42"/>
    </row>
    <row r="1730" spans="50:59" x14ac:dyDescent="0.2">
      <c r="AX1730" s="315"/>
      <c r="AY1730" s="326"/>
      <c r="AZ1730" s="175"/>
      <c r="BA1730" s="42"/>
      <c r="BB1730" s="426"/>
      <c r="BF1730" s="315"/>
      <c r="BG1730" s="42"/>
    </row>
    <row r="1731" spans="50:59" x14ac:dyDescent="0.2">
      <c r="AX1731" s="315"/>
      <c r="AY1731" s="326"/>
      <c r="AZ1731" s="175"/>
      <c r="BA1731" s="42"/>
      <c r="BB1731" s="426"/>
      <c r="BF1731" s="315"/>
      <c r="BG1731" s="42"/>
    </row>
    <row r="1732" spans="50:59" x14ac:dyDescent="0.2">
      <c r="AX1732" s="315"/>
      <c r="AY1732" s="326"/>
      <c r="AZ1732" s="175"/>
      <c r="BA1732" s="42"/>
      <c r="BB1732" s="426"/>
      <c r="BF1732" s="315"/>
      <c r="BG1732" s="42"/>
    </row>
    <row r="1733" spans="50:59" x14ac:dyDescent="0.2">
      <c r="AX1733" s="315"/>
      <c r="AY1733" s="326"/>
      <c r="AZ1733" s="175"/>
      <c r="BA1733" s="42"/>
      <c r="BB1733" s="426"/>
      <c r="BF1733" s="315"/>
      <c r="BG1733" s="42"/>
    </row>
    <row r="1734" spans="50:59" x14ac:dyDescent="0.2">
      <c r="AX1734" s="315"/>
      <c r="AY1734" s="326"/>
      <c r="AZ1734" s="175"/>
      <c r="BA1734" s="42"/>
      <c r="BB1734" s="426"/>
      <c r="BF1734" s="315"/>
      <c r="BG1734" s="42"/>
    </row>
    <row r="1735" spans="50:59" x14ac:dyDescent="0.2">
      <c r="AX1735" s="315"/>
      <c r="AY1735" s="326"/>
      <c r="AZ1735" s="175"/>
      <c r="BA1735" s="42"/>
      <c r="BB1735" s="426"/>
      <c r="BF1735" s="315"/>
      <c r="BG1735" s="42"/>
    </row>
    <row r="1736" spans="50:59" x14ac:dyDescent="0.2">
      <c r="AX1736" s="315"/>
      <c r="AY1736" s="326"/>
      <c r="AZ1736" s="175"/>
      <c r="BA1736" s="42"/>
      <c r="BB1736" s="426"/>
      <c r="BF1736" s="315"/>
      <c r="BG1736" s="42"/>
    </row>
    <row r="1737" spans="50:59" x14ac:dyDescent="0.2">
      <c r="AX1737" s="315"/>
      <c r="AY1737" s="326"/>
      <c r="AZ1737" s="175"/>
      <c r="BA1737" s="42"/>
      <c r="BB1737" s="426"/>
      <c r="BF1737" s="315"/>
      <c r="BG1737" s="42"/>
    </row>
    <row r="1738" spans="50:59" x14ac:dyDescent="0.2">
      <c r="AX1738" s="315"/>
      <c r="AY1738" s="326"/>
      <c r="AZ1738" s="175"/>
      <c r="BA1738" s="42"/>
      <c r="BB1738" s="426"/>
      <c r="BF1738" s="315"/>
      <c r="BG1738" s="42"/>
    </row>
    <row r="1739" spans="50:59" x14ac:dyDescent="0.2">
      <c r="AX1739" s="315"/>
      <c r="AY1739" s="326"/>
      <c r="AZ1739" s="175"/>
      <c r="BA1739" s="42"/>
      <c r="BB1739" s="426"/>
      <c r="BF1739" s="315"/>
      <c r="BG1739" s="42"/>
    </row>
    <row r="1740" spans="50:59" x14ac:dyDescent="0.2">
      <c r="AX1740" s="315"/>
      <c r="AY1740" s="326"/>
      <c r="AZ1740" s="175"/>
      <c r="BA1740" s="42"/>
      <c r="BB1740" s="426"/>
      <c r="BF1740" s="315"/>
      <c r="BG1740" s="42"/>
    </row>
    <row r="1741" spans="50:59" x14ac:dyDescent="0.2">
      <c r="AX1741" s="315"/>
      <c r="AY1741" s="326"/>
      <c r="AZ1741" s="175"/>
      <c r="BA1741" s="42"/>
      <c r="BB1741" s="426"/>
      <c r="BF1741" s="315"/>
      <c r="BG1741" s="42"/>
    </row>
    <row r="1742" spans="50:59" x14ac:dyDescent="0.2">
      <c r="AX1742" s="315"/>
      <c r="AY1742" s="326"/>
      <c r="AZ1742" s="175"/>
      <c r="BA1742" s="42"/>
      <c r="BB1742" s="426"/>
      <c r="BF1742" s="315"/>
      <c r="BG1742" s="42"/>
    </row>
    <row r="1743" spans="50:59" x14ac:dyDescent="0.2">
      <c r="AX1743" s="315"/>
      <c r="AY1743" s="326"/>
      <c r="AZ1743" s="175"/>
      <c r="BA1743" s="42"/>
      <c r="BB1743" s="426"/>
      <c r="BF1743" s="315"/>
      <c r="BG1743" s="42"/>
    </row>
    <row r="1744" spans="50:59" x14ac:dyDescent="0.2">
      <c r="AX1744" s="315"/>
      <c r="AY1744" s="326"/>
      <c r="AZ1744" s="175"/>
      <c r="BA1744" s="42"/>
      <c r="BB1744" s="426"/>
      <c r="BF1744" s="315"/>
      <c r="BG1744" s="42"/>
    </row>
    <row r="1745" spans="50:59" x14ac:dyDescent="0.2">
      <c r="AX1745" s="315"/>
      <c r="AY1745" s="326"/>
      <c r="AZ1745" s="175"/>
      <c r="BA1745" s="42"/>
      <c r="BB1745" s="426"/>
      <c r="BF1745" s="315"/>
      <c r="BG1745" s="42"/>
    </row>
    <row r="1746" spans="50:59" x14ac:dyDescent="0.2">
      <c r="AX1746" s="315"/>
      <c r="AY1746" s="326"/>
      <c r="AZ1746" s="175"/>
      <c r="BA1746" s="42"/>
      <c r="BB1746" s="426"/>
      <c r="BF1746" s="315"/>
      <c r="BG1746" s="42"/>
    </row>
    <row r="1747" spans="50:59" x14ac:dyDescent="0.2">
      <c r="AX1747" s="315"/>
      <c r="AY1747" s="326"/>
      <c r="AZ1747" s="175"/>
      <c r="BA1747" s="42"/>
      <c r="BB1747" s="426"/>
      <c r="BF1747" s="315"/>
      <c r="BG1747" s="42"/>
    </row>
    <row r="1748" spans="50:59" x14ac:dyDescent="0.2">
      <c r="AX1748" s="315"/>
      <c r="AY1748" s="326"/>
      <c r="AZ1748" s="175"/>
      <c r="BA1748" s="42"/>
      <c r="BB1748" s="426"/>
      <c r="BF1748" s="315"/>
      <c r="BG1748" s="42"/>
    </row>
    <row r="1749" spans="50:59" x14ac:dyDescent="0.2">
      <c r="AX1749" s="315"/>
      <c r="AY1749" s="326"/>
      <c r="AZ1749" s="175"/>
      <c r="BA1749" s="42"/>
      <c r="BB1749" s="426"/>
      <c r="BF1749" s="315"/>
      <c r="BG1749" s="42"/>
    </row>
    <row r="1750" spans="50:59" x14ac:dyDescent="0.2">
      <c r="AX1750" s="315"/>
      <c r="AY1750" s="326"/>
      <c r="AZ1750" s="175"/>
      <c r="BA1750" s="42"/>
      <c r="BB1750" s="426"/>
      <c r="BF1750" s="315"/>
      <c r="BG1750" s="42"/>
    </row>
    <row r="1751" spans="50:59" x14ac:dyDescent="0.2">
      <c r="AX1751" s="315"/>
      <c r="AY1751" s="326"/>
      <c r="AZ1751" s="175"/>
      <c r="BA1751" s="42"/>
      <c r="BB1751" s="426"/>
      <c r="BF1751" s="315"/>
      <c r="BG1751" s="42"/>
    </row>
    <row r="1752" spans="50:59" x14ac:dyDescent="0.2">
      <c r="AX1752" s="315"/>
      <c r="AY1752" s="326"/>
      <c r="AZ1752" s="175"/>
      <c r="BA1752" s="42"/>
      <c r="BB1752" s="426"/>
      <c r="BF1752" s="315"/>
      <c r="BG1752" s="42"/>
    </row>
    <row r="1753" spans="50:59" x14ac:dyDescent="0.2">
      <c r="AX1753" s="315"/>
      <c r="AY1753" s="326"/>
      <c r="AZ1753" s="175"/>
      <c r="BA1753" s="42"/>
      <c r="BB1753" s="426"/>
      <c r="BF1753" s="315"/>
      <c r="BG1753" s="42"/>
    </row>
    <row r="1754" spans="50:59" x14ac:dyDescent="0.2">
      <c r="AX1754" s="315"/>
      <c r="AY1754" s="326"/>
      <c r="AZ1754" s="175"/>
      <c r="BA1754" s="42"/>
      <c r="BB1754" s="426"/>
      <c r="BF1754" s="315"/>
      <c r="BG1754" s="42"/>
    </row>
    <row r="1755" spans="50:59" x14ac:dyDescent="0.2">
      <c r="AX1755" s="315"/>
      <c r="AY1755" s="326"/>
      <c r="AZ1755" s="175"/>
      <c r="BA1755" s="42"/>
      <c r="BB1755" s="426"/>
      <c r="BF1755" s="315"/>
      <c r="BG1755" s="42"/>
    </row>
    <row r="1756" spans="50:59" x14ac:dyDescent="0.2">
      <c r="AX1756" s="315"/>
      <c r="AY1756" s="326"/>
      <c r="AZ1756" s="175"/>
      <c r="BA1756" s="42"/>
      <c r="BB1756" s="426"/>
      <c r="BF1756" s="315"/>
      <c r="BG1756" s="42"/>
    </row>
    <row r="1757" spans="50:59" x14ac:dyDescent="0.2">
      <c r="AX1757" s="315"/>
      <c r="AY1757" s="326"/>
      <c r="AZ1757" s="175"/>
      <c r="BA1757" s="42"/>
      <c r="BB1757" s="426"/>
      <c r="BF1757" s="315"/>
      <c r="BG1757" s="42"/>
    </row>
    <row r="1758" spans="50:59" x14ac:dyDescent="0.2">
      <c r="AX1758" s="315"/>
      <c r="AY1758" s="326"/>
      <c r="AZ1758" s="175"/>
      <c r="BA1758" s="42"/>
      <c r="BB1758" s="426"/>
      <c r="BF1758" s="315"/>
      <c r="BG1758" s="42"/>
    </row>
    <row r="1759" spans="50:59" x14ac:dyDescent="0.2">
      <c r="AX1759" s="315"/>
      <c r="AY1759" s="326"/>
      <c r="AZ1759" s="175"/>
      <c r="BA1759" s="42"/>
      <c r="BB1759" s="426"/>
      <c r="BF1759" s="315"/>
      <c r="BG1759" s="42"/>
    </row>
    <row r="1760" spans="50:59" x14ac:dyDescent="0.2">
      <c r="AX1760" s="315"/>
      <c r="AY1760" s="326"/>
      <c r="AZ1760" s="175"/>
      <c r="BA1760" s="42"/>
      <c r="BB1760" s="426"/>
      <c r="BF1760" s="315"/>
      <c r="BG1760" s="42"/>
    </row>
    <row r="1761" spans="50:59" x14ac:dyDescent="0.2">
      <c r="AX1761" s="315"/>
      <c r="AY1761" s="326"/>
      <c r="AZ1761" s="175"/>
      <c r="BA1761" s="42"/>
      <c r="BB1761" s="426"/>
      <c r="BF1761" s="315"/>
      <c r="BG1761" s="42"/>
    </row>
    <row r="1762" spans="50:59" x14ac:dyDescent="0.2">
      <c r="AX1762" s="315"/>
      <c r="AY1762" s="326"/>
      <c r="AZ1762" s="175"/>
      <c r="BA1762" s="42"/>
      <c r="BB1762" s="426"/>
      <c r="BF1762" s="315"/>
      <c r="BG1762" s="42"/>
    </row>
    <row r="1763" spans="50:59" x14ac:dyDescent="0.2">
      <c r="AX1763" s="315"/>
      <c r="AY1763" s="326"/>
      <c r="AZ1763" s="175"/>
      <c r="BA1763" s="42"/>
      <c r="BB1763" s="426"/>
      <c r="BF1763" s="315"/>
      <c r="BG1763" s="42"/>
    </row>
    <row r="1764" spans="50:59" x14ac:dyDescent="0.2">
      <c r="AX1764" s="315"/>
      <c r="AY1764" s="326"/>
      <c r="AZ1764" s="175"/>
      <c r="BA1764" s="42"/>
      <c r="BB1764" s="426"/>
      <c r="BF1764" s="315"/>
      <c r="BG1764" s="42"/>
    </row>
    <row r="1765" spans="50:59" x14ac:dyDescent="0.2">
      <c r="AX1765" s="315"/>
      <c r="AY1765" s="326"/>
      <c r="AZ1765" s="175"/>
      <c r="BA1765" s="42"/>
      <c r="BB1765" s="426"/>
      <c r="BF1765" s="315"/>
      <c r="BG1765" s="42"/>
    </row>
    <row r="1766" spans="50:59" x14ac:dyDescent="0.2">
      <c r="AX1766" s="315"/>
      <c r="AY1766" s="326"/>
      <c r="AZ1766" s="175"/>
      <c r="BA1766" s="42"/>
      <c r="BB1766" s="426"/>
      <c r="BF1766" s="315"/>
      <c r="BG1766" s="42"/>
    </row>
    <row r="1767" spans="50:59" x14ac:dyDescent="0.2">
      <c r="AX1767" s="315"/>
      <c r="AY1767" s="326"/>
      <c r="AZ1767" s="175"/>
      <c r="BA1767" s="42"/>
      <c r="BB1767" s="426"/>
      <c r="BF1767" s="315"/>
      <c r="BG1767" s="42"/>
    </row>
    <row r="1768" spans="50:59" x14ac:dyDescent="0.2">
      <c r="AX1768" s="315"/>
      <c r="AY1768" s="326"/>
      <c r="AZ1768" s="175"/>
      <c r="BA1768" s="42"/>
      <c r="BB1768" s="426"/>
      <c r="BF1768" s="315"/>
      <c r="BG1768" s="42"/>
    </row>
    <row r="1769" spans="50:59" x14ac:dyDescent="0.2">
      <c r="AX1769" s="315"/>
      <c r="AY1769" s="326"/>
      <c r="AZ1769" s="175"/>
      <c r="BA1769" s="42"/>
      <c r="BB1769" s="426"/>
      <c r="BF1769" s="315"/>
      <c r="BG1769" s="42"/>
    </row>
    <row r="1770" spans="50:59" x14ac:dyDescent="0.2">
      <c r="AX1770" s="315"/>
      <c r="AY1770" s="326"/>
      <c r="AZ1770" s="175"/>
      <c r="BA1770" s="42"/>
      <c r="BB1770" s="426"/>
      <c r="BF1770" s="315"/>
      <c r="BG1770" s="42"/>
    </row>
    <row r="1771" spans="50:59" x14ac:dyDescent="0.2">
      <c r="AX1771" s="315"/>
      <c r="AY1771" s="326"/>
      <c r="AZ1771" s="175"/>
      <c r="BA1771" s="42"/>
      <c r="BB1771" s="426"/>
      <c r="BF1771" s="315"/>
      <c r="BG1771" s="42"/>
    </row>
    <row r="1772" spans="50:59" x14ac:dyDescent="0.2">
      <c r="AX1772" s="315"/>
      <c r="AY1772" s="326"/>
      <c r="AZ1772" s="175"/>
      <c r="BA1772" s="42"/>
      <c r="BB1772" s="426"/>
      <c r="BF1772" s="315"/>
      <c r="BG1772" s="42"/>
    </row>
    <row r="1773" spans="50:59" x14ac:dyDescent="0.2">
      <c r="AX1773" s="315"/>
      <c r="AY1773" s="326"/>
      <c r="AZ1773" s="175"/>
      <c r="BA1773" s="42"/>
      <c r="BB1773" s="426"/>
      <c r="BF1773" s="315"/>
      <c r="BG1773" s="42"/>
    </row>
    <row r="1774" spans="50:59" x14ac:dyDescent="0.2">
      <c r="AX1774" s="315"/>
      <c r="AY1774" s="326"/>
      <c r="AZ1774" s="175"/>
      <c r="BA1774" s="42"/>
      <c r="BB1774" s="426"/>
      <c r="BF1774" s="315"/>
      <c r="BG1774" s="42"/>
    </row>
    <row r="1775" spans="50:59" x14ac:dyDescent="0.2">
      <c r="AX1775" s="315"/>
      <c r="AY1775" s="326"/>
      <c r="AZ1775" s="175"/>
      <c r="BA1775" s="42"/>
      <c r="BB1775" s="426"/>
      <c r="BF1775" s="315"/>
      <c r="BG1775" s="42"/>
    </row>
    <row r="1776" spans="50:59" x14ac:dyDescent="0.2">
      <c r="AX1776" s="315"/>
      <c r="AY1776" s="326"/>
      <c r="AZ1776" s="175"/>
      <c r="BA1776" s="42"/>
      <c r="BB1776" s="426"/>
      <c r="BF1776" s="315"/>
      <c r="BG1776" s="42"/>
    </row>
    <row r="1777" spans="50:59" x14ac:dyDescent="0.2">
      <c r="AX1777" s="315"/>
      <c r="AY1777" s="326"/>
      <c r="AZ1777" s="175"/>
      <c r="BA1777" s="42"/>
      <c r="BB1777" s="426"/>
      <c r="BF1777" s="315"/>
      <c r="BG1777" s="42"/>
    </row>
    <row r="1778" spans="50:59" x14ac:dyDescent="0.2">
      <c r="AX1778" s="315"/>
      <c r="AY1778" s="326"/>
      <c r="AZ1778" s="175"/>
      <c r="BA1778" s="42"/>
      <c r="BB1778" s="426"/>
      <c r="BF1778" s="315"/>
      <c r="BG1778" s="42"/>
    </row>
    <row r="1779" spans="50:59" x14ac:dyDescent="0.2">
      <c r="AX1779" s="315"/>
      <c r="AY1779" s="326"/>
      <c r="AZ1779" s="175"/>
      <c r="BA1779" s="42"/>
      <c r="BB1779" s="426"/>
      <c r="BF1779" s="315"/>
      <c r="BG1779" s="42"/>
    </row>
    <row r="1780" spans="50:59" x14ac:dyDescent="0.2">
      <c r="AX1780" s="315"/>
      <c r="AY1780" s="326"/>
      <c r="AZ1780" s="175"/>
      <c r="BA1780" s="42"/>
      <c r="BB1780" s="426"/>
      <c r="BF1780" s="315"/>
      <c r="BG1780" s="42"/>
    </row>
    <row r="1781" spans="50:59" x14ac:dyDescent="0.2">
      <c r="AX1781" s="315"/>
      <c r="AY1781" s="326"/>
      <c r="AZ1781" s="175"/>
      <c r="BA1781" s="42"/>
      <c r="BB1781" s="426"/>
      <c r="BF1781" s="315"/>
      <c r="BG1781" s="42"/>
    </row>
    <row r="1782" spans="50:59" x14ac:dyDescent="0.2">
      <c r="AX1782" s="315"/>
      <c r="AY1782" s="326"/>
      <c r="AZ1782" s="175"/>
      <c r="BA1782" s="42"/>
      <c r="BB1782" s="426"/>
      <c r="BF1782" s="315"/>
      <c r="BG1782" s="42"/>
    </row>
    <row r="1783" spans="50:59" x14ac:dyDescent="0.2">
      <c r="AX1783" s="315"/>
      <c r="AY1783" s="326"/>
      <c r="AZ1783" s="175"/>
      <c r="BA1783" s="42"/>
      <c r="BB1783" s="426"/>
      <c r="BF1783" s="315"/>
      <c r="BG1783" s="42"/>
    </row>
    <row r="1784" spans="50:59" x14ac:dyDescent="0.2">
      <c r="AX1784" s="315"/>
      <c r="AY1784" s="326"/>
      <c r="AZ1784" s="175"/>
      <c r="BA1784" s="42"/>
      <c r="BB1784" s="426"/>
      <c r="BF1784" s="315"/>
      <c r="BG1784" s="42"/>
    </row>
    <row r="1785" spans="50:59" x14ac:dyDescent="0.2">
      <c r="AX1785" s="315"/>
      <c r="AY1785" s="326"/>
      <c r="AZ1785" s="175"/>
      <c r="BA1785" s="42"/>
      <c r="BB1785" s="426"/>
      <c r="BF1785" s="315"/>
      <c r="BG1785" s="42"/>
    </row>
    <row r="1786" spans="50:59" x14ac:dyDescent="0.2">
      <c r="AX1786" s="315"/>
      <c r="AY1786" s="326"/>
      <c r="AZ1786" s="175"/>
      <c r="BA1786" s="42"/>
      <c r="BB1786" s="426"/>
      <c r="BF1786" s="315"/>
      <c r="BG1786" s="42"/>
    </row>
    <row r="1787" spans="50:59" x14ac:dyDescent="0.2">
      <c r="AX1787" s="315"/>
      <c r="AY1787" s="326"/>
      <c r="AZ1787" s="175"/>
      <c r="BA1787" s="42"/>
      <c r="BB1787" s="426"/>
      <c r="BF1787" s="315"/>
      <c r="BG1787" s="42"/>
    </row>
    <row r="1788" spans="50:59" x14ac:dyDescent="0.2">
      <c r="AX1788" s="315"/>
      <c r="AY1788" s="326"/>
      <c r="AZ1788" s="175"/>
      <c r="BA1788" s="42"/>
      <c r="BB1788" s="426"/>
      <c r="BF1788" s="315"/>
      <c r="BG1788" s="42"/>
    </row>
    <row r="1789" spans="50:59" x14ac:dyDescent="0.2">
      <c r="AX1789" s="315"/>
      <c r="AY1789" s="326"/>
      <c r="AZ1789" s="175"/>
      <c r="BA1789" s="42"/>
      <c r="BB1789" s="426"/>
      <c r="BF1789" s="315"/>
      <c r="BG1789" s="42"/>
    </row>
    <row r="1790" spans="50:59" x14ac:dyDescent="0.2">
      <c r="AX1790" s="315"/>
      <c r="AY1790" s="326"/>
      <c r="AZ1790" s="175"/>
      <c r="BA1790" s="42"/>
      <c r="BB1790" s="426"/>
      <c r="BF1790" s="315"/>
      <c r="BG1790" s="42"/>
    </row>
    <row r="1791" spans="50:59" x14ac:dyDescent="0.2">
      <c r="AX1791" s="315"/>
      <c r="AY1791" s="326"/>
      <c r="AZ1791" s="175"/>
      <c r="BA1791" s="42"/>
      <c r="BB1791" s="426"/>
      <c r="BF1791" s="315"/>
      <c r="BG1791" s="42"/>
    </row>
    <row r="1792" spans="50:59" x14ac:dyDescent="0.2">
      <c r="AX1792" s="315"/>
      <c r="AY1792" s="326"/>
      <c r="AZ1792" s="175"/>
      <c r="BA1792" s="42"/>
      <c r="BB1792" s="426"/>
      <c r="BF1792" s="315"/>
      <c r="BG1792" s="42"/>
    </row>
    <row r="1793" spans="50:59" x14ac:dyDescent="0.2">
      <c r="AX1793" s="315"/>
      <c r="AY1793" s="326"/>
      <c r="AZ1793" s="175"/>
      <c r="BA1793" s="42"/>
      <c r="BB1793" s="426"/>
      <c r="BF1793" s="315"/>
      <c r="BG1793" s="42"/>
    </row>
    <row r="1794" spans="50:59" x14ac:dyDescent="0.2">
      <c r="AX1794" s="315"/>
      <c r="AY1794" s="326"/>
      <c r="AZ1794" s="175"/>
      <c r="BA1794" s="42"/>
      <c r="BB1794" s="426"/>
      <c r="BF1794" s="315"/>
      <c r="BG1794" s="42"/>
    </row>
    <row r="1795" spans="50:59" x14ac:dyDescent="0.2">
      <c r="AX1795" s="315"/>
      <c r="AY1795" s="326"/>
      <c r="AZ1795" s="175"/>
      <c r="BA1795" s="42"/>
      <c r="BB1795" s="426"/>
      <c r="BF1795" s="315"/>
      <c r="BG1795" s="42"/>
    </row>
    <row r="1796" spans="50:59" x14ac:dyDescent="0.2">
      <c r="AX1796" s="315"/>
      <c r="AY1796" s="326"/>
      <c r="AZ1796" s="175"/>
      <c r="BA1796" s="42"/>
      <c r="BB1796" s="426"/>
      <c r="BF1796" s="315"/>
      <c r="BG1796" s="42"/>
    </row>
    <row r="1797" spans="50:59" x14ac:dyDescent="0.2">
      <c r="AX1797" s="315"/>
      <c r="AY1797" s="326"/>
      <c r="AZ1797" s="175"/>
      <c r="BA1797" s="42"/>
      <c r="BB1797" s="426"/>
      <c r="BF1797" s="315"/>
      <c r="BG1797" s="42"/>
    </row>
    <row r="1798" spans="50:59" x14ac:dyDescent="0.2">
      <c r="AX1798" s="315"/>
      <c r="AY1798" s="326"/>
      <c r="AZ1798" s="175"/>
      <c r="BA1798" s="42"/>
      <c r="BB1798" s="426"/>
      <c r="BF1798" s="315"/>
      <c r="BG1798" s="42"/>
    </row>
    <row r="1799" spans="50:59" x14ac:dyDescent="0.2">
      <c r="AX1799" s="315"/>
      <c r="AY1799" s="326"/>
      <c r="AZ1799" s="175"/>
      <c r="BA1799" s="42"/>
      <c r="BB1799" s="426"/>
      <c r="BF1799" s="315"/>
      <c r="BG1799" s="42"/>
    </row>
    <row r="1800" spans="50:59" x14ac:dyDescent="0.2">
      <c r="AX1800" s="315"/>
      <c r="AY1800" s="326"/>
      <c r="AZ1800" s="175"/>
      <c r="BA1800" s="42"/>
      <c r="BB1800" s="426"/>
      <c r="BF1800" s="315"/>
      <c r="BG1800" s="42"/>
    </row>
    <row r="1801" spans="50:59" x14ac:dyDescent="0.2">
      <c r="AX1801" s="315"/>
      <c r="AY1801" s="326"/>
      <c r="AZ1801" s="175"/>
      <c r="BA1801" s="42"/>
      <c r="BB1801" s="426"/>
      <c r="BF1801" s="315"/>
      <c r="BG1801" s="42"/>
    </row>
    <row r="1802" spans="50:59" x14ac:dyDescent="0.2">
      <c r="AX1802" s="315"/>
      <c r="AY1802" s="326"/>
      <c r="AZ1802" s="175"/>
      <c r="BA1802" s="42"/>
      <c r="BB1802" s="426"/>
      <c r="BF1802" s="315"/>
      <c r="BG1802" s="42"/>
    </row>
    <row r="1803" spans="50:59" x14ac:dyDescent="0.2">
      <c r="AX1803" s="315"/>
      <c r="AY1803" s="326"/>
      <c r="AZ1803" s="175"/>
      <c r="BA1803" s="42"/>
      <c r="BB1803" s="426"/>
      <c r="BF1803" s="315"/>
      <c r="BG1803" s="42"/>
    </row>
    <row r="1804" spans="50:59" x14ac:dyDescent="0.2">
      <c r="AX1804" s="315"/>
      <c r="AY1804" s="326"/>
      <c r="AZ1804" s="175"/>
      <c r="BA1804" s="42"/>
      <c r="BB1804" s="426"/>
      <c r="BF1804" s="315"/>
      <c r="BG1804" s="42"/>
    </row>
    <row r="1805" spans="50:59" x14ac:dyDescent="0.2">
      <c r="AX1805" s="315"/>
      <c r="AY1805" s="326"/>
      <c r="AZ1805" s="175"/>
      <c r="BA1805" s="42"/>
      <c r="BB1805" s="426"/>
      <c r="BF1805" s="315"/>
      <c r="BG1805" s="42"/>
    </row>
    <row r="1806" spans="50:59" x14ac:dyDescent="0.2">
      <c r="AX1806" s="315"/>
      <c r="AY1806" s="326"/>
      <c r="AZ1806" s="175"/>
      <c r="BA1806" s="42"/>
      <c r="BB1806" s="426"/>
      <c r="BF1806" s="315"/>
      <c r="BG1806" s="42"/>
    </row>
    <row r="1807" spans="50:59" x14ac:dyDescent="0.2">
      <c r="AX1807" s="315"/>
      <c r="AY1807" s="326"/>
      <c r="AZ1807" s="175"/>
      <c r="BA1807" s="42"/>
      <c r="BB1807" s="426"/>
      <c r="BF1807" s="315"/>
      <c r="BG1807" s="42"/>
    </row>
    <row r="1808" spans="50:59" x14ac:dyDescent="0.2">
      <c r="AX1808" s="315"/>
      <c r="AY1808" s="326"/>
      <c r="AZ1808" s="175"/>
      <c r="BA1808" s="42"/>
      <c r="BB1808" s="426"/>
      <c r="BF1808" s="315"/>
      <c r="BG1808" s="42"/>
    </row>
    <row r="1809" spans="50:59" x14ac:dyDescent="0.2">
      <c r="AX1809" s="315"/>
      <c r="AY1809" s="326"/>
      <c r="AZ1809" s="175"/>
      <c r="BA1809" s="42"/>
      <c r="BB1809" s="426"/>
      <c r="BF1809" s="315"/>
      <c r="BG1809" s="42"/>
    </row>
    <row r="1810" spans="50:59" x14ac:dyDescent="0.2">
      <c r="AX1810" s="315"/>
      <c r="AY1810" s="326"/>
      <c r="AZ1810" s="175"/>
      <c r="BA1810" s="42"/>
      <c r="BB1810" s="426"/>
      <c r="BF1810" s="315"/>
      <c r="BG1810" s="42"/>
    </row>
    <row r="1811" spans="50:59" x14ac:dyDescent="0.2">
      <c r="AX1811" s="315"/>
      <c r="AY1811" s="326"/>
      <c r="AZ1811" s="175"/>
      <c r="BA1811" s="42"/>
      <c r="BB1811" s="426"/>
      <c r="BF1811" s="315"/>
      <c r="BG1811" s="42"/>
    </row>
    <row r="1812" spans="50:59" x14ac:dyDescent="0.2">
      <c r="AX1812" s="315"/>
      <c r="AY1812" s="326"/>
      <c r="AZ1812" s="175"/>
      <c r="BA1812" s="42"/>
      <c r="BB1812" s="426"/>
      <c r="BF1812" s="315"/>
      <c r="BG1812" s="42"/>
    </row>
    <row r="1813" spans="50:59" x14ac:dyDescent="0.2">
      <c r="AX1813" s="315"/>
      <c r="AY1813" s="326"/>
      <c r="AZ1813" s="175"/>
      <c r="BA1813" s="42"/>
      <c r="BB1813" s="426"/>
      <c r="BF1813" s="315"/>
      <c r="BG1813" s="42"/>
    </row>
    <row r="1814" spans="50:59" x14ac:dyDescent="0.2">
      <c r="AX1814" s="315"/>
      <c r="AY1814" s="326"/>
      <c r="AZ1814" s="175"/>
      <c r="BA1814" s="42"/>
      <c r="BB1814" s="426"/>
      <c r="BF1814" s="315"/>
      <c r="BG1814" s="42"/>
    </row>
    <row r="1815" spans="50:59" x14ac:dyDescent="0.2">
      <c r="AX1815" s="315"/>
      <c r="AY1815" s="326"/>
      <c r="AZ1815" s="175"/>
      <c r="BA1815" s="42"/>
      <c r="BB1815" s="426"/>
      <c r="BF1815" s="315"/>
      <c r="BG1815" s="42"/>
    </row>
    <row r="1816" spans="50:59" x14ac:dyDescent="0.2">
      <c r="AX1816" s="315"/>
      <c r="AY1816" s="326"/>
      <c r="AZ1816" s="175"/>
      <c r="BA1816" s="42"/>
      <c r="BB1816" s="426"/>
      <c r="BF1816" s="315"/>
      <c r="BG1816" s="42"/>
    </row>
    <row r="1817" spans="50:59" x14ac:dyDescent="0.2">
      <c r="AX1817" s="315"/>
      <c r="AY1817" s="326"/>
      <c r="AZ1817" s="175"/>
      <c r="BA1817" s="42"/>
      <c r="BB1817" s="426"/>
      <c r="BF1817" s="315"/>
      <c r="BG1817" s="42"/>
    </row>
    <row r="1818" spans="50:59" x14ac:dyDescent="0.2">
      <c r="AX1818" s="315"/>
      <c r="AY1818" s="326"/>
      <c r="AZ1818" s="175"/>
      <c r="BA1818" s="42"/>
      <c r="BB1818" s="426"/>
      <c r="BF1818" s="315"/>
      <c r="BG1818" s="42"/>
    </row>
    <row r="1819" spans="50:59" x14ac:dyDescent="0.2">
      <c r="AX1819" s="315"/>
      <c r="AY1819" s="326"/>
      <c r="AZ1819" s="175"/>
      <c r="BA1819" s="42"/>
      <c r="BB1819" s="426"/>
      <c r="BF1819" s="315"/>
      <c r="BG1819" s="42"/>
    </row>
    <row r="1820" spans="50:59" x14ac:dyDescent="0.2">
      <c r="AX1820" s="315"/>
      <c r="AY1820" s="326"/>
      <c r="AZ1820" s="175"/>
      <c r="BA1820" s="42"/>
      <c r="BB1820" s="426"/>
      <c r="BF1820" s="315"/>
      <c r="BG1820" s="42"/>
    </row>
    <row r="1821" spans="50:59" x14ac:dyDescent="0.2">
      <c r="AX1821" s="315"/>
      <c r="AY1821" s="326"/>
      <c r="AZ1821" s="175"/>
      <c r="BA1821" s="42"/>
      <c r="BB1821" s="426"/>
      <c r="BF1821" s="315"/>
      <c r="BG1821" s="42"/>
    </row>
    <row r="1822" spans="50:59" x14ac:dyDescent="0.2">
      <c r="AX1822" s="315"/>
      <c r="AY1822" s="326"/>
      <c r="AZ1822" s="175"/>
      <c r="BA1822" s="42"/>
      <c r="BB1822" s="426"/>
      <c r="BF1822" s="315"/>
      <c r="BG1822" s="42"/>
    </row>
    <row r="1823" spans="50:59" x14ac:dyDescent="0.2">
      <c r="AX1823" s="315"/>
      <c r="AY1823" s="326"/>
      <c r="AZ1823" s="175"/>
      <c r="BA1823" s="42"/>
      <c r="BB1823" s="426"/>
      <c r="BF1823" s="315"/>
      <c r="BG1823" s="42"/>
    </row>
    <row r="1824" spans="50:59" x14ac:dyDescent="0.2">
      <c r="AX1824" s="315"/>
      <c r="AY1824" s="326"/>
      <c r="AZ1824" s="175"/>
      <c r="BA1824" s="42"/>
      <c r="BB1824" s="426"/>
      <c r="BF1824" s="315"/>
      <c r="BG1824" s="42"/>
    </row>
    <row r="1825" spans="50:59" x14ac:dyDescent="0.2">
      <c r="AX1825" s="315"/>
      <c r="AY1825" s="326"/>
      <c r="AZ1825" s="175"/>
      <c r="BA1825" s="42"/>
      <c r="BB1825" s="426"/>
      <c r="BF1825" s="315"/>
      <c r="BG1825" s="42"/>
    </row>
    <row r="1826" spans="50:59" x14ac:dyDescent="0.2">
      <c r="AX1826" s="315"/>
      <c r="AY1826" s="326"/>
      <c r="AZ1826" s="175"/>
      <c r="BA1826" s="42"/>
      <c r="BB1826" s="426"/>
      <c r="BF1826" s="315"/>
      <c r="BG1826" s="42"/>
    </row>
    <row r="1827" spans="50:59" x14ac:dyDescent="0.2">
      <c r="AX1827" s="315"/>
      <c r="AY1827" s="326"/>
      <c r="AZ1827" s="175"/>
      <c r="BA1827" s="42"/>
      <c r="BB1827" s="426"/>
      <c r="BF1827" s="315"/>
      <c r="BG1827" s="42"/>
    </row>
    <row r="1828" spans="50:59" x14ac:dyDescent="0.2">
      <c r="AX1828" s="315"/>
      <c r="AY1828" s="326"/>
      <c r="AZ1828" s="175"/>
      <c r="BA1828" s="42"/>
      <c r="BB1828" s="426"/>
      <c r="BF1828" s="315"/>
      <c r="BG1828" s="42"/>
    </row>
    <row r="1829" spans="50:59" x14ac:dyDescent="0.2">
      <c r="AX1829" s="315"/>
      <c r="AY1829" s="326"/>
      <c r="AZ1829" s="175"/>
      <c r="BA1829" s="42"/>
      <c r="BB1829" s="426"/>
      <c r="BF1829" s="315"/>
      <c r="BG1829" s="42"/>
    </row>
    <row r="1830" spans="50:59" x14ac:dyDescent="0.2">
      <c r="AX1830" s="315"/>
      <c r="AY1830" s="326"/>
      <c r="AZ1830" s="175"/>
      <c r="BA1830" s="42"/>
      <c r="BB1830" s="426"/>
      <c r="BF1830" s="315"/>
      <c r="BG1830" s="42"/>
    </row>
    <row r="1831" spans="50:59" x14ac:dyDescent="0.2">
      <c r="AX1831" s="315"/>
      <c r="AY1831" s="326"/>
      <c r="AZ1831" s="175"/>
      <c r="BA1831" s="42"/>
      <c r="BB1831" s="426"/>
      <c r="BF1831" s="315"/>
      <c r="BG1831" s="42"/>
    </row>
    <row r="1832" spans="50:59" x14ac:dyDescent="0.2">
      <c r="AX1832" s="315"/>
      <c r="AY1832" s="326"/>
      <c r="AZ1832" s="175"/>
      <c r="BA1832" s="42"/>
      <c r="BB1832" s="426"/>
      <c r="BF1832" s="315"/>
      <c r="BG1832" s="42"/>
    </row>
    <row r="1833" spans="50:59" x14ac:dyDescent="0.2">
      <c r="AX1833" s="315"/>
      <c r="AY1833" s="326"/>
      <c r="AZ1833" s="175"/>
      <c r="BA1833" s="42"/>
      <c r="BB1833" s="426"/>
      <c r="BF1833" s="315"/>
      <c r="BG1833" s="42"/>
    </row>
    <row r="1834" spans="50:59" x14ac:dyDescent="0.2">
      <c r="AX1834" s="315"/>
      <c r="AY1834" s="326"/>
      <c r="AZ1834" s="175"/>
      <c r="BA1834" s="42"/>
      <c r="BB1834" s="426"/>
      <c r="BF1834" s="315"/>
      <c r="BG1834" s="42"/>
    </row>
    <row r="1835" spans="50:59" x14ac:dyDescent="0.2">
      <c r="AX1835" s="315"/>
      <c r="AY1835" s="326"/>
      <c r="AZ1835" s="175"/>
      <c r="BA1835" s="42"/>
      <c r="BB1835" s="426"/>
      <c r="BF1835" s="315"/>
      <c r="BG1835" s="42"/>
    </row>
    <row r="1836" spans="50:59" x14ac:dyDescent="0.2">
      <c r="AX1836" s="315"/>
      <c r="AY1836" s="326"/>
      <c r="AZ1836" s="175"/>
      <c r="BA1836" s="42"/>
      <c r="BB1836" s="426"/>
      <c r="BF1836" s="315"/>
      <c r="BG1836" s="42"/>
    </row>
    <row r="1837" spans="50:59" x14ac:dyDescent="0.2">
      <c r="AX1837" s="315"/>
      <c r="AY1837" s="326"/>
      <c r="AZ1837" s="175"/>
      <c r="BA1837" s="42"/>
      <c r="BB1837" s="426"/>
      <c r="BF1837" s="315"/>
      <c r="BG1837" s="42"/>
    </row>
    <row r="1838" spans="50:59" x14ac:dyDescent="0.2">
      <c r="AX1838" s="315"/>
      <c r="AY1838" s="326"/>
      <c r="AZ1838" s="175"/>
      <c r="BA1838" s="42"/>
      <c r="BB1838" s="426"/>
      <c r="BF1838" s="315"/>
      <c r="BG1838" s="42"/>
    </row>
    <row r="1839" spans="50:59" x14ac:dyDescent="0.2">
      <c r="AX1839" s="315"/>
      <c r="AY1839" s="326"/>
      <c r="AZ1839" s="175"/>
      <c r="BA1839" s="42"/>
      <c r="BB1839" s="426"/>
      <c r="BF1839" s="315"/>
      <c r="BG1839" s="42"/>
    </row>
    <row r="1840" spans="50:59" x14ac:dyDescent="0.2">
      <c r="AX1840" s="315"/>
      <c r="AY1840" s="326"/>
      <c r="AZ1840" s="175"/>
      <c r="BA1840" s="42"/>
      <c r="BB1840" s="426"/>
      <c r="BF1840" s="315"/>
      <c r="BG1840" s="42"/>
    </row>
    <row r="1841" spans="50:59" x14ac:dyDescent="0.2">
      <c r="AX1841" s="315"/>
      <c r="AY1841" s="326"/>
      <c r="AZ1841" s="175"/>
      <c r="BA1841" s="42"/>
      <c r="BB1841" s="426"/>
      <c r="BF1841" s="315"/>
      <c r="BG1841" s="42"/>
    </row>
    <row r="1842" spans="50:59" x14ac:dyDescent="0.2">
      <c r="AX1842" s="315"/>
      <c r="AY1842" s="326"/>
      <c r="AZ1842" s="175"/>
      <c r="BA1842" s="42"/>
      <c r="BB1842" s="426"/>
      <c r="BF1842" s="315"/>
      <c r="BG1842" s="42"/>
    </row>
    <row r="1843" spans="50:59" x14ac:dyDescent="0.2">
      <c r="AX1843" s="315"/>
      <c r="AY1843" s="326"/>
      <c r="AZ1843" s="175"/>
      <c r="BA1843" s="42"/>
      <c r="BB1843" s="426"/>
      <c r="BF1843" s="315"/>
      <c r="BG1843" s="42"/>
    </row>
    <row r="1844" spans="50:59" x14ac:dyDescent="0.2">
      <c r="AX1844" s="315"/>
      <c r="AY1844" s="326"/>
      <c r="AZ1844" s="175"/>
      <c r="BA1844" s="42"/>
      <c r="BB1844" s="426"/>
      <c r="BF1844" s="315"/>
      <c r="BG1844" s="42"/>
    </row>
    <row r="1845" spans="50:59" x14ac:dyDescent="0.2">
      <c r="AX1845" s="315"/>
      <c r="AY1845" s="326"/>
      <c r="AZ1845" s="175"/>
      <c r="BA1845" s="42"/>
      <c r="BB1845" s="426"/>
      <c r="BF1845" s="315"/>
      <c r="BG1845" s="42"/>
    </row>
    <row r="1846" spans="50:59" x14ac:dyDescent="0.2">
      <c r="AX1846" s="315"/>
      <c r="AY1846" s="326"/>
      <c r="AZ1846" s="175"/>
      <c r="BA1846" s="42"/>
      <c r="BB1846" s="426"/>
      <c r="BF1846" s="315"/>
      <c r="BG1846" s="42"/>
    </row>
    <row r="1847" spans="50:59" x14ac:dyDescent="0.2">
      <c r="AX1847" s="315"/>
      <c r="AY1847" s="326"/>
      <c r="AZ1847" s="175"/>
      <c r="BA1847" s="42"/>
      <c r="BB1847" s="426"/>
      <c r="BF1847" s="315"/>
      <c r="BG1847" s="42"/>
    </row>
    <row r="1848" spans="50:59" x14ac:dyDescent="0.2">
      <c r="AX1848" s="315"/>
      <c r="AY1848" s="326"/>
      <c r="AZ1848" s="175"/>
      <c r="BA1848" s="42"/>
      <c r="BB1848" s="426"/>
      <c r="BF1848" s="315"/>
      <c r="BG1848" s="42"/>
    </row>
    <row r="1849" spans="50:59" x14ac:dyDescent="0.2">
      <c r="AX1849" s="315"/>
      <c r="AY1849" s="326"/>
      <c r="AZ1849" s="175"/>
      <c r="BA1849" s="42"/>
      <c r="BB1849" s="426"/>
      <c r="BF1849" s="315"/>
      <c r="BG1849" s="42"/>
    </row>
    <row r="1850" spans="50:59" x14ac:dyDescent="0.2">
      <c r="AX1850" s="315"/>
      <c r="AY1850" s="326"/>
      <c r="AZ1850" s="175"/>
      <c r="BA1850" s="42"/>
      <c r="BB1850" s="426"/>
      <c r="BF1850" s="315"/>
      <c r="BG1850" s="42"/>
    </row>
    <row r="1851" spans="50:59" x14ac:dyDescent="0.2">
      <c r="AX1851" s="315"/>
      <c r="AY1851" s="326"/>
      <c r="AZ1851" s="175"/>
      <c r="BA1851" s="42"/>
      <c r="BB1851" s="426"/>
      <c r="BF1851" s="315"/>
      <c r="BG1851" s="42"/>
    </row>
    <row r="1852" spans="50:59" x14ac:dyDescent="0.2">
      <c r="AX1852" s="315"/>
      <c r="AY1852" s="326"/>
      <c r="AZ1852" s="175"/>
      <c r="BA1852" s="42"/>
      <c r="BB1852" s="426"/>
      <c r="BF1852" s="315"/>
      <c r="BG1852" s="42"/>
    </row>
    <row r="1853" spans="50:59" x14ac:dyDescent="0.2">
      <c r="AX1853" s="315"/>
      <c r="AY1853" s="326"/>
      <c r="AZ1853" s="175"/>
      <c r="BA1853" s="42"/>
      <c r="BB1853" s="426"/>
      <c r="BF1853" s="315"/>
      <c r="BG1853" s="42"/>
    </row>
    <row r="1854" spans="50:59" x14ac:dyDescent="0.2">
      <c r="AX1854" s="315"/>
      <c r="AY1854" s="326"/>
      <c r="AZ1854" s="175"/>
      <c r="BA1854" s="42"/>
      <c r="BB1854" s="426"/>
      <c r="BF1854" s="315"/>
      <c r="BG1854" s="42"/>
    </row>
    <row r="1855" spans="50:59" x14ac:dyDescent="0.2">
      <c r="AX1855" s="315"/>
      <c r="AY1855" s="326"/>
      <c r="AZ1855" s="175"/>
      <c r="BA1855" s="42"/>
      <c r="BB1855" s="426"/>
      <c r="BF1855" s="315"/>
      <c r="BG1855" s="42"/>
    </row>
    <row r="1856" spans="50:59" x14ac:dyDescent="0.2">
      <c r="AX1856" s="315"/>
      <c r="AY1856" s="326"/>
      <c r="AZ1856" s="175"/>
      <c r="BA1856" s="42"/>
      <c r="BB1856" s="426"/>
      <c r="BF1856" s="315"/>
      <c r="BG1856" s="42"/>
    </row>
    <row r="1857" spans="50:59" x14ac:dyDescent="0.2">
      <c r="AX1857" s="315"/>
      <c r="AY1857" s="326"/>
      <c r="AZ1857" s="175"/>
      <c r="BA1857" s="42"/>
      <c r="BB1857" s="426"/>
      <c r="BF1857" s="315"/>
      <c r="BG1857" s="42"/>
    </row>
    <row r="1858" spans="50:59" x14ac:dyDescent="0.2">
      <c r="AX1858" s="315"/>
      <c r="AY1858" s="326"/>
      <c r="AZ1858" s="175"/>
      <c r="BA1858" s="42"/>
      <c r="BB1858" s="426"/>
      <c r="BF1858" s="315"/>
      <c r="BG1858" s="42"/>
    </row>
    <row r="1859" spans="50:59" x14ac:dyDescent="0.2">
      <c r="AX1859" s="315"/>
      <c r="AY1859" s="326"/>
      <c r="AZ1859" s="175"/>
      <c r="BA1859" s="42"/>
      <c r="BB1859" s="426"/>
      <c r="BF1859" s="315"/>
      <c r="BG1859" s="42"/>
    </row>
    <row r="1860" spans="50:59" x14ac:dyDescent="0.2">
      <c r="AX1860" s="315"/>
      <c r="AY1860" s="326"/>
      <c r="AZ1860" s="175"/>
      <c r="BA1860" s="42"/>
      <c r="BB1860" s="426"/>
      <c r="BF1860" s="315"/>
      <c r="BG1860" s="42"/>
    </row>
    <row r="1861" spans="50:59" x14ac:dyDescent="0.2">
      <c r="AX1861" s="315"/>
      <c r="AY1861" s="326"/>
      <c r="AZ1861" s="175"/>
      <c r="BA1861" s="42"/>
      <c r="BB1861" s="426"/>
      <c r="BF1861" s="315"/>
      <c r="BG1861" s="42"/>
    </row>
    <row r="1862" spans="50:59" x14ac:dyDescent="0.2">
      <c r="AX1862" s="315"/>
      <c r="AY1862" s="326"/>
      <c r="AZ1862" s="175"/>
      <c r="BA1862" s="42"/>
      <c r="BB1862" s="426"/>
      <c r="BF1862" s="315"/>
      <c r="BG1862" s="42"/>
    </row>
    <row r="1863" spans="50:59" x14ac:dyDescent="0.2">
      <c r="AX1863" s="315"/>
      <c r="AY1863" s="326"/>
      <c r="AZ1863" s="175"/>
      <c r="BA1863" s="42"/>
      <c r="BB1863" s="426"/>
      <c r="BF1863" s="315"/>
      <c r="BG1863" s="42"/>
    </row>
    <row r="1864" spans="50:59" x14ac:dyDescent="0.2">
      <c r="AX1864" s="315"/>
      <c r="AY1864" s="326"/>
      <c r="AZ1864" s="175"/>
      <c r="BA1864" s="42"/>
      <c r="BB1864" s="426"/>
      <c r="BF1864" s="315"/>
      <c r="BG1864" s="42"/>
    </row>
    <row r="1865" spans="50:59" x14ac:dyDescent="0.2">
      <c r="AX1865" s="315"/>
      <c r="AY1865" s="326"/>
      <c r="AZ1865" s="175"/>
      <c r="BA1865" s="42"/>
      <c r="BB1865" s="426"/>
      <c r="BF1865" s="315"/>
      <c r="BG1865" s="42"/>
    </row>
    <row r="1866" spans="50:59" x14ac:dyDescent="0.2">
      <c r="AX1866" s="315"/>
      <c r="AY1866" s="326"/>
      <c r="AZ1866" s="175"/>
      <c r="BA1866" s="42"/>
      <c r="BB1866" s="426"/>
      <c r="BF1866" s="315"/>
      <c r="BG1866" s="42"/>
    </row>
    <row r="1867" spans="50:59" x14ac:dyDescent="0.2">
      <c r="AX1867" s="315"/>
      <c r="AY1867" s="326"/>
      <c r="AZ1867" s="175"/>
      <c r="BA1867" s="42"/>
      <c r="BB1867" s="426"/>
      <c r="BF1867" s="315"/>
      <c r="BG1867" s="42"/>
    </row>
    <row r="1868" spans="50:59" x14ac:dyDescent="0.2">
      <c r="AX1868" s="315"/>
      <c r="AY1868" s="326"/>
      <c r="AZ1868" s="175"/>
      <c r="BA1868" s="42"/>
      <c r="BB1868" s="426"/>
      <c r="BF1868" s="315"/>
      <c r="BG1868" s="42"/>
    </row>
    <row r="1869" spans="50:59" x14ac:dyDescent="0.2">
      <c r="AX1869" s="315"/>
      <c r="AY1869" s="326"/>
      <c r="AZ1869" s="175"/>
      <c r="BA1869" s="42"/>
      <c r="BB1869" s="426"/>
      <c r="BF1869" s="315"/>
      <c r="BG1869" s="42"/>
    </row>
    <row r="1870" spans="50:59" x14ac:dyDescent="0.2">
      <c r="AX1870" s="315"/>
      <c r="AY1870" s="326"/>
      <c r="AZ1870" s="175"/>
      <c r="BA1870" s="42"/>
      <c r="BB1870" s="426"/>
      <c r="BF1870" s="315"/>
      <c r="BG1870" s="42"/>
    </row>
    <row r="1871" spans="50:59" x14ac:dyDescent="0.2">
      <c r="AX1871" s="315"/>
      <c r="AY1871" s="326"/>
      <c r="AZ1871" s="175"/>
      <c r="BA1871" s="42"/>
      <c r="BB1871" s="426"/>
      <c r="BF1871" s="315"/>
      <c r="BG1871" s="42"/>
    </row>
    <row r="1872" spans="50:59" x14ac:dyDescent="0.2">
      <c r="AX1872" s="315"/>
      <c r="AY1872" s="326"/>
      <c r="AZ1872" s="175"/>
      <c r="BA1872" s="42"/>
      <c r="BB1872" s="426"/>
      <c r="BF1872" s="315"/>
      <c r="BG1872" s="42"/>
    </row>
    <row r="1873" spans="50:59" x14ac:dyDescent="0.2">
      <c r="AX1873" s="315"/>
      <c r="AY1873" s="326"/>
      <c r="AZ1873" s="175"/>
      <c r="BA1873" s="42"/>
      <c r="BB1873" s="426"/>
      <c r="BF1873" s="315"/>
      <c r="BG1873" s="42"/>
    </row>
    <row r="1874" spans="50:59" x14ac:dyDescent="0.2">
      <c r="AX1874" s="315"/>
      <c r="AY1874" s="326"/>
      <c r="AZ1874" s="175"/>
      <c r="BA1874" s="42"/>
      <c r="BB1874" s="426"/>
      <c r="BF1874" s="315"/>
      <c r="BG1874" s="42"/>
    </row>
    <row r="1875" spans="50:59" x14ac:dyDescent="0.2">
      <c r="AX1875" s="315"/>
      <c r="AY1875" s="326"/>
      <c r="AZ1875" s="175"/>
      <c r="BA1875" s="42"/>
      <c r="BB1875" s="426"/>
      <c r="BF1875" s="315"/>
      <c r="BG1875" s="42"/>
    </row>
    <row r="1876" spans="50:59" x14ac:dyDescent="0.2">
      <c r="AX1876" s="315"/>
      <c r="AY1876" s="326"/>
      <c r="AZ1876" s="175"/>
      <c r="BA1876" s="42"/>
      <c r="BB1876" s="426"/>
      <c r="BF1876" s="315"/>
      <c r="BG1876" s="42"/>
    </row>
    <row r="1877" spans="50:59" x14ac:dyDescent="0.2">
      <c r="AX1877" s="315"/>
      <c r="AY1877" s="326"/>
      <c r="AZ1877" s="175"/>
      <c r="BA1877" s="42"/>
      <c r="BB1877" s="426"/>
      <c r="BF1877" s="315"/>
      <c r="BG1877" s="42"/>
    </row>
    <row r="1878" spans="50:59" x14ac:dyDescent="0.2">
      <c r="AX1878" s="315"/>
      <c r="AY1878" s="326"/>
      <c r="AZ1878" s="175"/>
      <c r="BA1878" s="42"/>
      <c r="BB1878" s="426"/>
      <c r="BF1878" s="315"/>
      <c r="BG1878" s="42"/>
    </row>
    <row r="1879" spans="50:59" x14ac:dyDescent="0.2">
      <c r="AX1879" s="315"/>
      <c r="AY1879" s="326"/>
      <c r="AZ1879" s="175"/>
      <c r="BA1879" s="42"/>
      <c r="BB1879" s="426"/>
      <c r="BF1879" s="315"/>
      <c r="BG1879" s="42"/>
    </row>
    <row r="1880" spans="50:59" x14ac:dyDescent="0.2">
      <c r="AX1880" s="315"/>
      <c r="AY1880" s="326"/>
      <c r="AZ1880" s="175"/>
      <c r="BA1880" s="42"/>
      <c r="BB1880" s="426"/>
      <c r="BF1880" s="315"/>
      <c r="BG1880" s="42"/>
    </row>
    <row r="1881" spans="50:59" x14ac:dyDescent="0.2">
      <c r="AX1881" s="315"/>
      <c r="AY1881" s="326"/>
      <c r="AZ1881" s="175"/>
      <c r="BA1881" s="42"/>
      <c r="BB1881" s="426"/>
      <c r="BF1881" s="315"/>
      <c r="BG1881" s="42"/>
    </row>
    <row r="1882" spans="50:59" x14ac:dyDescent="0.2">
      <c r="AX1882" s="315"/>
      <c r="AY1882" s="326"/>
      <c r="AZ1882" s="175"/>
      <c r="BA1882" s="42"/>
      <c r="BB1882" s="426"/>
      <c r="BF1882" s="315"/>
      <c r="BG1882" s="42"/>
    </row>
    <row r="1883" spans="50:59" x14ac:dyDescent="0.2">
      <c r="AX1883" s="315"/>
      <c r="AY1883" s="326"/>
      <c r="AZ1883" s="175"/>
      <c r="BA1883" s="42"/>
      <c r="BB1883" s="426"/>
      <c r="BF1883" s="315"/>
      <c r="BG1883" s="42"/>
    </row>
    <row r="1884" spans="50:59" x14ac:dyDescent="0.2">
      <c r="AX1884" s="315"/>
      <c r="AY1884" s="326"/>
      <c r="AZ1884" s="175"/>
      <c r="BA1884" s="42"/>
      <c r="BB1884" s="426"/>
      <c r="BF1884" s="315"/>
      <c r="BG1884" s="42"/>
    </row>
    <row r="1885" spans="50:59" x14ac:dyDescent="0.2">
      <c r="AX1885" s="315"/>
      <c r="AY1885" s="326"/>
      <c r="AZ1885" s="175"/>
      <c r="BA1885" s="42"/>
      <c r="BB1885" s="426"/>
      <c r="BF1885" s="315"/>
      <c r="BG1885" s="42"/>
    </row>
    <row r="1886" spans="50:59" x14ac:dyDescent="0.2">
      <c r="AX1886" s="315"/>
      <c r="AY1886" s="326"/>
      <c r="AZ1886" s="175"/>
      <c r="BA1886" s="42"/>
      <c r="BB1886" s="426"/>
      <c r="BF1886" s="315"/>
      <c r="BG1886" s="42"/>
    </row>
    <row r="1887" spans="50:59" x14ac:dyDescent="0.2">
      <c r="AX1887" s="315"/>
      <c r="AY1887" s="326"/>
      <c r="AZ1887" s="175"/>
      <c r="BA1887" s="42"/>
      <c r="BB1887" s="426"/>
      <c r="BF1887" s="315"/>
      <c r="BG1887" s="42"/>
    </row>
    <row r="1888" spans="50:59" x14ac:dyDescent="0.2">
      <c r="AX1888" s="315"/>
      <c r="AY1888" s="326"/>
      <c r="AZ1888" s="175"/>
      <c r="BA1888" s="42"/>
      <c r="BB1888" s="426"/>
      <c r="BF1888" s="315"/>
      <c r="BG1888" s="42"/>
    </row>
    <row r="1889" spans="50:59" x14ac:dyDescent="0.2">
      <c r="AX1889" s="315"/>
      <c r="AY1889" s="326"/>
      <c r="AZ1889" s="175"/>
      <c r="BA1889" s="42"/>
      <c r="BB1889" s="426"/>
      <c r="BF1889" s="315"/>
      <c r="BG1889" s="42"/>
    </row>
    <row r="1890" spans="50:59" x14ac:dyDescent="0.2">
      <c r="AX1890" s="315"/>
      <c r="AY1890" s="326"/>
      <c r="AZ1890" s="175"/>
      <c r="BA1890" s="42"/>
      <c r="BB1890" s="426"/>
      <c r="BF1890" s="315"/>
      <c r="BG1890" s="42"/>
    </row>
    <row r="1891" spans="50:59" x14ac:dyDescent="0.2">
      <c r="AX1891" s="315"/>
      <c r="AY1891" s="326"/>
      <c r="AZ1891" s="175"/>
      <c r="BA1891" s="42"/>
      <c r="BB1891" s="426"/>
      <c r="BF1891" s="315"/>
      <c r="BG1891" s="42"/>
    </row>
    <row r="1892" spans="50:59" x14ac:dyDescent="0.2">
      <c r="AX1892" s="315"/>
      <c r="AY1892" s="326"/>
      <c r="AZ1892" s="175"/>
      <c r="BA1892" s="42"/>
      <c r="BB1892" s="426"/>
      <c r="BF1892" s="315"/>
      <c r="BG1892" s="42"/>
    </row>
    <row r="1893" spans="50:59" x14ac:dyDescent="0.2">
      <c r="AX1893" s="315"/>
      <c r="AY1893" s="326"/>
      <c r="AZ1893" s="175"/>
      <c r="BA1893" s="42"/>
      <c r="BB1893" s="426"/>
      <c r="BF1893" s="315"/>
      <c r="BG1893" s="42"/>
    </row>
    <row r="1894" spans="50:59" x14ac:dyDescent="0.2">
      <c r="AX1894" s="315"/>
      <c r="AY1894" s="326"/>
      <c r="AZ1894" s="175"/>
      <c r="BA1894" s="42"/>
      <c r="BB1894" s="426"/>
      <c r="BF1894" s="315"/>
      <c r="BG1894" s="42"/>
    </row>
    <row r="1895" spans="50:59" x14ac:dyDescent="0.2">
      <c r="AX1895" s="315"/>
      <c r="AY1895" s="326"/>
      <c r="AZ1895" s="175"/>
      <c r="BA1895" s="42"/>
      <c r="BB1895" s="426"/>
      <c r="BF1895" s="315"/>
      <c r="BG1895" s="42"/>
    </row>
    <row r="1896" spans="50:59" x14ac:dyDescent="0.2">
      <c r="AX1896" s="315"/>
      <c r="AY1896" s="326"/>
      <c r="AZ1896" s="175"/>
      <c r="BA1896" s="42"/>
      <c r="BB1896" s="426"/>
      <c r="BF1896" s="315"/>
      <c r="BG1896" s="42"/>
    </row>
    <row r="1897" spans="50:59" x14ac:dyDescent="0.2">
      <c r="AX1897" s="315"/>
      <c r="AY1897" s="326"/>
      <c r="AZ1897" s="175"/>
      <c r="BA1897" s="42"/>
      <c r="BB1897" s="426"/>
      <c r="BF1897" s="315"/>
      <c r="BG1897" s="42"/>
    </row>
    <row r="1898" spans="50:59" x14ac:dyDescent="0.2">
      <c r="AX1898" s="315"/>
      <c r="AY1898" s="326"/>
      <c r="AZ1898" s="175"/>
      <c r="BA1898" s="42"/>
      <c r="BB1898" s="426"/>
      <c r="BF1898" s="315"/>
      <c r="BG1898" s="42"/>
    </row>
    <row r="1899" spans="50:59" x14ac:dyDescent="0.2">
      <c r="AX1899" s="315"/>
      <c r="AY1899" s="326"/>
      <c r="AZ1899" s="175"/>
      <c r="BA1899" s="42"/>
      <c r="BB1899" s="426"/>
      <c r="BF1899" s="315"/>
      <c r="BG1899" s="42"/>
    </row>
    <row r="1900" spans="50:59" x14ac:dyDescent="0.2">
      <c r="AX1900" s="315"/>
      <c r="AY1900" s="326"/>
      <c r="AZ1900" s="175"/>
      <c r="BA1900" s="42"/>
      <c r="BB1900" s="426"/>
      <c r="BF1900" s="315"/>
      <c r="BG1900" s="42"/>
    </row>
    <row r="1901" spans="50:59" x14ac:dyDescent="0.2">
      <c r="AX1901" s="315"/>
      <c r="AY1901" s="326"/>
      <c r="AZ1901" s="175"/>
      <c r="BA1901" s="42"/>
      <c r="BB1901" s="426"/>
      <c r="BF1901" s="315"/>
      <c r="BG1901" s="42"/>
    </row>
    <row r="1902" spans="50:59" x14ac:dyDescent="0.2">
      <c r="AX1902" s="315"/>
      <c r="AY1902" s="326"/>
      <c r="AZ1902" s="175"/>
      <c r="BA1902" s="42"/>
      <c r="BB1902" s="426"/>
      <c r="BF1902" s="315"/>
      <c r="BG1902" s="42"/>
    </row>
    <row r="1903" spans="50:59" x14ac:dyDescent="0.2">
      <c r="AX1903" s="315"/>
      <c r="AY1903" s="326"/>
      <c r="AZ1903" s="175"/>
      <c r="BA1903" s="42"/>
      <c r="BB1903" s="426"/>
      <c r="BF1903" s="315"/>
      <c r="BG1903" s="42"/>
    </row>
    <row r="1904" spans="50:59" x14ac:dyDescent="0.2">
      <c r="AX1904" s="315"/>
      <c r="AY1904" s="326"/>
      <c r="AZ1904" s="175"/>
      <c r="BA1904" s="42"/>
      <c r="BB1904" s="426"/>
      <c r="BF1904" s="315"/>
      <c r="BG1904" s="42"/>
    </row>
    <row r="1905" spans="50:59" x14ac:dyDescent="0.2">
      <c r="AX1905" s="315"/>
      <c r="AY1905" s="326"/>
      <c r="AZ1905" s="175"/>
      <c r="BA1905" s="42"/>
      <c r="BB1905" s="426"/>
      <c r="BF1905" s="315"/>
      <c r="BG1905" s="42"/>
    </row>
    <row r="1906" spans="50:59" x14ac:dyDescent="0.2">
      <c r="AX1906" s="315"/>
      <c r="AY1906" s="326"/>
      <c r="AZ1906" s="175"/>
      <c r="BA1906" s="42"/>
      <c r="BB1906" s="426"/>
      <c r="BF1906" s="315"/>
      <c r="BG1906" s="42"/>
    </row>
    <row r="1907" spans="50:59" x14ac:dyDescent="0.2">
      <c r="AX1907" s="315"/>
      <c r="AY1907" s="326"/>
      <c r="AZ1907" s="175"/>
      <c r="BA1907" s="42"/>
      <c r="BB1907" s="426"/>
      <c r="BF1907" s="315"/>
      <c r="BG1907" s="42"/>
    </row>
    <row r="1908" spans="50:59" x14ac:dyDescent="0.2">
      <c r="AX1908" s="315"/>
      <c r="AY1908" s="326"/>
      <c r="AZ1908" s="175"/>
      <c r="BA1908" s="42"/>
      <c r="BB1908" s="426"/>
      <c r="BF1908" s="315"/>
      <c r="BG1908" s="42"/>
    </row>
    <row r="1909" spans="50:59" x14ac:dyDescent="0.2">
      <c r="AX1909" s="315"/>
      <c r="AY1909" s="326"/>
      <c r="AZ1909" s="175"/>
      <c r="BA1909" s="42"/>
      <c r="BB1909" s="426"/>
      <c r="BF1909" s="315"/>
      <c r="BG1909" s="42"/>
    </row>
    <row r="1910" spans="50:59" x14ac:dyDescent="0.2">
      <c r="AX1910" s="315"/>
      <c r="AY1910" s="326"/>
      <c r="AZ1910" s="175"/>
      <c r="BA1910" s="42"/>
      <c r="BB1910" s="426"/>
      <c r="BF1910" s="315"/>
      <c r="BG1910" s="42"/>
    </row>
    <row r="1911" spans="50:59" x14ac:dyDescent="0.2">
      <c r="AX1911" s="315"/>
      <c r="AY1911" s="326"/>
      <c r="AZ1911" s="175"/>
      <c r="BA1911" s="42"/>
      <c r="BB1911" s="426"/>
      <c r="BF1911" s="315"/>
      <c r="BG1911" s="42"/>
    </row>
    <row r="1912" spans="50:59" x14ac:dyDescent="0.2">
      <c r="AX1912" s="315"/>
      <c r="AY1912" s="326"/>
      <c r="AZ1912" s="175"/>
      <c r="BA1912" s="42"/>
      <c r="BB1912" s="426"/>
      <c r="BF1912" s="315"/>
      <c r="BG1912" s="42"/>
    </row>
    <row r="1913" spans="50:59" x14ac:dyDescent="0.2">
      <c r="AX1913" s="315"/>
      <c r="AY1913" s="326"/>
      <c r="AZ1913" s="175"/>
      <c r="BA1913" s="42"/>
      <c r="BB1913" s="426"/>
      <c r="BF1913" s="315"/>
      <c r="BG1913" s="42"/>
    </row>
    <row r="1914" spans="50:59" x14ac:dyDescent="0.2">
      <c r="AX1914" s="315"/>
      <c r="AY1914" s="326"/>
      <c r="AZ1914" s="175"/>
      <c r="BA1914" s="42"/>
      <c r="BB1914" s="426"/>
      <c r="BF1914" s="315"/>
      <c r="BG1914" s="42"/>
    </row>
    <row r="1915" spans="50:59" x14ac:dyDescent="0.2">
      <c r="AX1915" s="315"/>
      <c r="AY1915" s="326"/>
      <c r="AZ1915" s="175"/>
      <c r="BA1915" s="42"/>
      <c r="BB1915" s="426"/>
      <c r="BF1915" s="315"/>
      <c r="BG1915" s="42"/>
    </row>
    <row r="1916" spans="50:59" x14ac:dyDescent="0.2">
      <c r="AX1916" s="315"/>
      <c r="AY1916" s="326"/>
      <c r="AZ1916" s="175"/>
      <c r="BA1916" s="42"/>
      <c r="BB1916" s="426"/>
      <c r="BF1916" s="315"/>
      <c r="BG1916" s="42"/>
    </row>
    <row r="1917" spans="50:59" x14ac:dyDescent="0.2">
      <c r="AX1917" s="315"/>
      <c r="AY1917" s="326"/>
      <c r="AZ1917" s="175"/>
      <c r="BA1917" s="42"/>
      <c r="BB1917" s="426"/>
      <c r="BF1917" s="315"/>
      <c r="BG1917" s="42"/>
    </row>
    <row r="1918" spans="50:59" x14ac:dyDescent="0.2">
      <c r="AX1918" s="315"/>
      <c r="AY1918" s="326"/>
      <c r="AZ1918" s="175"/>
      <c r="BA1918" s="42"/>
      <c r="BB1918" s="426"/>
      <c r="BF1918" s="315"/>
      <c r="BG1918" s="42"/>
    </row>
    <row r="1919" spans="50:59" x14ac:dyDescent="0.2">
      <c r="AX1919" s="315"/>
      <c r="AY1919" s="326"/>
      <c r="AZ1919" s="175"/>
      <c r="BA1919" s="42"/>
      <c r="BB1919" s="426"/>
      <c r="BF1919" s="315"/>
      <c r="BG1919" s="42"/>
    </row>
    <row r="1920" spans="50:59" x14ac:dyDescent="0.2">
      <c r="AX1920" s="315"/>
      <c r="AY1920" s="326"/>
      <c r="AZ1920" s="175"/>
      <c r="BA1920" s="42"/>
      <c r="BB1920" s="426"/>
      <c r="BF1920" s="315"/>
      <c r="BG1920" s="42"/>
    </row>
    <row r="1921" spans="50:59" x14ac:dyDescent="0.2">
      <c r="AX1921" s="315"/>
      <c r="AY1921" s="326"/>
      <c r="AZ1921" s="175"/>
      <c r="BA1921" s="42"/>
      <c r="BB1921" s="426"/>
      <c r="BF1921" s="315"/>
      <c r="BG1921" s="42"/>
    </row>
    <row r="1922" spans="50:59" x14ac:dyDescent="0.2">
      <c r="AX1922" s="315"/>
      <c r="AY1922" s="326"/>
      <c r="AZ1922" s="175"/>
      <c r="BA1922" s="42"/>
      <c r="BB1922" s="426"/>
      <c r="BF1922" s="315"/>
      <c r="BG1922" s="42"/>
    </row>
    <row r="1923" spans="50:59" x14ac:dyDescent="0.2">
      <c r="AX1923" s="315"/>
      <c r="AY1923" s="326"/>
      <c r="AZ1923" s="175"/>
      <c r="BA1923" s="42"/>
      <c r="BB1923" s="426"/>
      <c r="BF1923" s="315"/>
      <c r="BG1923" s="42"/>
    </row>
    <row r="1924" spans="50:59" x14ac:dyDescent="0.2">
      <c r="AX1924" s="315"/>
      <c r="AY1924" s="326"/>
      <c r="AZ1924" s="175"/>
      <c r="BA1924" s="42"/>
      <c r="BB1924" s="426"/>
      <c r="BF1924" s="315"/>
      <c r="BG1924" s="42"/>
    </row>
    <row r="1925" spans="50:59" x14ac:dyDescent="0.2">
      <c r="AX1925" s="315"/>
      <c r="AY1925" s="326"/>
      <c r="AZ1925" s="175"/>
      <c r="BA1925" s="42"/>
      <c r="BB1925" s="426"/>
      <c r="BF1925" s="315"/>
      <c r="BG1925" s="42"/>
    </row>
    <row r="1926" spans="50:59" x14ac:dyDescent="0.2">
      <c r="AX1926" s="315"/>
      <c r="AY1926" s="326"/>
      <c r="AZ1926" s="175"/>
      <c r="BA1926" s="42"/>
      <c r="BB1926" s="426"/>
      <c r="BF1926" s="315"/>
      <c r="BG1926" s="42"/>
    </row>
    <row r="1927" spans="50:59" x14ac:dyDescent="0.2">
      <c r="AX1927" s="315"/>
      <c r="AY1927" s="326"/>
      <c r="AZ1927" s="175"/>
      <c r="BA1927" s="42"/>
      <c r="BB1927" s="426"/>
      <c r="BF1927" s="315"/>
      <c r="BG1927" s="42"/>
    </row>
    <row r="1928" spans="50:59" x14ac:dyDescent="0.2">
      <c r="AX1928" s="315"/>
      <c r="AY1928" s="326"/>
      <c r="AZ1928" s="175"/>
      <c r="BA1928" s="42"/>
      <c r="BB1928" s="426"/>
      <c r="BF1928" s="315"/>
      <c r="BG1928" s="42"/>
    </row>
    <row r="1929" spans="50:59" x14ac:dyDescent="0.2">
      <c r="AX1929" s="315"/>
      <c r="AY1929" s="326"/>
      <c r="AZ1929" s="175"/>
      <c r="BA1929" s="42"/>
      <c r="BB1929" s="426"/>
      <c r="BF1929" s="315"/>
      <c r="BG1929" s="42"/>
    </row>
    <row r="1930" spans="50:59" x14ac:dyDescent="0.2">
      <c r="AX1930" s="315"/>
      <c r="AY1930" s="326"/>
      <c r="AZ1930" s="175"/>
      <c r="BA1930" s="42"/>
      <c r="BB1930" s="426"/>
      <c r="BF1930" s="315"/>
      <c r="BG1930" s="42"/>
    </row>
    <row r="1931" spans="50:59" x14ac:dyDescent="0.2">
      <c r="AX1931" s="315"/>
      <c r="AY1931" s="326"/>
      <c r="AZ1931" s="175"/>
      <c r="BA1931" s="42"/>
      <c r="BB1931" s="426"/>
      <c r="BF1931" s="315"/>
      <c r="BG1931" s="42"/>
    </row>
    <row r="1932" spans="50:59" x14ac:dyDescent="0.2">
      <c r="AX1932" s="315"/>
      <c r="AY1932" s="326"/>
      <c r="AZ1932" s="175"/>
      <c r="BA1932" s="42"/>
      <c r="BB1932" s="426"/>
      <c r="BF1932" s="315"/>
      <c r="BG1932" s="42"/>
    </row>
    <row r="1933" spans="50:59" x14ac:dyDescent="0.2">
      <c r="AX1933" s="315"/>
      <c r="AY1933" s="326"/>
      <c r="AZ1933" s="175"/>
      <c r="BA1933" s="42"/>
      <c r="BB1933" s="426"/>
      <c r="BF1933" s="315"/>
      <c r="BG1933" s="42"/>
    </row>
    <row r="1934" spans="50:59" x14ac:dyDescent="0.2">
      <c r="AX1934" s="315"/>
      <c r="AY1934" s="326"/>
      <c r="AZ1934" s="175"/>
      <c r="BA1934" s="42"/>
      <c r="BB1934" s="426"/>
      <c r="BF1934" s="315"/>
      <c r="BG1934" s="42"/>
    </row>
    <row r="1935" spans="50:59" x14ac:dyDescent="0.2">
      <c r="AX1935" s="315"/>
      <c r="AY1935" s="326"/>
      <c r="AZ1935" s="175"/>
      <c r="BA1935" s="42"/>
      <c r="BB1935" s="426"/>
      <c r="BF1935" s="315"/>
      <c r="BG1935" s="42"/>
    </row>
    <row r="1936" spans="50:59" x14ac:dyDescent="0.2">
      <c r="AX1936" s="315"/>
      <c r="AY1936" s="326"/>
      <c r="AZ1936" s="175"/>
      <c r="BA1936" s="42"/>
      <c r="BB1936" s="426"/>
      <c r="BF1936" s="315"/>
      <c r="BG1936" s="42"/>
    </row>
    <row r="1937" spans="50:59" x14ac:dyDescent="0.2">
      <c r="AX1937" s="315"/>
      <c r="AY1937" s="326"/>
      <c r="AZ1937" s="175"/>
      <c r="BA1937" s="42"/>
      <c r="BB1937" s="426"/>
      <c r="BF1937" s="315"/>
      <c r="BG1937" s="42"/>
    </row>
    <row r="1938" spans="50:59" x14ac:dyDescent="0.2">
      <c r="AX1938" s="315"/>
      <c r="AY1938" s="326"/>
      <c r="AZ1938" s="175"/>
      <c r="BA1938" s="42"/>
      <c r="BB1938" s="426"/>
      <c r="BF1938" s="315"/>
      <c r="BG1938" s="42"/>
    </row>
    <row r="1939" spans="50:59" x14ac:dyDescent="0.2">
      <c r="AX1939" s="315"/>
      <c r="AY1939" s="326"/>
      <c r="AZ1939" s="175"/>
      <c r="BA1939" s="42"/>
      <c r="BB1939" s="426"/>
      <c r="BF1939" s="315"/>
      <c r="BG1939" s="42"/>
    </row>
    <row r="1940" spans="50:59" x14ac:dyDescent="0.2">
      <c r="AX1940" s="315"/>
      <c r="AY1940" s="326"/>
      <c r="AZ1940" s="175"/>
      <c r="BA1940" s="42"/>
      <c r="BB1940" s="426"/>
      <c r="BF1940" s="315"/>
      <c r="BG1940" s="42"/>
    </row>
    <row r="1941" spans="50:59" x14ac:dyDescent="0.2">
      <c r="AX1941" s="315"/>
      <c r="AY1941" s="326"/>
      <c r="AZ1941" s="175"/>
      <c r="BA1941" s="42"/>
      <c r="BB1941" s="426"/>
      <c r="BF1941" s="315"/>
      <c r="BG1941" s="42"/>
    </row>
    <row r="1942" spans="50:59" x14ac:dyDescent="0.2">
      <c r="AX1942" s="315"/>
      <c r="AY1942" s="326"/>
      <c r="AZ1942" s="175"/>
      <c r="BA1942" s="42"/>
      <c r="BB1942" s="426"/>
      <c r="BF1942" s="315"/>
      <c r="BG1942" s="42"/>
    </row>
    <row r="1943" spans="50:59" x14ac:dyDescent="0.2">
      <c r="AX1943" s="315"/>
      <c r="AY1943" s="326"/>
      <c r="AZ1943" s="175"/>
      <c r="BA1943" s="42"/>
      <c r="BB1943" s="426"/>
      <c r="BF1943" s="315"/>
      <c r="BG1943" s="42"/>
    </row>
    <row r="1944" spans="50:59" x14ac:dyDescent="0.2">
      <c r="AX1944" s="315"/>
      <c r="AY1944" s="326"/>
      <c r="AZ1944" s="175"/>
      <c r="BA1944" s="42"/>
      <c r="BB1944" s="426"/>
      <c r="BF1944" s="315"/>
      <c r="BG1944" s="42"/>
    </row>
    <row r="1945" spans="50:59" x14ac:dyDescent="0.2">
      <c r="AX1945" s="315"/>
      <c r="AY1945" s="326"/>
      <c r="AZ1945" s="175"/>
      <c r="BA1945" s="42"/>
      <c r="BB1945" s="426"/>
      <c r="BF1945" s="315"/>
      <c r="BG1945" s="42"/>
    </row>
    <row r="1946" spans="50:59" x14ac:dyDescent="0.2">
      <c r="AX1946" s="315"/>
      <c r="AY1946" s="326"/>
      <c r="AZ1946" s="175"/>
      <c r="BA1946" s="42"/>
      <c r="BB1946" s="426"/>
      <c r="BF1946" s="315"/>
      <c r="BG1946" s="42"/>
    </row>
    <row r="1947" spans="50:59" x14ac:dyDescent="0.2">
      <c r="AX1947" s="315"/>
      <c r="AY1947" s="326"/>
      <c r="AZ1947" s="175"/>
      <c r="BA1947" s="42"/>
      <c r="BB1947" s="426"/>
      <c r="BF1947" s="315"/>
      <c r="BG1947" s="42"/>
    </row>
    <row r="1948" spans="50:59" x14ac:dyDescent="0.2">
      <c r="AX1948" s="315"/>
      <c r="AY1948" s="326"/>
      <c r="AZ1948" s="175"/>
      <c r="BA1948" s="42"/>
      <c r="BB1948" s="426"/>
      <c r="BF1948" s="315"/>
      <c r="BG1948" s="42"/>
    </row>
    <row r="1949" spans="50:59" x14ac:dyDescent="0.2">
      <c r="AX1949" s="315"/>
      <c r="AY1949" s="326"/>
      <c r="AZ1949" s="175"/>
      <c r="BA1949" s="42"/>
      <c r="BB1949" s="426"/>
      <c r="BF1949" s="315"/>
      <c r="BG1949" s="42"/>
    </row>
    <row r="1950" spans="50:59" x14ac:dyDescent="0.2">
      <c r="AX1950" s="315"/>
      <c r="AY1950" s="326"/>
      <c r="AZ1950" s="175"/>
      <c r="BA1950" s="42"/>
      <c r="BB1950" s="426"/>
      <c r="BF1950" s="315"/>
      <c r="BG1950" s="42"/>
    </row>
    <row r="1951" spans="50:59" x14ac:dyDescent="0.2">
      <c r="AX1951" s="315"/>
      <c r="AY1951" s="326"/>
      <c r="AZ1951" s="175"/>
      <c r="BA1951" s="42"/>
      <c r="BB1951" s="426"/>
      <c r="BF1951" s="315"/>
      <c r="BG1951" s="42"/>
    </row>
    <row r="1952" spans="50:59" x14ac:dyDescent="0.2">
      <c r="AX1952" s="315"/>
      <c r="AY1952" s="326"/>
      <c r="AZ1952" s="175"/>
      <c r="BA1952" s="42"/>
      <c r="BB1952" s="426"/>
      <c r="BF1952" s="315"/>
      <c r="BG1952" s="42"/>
    </row>
    <row r="1953" spans="50:59" x14ac:dyDescent="0.2">
      <c r="AX1953" s="315"/>
      <c r="AY1953" s="326"/>
      <c r="AZ1953" s="175"/>
      <c r="BA1953" s="42"/>
      <c r="BB1953" s="426"/>
      <c r="BF1953" s="315"/>
      <c r="BG1953" s="42"/>
    </row>
    <row r="1954" spans="50:59" x14ac:dyDescent="0.2">
      <c r="AX1954" s="315"/>
      <c r="AY1954" s="326"/>
      <c r="AZ1954" s="175"/>
      <c r="BA1954" s="42"/>
      <c r="BB1954" s="426"/>
      <c r="BF1954" s="315"/>
      <c r="BG1954" s="42"/>
    </row>
    <row r="1955" spans="50:59" x14ac:dyDescent="0.2">
      <c r="AX1955" s="315"/>
      <c r="AY1955" s="326"/>
      <c r="AZ1955" s="175"/>
      <c r="BA1955" s="42"/>
      <c r="BB1955" s="426"/>
      <c r="BF1955" s="315"/>
      <c r="BG1955" s="42"/>
    </row>
    <row r="1956" spans="50:59" x14ac:dyDescent="0.2">
      <c r="AX1956" s="315"/>
      <c r="AY1956" s="326"/>
      <c r="AZ1956" s="175"/>
      <c r="BA1956" s="42"/>
      <c r="BB1956" s="426"/>
      <c r="BF1956" s="315"/>
      <c r="BG1956" s="42"/>
    </row>
    <row r="1957" spans="50:59" x14ac:dyDescent="0.2">
      <c r="AX1957" s="315"/>
      <c r="AY1957" s="326"/>
      <c r="AZ1957" s="175"/>
      <c r="BA1957" s="42"/>
      <c r="BB1957" s="426"/>
      <c r="BF1957" s="315"/>
      <c r="BG1957" s="42"/>
    </row>
    <row r="1958" spans="50:59" x14ac:dyDescent="0.2">
      <c r="AX1958" s="315"/>
      <c r="AY1958" s="326"/>
      <c r="AZ1958" s="175"/>
      <c r="BA1958" s="42"/>
      <c r="BB1958" s="426"/>
      <c r="BF1958" s="315"/>
      <c r="BG1958" s="42"/>
    </row>
    <row r="1959" spans="50:59" x14ac:dyDescent="0.2">
      <c r="AX1959" s="315"/>
      <c r="AY1959" s="326"/>
      <c r="AZ1959" s="175"/>
      <c r="BA1959" s="42"/>
      <c r="BB1959" s="426"/>
      <c r="BF1959" s="315"/>
      <c r="BG1959" s="42"/>
    </row>
    <row r="1960" spans="50:59" x14ac:dyDescent="0.2">
      <c r="AX1960" s="315"/>
      <c r="AY1960" s="326"/>
      <c r="AZ1960" s="175"/>
      <c r="BA1960" s="42"/>
      <c r="BB1960" s="426"/>
      <c r="BF1960" s="315"/>
      <c r="BG1960" s="42"/>
    </row>
    <row r="1961" spans="50:59" x14ac:dyDescent="0.2">
      <c r="AX1961" s="315"/>
      <c r="AY1961" s="326"/>
      <c r="AZ1961" s="175"/>
      <c r="BA1961" s="42"/>
      <c r="BB1961" s="426"/>
      <c r="BF1961" s="315"/>
      <c r="BG1961" s="42"/>
    </row>
    <row r="1962" spans="50:59" x14ac:dyDescent="0.2">
      <c r="AX1962" s="315"/>
      <c r="AY1962" s="326"/>
      <c r="AZ1962" s="175"/>
      <c r="BA1962" s="42"/>
      <c r="BB1962" s="426"/>
      <c r="BF1962" s="315"/>
      <c r="BG1962" s="42"/>
    </row>
    <row r="1963" spans="50:59" x14ac:dyDescent="0.2">
      <c r="AX1963" s="315"/>
      <c r="AY1963" s="326"/>
      <c r="AZ1963" s="175"/>
      <c r="BA1963" s="42"/>
      <c r="BB1963" s="426"/>
      <c r="BF1963" s="315"/>
      <c r="BG1963" s="42"/>
    </row>
    <row r="1964" spans="50:59" x14ac:dyDescent="0.2">
      <c r="AX1964" s="315"/>
      <c r="AY1964" s="326"/>
      <c r="AZ1964" s="175"/>
      <c r="BA1964" s="42"/>
      <c r="BB1964" s="426"/>
      <c r="BF1964" s="315"/>
      <c r="BG1964" s="42"/>
    </row>
    <row r="1965" spans="50:59" x14ac:dyDescent="0.2">
      <c r="AX1965" s="315"/>
      <c r="AY1965" s="326"/>
      <c r="AZ1965" s="175"/>
      <c r="BA1965" s="42"/>
      <c r="BB1965" s="426"/>
      <c r="BF1965" s="315"/>
      <c r="BG1965" s="42"/>
    </row>
    <row r="1966" spans="50:59" x14ac:dyDescent="0.2">
      <c r="AX1966" s="315"/>
      <c r="AY1966" s="326"/>
      <c r="AZ1966" s="175"/>
      <c r="BA1966" s="42"/>
      <c r="BB1966" s="426"/>
      <c r="BF1966" s="315"/>
      <c r="BG1966" s="42"/>
    </row>
    <row r="1967" spans="50:59" x14ac:dyDescent="0.2">
      <c r="AX1967" s="315"/>
      <c r="AY1967" s="326"/>
      <c r="AZ1967" s="175"/>
      <c r="BA1967" s="42"/>
      <c r="BB1967" s="426"/>
      <c r="BF1967" s="315"/>
      <c r="BG1967" s="42"/>
    </row>
    <row r="1968" spans="50:59" x14ac:dyDescent="0.2">
      <c r="AX1968" s="315"/>
      <c r="AY1968" s="326"/>
      <c r="AZ1968" s="175"/>
      <c r="BA1968" s="42"/>
      <c r="BB1968" s="426"/>
      <c r="BF1968" s="315"/>
      <c r="BG1968" s="42"/>
    </row>
    <row r="1969" spans="50:59" x14ac:dyDescent="0.2">
      <c r="AX1969" s="315"/>
      <c r="AY1969" s="326"/>
      <c r="AZ1969" s="175"/>
      <c r="BA1969" s="42"/>
      <c r="BB1969" s="426"/>
      <c r="BF1969" s="315"/>
      <c r="BG1969" s="42"/>
    </row>
    <row r="1970" spans="50:59" x14ac:dyDescent="0.2">
      <c r="AX1970" s="315"/>
      <c r="AY1970" s="326"/>
      <c r="AZ1970" s="175"/>
      <c r="BA1970" s="42"/>
      <c r="BB1970" s="426"/>
      <c r="BF1970" s="315"/>
      <c r="BG1970" s="42"/>
    </row>
    <row r="1971" spans="50:59" x14ac:dyDescent="0.2">
      <c r="AX1971" s="315"/>
      <c r="AY1971" s="326"/>
      <c r="AZ1971" s="175"/>
      <c r="BA1971" s="42"/>
      <c r="BB1971" s="426"/>
      <c r="BF1971" s="315"/>
      <c r="BG1971" s="42"/>
    </row>
    <row r="1972" spans="50:59" x14ac:dyDescent="0.2">
      <c r="AX1972" s="315"/>
      <c r="AY1972" s="326"/>
      <c r="AZ1972" s="175"/>
      <c r="BA1972" s="42"/>
      <c r="BB1972" s="426"/>
      <c r="BF1972" s="315"/>
      <c r="BG1972" s="42"/>
    </row>
    <row r="1973" spans="50:59" x14ac:dyDescent="0.2">
      <c r="AX1973" s="315"/>
      <c r="AY1973" s="326"/>
      <c r="AZ1973" s="175"/>
      <c r="BA1973" s="42"/>
      <c r="BB1973" s="426"/>
      <c r="BF1973" s="315"/>
      <c r="BG1973" s="42"/>
    </row>
    <row r="1974" spans="50:59" x14ac:dyDescent="0.2">
      <c r="AX1974" s="315"/>
      <c r="AY1974" s="326"/>
      <c r="AZ1974" s="175"/>
      <c r="BA1974" s="42"/>
      <c r="BB1974" s="426"/>
      <c r="BF1974" s="315"/>
      <c r="BG1974" s="42"/>
    </row>
    <row r="1975" spans="50:59" x14ac:dyDescent="0.2">
      <c r="AX1975" s="315"/>
      <c r="AY1975" s="326"/>
      <c r="AZ1975" s="175"/>
      <c r="BA1975" s="42"/>
      <c r="BB1975" s="426"/>
      <c r="BF1975" s="315"/>
      <c r="BG1975" s="42"/>
    </row>
    <row r="1976" spans="50:59" x14ac:dyDescent="0.2">
      <c r="AX1976" s="315"/>
      <c r="AY1976" s="326"/>
      <c r="AZ1976" s="175"/>
      <c r="BA1976" s="42"/>
      <c r="BB1976" s="426"/>
      <c r="BF1976" s="315"/>
      <c r="BG1976" s="42"/>
    </row>
    <row r="1977" spans="50:59" x14ac:dyDescent="0.2">
      <c r="AX1977" s="315"/>
      <c r="AY1977" s="326"/>
      <c r="AZ1977" s="175"/>
      <c r="BA1977" s="42"/>
      <c r="BB1977" s="426"/>
      <c r="BF1977" s="315"/>
      <c r="BG1977" s="42"/>
    </row>
    <row r="1978" spans="50:59" x14ac:dyDescent="0.2">
      <c r="AX1978" s="315"/>
      <c r="AY1978" s="326"/>
      <c r="AZ1978" s="175"/>
      <c r="BA1978" s="42"/>
      <c r="BB1978" s="426"/>
      <c r="BF1978" s="315"/>
      <c r="BG1978" s="42"/>
    </row>
    <row r="1979" spans="50:59" x14ac:dyDescent="0.2">
      <c r="AX1979" s="315"/>
      <c r="AY1979" s="326"/>
      <c r="AZ1979" s="175"/>
      <c r="BA1979" s="42"/>
      <c r="BB1979" s="426"/>
      <c r="BF1979" s="315"/>
      <c r="BG1979" s="42"/>
    </row>
    <row r="1980" spans="50:59" x14ac:dyDescent="0.2">
      <c r="AX1980" s="315"/>
      <c r="AY1980" s="326"/>
      <c r="AZ1980" s="175"/>
      <c r="BA1980" s="42"/>
      <c r="BB1980" s="426"/>
      <c r="BF1980" s="315"/>
      <c r="BG1980" s="42"/>
    </row>
    <row r="1981" spans="50:59" x14ac:dyDescent="0.2">
      <c r="AX1981" s="315"/>
      <c r="AY1981" s="326"/>
      <c r="AZ1981" s="175"/>
      <c r="BA1981" s="42"/>
      <c r="BB1981" s="426"/>
      <c r="BF1981" s="315"/>
      <c r="BG1981" s="42"/>
    </row>
    <row r="1982" spans="50:59" x14ac:dyDescent="0.2">
      <c r="AX1982" s="315"/>
      <c r="AY1982" s="326"/>
      <c r="AZ1982" s="175"/>
      <c r="BA1982" s="42"/>
      <c r="BB1982" s="426"/>
      <c r="BF1982" s="315"/>
      <c r="BG1982" s="42"/>
    </row>
    <row r="1983" spans="50:59" x14ac:dyDescent="0.2">
      <c r="AX1983" s="315"/>
      <c r="AY1983" s="326"/>
      <c r="AZ1983" s="175"/>
      <c r="BA1983" s="42"/>
      <c r="BB1983" s="426"/>
      <c r="BF1983" s="315"/>
      <c r="BG1983" s="42"/>
    </row>
    <row r="1984" spans="50:59" x14ac:dyDescent="0.2">
      <c r="AX1984" s="315"/>
      <c r="AY1984" s="326"/>
      <c r="AZ1984" s="175"/>
      <c r="BA1984" s="42"/>
      <c r="BB1984" s="426"/>
      <c r="BF1984" s="315"/>
      <c r="BG1984" s="42"/>
    </row>
    <row r="1985" spans="50:59" x14ac:dyDescent="0.2">
      <c r="AX1985" s="315"/>
      <c r="AY1985" s="326"/>
      <c r="AZ1985" s="175"/>
      <c r="BA1985" s="42"/>
      <c r="BB1985" s="426"/>
      <c r="BF1985" s="315"/>
      <c r="BG1985" s="42"/>
    </row>
    <row r="1986" spans="50:59" x14ac:dyDescent="0.2">
      <c r="AX1986" s="315"/>
      <c r="AY1986" s="326"/>
      <c r="AZ1986" s="175"/>
      <c r="BA1986" s="42"/>
      <c r="BB1986" s="426"/>
      <c r="BF1986" s="315"/>
      <c r="BG1986" s="42"/>
    </row>
    <row r="1987" spans="50:59" x14ac:dyDescent="0.2">
      <c r="AX1987" s="315"/>
      <c r="AY1987" s="326"/>
      <c r="AZ1987" s="175"/>
      <c r="BA1987" s="42"/>
      <c r="BB1987" s="426"/>
      <c r="BF1987" s="315"/>
      <c r="BG1987" s="42"/>
    </row>
    <row r="1988" spans="50:59" x14ac:dyDescent="0.2">
      <c r="AX1988" s="315"/>
      <c r="AY1988" s="326"/>
      <c r="AZ1988" s="175"/>
      <c r="BA1988" s="42"/>
      <c r="BB1988" s="426"/>
      <c r="BF1988" s="315"/>
      <c r="BG1988" s="42"/>
    </row>
    <row r="1989" spans="50:59" x14ac:dyDescent="0.2">
      <c r="AX1989" s="315"/>
      <c r="AY1989" s="326"/>
      <c r="AZ1989" s="175"/>
      <c r="BA1989" s="42"/>
      <c r="BB1989" s="426"/>
      <c r="BF1989" s="315"/>
      <c r="BG1989" s="42"/>
    </row>
    <row r="1990" spans="50:59" x14ac:dyDescent="0.2">
      <c r="AX1990" s="315"/>
      <c r="AY1990" s="326"/>
      <c r="AZ1990" s="175"/>
      <c r="BA1990" s="42"/>
      <c r="BB1990" s="426"/>
      <c r="BF1990" s="315"/>
      <c r="BG1990" s="42"/>
    </row>
    <row r="1991" spans="50:59" x14ac:dyDescent="0.2">
      <c r="AX1991" s="315"/>
      <c r="AY1991" s="326"/>
      <c r="AZ1991" s="175"/>
      <c r="BA1991" s="42"/>
      <c r="BB1991" s="426"/>
      <c r="BF1991" s="315"/>
      <c r="BG1991" s="42"/>
    </row>
    <row r="1992" spans="50:59" x14ac:dyDescent="0.2">
      <c r="AX1992" s="315"/>
      <c r="AY1992" s="326"/>
      <c r="AZ1992" s="175"/>
      <c r="BA1992" s="42"/>
      <c r="BB1992" s="426"/>
      <c r="BF1992" s="315"/>
      <c r="BG1992" s="42"/>
    </row>
    <row r="1993" spans="50:59" x14ac:dyDescent="0.2">
      <c r="AX1993" s="315"/>
      <c r="AY1993" s="326"/>
      <c r="AZ1993" s="175"/>
      <c r="BA1993" s="42"/>
      <c r="BB1993" s="426"/>
      <c r="BF1993" s="315"/>
      <c r="BG1993" s="42"/>
    </row>
    <row r="1994" spans="50:59" x14ac:dyDescent="0.2">
      <c r="AX1994" s="315"/>
      <c r="AY1994" s="326"/>
      <c r="AZ1994" s="175"/>
      <c r="BA1994" s="42"/>
      <c r="BB1994" s="426"/>
      <c r="BF1994" s="315"/>
      <c r="BG1994" s="42"/>
    </row>
    <row r="1995" spans="50:59" x14ac:dyDescent="0.2">
      <c r="AX1995" s="315"/>
      <c r="AY1995" s="326"/>
      <c r="AZ1995" s="175"/>
      <c r="BA1995" s="42"/>
      <c r="BB1995" s="426"/>
      <c r="BF1995" s="315"/>
      <c r="BG1995" s="42"/>
    </row>
    <row r="1996" spans="50:59" x14ac:dyDescent="0.2">
      <c r="AX1996" s="315"/>
      <c r="AY1996" s="326"/>
      <c r="AZ1996" s="175"/>
      <c r="BA1996" s="42"/>
      <c r="BB1996" s="426"/>
      <c r="BF1996" s="315"/>
      <c r="BG1996" s="42"/>
    </row>
    <row r="1997" spans="50:59" x14ac:dyDescent="0.2">
      <c r="AX1997" s="315"/>
      <c r="AY1997" s="326"/>
      <c r="AZ1997" s="175"/>
      <c r="BA1997" s="42"/>
      <c r="BB1997" s="426"/>
      <c r="BF1997" s="315"/>
      <c r="BG1997" s="42"/>
    </row>
    <row r="1998" spans="50:59" x14ac:dyDescent="0.2">
      <c r="AX1998" s="315"/>
      <c r="AY1998" s="326"/>
      <c r="AZ1998" s="175"/>
      <c r="BA1998" s="42"/>
      <c r="BB1998" s="426"/>
      <c r="BF1998" s="315"/>
      <c r="BG1998" s="42"/>
    </row>
    <row r="1999" spans="50:59" x14ac:dyDescent="0.2">
      <c r="AX1999" s="315"/>
      <c r="AY1999" s="326"/>
      <c r="AZ1999" s="175"/>
      <c r="BA1999" s="42"/>
      <c r="BB1999" s="426"/>
      <c r="BF1999" s="315"/>
      <c r="BG1999" s="42"/>
    </row>
    <row r="2000" spans="50:59" x14ac:dyDescent="0.2">
      <c r="AX2000" s="315"/>
      <c r="AY2000" s="326"/>
      <c r="AZ2000" s="175"/>
      <c r="BA2000" s="42"/>
      <c r="BB2000" s="426"/>
      <c r="BF2000" s="315"/>
      <c r="BG2000" s="42"/>
    </row>
    <row r="2001" spans="50:59" x14ac:dyDescent="0.2">
      <c r="AX2001" s="315"/>
      <c r="AY2001" s="326"/>
      <c r="AZ2001" s="175"/>
      <c r="BA2001" s="42"/>
      <c r="BB2001" s="426"/>
      <c r="BF2001" s="315"/>
      <c r="BG2001" s="42"/>
    </row>
    <row r="2002" spans="50:59" x14ac:dyDescent="0.2">
      <c r="AX2002" s="315"/>
      <c r="AY2002" s="326"/>
      <c r="AZ2002" s="175"/>
      <c r="BA2002" s="42"/>
      <c r="BB2002" s="426"/>
      <c r="BF2002" s="315"/>
      <c r="BG2002" s="42"/>
    </row>
    <row r="2003" spans="50:59" x14ac:dyDescent="0.2">
      <c r="AX2003" s="315"/>
      <c r="AY2003" s="326"/>
      <c r="AZ2003" s="175"/>
      <c r="BA2003" s="42"/>
      <c r="BB2003" s="426"/>
      <c r="BF2003" s="315"/>
      <c r="BG2003" s="42"/>
    </row>
    <row r="2004" spans="50:59" x14ac:dyDescent="0.2">
      <c r="AX2004" s="315"/>
      <c r="AY2004" s="326"/>
      <c r="AZ2004" s="175"/>
      <c r="BA2004" s="42"/>
      <c r="BB2004" s="426"/>
      <c r="BF2004" s="315"/>
      <c r="BG2004" s="42"/>
    </row>
    <row r="2005" spans="50:59" x14ac:dyDescent="0.2">
      <c r="AX2005" s="315"/>
      <c r="AY2005" s="326"/>
      <c r="AZ2005" s="175"/>
      <c r="BA2005" s="42"/>
      <c r="BB2005" s="426"/>
      <c r="BF2005" s="315"/>
      <c r="BG2005" s="42"/>
    </row>
    <row r="2006" spans="50:59" x14ac:dyDescent="0.2">
      <c r="AX2006" s="315"/>
      <c r="AY2006" s="326"/>
      <c r="AZ2006" s="175"/>
      <c r="BA2006" s="42"/>
      <c r="BB2006" s="426"/>
      <c r="BF2006" s="315"/>
      <c r="BG2006" s="42"/>
    </row>
    <row r="2007" spans="50:59" x14ac:dyDescent="0.2">
      <c r="AX2007" s="315"/>
      <c r="AY2007" s="326"/>
      <c r="AZ2007" s="175"/>
      <c r="BA2007" s="42"/>
      <c r="BB2007" s="426"/>
      <c r="BF2007" s="315"/>
      <c r="BG2007" s="42"/>
    </row>
    <row r="2008" spans="50:59" x14ac:dyDescent="0.2">
      <c r="AX2008" s="315"/>
      <c r="AY2008" s="326"/>
      <c r="AZ2008" s="175"/>
      <c r="BA2008" s="42"/>
      <c r="BB2008" s="426"/>
      <c r="BF2008" s="315"/>
      <c r="BG2008" s="42"/>
    </row>
    <row r="2009" spans="50:59" x14ac:dyDescent="0.2">
      <c r="AX2009" s="315"/>
      <c r="AY2009" s="326"/>
      <c r="AZ2009" s="175"/>
      <c r="BA2009" s="42"/>
      <c r="BB2009" s="426"/>
      <c r="BF2009" s="315"/>
      <c r="BG2009" s="42"/>
    </row>
    <row r="2010" spans="50:59" x14ac:dyDescent="0.2">
      <c r="AX2010" s="315"/>
      <c r="AY2010" s="326"/>
      <c r="AZ2010" s="175"/>
      <c r="BA2010" s="42"/>
      <c r="BB2010" s="426"/>
      <c r="BF2010" s="315"/>
      <c r="BG2010" s="42"/>
    </row>
    <row r="2011" spans="50:59" x14ac:dyDescent="0.2">
      <c r="AX2011" s="315"/>
      <c r="AY2011" s="326"/>
      <c r="AZ2011" s="175"/>
      <c r="BA2011" s="42"/>
      <c r="BB2011" s="426"/>
      <c r="BF2011" s="315"/>
      <c r="BG2011" s="42"/>
    </row>
    <row r="2012" spans="50:59" x14ac:dyDescent="0.2">
      <c r="AX2012" s="315"/>
      <c r="AY2012" s="326"/>
      <c r="AZ2012" s="175"/>
      <c r="BA2012" s="42"/>
      <c r="BB2012" s="426"/>
      <c r="BF2012" s="315"/>
      <c r="BG2012" s="42"/>
    </row>
    <row r="2013" spans="50:59" x14ac:dyDescent="0.2">
      <c r="AX2013" s="315"/>
      <c r="AY2013" s="326"/>
      <c r="AZ2013" s="175"/>
      <c r="BA2013" s="42"/>
      <c r="BB2013" s="426"/>
      <c r="BF2013" s="315"/>
      <c r="BG2013" s="42"/>
    </row>
    <row r="2014" spans="50:59" x14ac:dyDescent="0.2">
      <c r="AX2014" s="315"/>
      <c r="AY2014" s="326"/>
      <c r="AZ2014" s="175"/>
      <c r="BA2014" s="42"/>
      <c r="BB2014" s="426"/>
      <c r="BF2014" s="315"/>
      <c r="BG2014" s="42"/>
    </row>
    <row r="2015" spans="50:59" x14ac:dyDescent="0.2">
      <c r="AX2015" s="315"/>
      <c r="AY2015" s="326"/>
      <c r="AZ2015" s="175"/>
      <c r="BA2015" s="42"/>
      <c r="BB2015" s="426"/>
      <c r="BF2015" s="315"/>
      <c r="BG2015" s="42"/>
    </row>
    <row r="2016" spans="50:59" x14ac:dyDescent="0.2">
      <c r="AX2016" s="315"/>
      <c r="AY2016" s="326"/>
      <c r="AZ2016" s="175"/>
      <c r="BA2016" s="42"/>
      <c r="BB2016" s="426"/>
      <c r="BF2016" s="315"/>
      <c r="BG2016" s="42"/>
    </row>
    <row r="2017" spans="50:59" x14ac:dyDescent="0.2">
      <c r="AX2017" s="315"/>
      <c r="AY2017" s="326"/>
      <c r="AZ2017" s="175"/>
      <c r="BA2017" s="42"/>
      <c r="BB2017" s="426"/>
      <c r="BF2017" s="315"/>
      <c r="BG2017" s="42"/>
    </row>
    <row r="2018" spans="50:59" x14ac:dyDescent="0.2">
      <c r="AX2018" s="315"/>
      <c r="AY2018" s="326"/>
      <c r="AZ2018" s="175"/>
      <c r="BA2018" s="42"/>
      <c r="BB2018" s="426"/>
      <c r="BF2018" s="315"/>
      <c r="BG2018" s="42"/>
    </row>
    <row r="2019" spans="50:59" x14ac:dyDescent="0.2">
      <c r="AX2019" s="315"/>
      <c r="AY2019" s="326"/>
      <c r="AZ2019" s="175"/>
      <c r="BA2019" s="42"/>
      <c r="BB2019" s="426"/>
      <c r="BF2019" s="315"/>
      <c r="BG2019" s="42"/>
    </row>
    <row r="2020" spans="50:59" x14ac:dyDescent="0.2">
      <c r="AX2020" s="315"/>
      <c r="AY2020" s="326"/>
      <c r="AZ2020" s="175"/>
      <c r="BA2020" s="42"/>
      <c r="BB2020" s="426"/>
      <c r="BF2020" s="315"/>
      <c r="BG2020" s="42"/>
    </row>
    <row r="2021" spans="50:59" x14ac:dyDescent="0.2">
      <c r="AX2021" s="315"/>
      <c r="AY2021" s="326"/>
      <c r="AZ2021" s="175"/>
      <c r="BA2021" s="42"/>
      <c r="BB2021" s="426"/>
      <c r="BF2021" s="315"/>
      <c r="BG2021" s="42"/>
    </row>
    <row r="2022" spans="50:59" x14ac:dyDescent="0.2">
      <c r="AX2022" s="315"/>
      <c r="AY2022" s="326"/>
      <c r="AZ2022" s="175"/>
      <c r="BA2022" s="42"/>
      <c r="BB2022" s="426"/>
      <c r="BF2022" s="315"/>
      <c r="BG2022" s="42"/>
    </row>
    <row r="2023" spans="50:59" x14ac:dyDescent="0.2">
      <c r="AX2023" s="315"/>
      <c r="AY2023" s="326"/>
      <c r="AZ2023" s="175"/>
      <c r="BA2023" s="42"/>
      <c r="BB2023" s="426"/>
      <c r="BF2023" s="315"/>
      <c r="BG2023" s="42"/>
    </row>
    <row r="2024" spans="50:59" x14ac:dyDescent="0.2">
      <c r="AX2024" s="315"/>
      <c r="AY2024" s="326"/>
      <c r="AZ2024" s="175"/>
      <c r="BA2024" s="42"/>
      <c r="BB2024" s="426"/>
      <c r="BF2024" s="315"/>
      <c r="BG2024" s="42"/>
    </row>
    <row r="2025" spans="50:59" x14ac:dyDescent="0.2">
      <c r="AX2025" s="315"/>
      <c r="AY2025" s="326"/>
      <c r="AZ2025" s="175"/>
      <c r="BA2025" s="42"/>
      <c r="BB2025" s="426"/>
      <c r="BF2025" s="315"/>
      <c r="BG2025" s="42"/>
    </row>
    <row r="2026" spans="50:59" x14ac:dyDescent="0.2">
      <c r="AX2026" s="315"/>
      <c r="AY2026" s="326"/>
      <c r="AZ2026" s="175"/>
      <c r="BA2026" s="42"/>
      <c r="BB2026" s="426"/>
      <c r="BF2026" s="315"/>
      <c r="BG2026" s="42"/>
    </row>
    <row r="2027" spans="50:59" x14ac:dyDescent="0.2">
      <c r="AX2027" s="315"/>
      <c r="AY2027" s="326"/>
      <c r="AZ2027" s="175"/>
      <c r="BA2027" s="42"/>
      <c r="BB2027" s="426"/>
      <c r="BF2027" s="315"/>
      <c r="BG2027" s="42"/>
    </row>
    <row r="2028" spans="50:59" x14ac:dyDescent="0.2">
      <c r="AX2028" s="315"/>
      <c r="AY2028" s="326"/>
      <c r="AZ2028" s="175"/>
      <c r="BA2028" s="42"/>
      <c r="BB2028" s="426"/>
      <c r="BF2028" s="315"/>
      <c r="BG2028" s="42"/>
    </row>
    <row r="2029" spans="50:59" x14ac:dyDescent="0.2">
      <c r="AX2029" s="315"/>
      <c r="AY2029" s="326"/>
      <c r="AZ2029" s="175"/>
      <c r="BA2029" s="42"/>
      <c r="BB2029" s="426"/>
      <c r="BF2029" s="315"/>
      <c r="BG2029" s="42"/>
    </row>
    <row r="2030" spans="50:59" x14ac:dyDescent="0.2">
      <c r="AX2030" s="315"/>
      <c r="AY2030" s="326"/>
      <c r="AZ2030" s="175"/>
      <c r="BA2030" s="42"/>
      <c r="BB2030" s="426"/>
      <c r="BF2030" s="315"/>
      <c r="BG2030" s="42"/>
    </row>
    <row r="2031" spans="50:59" x14ac:dyDescent="0.2">
      <c r="AX2031" s="315"/>
      <c r="AY2031" s="326"/>
      <c r="AZ2031" s="175"/>
      <c r="BA2031" s="42"/>
      <c r="BB2031" s="426"/>
      <c r="BF2031" s="315"/>
      <c r="BG2031" s="42"/>
    </row>
    <row r="2032" spans="50:59" x14ac:dyDescent="0.2">
      <c r="AX2032" s="315"/>
      <c r="AY2032" s="326"/>
      <c r="AZ2032" s="175"/>
      <c r="BA2032" s="42"/>
      <c r="BB2032" s="426"/>
      <c r="BF2032" s="315"/>
      <c r="BG2032" s="42"/>
    </row>
    <row r="2033" spans="50:59" x14ac:dyDescent="0.2">
      <c r="AX2033" s="315"/>
      <c r="AY2033" s="326"/>
      <c r="AZ2033" s="175"/>
      <c r="BA2033" s="42"/>
      <c r="BB2033" s="426"/>
      <c r="BF2033" s="315"/>
      <c r="BG2033" s="42"/>
    </row>
    <row r="2034" spans="50:59" x14ac:dyDescent="0.2">
      <c r="AX2034" s="315"/>
      <c r="AY2034" s="326"/>
      <c r="AZ2034" s="175"/>
      <c r="BA2034" s="42"/>
      <c r="BB2034" s="426"/>
      <c r="BF2034" s="315"/>
      <c r="BG2034" s="42"/>
    </row>
    <row r="2035" spans="50:59" x14ac:dyDescent="0.2">
      <c r="AX2035" s="315"/>
      <c r="AY2035" s="326"/>
      <c r="AZ2035" s="175"/>
      <c r="BA2035" s="42"/>
      <c r="BB2035" s="426"/>
      <c r="BF2035" s="315"/>
      <c r="BG2035" s="42"/>
    </row>
    <row r="2036" spans="50:59" x14ac:dyDescent="0.2">
      <c r="AX2036" s="315"/>
      <c r="AY2036" s="326"/>
      <c r="AZ2036" s="175"/>
      <c r="BA2036" s="42"/>
      <c r="BB2036" s="426"/>
      <c r="BF2036" s="315"/>
      <c r="BG2036" s="42"/>
    </row>
    <row r="2037" spans="50:59" x14ac:dyDescent="0.2">
      <c r="AX2037" s="315"/>
      <c r="AY2037" s="326"/>
      <c r="AZ2037" s="175"/>
      <c r="BA2037" s="42"/>
      <c r="BB2037" s="426"/>
      <c r="BF2037" s="315"/>
      <c r="BG2037" s="42"/>
    </row>
    <row r="2038" spans="50:59" x14ac:dyDescent="0.2">
      <c r="AX2038" s="315"/>
      <c r="AY2038" s="326"/>
      <c r="AZ2038" s="175"/>
      <c r="BA2038" s="42"/>
      <c r="BB2038" s="426"/>
      <c r="BF2038" s="315"/>
      <c r="BG2038" s="42"/>
    </row>
    <row r="2039" spans="50:59" x14ac:dyDescent="0.2">
      <c r="AX2039" s="315"/>
      <c r="AY2039" s="326"/>
      <c r="AZ2039" s="175"/>
      <c r="BA2039" s="42"/>
      <c r="BB2039" s="426"/>
      <c r="BF2039" s="315"/>
      <c r="BG2039" s="42"/>
    </row>
    <row r="2040" spans="50:59" x14ac:dyDescent="0.2">
      <c r="AX2040" s="315"/>
      <c r="AY2040" s="326"/>
      <c r="AZ2040" s="175"/>
      <c r="BA2040" s="42"/>
      <c r="BB2040" s="426"/>
      <c r="BF2040" s="315"/>
      <c r="BG2040" s="42"/>
    </row>
    <row r="2041" spans="50:59" x14ac:dyDescent="0.2">
      <c r="AX2041" s="315"/>
      <c r="AY2041" s="326"/>
      <c r="AZ2041" s="175"/>
      <c r="BA2041" s="42"/>
      <c r="BB2041" s="426"/>
      <c r="BF2041" s="315"/>
      <c r="BG2041" s="42"/>
    </row>
    <row r="2042" spans="50:59" x14ac:dyDescent="0.2">
      <c r="AX2042" s="315"/>
      <c r="AY2042" s="326"/>
      <c r="AZ2042" s="175"/>
      <c r="BA2042" s="42"/>
      <c r="BB2042" s="426"/>
      <c r="BF2042" s="315"/>
      <c r="BG2042" s="42"/>
    </row>
    <row r="2043" spans="50:59" x14ac:dyDescent="0.2">
      <c r="AX2043" s="315"/>
      <c r="AY2043" s="326"/>
      <c r="AZ2043" s="175"/>
      <c r="BA2043" s="42"/>
      <c r="BB2043" s="426"/>
      <c r="BF2043" s="315"/>
      <c r="BG2043" s="42"/>
    </row>
    <row r="2044" spans="50:59" x14ac:dyDescent="0.2">
      <c r="AX2044" s="315"/>
      <c r="AY2044" s="326"/>
      <c r="AZ2044" s="175"/>
      <c r="BA2044" s="42"/>
      <c r="BB2044" s="426"/>
      <c r="BF2044" s="315"/>
      <c r="BG2044" s="42"/>
    </row>
    <row r="2045" spans="50:59" x14ac:dyDescent="0.2">
      <c r="AX2045" s="315"/>
      <c r="AY2045" s="326"/>
      <c r="AZ2045" s="175"/>
      <c r="BA2045" s="42"/>
      <c r="BB2045" s="426"/>
      <c r="BF2045" s="315"/>
      <c r="BG2045" s="42"/>
    </row>
    <row r="2046" spans="50:59" x14ac:dyDescent="0.2">
      <c r="AX2046" s="315"/>
      <c r="AY2046" s="326"/>
      <c r="AZ2046" s="175"/>
      <c r="BA2046" s="42"/>
      <c r="BB2046" s="426"/>
      <c r="BF2046" s="315"/>
      <c r="BG2046" s="42"/>
    </row>
    <row r="2047" spans="50:59" x14ac:dyDescent="0.2">
      <c r="AX2047" s="315"/>
      <c r="AY2047" s="326"/>
      <c r="AZ2047" s="175"/>
      <c r="BA2047" s="42"/>
      <c r="BB2047" s="426"/>
      <c r="BF2047" s="315"/>
      <c r="BG2047" s="42"/>
    </row>
    <row r="2048" spans="50:59" x14ac:dyDescent="0.2">
      <c r="AX2048" s="315"/>
      <c r="AY2048" s="326"/>
      <c r="AZ2048" s="175"/>
      <c r="BA2048" s="42"/>
      <c r="BB2048" s="426"/>
      <c r="BF2048" s="315"/>
      <c r="BG2048" s="42"/>
    </row>
    <row r="2049" spans="50:59" x14ac:dyDescent="0.2">
      <c r="AX2049" s="315"/>
      <c r="AY2049" s="326"/>
      <c r="AZ2049" s="175"/>
      <c r="BA2049" s="42"/>
      <c r="BB2049" s="426"/>
      <c r="BF2049" s="315"/>
      <c r="BG2049" s="42"/>
    </row>
    <row r="2050" spans="50:59" x14ac:dyDescent="0.2">
      <c r="AX2050" s="315"/>
      <c r="AY2050" s="326"/>
      <c r="AZ2050" s="175"/>
      <c r="BA2050" s="42"/>
      <c r="BB2050" s="426"/>
      <c r="BF2050" s="315"/>
      <c r="BG2050" s="42"/>
    </row>
    <row r="2051" spans="50:59" x14ac:dyDescent="0.2">
      <c r="AX2051" s="315"/>
      <c r="AY2051" s="326"/>
      <c r="AZ2051" s="175"/>
      <c r="BA2051" s="42"/>
      <c r="BB2051" s="426"/>
      <c r="BF2051" s="315"/>
      <c r="BG2051" s="42"/>
    </row>
    <row r="2052" spans="50:59" x14ac:dyDescent="0.2">
      <c r="AX2052" s="315"/>
      <c r="AY2052" s="326"/>
      <c r="AZ2052" s="175"/>
      <c r="BA2052" s="42"/>
      <c r="BB2052" s="426"/>
      <c r="BF2052" s="315"/>
      <c r="BG2052" s="42"/>
    </row>
    <row r="2053" spans="50:59" x14ac:dyDescent="0.2">
      <c r="AX2053" s="315"/>
      <c r="AY2053" s="326"/>
      <c r="AZ2053" s="175"/>
      <c r="BA2053" s="42"/>
      <c r="BB2053" s="426"/>
      <c r="BF2053" s="315"/>
      <c r="BG2053" s="42"/>
    </row>
    <row r="2054" spans="50:59" x14ac:dyDescent="0.2">
      <c r="AX2054" s="315"/>
      <c r="AY2054" s="326"/>
      <c r="AZ2054" s="175"/>
      <c r="BA2054" s="42"/>
      <c r="BB2054" s="426"/>
      <c r="BF2054" s="315"/>
      <c r="BG2054" s="42"/>
    </row>
    <row r="2055" spans="50:59" x14ac:dyDescent="0.2">
      <c r="AX2055" s="315"/>
      <c r="AY2055" s="326"/>
      <c r="AZ2055" s="175"/>
      <c r="BA2055" s="42"/>
      <c r="BB2055" s="426"/>
      <c r="BF2055" s="315"/>
      <c r="BG2055" s="42"/>
    </row>
    <row r="2056" spans="50:59" x14ac:dyDescent="0.2">
      <c r="AX2056" s="315"/>
      <c r="AY2056" s="326"/>
      <c r="AZ2056" s="175"/>
      <c r="BA2056" s="42"/>
      <c r="BB2056" s="426"/>
      <c r="BF2056" s="315"/>
      <c r="BG2056" s="42"/>
    </row>
    <row r="2057" spans="50:59" x14ac:dyDescent="0.2">
      <c r="AX2057" s="315"/>
      <c r="AY2057" s="326"/>
      <c r="AZ2057" s="175"/>
      <c r="BA2057" s="42"/>
      <c r="BB2057" s="426"/>
      <c r="BF2057" s="315"/>
      <c r="BG2057" s="42"/>
    </row>
    <row r="2058" spans="50:59" x14ac:dyDescent="0.2">
      <c r="AX2058" s="315"/>
      <c r="AY2058" s="326"/>
      <c r="AZ2058" s="175"/>
      <c r="BA2058" s="42"/>
      <c r="BB2058" s="426"/>
      <c r="BF2058" s="315"/>
      <c r="BG2058" s="42"/>
    </row>
    <row r="2059" spans="50:59" x14ac:dyDescent="0.2">
      <c r="AX2059" s="315"/>
      <c r="AY2059" s="326"/>
      <c r="AZ2059" s="175"/>
      <c r="BA2059" s="42"/>
      <c r="BB2059" s="426"/>
      <c r="BF2059" s="315"/>
      <c r="BG2059" s="42"/>
    </row>
    <row r="2060" spans="50:59" x14ac:dyDescent="0.2">
      <c r="AX2060" s="315"/>
      <c r="AY2060" s="326"/>
      <c r="AZ2060" s="175"/>
      <c r="BA2060" s="42"/>
      <c r="BB2060" s="426"/>
      <c r="BF2060" s="315"/>
      <c r="BG2060" s="42"/>
    </row>
    <row r="2061" spans="50:59" x14ac:dyDescent="0.2">
      <c r="AX2061" s="315"/>
      <c r="AY2061" s="326"/>
      <c r="AZ2061" s="175"/>
      <c r="BA2061" s="42"/>
      <c r="BB2061" s="426"/>
      <c r="BF2061" s="315"/>
      <c r="BG2061" s="42"/>
    </row>
    <row r="2062" spans="50:59" x14ac:dyDescent="0.2">
      <c r="AX2062" s="315"/>
      <c r="AY2062" s="326"/>
      <c r="AZ2062" s="175"/>
      <c r="BA2062" s="42"/>
      <c r="BB2062" s="426"/>
      <c r="BF2062" s="315"/>
      <c r="BG2062" s="42"/>
    </row>
    <row r="2063" spans="50:59" x14ac:dyDescent="0.2">
      <c r="AX2063" s="315"/>
      <c r="AY2063" s="326"/>
      <c r="AZ2063" s="175"/>
      <c r="BA2063" s="42"/>
      <c r="BB2063" s="426"/>
      <c r="BF2063" s="315"/>
      <c r="BG2063" s="42"/>
    </row>
    <row r="2064" spans="50:59" x14ac:dyDescent="0.2">
      <c r="AX2064" s="315"/>
      <c r="AY2064" s="326"/>
      <c r="AZ2064" s="175"/>
      <c r="BA2064" s="42"/>
      <c r="BB2064" s="426"/>
      <c r="BF2064" s="315"/>
      <c r="BG2064" s="42"/>
    </row>
    <row r="2065" spans="50:59" x14ac:dyDescent="0.2">
      <c r="AX2065" s="315"/>
      <c r="AY2065" s="326"/>
      <c r="AZ2065" s="175"/>
      <c r="BA2065" s="42"/>
      <c r="BB2065" s="426"/>
      <c r="BF2065" s="315"/>
      <c r="BG2065" s="42"/>
    </row>
    <row r="2066" spans="50:59" x14ac:dyDescent="0.2">
      <c r="AX2066" s="315"/>
      <c r="AY2066" s="326"/>
      <c r="AZ2066" s="175"/>
      <c r="BA2066" s="42"/>
      <c r="BB2066" s="426"/>
      <c r="BF2066" s="315"/>
      <c r="BG2066" s="42"/>
    </row>
    <row r="2067" spans="50:59" x14ac:dyDescent="0.2">
      <c r="AX2067" s="315"/>
      <c r="AY2067" s="326"/>
      <c r="AZ2067" s="175"/>
      <c r="BA2067" s="42"/>
      <c r="BB2067" s="426"/>
      <c r="BF2067" s="315"/>
      <c r="BG2067" s="42"/>
    </row>
    <row r="2068" spans="50:59" x14ac:dyDescent="0.2">
      <c r="AX2068" s="315"/>
      <c r="AY2068" s="326"/>
      <c r="AZ2068" s="175"/>
      <c r="BA2068" s="42"/>
      <c r="BB2068" s="426"/>
      <c r="BF2068" s="315"/>
      <c r="BG2068" s="42"/>
    </row>
    <row r="2069" spans="50:59" x14ac:dyDescent="0.2">
      <c r="AX2069" s="315"/>
      <c r="AY2069" s="326"/>
      <c r="AZ2069" s="175"/>
      <c r="BA2069" s="42"/>
      <c r="BB2069" s="426"/>
      <c r="BF2069" s="315"/>
      <c r="BG2069" s="42"/>
    </row>
    <row r="2070" spans="50:59" x14ac:dyDescent="0.2">
      <c r="AX2070" s="315"/>
      <c r="AY2070" s="326"/>
      <c r="AZ2070" s="175"/>
      <c r="BA2070" s="42"/>
      <c r="BB2070" s="426"/>
      <c r="BF2070" s="315"/>
      <c r="BG2070" s="42"/>
    </row>
    <row r="2071" spans="50:59" x14ac:dyDescent="0.2">
      <c r="AX2071" s="315"/>
      <c r="AY2071" s="326"/>
      <c r="AZ2071" s="175"/>
      <c r="BA2071" s="42"/>
      <c r="BB2071" s="426"/>
      <c r="BF2071" s="315"/>
      <c r="BG2071" s="42"/>
    </row>
    <row r="2072" spans="50:59" x14ac:dyDescent="0.2">
      <c r="AX2072" s="315"/>
      <c r="AY2072" s="326"/>
      <c r="AZ2072" s="175"/>
      <c r="BA2072" s="42"/>
      <c r="BB2072" s="426"/>
      <c r="BF2072" s="315"/>
      <c r="BG2072" s="42"/>
    </row>
    <row r="2073" spans="50:59" x14ac:dyDescent="0.2">
      <c r="AX2073" s="315"/>
      <c r="AY2073" s="326"/>
      <c r="AZ2073" s="175"/>
      <c r="BA2073" s="42"/>
      <c r="BB2073" s="426"/>
      <c r="BF2073" s="315"/>
      <c r="BG2073" s="42"/>
    </row>
    <row r="2074" spans="50:59" x14ac:dyDescent="0.2">
      <c r="AX2074" s="315"/>
      <c r="AY2074" s="326"/>
      <c r="AZ2074" s="175"/>
      <c r="BA2074" s="42"/>
      <c r="BB2074" s="426"/>
      <c r="BF2074" s="315"/>
      <c r="BG2074" s="42"/>
    </row>
    <row r="2075" spans="50:59" x14ac:dyDescent="0.2">
      <c r="AX2075" s="315"/>
      <c r="AY2075" s="326"/>
      <c r="AZ2075" s="175"/>
      <c r="BA2075" s="42"/>
      <c r="BB2075" s="426"/>
      <c r="BF2075" s="315"/>
      <c r="BG2075" s="42"/>
    </row>
    <row r="2076" spans="50:59" x14ac:dyDescent="0.2">
      <c r="AX2076" s="315"/>
      <c r="AY2076" s="326"/>
      <c r="AZ2076" s="175"/>
      <c r="BA2076" s="42"/>
      <c r="BB2076" s="426"/>
      <c r="BF2076" s="315"/>
      <c r="BG2076" s="42"/>
    </row>
    <row r="2077" spans="50:59" x14ac:dyDescent="0.2">
      <c r="AX2077" s="315"/>
      <c r="AY2077" s="326"/>
      <c r="AZ2077" s="175"/>
      <c r="BA2077" s="42"/>
      <c r="BB2077" s="426"/>
      <c r="BF2077" s="315"/>
      <c r="BG2077" s="42"/>
    </row>
    <row r="2078" spans="50:59" x14ac:dyDescent="0.2">
      <c r="AX2078" s="315"/>
      <c r="AY2078" s="326"/>
      <c r="AZ2078" s="175"/>
      <c r="BA2078" s="42"/>
      <c r="BB2078" s="426"/>
      <c r="BF2078" s="315"/>
      <c r="BG2078" s="42"/>
    </row>
    <row r="2079" spans="50:59" x14ac:dyDescent="0.2">
      <c r="AX2079" s="315"/>
      <c r="AY2079" s="326"/>
      <c r="AZ2079" s="175"/>
      <c r="BA2079" s="42"/>
      <c r="BB2079" s="426"/>
      <c r="BF2079" s="315"/>
      <c r="BG2079" s="42"/>
    </row>
    <row r="2080" spans="50:59" x14ac:dyDescent="0.2">
      <c r="AX2080" s="315"/>
      <c r="AY2080" s="326"/>
      <c r="AZ2080" s="175"/>
      <c r="BA2080" s="42"/>
      <c r="BB2080" s="426"/>
      <c r="BF2080" s="315"/>
      <c r="BG2080" s="42"/>
    </row>
    <row r="2081" spans="50:59" x14ac:dyDescent="0.2">
      <c r="AX2081" s="315"/>
      <c r="AY2081" s="326"/>
      <c r="AZ2081" s="175"/>
      <c r="BA2081" s="42"/>
      <c r="BB2081" s="426"/>
      <c r="BF2081" s="315"/>
      <c r="BG2081" s="42"/>
    </row>
    <row r="2082" spans="50:59" x14ac:dyDescent="0.2">
      <c r="AX2082" s="315"/>
      <c r="AY2082" s="326"/>
      <c r="AZ2082" s="175"/>
      <c r="BA2082" s="42"/>
      <c r="BB2082" s="426"/>
      <c r="BF2082" s="315"/>
      <c r="BG2082" s="42"/>
    </row>
    <row r="2083" spans="50:59" x14ac:dyDescent="0.2">
      <c r="AX2083" s="315"/>
      <c r="AY2083" s="326"/>
      <c r="AZ2083" s="175"/>
      <c r="BA2083" s="42"/>
      <c r="BB2083" s="426"/>
      <c r="BF2083" s="315"/>
      <c r="BG2083" s="42"/>
    </row>
    <row r="2084" spans="50:59" x14ac:dyDescent="0.2">
      <c r="AX2084" s="315"/>
      <c r="AY2084" s="326"/>
      <c r="AZ2084" s="175"/>
      <c r="BA2084" s="42"/>
      <c r="BB2084" s="426"/>
      <c r="BF2084" s="315"/>
      <c r="BG2084" s="42"/>
    </row>
    <row r="2085" spans="50:59" x14ac:dyDescent="0.2">
      <c r="AX2085" s="315"/>
      <c r="AY2085" s="326"/>
      <c r="AZ2085" s="175"/>
      <c r="BA2085" s="42"/>
      <c r="BB2085" s="426"/>
      <c r="BF2085" s="315"/>
      <c r="BG2085" s="42"/>
    </row>
    <row r="2086" spans="50:59" x14ac:dyDescent="0.2">
      <c r="AX2086" s="315"/>
      <c r="AY2086" s="326"/>
      <c r="AZ2086" s="175"/>
      <c r="BA2086" s="42"/>
      <c r="BB2086" s="426"/>
      <c r="BF2086" s="315"/>
      <c r="BG2086" s="42"/>
    </row>
    <row r="2087" spans="50:59" x14ac:dyDescent="0.2">
      <c r="AX2087" s="315"/>
      <c r="AY2087" s="326"/>
      <c r="AZ2087" s="175"/>
      <c r="BA2087" s="42"/>
      <c r="BB2087" s="426"/>
      <c r="BF2087" s="315"/>
      <c r="BG2087" s="42"/>
    </row>
    <row r="2088" spans="50:59" x14ac:dyDescent="0.2">
      <c r="AX2088" s="315"/>
      <c r="AY2088" s="326"/>
      <c r="AZ2088" s="175"/>
      <c r="BA2088" s="42"/>
      <c r="BB2088" s="426"/>
      <c r="BF2088" s="315"/>
      <c r="BG2088" s="42"/>
    </row>
    <row r="2089" spans="50:59" x14ac:dyDescent="0.2">
      <c r="AX2089" s="315"/>
      <c r="AY2089" s="326"/>
      <c r="AZ2089" s="175"/>
      <c r="BA2089" s="42"/>
      <c r="BB2089" s="426"/>
      <c r="BF2089" s="315"/>
      <c r="BG2089" s="42"/>
    </row>
    <row r="2090" spans="50:59" x14ac:dyDescent="0.2">
      <c r="AX2090" s="315"/>
      <c r="AY2090" s="326"/>
      <c r="AZ2090" s="175"/>
      <c r="BA2090" s="42"/>
      <c r="BB2090" s="426"/>
      <c r="BF2090" s="315"/>
      <c r="BG2090" s="42"/>
    </row>
    <row r="2091" spans="50:59" x14ac:dyDescent="0.2">
      <c r="AX2091" s="315"/>
      <c r="AY2091" s="326"/>
      <c r="AZ2091" s="175"/>
      <c r="BA2091" s="42"/>
      <c r="BB2091" s="426"/>
      <c r="BF2091" s="315"/>
      <c r="BG2091" s="42"/>
    </row>
    <row r="2092" spans="50:59" x14ac:dyDescent="0.2">
      <c r="AX2092" s="315"/>
      <c r="AY2092" s="326"/>
      <c r="AZ2092" s="175"/>
      <c r="BA2092" s="42"/>
      <c r="BB2092" s="426"/>
      <c r="BF2092" s="315"/>
      <c r="BG2092" s="42"/>
    </row>
    <row r="2093" spans="50:59" x14ac:dyDescent="0.2">
      <c r="AX2093" s="315"/>
      <c r="AY2093" s="326"/>
      <c r="AZ2093" s="175"/>
      <c r="BA2093" s="42"/>
      <c r="BB2093" s="426"/>
      <c r="BF2093" s="315"/>
      <c r="BG2093" s="42"/>
    </row>
    <row r="2094" spans="50:59" x14ac:dyDescent="0.2">
      <c r="AX2094" s="315"/>
      <c r="AY2094" s="326"/>
      <c r="AZ2094" s="175"/>
      <c r="BA2094" s="42"/>
      <c r="BB2094" s="426"/>
      <c r="BF2094" s="315"/>
      <c r="BG2094" s="42"/>
    </row>
    <row r="2095" spans="50:59" x14ac:dyDescent="0.2">
      <c r="AX2095" s="315"/>
      <c r="AY2095" s="326"/>
      <c r="AZ2095" s="175"/>
      <c r="BA2095" s="42"/>
      <c r="BB2095" s="426"/>
      <c r="BF2095" s="315"/>
      <c r="BG2095" s="42"/>
    </row>
    <row r="2096" spans="50:59" x14ac:dyDescent="0.2">
      <c r="AX2096" s="315"/>
      <c r="AY2096" s="326"/>
      <c r="AZ2096" s="175"/>
      <c r="BA2096" s="42"/>
      <c r="BB2096" s="426"/>
      <c r="BF2096" s="315"/>
      <c r="BG2096" s="42"/>
    </row>
    <row r="2097" spans="50:59" x14ac:dyDescent="0.2">
      <c r="AX2097" s="315"/>
      <c r="AY2097" s="326"/>
      <c r="AZ2097" s="175"/>
      <c r="BA2097" s="42"/>
      <c r="BB2097" s="426"/>
      <c r="BF2097" s="315"/>
      <c r="BG2097" s="42"/>
    </row>
    <row r="2098" spans="50:59" x14ac:dyDescent="0.2">
      <c r="AX2098" s="315"/>
      <c r="AY2098" s="326"/>
      <c r="AZ2098" s="175"/>
      <c r="BA2098" s="42"/>
      <c r="BB2098" s="426"/>
      <c r="BF2098" s="315"/>
      <c r="BG2098" s="42"/>
    </row>
    <row r="2099" spans="50:59" x14ac:dyDescent="0.2">
      <c r="AX2099" s="315"/>
      <c r="AY2099" s="326"/>
      <c r="AZ2099" s="175"/>
      <c r="BA2099" s="42"/>
      <c r="BB2099" s="426"/>
      <c r="BF2099" s="315"/>
      <c r="BG2099" s="42"/>
    </row>
    <row r="2100" spans="50:59" x14ac:dyDescent="0.2">
      <c r="AX2100" s="315"/>
      <c r="AY2100" s="326"/>
      <c r="AZ2100" s="175"/>
      <c r="BA2100" s="42"/>
      <c r="BB2100" s="426"/>
      <c r="BF2100" s="315"/>
      <c r="BG2100" s="42"/>
    </row>
    <row r="2101" spans="50:59" x14ac:dyDescent="0.2">
      <c r="AX2101" s="315"/>
      <c r="AY2101" s="326"/>
      <c r="AZ2101" s="175"/>
      <c r="BA2101" s="42"/>
      <c r="BB2101" s="426"/>
      <c r="BF2101" s="315"/>
      <c r="BG2101" s="42"/>
    </row>
    <row r="2102" spans="50:59" x14ac:dyDescent="0.2">
      <c r="AX2102" s="315"/>
      <c r="AY2102" s="326"/>
      <c r="AZ2102" s="175"/>
      <c r="BA2102" s="42"/>
      <c r="BB2102" s="426"/>
      <c r="BF2102" s="315"/>
      <c r="BG2102" s="42"/>
    </row>
    <row r="2103" spans="50:59" x14ac:dyDescent="0.2">
      <c r="AX2103" s="315"/>
      <c r="AY2103" s="326"/>
      <c r="AZ2103" s="175"/>
      <c r="BA2103" s="42"/>
      <c r="BB2103" s="426"/>
      <c r="BF2103" s="315"/>
      <c r="BG2103" s="42"/>
    </row>
    <row r="2104" spans="50:59" x14ac:dyDescent="0.2">
      <c r="AX2104" s="315"/>
      <c r="AY2104" s="326"/>
      <c r="AZ2104" s="175"/>
      <c r="BA2104" s="42"/>
      <c r="BB2104" s="426"/>
      <c r="BF2104" s="315"/>
      <c r="BG2104" s="42"/>
    </row>
    <row r="2105" spans="50:59" x14ac:dyDescent="0.2">
      <c r="AX2105" s="315"/>
      <c r="AY2105" s="326"/>
      <c r="AZ2105" s="175"/>
      <c r="BA2105" s="42"/>
      <c r="BB2105" s="426"/>
      <c r="BF2105" s="315"/>
      <c r="BG2105" s="42"/>
    </row>
    <row r="2106" spans="50:59" x14ac:dyDescent="0.2">
      <c r="AX2106" s="315"/>
      <c r="AY2106" s="326"/>
      <c r="AZ2106" s="175"/>
      <c r="BA2106" s="42"/>
      <c r="BB2106" s="426"/>
      <c r="BF2106" s="315"/>
      <c r="BG2106" s="42"/>
    </row>
    <row r="2107" spans="50:59" x14ac:dyDescent="0.2">
      <c r="AX2107" s="315"/>
      <c r="AY2107" s="326"/>
      <c r="AZ2107" s="175"/>
      <c r="BA2107" s="42"/>
      <c r="BB2107" s="426"/>
      <c r="BF2107" s="315"/>
      <c r="BG2107" s="42"/>
    </row>
    <row r="2108" spans="50:59" x14ac:dyDescent="0.2">
      <c r="AX2108" s="315"/>
      <c r="AY2108" s="326"/>
      <c r="AZ2108" s="175"/>
      <c r="BA2108" s="42"/>
      <c r="BB2108" s="426"/>
      <c r="BF2108" s="315"/>
      <c r="BG2108" s="42"/>
    </row>
    <row r="2109" spans="50:59" x14ac:dyDescent="0.2">
      <c r="AX2109" s="315"/>
      <c r="AY2109" s="326"/>
      <c r="AZ2109" s="175"/>
      <c r="BA2109" s="42"/>
      <c r="BB2109" s="426"/>
      <c r="BF2109" s="315"/>
      <c r="BG2109" s="42"/>
    </row>
    <row r="2110" spans="50:59" x14ac:dyDescent="0.2">
      <c r="AX2110" s="315"/>
      <c r="AY2110" s="326"/>
      <c r="AZ2110" s="175"/>
      <c r="BA2110" s="42"/>
      <c r="BB2110" s="426"/>
      <c r="BF2110" s="315"/>
      <c r="BG2110" s="42"/>
    </row>
    <row r="2111" spans="50:59" x14ac:dyDescent="0.2">
      <c r="AX2111" s="315"/>
      <c r="AY2111" s="326"/>
      <c r="AZ2111" s="175"/>
      <c r="BA2111" s="42"/>
      <c r="BB2111" s="426"/>
      <c r="BF2111" s="315"/>
      <c r="BG2111" s="42"/>
    </row>
    <row r="2112" spans="50:59" x14ac:dyDescent="0.2">
      <c r="AX2112" s="315"/>
      <c r="AY2112" s="326"/>
      <c r="AZ2112" s="175"/>
      <c r="BA2112" s="42"/>
      <c r="BB2112" s="426"/>
      <c r="BF2112" s="315"/>
      <c r="BG2112" s="42"/>
    </row>
    <row r="2113" spans="50:59" x14ac:dyDescent="0.2">
      <c r="AX2113" s="315"/>
      <c r="AY2113" s="326"/>
      <c r="AZ2113" s="175"/>
      <c r="BA2113" s="42"/>
      <c r="BB2113" s="426"/>
      <c r="BF2113" s="315"/>
      <c r="BG2113" s="42"/>
    </row>
    <row r="2114" spans="50:59" x14ac:dyDescent="0.2">
      <c r="AX2114" s="315"/>
      <c r="AY2114" s="326"/>
      <c r="AZ2114" s="175"/>
      <c r="BA2114" s="42"/>
      <c r="BB2114" s="426"/>
      <c r="BF2114" s="315"/>
      <c r="BG2114" s="42"/>
    </row>
    <row r="2115" spans="50:59" x14ac:dyDescent="0.2">
      <c r="AX2115" s="315"/>
      <c r="AY2115" s="326"/>
      <c r="AZ2115" s="175"/>
      <c r="BA2115" s="42"/>
      <c r="BB2115" s="426"/>
      <c r="BF2115" s="315"/>
      <c r="BG2115" s="42"/>
    </row>
    <row r="2116" spans="50:59" x14ac:dyDescent="0.2">
      <c r="AX2116" s="315"/>
      <c r="AY2116" s="326"/>
      <c r="AZ2116" s="175"/>
      <c r="BA2116" s="42"/>
      <c r="BB2116" s="426"/>
      <c r="BF2116" s="315"/>
      <c r="BG2116" s="42"/>
    </row>
    <row r="2117" spans="50:59" x14ac:dyDescent="0.2">
      <c r="AX2117" s="315"/>
      <c r="AY2117" s="326"/>
      <c r="AZ2117" s="175"/>
      <c r="BA2117" s="42"/>
      <c r="BB2117" s="426"/>
      <c r="BF2117" s="315"/>
      <c r="BG2117" s="42"/>
    </row>
    <row r="2118" spans="50:59" x14ac:dyDescent="0.2">
      <c r="AX2118" s="315"/>
      <c r="AY2118" s="326"/>
      <c r="AZ2118" s="175"/>
      <c r="BA2118" s="42"/>
      <c r="BB2118" s="426"/>
      <c r="BF2118" s="315"/>
      <c r="BG2118" s="42"/>
    </row>
    <row r="2119" spans="50:59" x14ac:dyDescent="0.2">
      <c r="AX2119" s="315"/>
      <c r="AY2119" s="326"/>
      <c r="AZ2119" s="175"/>
      <c r="BA2119" s="42"/>
      <c r="BB2119" s="426"/>
      <c r="BF2119" s="315"/>
      <c r="BG2119" s="42"/>
    </row>
    <row r="2120" spans="50:59" x14ac:dyDescent="0.2">
      <c r="AX2120" s="315"/>
      <c r="AY2120" s="326"/>
      <c r="AZ2120" s="175"/>
      <c r="BA2120" s="42"/>
      <c r="BB2120" s="426"/>
      <c r="BF2120" s="315"/>
      <c r="BG2120" s="42"/>
    </row>
    <row r="2121" spans="50:59" x14ac:dyDescent="0.2">
      <c r="AX2121" s="315"/>
      <c r="AY2121" s="326"/>
      <c r="AZ2121" s="175"/>
      <c r="BA2121" s="42"/>
      <c r="BB2121" s="426"/>
      <c r="BF2121" s="315"/>
      <c r="BG2121" s="42"/>
    </row>
    <row r="2122" spans="50:59" x14ac:dyDescent="0.2">
      <c r="AX2122" s="315"/>
      <c r="AY2122" s="326"/>
      <c r="AZ2122" s="175"/>
      <c r="BA2122" s="42"/>
      <c r="BB2122" s="426"/>
      <c r="BF2122" s="315"/>
      <c r="BG2122" s="42"/>
    </row>
    <row r="2123" spans="50:59" x14ac:dyDescent="0.2">
      <c r="AX2123" s="315"/>
      <c r="AY2123" s="326"/>
      <c r="AZ2123" s="175"/>
      <c r="BA2123" s="42"/>
      <c r="BB2123" s="426"/>
      <c r="BF2123" s="315"/>
      <c r="BG2123" s="42"/>
    </row>
    <row r="2124" spans="50:59" x14ac:dyDescent="0.2">
      <c r="AX2124" s="315"/>
      <c r="AY2124" s="326"/>
      <c r="AZ2124" s="175"/>
      <c r="BA2124" s="42"/>
      <c r="BB2124" s="426"/>
      <c r="BF2124" s="315"/>
      <c r="BG2124" s="42"/>
    </row>
    <row r="2125" spans="50:59" x14ac:dyDescent="0.2">
      <c r="AX2125" s="315"/>
      <c r="AY2125" s="326"/>
      <c r="AZ2125" s="175"/>
      <c r="BA2125" s="42"/>
      <c r="BB2125" s="426"/>
      <c r="BF2125" s="315"/>
      <c r="BG2125" s="42"/>
    </row>
    <row r="2126" spans="50:59" x14ac:dyDescent="0.2">
      <c r="AX2126" s="315"/>
      <c r="AY2126" s="326"/>
      <c r="AZ2126" s="175"/>
      <c r="BA2126" s="42"/>
      <c r="BB2126" s="426"/>
      <c r="BF2126" s="315"/>
      <c r="BG2126" s="42"/>
    </row>
    <row r="2127" spans="50:59" x14ac:dyDescent="0.2">
      <c r="AX2127" s="315"/>
      <c r="AY2127" s="326"/>
      <c r="AZ2127" s="175"/>
      <c r="BA2127" s="42"/>
      <c r="BB2127" s="426"/>
      <c r="BF2127" s="315"/>
      <c r="BG2127" s="42"/>
    </row>
    <row r="2128" spans="50:59" x14ac:dyDescent="0.2">
      <c r="AX2128" s="315"/>
      <c r="AY2128" s="326"/>
      <c r="AZ2128" s="175"/>
      <c r="BA2128" s="42"/>
      <c r="BB2128" s="426"/>
      <c r="BF2128" s="315"/>
      <c r="BG2128" s="42"/>
    </row>
    <row r="2129" spans="50:59" x14ac:dyDescent="0.2">
      <c r="AX2129" s="315"/>
      <c r="AY2129" s="326"/>
      <c r="AZ2129" s="175"/>
      <c r="BA2129" s="42"/>
      <c r="BB2129" s="426"/>
      <c r="BF2129" s="315"/>
      <c r="BG2129" s="42"/>
    </row>
    <row r="2130" spans="50:59" x14ac:dyDescent="0.2">
      <c r="AX2130" s="315"/>
      <c r="AY2130" s="326"/>
      <c r="AZ2130" s="175"/>
      <c r="BA2130" s="42"/>
      <c r="BB2130" s="426"/>
      <c r="BF2130" s="315"/>
      <c r="BG2130" s="42"/>
    </row>
    <row r="2131" spans="50:59" x14ac:dyDescent="0.2">
      <c r="AX2131" s="315"/>
      <c r="AY2131" s="326"/>
      <c r="AZ2131" s="175"/>
      <c r="BA2131" s="42"/>
      <c r="BB2131" s="426"/>
      <c r="BF2131" s="315"/>
      <c r="BG2131" s="42"/>
    </row>
    <row r="2132" spans="50:59" x14ac:dyDescent="0.2">
      <c r="AX2132" s="315"/>
      <c r="AY2132" s="326"/>
      <c r="AZ2132" s="175"/>
      <c r="BA2132" s="42"/>
      <c r="BB2132" s="426"/>
      <c r="BF2132" s="315"/>
      <c r="BG2132" s="42"/>
    </row>
    <row r="2133" spans="50:59" x14ac:dyDescent="0.2">
      <c r="AX2133" s="315"/>
      <c r="AY2133" s="326"/>
      <c r="AZ2133" s="175"/>
      <c r="BA2133" s="42"/>
      <c r="BB2133" s="426"/>
      <c r="BF2133" s="315"/>
      <c r="BG2133" s="42"/>
    </row>
    <row r="2134" spans="50:59" x14ac:dyDescent="0.2">
      <c r="AX2134" s="315"/>
      <c r="AY2134" s="326"/>
      <c r="AZ2134" s="175"/>
      <c r="BA2134" s="42"/>
      <c r="BB2134" s="426"/>
      <c r="BF2134" s="315"/>
      <c r="BG2134" s="42"/>
    </row>
    <row r="2135" spans="50:59" x14ac:dyDescent="0.2">
      <c r="AX2135" s="315"/>
      <c r="AY2135" s="326"/>
      <c r="AZ2135" s="175"/>
      <c r="BA2135" s="42"/>
      <c r="BB2135" s="426"/>
      <c r="BF2135" s="315"/>
      <c r="BG2135" s="42"/>
    </row>
    <row r="2136" spans="50:59" x14ac:dyDescent="0.2">
      <c r="AX2136" s="315"/>
      <c r="AY2136" s="326"/>
      <c r="AZ2136" s="175"/>
      <c r="BA2136" s="42"/>
      <c r="BB2136" s="426"/>
      <c r="BF2136" s="315"/>
      <c r="BG2136" s="42"/>
    </row>
    <row r="2137" spans="50:59" x14ac:dyDescent="0.2">
      <c r="AX2137" s="315"/>
      <c r="AY2137" s="326"/>
      <c r="AZ2137" s="175"/>
      <c r="BA2137" s="42"/>
      <c r="BB2137" s="426"/>
      <c r="BF2137" s="315"/>
      <c r="BG2137" s="42"/>
    </row>
    <row r="2138" spans="50:59" x14ac:dyDescent="0.2">
      <c r="AX2138" s="315"/>
      <c r="AY2138" s="326"/>
      <c r="AZ2138" s="175"/>
      <c r="BA2138" s="42"/>
      <c r="BB2138" s="426"/>
      <c r="BF2138" s="315"/>
      <c r="BG2138" s="42"/>
    </row>
    <row r="2139" spans="50:59" x14ac:dyDescent="0.2">
      <c r="AX2139" s="315"/>
      <c r="AY2139" s="326"/>
      <c r="AZ2139" s="175"/>
      <c r="BA2139" s="42"/>
      <c r="BB2139" s="426"/>
      <c r="BF2139" s="315"/>
      <c r="BG2139" s="42"/>
    </row>
    <row r="2140" spans="50:59" x14ac:dyDescent="0.2">
      <c r="AX2140" s="315"/>
      <c r="AY2140" s="326"/>
      <c r="AZ2140" s="175"/>
      <c r="BA2140" s="42"/>
      <c r="BB2140" s="426"/>
      <c r="BF2140" s="315"/>
      <c r="BG2140" s="42"/>
    </row>
    <row r="2141" spans="50:59" x14ac:dyDescent="0.2">
      <c r="AX2141" s="315"/>
      <c r="AY2141" s="326"/>
      <c r="AZ2141" s="175"/>
      <c r="BA2141" s="42"/>
      <c r="BB2141" s="426"/>
      <c r="BF2141" s="315"/>
      <c r="BG2141" s="42"/>
    </row>
    <row r="2142" spans="50:59" x14ac:dyDescent="0.2">
      <c r="AX2142" s="315"/>
      <c r="AY2142" s="326"/>
      <c r="AZ2142" s="175"/>
      <c r="BA2142" s="42"/>
      <c r="BB2142" s="426"/>
      <c r="BF2142" s="315"/>
      <c r="BG2142" s="42"/>
    </row>
    <row r="2143" spans="50:59" x14ac:dyDescent="0.2">
      <c r="AX2143" s="315"/>
      <c r="AY2143" s="326"/>
      <c r="AZ2143" s="175"/>
      <c r="BA2143" s="42"/>
      <c r="BB2143" s="426"/>
      <c r="BF2143" s="315"/>
      <c r="BG2143" s="42"/>
    </row>
    <row r="2144" spans="50:59" x14ac:dyDescent="0.2">
      <c r="AX2144" s="315"/>
      <c r="AY2144" s="326"/>
      <c r="AZ2144" s="175"/>
      <c r="BA2144" s="42"/>
      <c r="BB2144" s="426"/>
      <c r="BF2144" s="315"/>
      <c r="BG2144" s="42"/>
    </row>
    <row r="2145" spans="50:59" x14ac:dyDescent="0.2">
      <c r="AX2145" s="315"/>
      <c r="AY2145" s="326"/>
      <c r="AZ2145" s="175"/>
      <c r="BA2145" s="42"/>
      <c r="BB2145" s="426"/>
      <c r="BF2145" s="315"/>
      <c r="BG2145" s="42"/>
    </row>
    <row r="2146" spans="50:59" x14ac:dyDescent="0.2">
      <c r="AX2146" s="315"/>
      <c r="AY2146" s="326"/>
      <c r="AZ2146" s="175"/>
      <c r="BA2146" s="42"/>
      <c r="BB2146" s="426"/>
      <c r="BF2146" s="315"/>
      <c r="BG2146" s="42"/>
    </row>
    <row r="2147" spans="50:59" x14ac:dyDescent="0.2">
      <c r="AX2147" s="315"/>
      <c r="AY2147" s="326"/>
      <c r="AZ2147" s="175"/>
      <c r="BA2147" s="42"/>
      <c r="BB2147" s="426"/>
      <c r="BF2147" s="315"/>
      <c r="BG2147" s="42"/>
    </row>
    <row r="2148" spans="50:59" x14ac:dyDescent="0.2">
      <c r="AX2148" s="315"/>
      <c r="AY2148" s="326"/>
      <c r="AZ2148" s="175"/>
      <c r="BA2148" s="42"/>
      <c r="BB2148" s="426"/>
      <c r="BF2148" s="315"/>
      <c r="BG2148" s="42"/>
    </row>
    <row r="2149" spans="50:59" x14ac:dyDescent="0.2">
      <c r="AX2149" s="315"/>
      <c r="AY2149" s="326"/>
      <c r="AZ2149" s="175"/>
      <c r="BA2149" s="42"/>
      <c r="BB2149" s="426"/>
      <c r="BF2149" s="315"/>
      <c r="BG2149" s="42"/>
    </row>
    <row r="2150" spans="50:59" x14ac:dyDescent="0.2">
      <c r="AX2150" s="315"/>
      <c r="AY2150" s="326"/>
      <c r="AZ2150" s="175"/>
      <c r="BA2150" s="42"/>
      <c r="BB2150" s="426"/>
      <c r="BF2150" s="315"/>
      <c r="BG2150" s="42"/>
    </row>
    <row r="2151" spans="50:59" x14ac:dyDescent="0.2">
      <c r="AX2151" s="315"/>
      <c r="AY2151" s="326"/>
      <c r="AZ2151" s="175"/>
      <c r="BA2151" s="42"/>
      <c r="BB2151" s="426"/>
      <c r="BF2151" s="315"/>
      <c r="BG2151" s="42"/>
    </row>
    <row r="2152" spans="50:59" x14ac:dyDescent="0.2">
      <c r="AX2152" s="315"/>
      <c r="AY2152" s="326"/>
      <c r="AZ2152" s="175"/>
      <c r="BA2152" s="42"/>
      <c r="BB2152" s="426"/>
      <c r="BF2152" s="315"/>
      <c r="BG2152" s="42"/>
    </row>
    <row r="2153" spans="50:59" x14ac:dyDescent="0.2">
      <c r="AX2153" s="315"/>
      <c r="AY2153" s="326"/>
      <c r="AZ2153" s="175"/>
      <c r="BA2153" s="42"/>
      <c r="BB2153" s="426"/>
      <c r="BF2153" s="315"/>
      <c r="BG2153" s="42"/>
    </row>
    <row r="2154" spans="50:59" x14ac:dyDescent="0.2">
      <c r="AX2154" s="315"/>
      <c r="AY2154" s="326"/>
      <c r="AZ2154" s="175"/>
      <c r="BA2154" s="42"/>
      <c r="BB2154" s="426"/>
      <c r="BF2154" s="315"/>
      <c r="BG2154" s="42"/>
    </row>
    <row r="2155" spans="50:59" x14ac:dyDescent="0.2">
      <c r="AX2155" s="315"/>
      <c r="AY2155" s="326"/>
      <c r="AZ2155" s="175"/>
      <c r="BA2155" s="42"/>
      <c r="BB2155" s="426"/>
      <c r="BF2155" s="315"/>
      <c r="BG2155" s="42"/>
    </row>
    <row r="2156" spans="50:59" x14ac:dyDescent="0.2">
      <c r="AX2156" s="315"/>
      <c r="AY2156" s="326"/>
      <c r="AZ2156" s="175"/>
      <c r="BA2156" s="42"/>
      <c r="BB2156" s="426"/>
      <c r="BF2156" s="315"/>
      <c r="BG2156" s="42"/>
    </row>
    <row r="2157" spans="50:59" x14ac:dyDescent="0.2">
      <c r="AX2157" s="315"/>
      <c r="AY2157" s="326"/>
      <c r="AZ2157" s="175"/>
      <c r="BA2157" s="42"/>
      <c r="BB2157" s="426"/>
      <c r="BF2157" s="315"/>
      <c r="BG2157" s="42"/>
    </row>
    <row r="2158" spans="50:59" x14ac:dyDescent="0.2">
      <c r="AX2158" s="315"/>
      <c r="AY2158" s="326"/>
      <c r="AZ2158" s="175"/>
      <c r="BA2158" s="42"/>
      <c r="BB2158" s="426"/>
      <c r="BF2158" s="315"/>
      <c r="BG2158" s="42"/>
    </row>
    <row r="2159" spans="50:59" x14ac:dyDescent="0.2">
      <c r="AX2159" s="315"/>
      <c r="AY2159" s="326"/>
      <c r="AZ2159" s="175"/>
      <c r="BA2159" s="42"/>
      <c r="BB2159" s="426"/>
      <c r="BF2159" s="315"/>
      <c r="BG2159" s="42"/>
    </row>
    <row r="2160" spans="50:59" x14ac:dyDescent="0.2">
      <c r="AX2160" s="315"/>
      <c r="AY2160" s="326"/>
      <c r="AZ2160" s="175"/>
      <c r="BA2160" s="42"/>
      <c r="BB2160" s="426"/>
      <c r="BF2160" s="315"/>
      <c r="BG2160" s="42"/>
    </row>
    <row r="2161" spans="50:59" x14ac:dyDescent="0.2">
      <c r="AX2161" s="315"/>
      <c r="AY2161" s="326"/>
      <c r="AZ2161" s="175"/>
      <c r="BA2161" s="42"/>
      <c r="BB2161" s="426"/>
      <c r="BF2161" s="315"/>
      <c r="BG2161" s="42"/>
    </row>
    <row r="2162" spans="50:59" x14ac:dyDescent="0.2">
      <c r="AX2162" s="315"/>
      <c r="AY2162" s="326"/>
      <c r="AZ2162" s="175"/>
      <c r="BA2162" s="42"/>
      <c r="BB2162" s="426"/>
      <c r="BF2162" s="315"/>
      <c r="BG2162" s="42"/>
    </row>
    <row r="2163" spans="50:59" x14ac:dyDescent="0.2">
      <c r="AX2163" s="315"/>
      <c r="AY2163" s="326"/>
      <c r="AZ2163" s="175"/>
      <c r="BA2163" s="42"/>
      <c r="BB2163" s="426"/>
      <c r="BF2163" s="315"/>
      <c r="BG2163" s="42"/>
    </row>
    <row r="2164" spans="50:59" x14ac:dyDescent="0.2">
      <c r="AX2164" s="315"/>
      <c r="AY2164" s="326"/>
      <c r="AZ2164" s="175"/>
      <c r="BA2164" s="42"/>
      <c r="BB2164" s="426"/>
      <c r="BF2164" s="315"/>
      <c r="BG2164" s="42"/>
    </row>
    <row r="2165" spans="50:59" x14ac:dyDescent="0.2">
      <c r="AX2165" s="315"/>
      <c r="AY2165" s="326"/>
      <c r="AZ2165" s="175"/>
      <c r="BA2165" s="42"/>
      <c r="BB2165" s="426"/>
      <c r="BF2165" s="315"/>
      <c r="BG2165" s="42"/>
    </row>
    <row r="2166" spans="50:59" x14ac:dyDescent="0.2">
      <c r="AX2166" s="315"/>
      <c r="AY2166" s="326"/>
      <c r="AZ2166" s="175"/>
      <c r="BA2166" s="42"/>
      <c r="BB2166" s="426"/>
      <c r="BF2166" s="315"/>
      <c r="BG2166" s="42"/>
    </row>
    <row r="2167" spans="50:59" x14ac:dyDescent="0.2">
      <c r="AX2167" s="315"/>
      <c r="AY2167" s="326"/>
      <c r="AZ2167" s="175"/>
      <c r="BA2167" s="42"/>
      <c r="BB2167" s="426"/>
      <c r="BF2167" s="315"/>
      <c r="BG2167" s="42"/>
    </row>
    <row r="2168" spans="50:59" x14ac:dyDescent="0.2">
      <c r="AX2168" s="315"/>
      <c r="AY2168" s="326"/>
      <c r="AZ2168" s="175"/>
      <c r="BA2168" s="42"/>
      <c r="BB2168" s="426"/>
      <c r="BF2168" s="315"/>
      <c r="BG2168" s="42"/>
    </row>
    <row r="2169" spans="50:59" x14ac:dyDescent="0.2">
      <c r="AX2169" s="315"/>
      <c r="AY2169" s="326"/>
      <c r="AZ2169" s="175"/>
      <c r="BA2169" s="42"/>
      <c r="BB2169" s="426"/>
      <c r="BF2169" s="315"/>
      <c r="BG2169" s="42"/>
    </row>
    <row r="2170" spans="50:59" x14ac:dyDescent="0.2">
      <c r="AX2170" s="315"/>
      <c r="AY2170" s="326"/>
      <c r="AZ2170" s="175"/>
      <c r="BA2170" s="42"/>
      <c r="BB2170" s="426"/>
      <c r="BF2170" s="315"/>
      <c r="BG2170" s="42"/>
    </row>
    <row r="2171" spans="50:59" x14ac:dyDescent="0.2">
      <c r="AX2171" s="315"/>
      <c r="AY2171" s="326"/>
      <c r="AZ2171" s="175"/>
      <c r="BA2171" s="42"/>
      <c r="BB2171" s="426"/>
      <c r="BF2171" s="315"/>
      <c r="BG2171" s="42"/>
    </row>
    <row r="2172" spans="50:59" x14ac:dyDescent="0.2">
      <c r="AX2172" s="315"/>
      <c r="AY2172" s="326"/>
      <c r="AZ2172" s="175"/>
      <c r="BA2172" s="42"/>
      <c r="BB2172" s="426"/>
      <c r="BF2172" s="315"/>
      <c r="BG2172" s="42"/>
    </row>
    <row r="2173" spans="50:59" x14ac:dyDescent="0.2">
      <c r="AX2173" s="315"/>
      <c r="AY2173" s="326"/>
      <c r="AZ2173" s="175"/>
      <c r="BA2173" s="42"/>
      <c r="BB2173" s="426"/>
      <c r="BF2173" s="315"/>
      <c r="BG2173" s="42"/>
    </row>
    <row r="2174" spans="50:59" x14ac:dyDescent="0.2">
      <c r="AX2174" s="315"/>
      <c r="AY2174" s="326"/>
      <c r="AZ2174" s="175"/>
      <c r="BA2174" s="42"/>
      <c r="BB2174" s="426"/>
      <c r="BF2174" s="315"/>
      <c r="BG2174" s="42"/>
    </row>
    <row r="2175" spans="50:59" x14ac:dyDescent="0.2">
      <c r="AX2175" s="315"/>
      <c r="AY2175" s="326"/>
      <c r="AZ2175" s="175"/>
      <c r="BA2175" s="42"/>
      <c r="BB2175" s="426"/>
      <c r="BF2175" s="315"/>
      <c r="BG2175" s="42"/>
    </row>
    <row r="2176" spans="50:59" x14ac:dyDescent="0.2">
      <c r="AX2176" s="315"/>
      <c r="AY2176" s="326"/>
      <c r="AZ2176" s="175"/>
      <c r="BA2176" s="42"/>
      <c r="BB2176" s="426"/>
      <c r="BF2176" s="315"/>
      <c r="BG2176" s="42"/>
    </row>
    <row r="2177" spans="50:59" x14ac:dyDescent="0.2">
      <c r="AX2177" s="315"/>
      <c r="AY2177" s="326"/>
      <c r="AZ2177" s="175"/>
      <c r="BA2177" s="42"/>
      <c r="BB2177" s="426"/>
      <c r="BF2177" s="315"/>
      <c r="BG2177" s="42"/>
    </row>
    <row r="2178" spans="50:59" x14ac:dyDescent="0.2">
      <c r="AX2178" s="315"/>
      <c r="AY2178" s="326"/>
      <c r="AZ2178" s="175"/>
      <c r="BA2178" s="42"/>
      <c r="BB2178" s="426"/>
      <c r="BF2178" s="315"/>
      <c r="BG2178" s="42"/>
    </row>
    <row r="2179" spans="50:59" x14ac:dyDescent="0.2">
      <c r="AX2179" s="315"/>
      <c r="AY2179" s="326"/>
      <c r="AZ2179" s="175"/>
      <c r="BA2179" s="42"/>
      <c r="BB2179" s="426"/>
      <c r="BF2179" s="315"/>
      <c r="BG2179" s="42"/>
    </row>
    <row r="2180" spans="50:59" x14ac:dyDescent="0.2">
      <c r="AX2180" s="315"/>
      <c r="AY2180" s="326"/>
      <c r="AZ2180" s="175"/>
      <c r="BA2180" s="42"/>
      <c r="BB2180" s="426"/>
      <c r="BF2180" s="315"/>
      <c r="BG2180" s="42"/>
    </row>
    <row r="2181" spans="50:59" x14ac:dyDescent="0.2">
      <c r="AX2181" s="315"/>
      <c r="AY2181" s="326"/>
      <c r="AZ2181" s="175"/>
      <c r="BA2181" s="42"/>
      <c r="BB2181" s="426"/>
      <c r="BF2181" s="315"/>
      <c r="BG2181" s="42"/>
    </row>
    <row r="2182" spans="50:59" x14ac:dyDescent="0.2">
      <c r="AX2182" s="315"/>
      <c r="AY2182" s="326"/>
      <c r="AZ2182" s="175"/>
      <c r="BA2182" s="42"/>
      <c r="BB2182" s="426"/>
      <c r="BF2182" s="315"/>
      <c r="BG2182" s="42"/>
    </row>
    <row r="2183" spans="50:59" x14ac:dyDescent="0.2">
      <c r="AX2183" s="315"/>
      <c r="AY2183" s="326"/>
      <c r="AZ2183" s="175"/>
      <c r="BA2183" s="42"/>
      <c r="BB2183" s="426"/>
      <c r="BF2183" s="315"/>
      <c r="BG2183" s="42"/>
    </row>
    <row r="2184" spans="50:59" x14ac:dyDescent="0.2">
      <c r="AX2184" s="315"/>
      <c r="AY2184" s="326"/>
      <c r="AZ2184" s="175"/>
      <c r="BA2184" s="42"/>
      <c r="BB2184" s="426"/>
      <c r="BF2184" s="315"/>
      <c r="BG2184" s="42"/>
    </row>
    <row r="2185" spans="50:59" x14ac:dyDescent="0.2">
      <c r="AX2185" s="315"/>
      <c r="AY2185" s="326"/>
      <c r="AZ2185" s="175"/>
      <c r="BA2185" s="42"/>
      <c r="BB2185" s="426"/>
      <c r="BF2185" s="315"/>
      <c r="BG2185" s="42"/>
    </row>
    <row r="2186" spans="50:59" x14ac:dyDescent="0.2">
      <c r="AX2186" s="315"/>
      <c r="AY2186" s="326"/>
      <c r="AZ2186" s="175"/>
      <c r="BA2186" s="42"/>
      <c r="BB2186" s="426"/>
      <c r="BF2186" s="315"/>
      <c r="BG2186" s="42"/>
    </row>
    <row r="2187" spans="50:59" x14ac:dyDescent="0.2">
      <c r="AX2187" s="315"/>
      <c r="AY2187" s="326"/>
      <c r="AZ2187" s="175"/>
      <c r="BA2187" s="42"/>
      <c r="BB2187" s="426"/>
      <c r="BF2187" s="315"/>
      <c r="BG2187" s="42"/>
    </row>
    <row r="2188" spans="50:59" x14ac:dyDescent="0.2">
      <c r="AX2188" s="315"/>
      <c r="AY2188" s="326"/>
      <c r="AZ2188" s="175"/>
      <c r="BA2188" s="42"/>
      <c r="BB2188" s="426"/>
      <c r="BF2188" s="315"/>
      <c r="BG2188" s="42"/>
    </row>
    <row r="2189" spans="50:59" x14ac:dyDescent="0.2">
      <c r="AX2189" s="315"/>
      <c r="AY2189" s="326"/>
      <c r="AZ2189" s="175"/>
      <c r="BA2189" s="42"/>
      <c r="BB2189" s="426"/>
      <c r="BF2189" s="315"/>
      <c r="BG2189" s="42"/>
    </row>
    <row r="2190" spans="50:59" x14ac:dyDescent="0.2">
      <c r="AX2190" s="315"/>
      <c r="AY2190" s="326"/>
      <c r="AZ2190" s="175"/>
      <c r="BA2190" s="42"/>
      <c r="BB2190" s="426"/>
      <c r="BF2190" s="315"/>
      <c r="BG2190" s="42"/>
    </row>
    <row r="2191" spans="50:59" x14ac:dyDescent="0.2">
      <c r="AX2191" s="315"/>
      <c r="AY2191" s="326"/>
      <c r="AZ2191" s="175"/>
      <c r="BA2191" s="42"/>
      <c r="BB2191" s="426"/>
      <c r="BF2191" s="315"/>
      <c r="BG2191" s="42"/>
    </row>
    <row r="2192" spans="50:59" x14ac:dyDescent="0.2">
      <c r="AX2192" s="315"/>
      <c r="AY2192" s="326"/>
      <c r="AZ2192" s="175"/>
      <c r="BA2192" s="42"/>
      <c r="BB2192" s="426"/>
      <c r="BF2192" s="315"/>
      <c r="BG2192" s="42"/>
    </row>
    <row r="2193" spans="50:59" x14ac:dyDescent="0.2">
      <c r="AX2193" s="315"/>
      <c r="AY2193" s="326"/>
      <c r="AZ2193" s="175"/>
      <c r="BA2193" s="42"/>
      <c r="BB2193" s="426"/>
      <c r="BF2193" s="315"/>
      <c r="BG2193" s="42"/>
    </row>
    <row r="2194" spans="50:59" x14ac:dyDescent="0.2">
      <c r="AX2194" s="315"/>
      <c r="AY2194" s="326"/>
      <c r="AZ2194" s="175"/>
      <c r="BA2194" s="42"/>
      <c r="BB2194" s="426"/>
      <c r="BF2194" s="315"/>
      <c r="BG2194" s="42"/>
    </row>
    <row r="2195" spans="50:59" x14ac:dyDescent="0.2">
      <c r="AX2195" s="315"/>
      <c r="AY2195" s="326"/>
      <c r="AZ2195" s="175"/>
      <c r="BA2195" s="42"/>
      <c r="BB2195" s="426"/>
      <c r="BF2195" s="315"/>
      <c r="BG2195" s="42"/>
    </row>
    <row r="2196" spans="50:59" x14ac:dyDescent="0.2">
      <c r="AX2196" s="315"/>
      <c r="AY2196" s="326"/>
      <c r="AZ2196" s="175"/>
      <c r="BA2196" s="42"/>
      <c r="BB2196" s="426"/>
      <c r="BF2196" s="315"/>
      <c r="BG2196" s="42"/>
    </row>
    <row r="2197" spans="50:59" x14ac:dyDescent="0.2">
      <c r="AX2197" s="315"/>
      <c r="AY2197" s="326"/>
      <c r="AZ2197" s="175"/>
      <c r="BA2197" s="42"/>
      <c r="BB2197" s="426"/>
      <c r="BF2197" s="315"/>
      <c r="BG2197" s="42"/>
    </row>
    <row r="2198" spans="50:59" x14ac:dyDescent="0.2">
      <c r="AX2198" s="315"/>
      <c r="AY2198" s="326"/>
      <c r="AZ2198" s="175"/>
      <c r="BA2198" s="42"/>
      <c r="BB2198" s="426"/>
      <c r="BF2198" s="315"/>
      <c r="BG2198" s="42"/>
    </row>
    <row r="2199" spans="50:59" x14ac:dyDescent="0.2">
      <c r="AX2199" s="315"/>
      <c r="AY2199" s="326"/>
      <c r="AZ2199" s="175"/>
      <c r="BA2199" s="42"/>
      <c r="BB2199" s="426"/>
      <c r="BF2199" s="315"/>
      <c r="BG2199" s="42"/>
    </row>
    <row r="2200" spans="50:59" x14ac:dyDescent="0.2">
      <c r="AX2200" s="315"/>
      <c r="AY2200" s="326"/>
      <c r="AZ2200" s="175"/>
      <c r="BA2200" s="42"/>
      <c r="BB2200" s="426"/>
      <c r="BF2200" s="315"/>
      <c r="BG2200" s="42"/>
    </row>
    <row r="2201" spans="50:59" x14ac:dyDescent="0.2">
      <c r="AX2201" s="315"/>
      <c r="AY2201" s="326"/>
      <c r="AZ2201" s="175"/>
      <c r="BA2201" s="42"/>
      <c r="BB2201" s="426"/>
      <c r="BF2201" s="315"/>
      <c r="BG2201" s="42"/>
    </row>
    <row r="2202" spans="50:59" x14ac:dyDescent="0.2">
      <c r="AX2202" s="315"/>
      <c r="AY2202" s="326"/>
      <c r="AZ2202" s="175"/>
      <c r="BA2202" s="42"/>
      <c r="BB2202" s="426"/>
      <c r="BF2202" s="315"/>
      <c r="BG2202" s="42"/>
    </row>
    <row r="2203" spans="50:59" x14ac:dyDescent="0.2">
      <c r="AX2203" s="315"/>
      <c r="AY2203" s="326"/>
      <c r="AZ2203" s="175"/>
      <c r="BA2203" s="42"/>
      <c r="BB2203" s="426"/>
      <c r="BF2203" s="315"/>
      <c r="BG2203" s="42"/>
    </row>
    <row r="2204" spans="50:59" x14ac:dyDescent="0.2">
      <c r="AX2204" s="315"/>
      <c r="AY2204" s="326"/>
      <c r="AZ2204" s="175"/>
      <c r="BA2204" s="42"/>
      <c r="BB2204" s="426"/>
      <c r="BF2204" s="315"/>
      <c r="BG2204" s="42"/>
    </row>
    <row r="2205" spans="50:59" x14ac:dyDescent="0.2">
      <c r="AX2205" s="315"/>
      <c r="AY2205" s="326"/>
      <c r="AZ2205" s="175"/>
      <c r="BA2205" s="42"/>
      <c r="BB2205" s="426"/>
      <c r="BF2205" s="315"/>
      <c r="BG2205" s="42"/>
    </row>
    <row r="2206" spans="50:59" x14ac:dyDescent="0.2">
      <c r="AX2206" s="315"/>
      <c r="AY2206" s="326"/>
      <c r="AZ2206" s="175"/>
      <c r="BA2206" s="42"/>
      <c r="BB2206" s="426"/>
      <c r="BF2206" s="315"/>
      <c r="BG2206" s="42"/>
    </row>
    <row r="2207" spans="50:59" x14ac:dyDescent="0.2">
      <c r="AX2207" s="315"/>
      <c r="AY2207" s="326"/>
      <c r="AZ2207" s="175"/>
      <c r="BA2207" s="42"/>
      <c r="BB2207" s="426"/>
      <c r="BF2207" s="315"/>
      <c r="BG2207" s="42"/>
    </row>
    <row r="2208" spans="50:59" x14ac:dyDescent="0.2">
      <c r="AX2208" s="315"/>
      <c r="AY2208" s="326"/>
      <c r="AZ2208" s="175"/>
      <c r="BA2208" s="42"/>
      <c r="BB2208" s="426"/>
      <c r="BF2208" s="315"/>
      <c r="BG2208" s="42"/>
    </row>
    <row r="2209" spans="50:59" x14ac:dyDescent="0.2">
      <c r="AX2209" s="315"/>
      <c r="AY2209" s="326"/>
      <c r="AZ2209" s="175"/>
      <c r="BA2209" s="42"/>
      <c r="BB2209" s="426"/>
      <c r="BF2209" s="315"/>
      <c r="BG2209" s="42"/>
    </row>
    <row r="2210" spans="50:59" x14ac:dyDescent="0.2">
      <c r="AX2210" s="315"/>
      <c r="AY2210" s="326"/>
      <c r="AZ2210" s="175"/>
      <c r="BA2210" s="42"/>
      <c r="BB2210" s="426"/>
      <c r="BF2210" s="315"/>
      <c r="BG2210" s="42"/>
    </row>
    <row r="2211" spans="50:59" x14ac:dyDescent="0.2">
      <c r="AX2211" s="315"/>
      <c r="AY2211" s="326"/>
      <c r="AZ2211" s="175"/>
      <c r="BA2211" s="42"/>
      <c r="BB2211" s="426"/>
      <c r="BF2211" s="315"/>
      <c r="BG2211" s="42"/>
    </row>
    <row r="2212" spans="50:59" x14ac:dyDescent="0.2">
      <c r="AX2212" s="315"/>
      <c r="AY2212" s="326"/>
      <c r="AZ2212" s="175"/>
      <c r="BA2212" s="42"/>
      <c r="BB2212" s="426"/>
      <c r="BF2212" s="315"/>
      <c r="BG2212" s="42"/>
    </row>
    <row r="2213" spans="50:59" x14ac:dyDescent="0.2">
      <c r="AX2213" s="315"/>
      <c r="AY2213" s="326"/>
      <c r="AZ2213" s="175"/>
      <c r="BA2213" s="42"/>
      <c r="BB2213" s="426"/>
      <c r="BF2213" s="315"/>
      <c r="BG2213" s="42"/>
    </row>
    <row r="2214" spans="50:59" x14ac:dyDescent="0.2">
      <c r="AX2214" s="315"/>
      <c r="AY2214" s="326"/>
      <c r="AZ2214" s="175"/>
      <c r="BA2214" s="42"/>
      <c r="BB2214" s="426"/>
      <c r="BF2214" s="315"/>
      <c r="BG2214" s="42"/>
    </row>
    <row r="2215" spans="50:59" x14ac:dyDescent="0.2">
      <c r="AX2215" s="315"/>
      <c r="AY2215" s="326"/>
      <c r="AZ2215" s="175"/>
      <c r="BA2215" s="42"/>
      <c r="BB2215" s="426"/>
      <c r="BF2215" s="315"/>
      <c r="BG2215" s="42"/>
    </row>
    <row r="2216" spans="50:59" x14ac:dyDescent="0.2">
      <c r="AX2216" s="315"/>
      <c r="AY2216" s="326"/>
      <c r="AZ2216" s="175"/>
      <c r="BA2216" s="42"/>
      <c r="BB2216" s="426"/>
      <c r="BF2216" s="315"/>
      <c r="BG2216" s="42"/>
    </row>
    <row r="2217" spans="50:59" x14ac:dyDescent="0.2">
      <c r="AX2217" s="315"/>
      <c r="AY2217" s="326"/>
      <c r="AZ2217" s="175"/>
      <c r="BA2217" s="42"/>
      <c r="BB2217" s="426"/>
      <c r="BF2217" s="315"/>
      <c r="BG2217" s="42"/>
    </row>
    <row r="2218" spans="50:59" x14ac:dyDescent="0.2">
      <c r="AX2218" s="315"/>
      <c r="AY2218" s="326"/>
      <c r="AZ2218" s="175"/>
      <c r="BA2218" s="42"/>
      <c r="BB2218" s="426"/>
      <c r="BF2218" s="315"/>
      <c r="BG2218" s="42"/>
    </row>
    <row r="2219" spans="50:59" x14ac:dyDescent="0.2">
      <c r="AX2219" s="315"/>
      <c r="AY2219" s="326"/>
      <c r="AZ2219" s="175"/>
      <c r="BA2219" s="42"/>
      <c r="BB2219" s="426"/>
      <c r="BF2219" s="315"/>
      <c r="BG2219" s="42"/>
    </row>
    <row r="2220" spans="50:59" x14ac:dyDescent="0.2">
      <c r="AX2220" s="315"/>
      <c r="AY2220" s="326"/>
      <c r="AZ2220" s="175"/>
      <c r="BA2220" s="42"/>
      <c r="BB2220" s="426"/>
      <c r="BF2220" s="315"/>
      <c r="BG2220" s="42"/>
    </row>
    <row r="2221" spans="50:59" x14ac:dyDescent="0.2">
      <c r="AX2221" s="315"/>
      <c r="AY2221" s="326"/>
      <c r="AZ2221" s="175"/>
      <c r="BA2221" s="42"/>
      <c r="BB2221" s="426"/>
      <c r="BF2221" s="315"/>
      <c r="BG2221" s="42"/>
    </row>
    <row r="2222" spans="50:59" x14ac:dyDescent="0.2">
      <c r="AX2222" s="315"/>
      <c r="AY2222" s="326"/>
      <c r="AZ2222" s="175"/>
      <c r="BA2222" s="42"/>
      <c r="BB2222" s="426"/>
      <c r="BF2222" s="315"/>
      <c r="BG2222" s="42"/>
    </row>
    <row r="2223" spans="50:59" x14ac:dyDescent="0.2">
      <c r="AX2223" s="315"/>
      <c r="AY2223" s="326"/>
      <c r="AZ2223" s="175"/>
      <c r="BA2223" s="42"/>
      <c r="BB2223" s="426"/>
      <c r="BF2223" s="315"/>
      <c r="BG2223" s="42"/>
    </row>
    <row r="2224" spans="50:59" x14ac:dyDescent="0.2">
      <c r="AX2224" s="315"/>
      <c r="AY2224" s="326"/>
      <c r="AZ2224" s="175"/>
      <c r="BA2224" s="42"/>
      <c r="BB2224" s="426"/>
      <c r="BF2224" s="315"/>
      <c r="BG2224" s="42"/>
    </row>
    <row r="2225" spans="50:59" x14ac:dyDescent="0.2">
      <c r="AX2225" s="315"/>
      <c r="AY2225" s="326"/>
      <c r="AZ2225" s="175"/>
      <c r="BA2225" s="42"/>
      <c r="BB2225" s="426"/>
      <c r="BF2225" s="315"/>
      <c r="BG2225" s="42"/>
    </row>
    <row r="2226" spans="50:59" x14ac:dyDescent="0.2">
      <c r="AX2226" s="315"/>
      <c r="AY2226" s="326"/>
      <c r="AZ2226" s="175"/>
      <c r="BA2226" s="42"/>
      <c r="BB2226" s="426"/>
      <c r="BF2226" s="315"/>
      <c r="BG2226" s="42"/>
    </row>
    <row r="2227" spans="50:59" x14ac:dyDescent="0.2">
      <c r="AX2227" s="315"/>
      <c r="AY2227" s="326"/>
      <c r="AZ2227" s="175"/>
      <c r="BA2227" s="42"/>
      <c r="BB2227" s="426"/>
      <c r="BF2227" s="315"/>
      <c r="BG2227" s="42"/>
    </row>
    <row r="2228" spans="50:59" x14ac:dyDescent="0.2">
      <c r="AX2228" s="315"/>
      <c r="AY2228" s="326"/>
      <c r="AZ2228" s="175"/>
      <c r="BA2228" s="42"/>
      <c r="BB2228" s="426"/>
      <c r="BF2228" s="315"/>
      <c r="BG2228" s="42"/>
    </row>
    <row r="2229" spans="50:59" x14ac:dyDescent="0.2">
      <c r="AX2229" s="315"/>
      <c r="AY2229" s="326"/>
      <c r="AZ2229" s="175"/>
      <c r="BA2229" s="42"/>
      <c r="BB2229" s="426"/>
      <c r="BF2229" s="315"/>
      <c r="BG2229" s="42"/>
    </row>
    <row r="2230" spans="50:59" x14ac:dyDescent="0.2">
      <c r="AX2230" s="315"/>
      <c r="AY2230" s="326"/>
      <c r="AZ2230" s="175"/>
      <c r="BA2230" s="42"/>
      <c r="BB2230" s="426"/>
      <c r="BF2230" s="315"/>
      <c r="BG2230" s="42"/>
    </row>
    <row r="2231" spans="50:59" x14ac:dyDescent="0.2">
      <c r="AX2231" s="315"/>
      <c r="AY2231" s="326"/>
      <c r="AZ2231" s="175"/>
      <c r="BA2231" s="42"/>
      <c r="BB2231" s="426"/>
      <c r="BF2231" s="315"/>
      <c r="BG2231" s="42"/>
    </row>
    <row r="2232" spans="50:59" x14ac:dyDescent="0.2">
      <c r="AX2232" s="315"/>
      <c r="AY2232" s="326"/>
      <c r="AZ2232" s="175"/>
      <c r="BA2232" s="42"/>
      <c r="BB2232" s="426"/>
      <c r="BF2232" s="315"/>
      <c r="BG2232" s="42"/>
    </row>
    <row r="2233" spans="50:59" x14ac:dyDescent="0.2">
      <c r="AX2233" s="315"/>
      <c r="AY2233" s="326"/>
      <c r="AZ2233" s="175"/>
      <c r="BA2233" s="42"/>
      <c r="BB2233" s="426"/>
      <c r="BF2233" s="315"/>
      <c r="BG2233" s="42"/>
    </row>
    <row r="2234" spans="50:59" x14ac:dyDescent="0.2">
      <c r="AX2234" s="315"/>
      <c r="AY2234" s="326"/>
      <c r="AZ2234" s="175"/>
      <c r="BA2234" s="42"/>
      <c r="BB2234" s="426"/>
      <c r="BF2234" s="315"/>
      <c r="BG2234" s="42"/>
    </row>
    <row r="2235" spans="50:59" x14ac:dyDescent="0.2">
      <c r="AX2235" s="315"/>
      <c r="AY2235" s="326"/>
      <c r="AZ2235" s="175"/>
      <c r="BA2235" s="42"/>
      <c r="BB2235" s="426"/>
      <c r="BF2235" s="315"/>
      <c r="BG2235" s="42"/>
    </row>
    <row r="2236" spans="50:59" x14ac:dyDescent="0.2">
      <c r="AX2236" s="315"/>
      <c r="AY2236" s="326"/>
      <c r="AZ2236" s="175"/>
      <c r="BA2236" s="42"/>
      <c r="BB2236" s="426"/>
      <c r="BF2236" s="315"/>
      <c r="BG2236" s="42"/>
    </row>
    <row r="2237" spans="50:59" x14ac:dyDescent="0.2">
      <c r="AX2237" s="315"/>
      <c r="AY2237" s="326"/>
      <c r="AZ2237" s="175"/>
      <c r="BA2237" s="42"/>
      <c r="BB2237" s="426"/>
      <c r="BF2237" s="315"/>
      <c r="BG2237" s="42"/>
    </row>
    <row r="2238" spans="50:59" x14ac:dyDescent="0.2">
      <c r="AX2238" s="315"/>
      <c r="AY2238" s="326"/>
      <c r="AZ2238" s="175"/>
      <c r="BA2238" s="42"/>
      <c r="BB2238" s="426"/>
      <c r="BF2238" s="315"/>
      <c r="BG2238" s="42"/>
    </row>
    <row r="2239" spans="50:59" x14ac:dyDescent="0.2">
      <c r="AX2239" s="315"/>
      <c r="AY2239" s="326"/>
      <c r="AZ2239" s="175"/>
      <c r="BA2239" s="42"/>
      <c r="BB2239" s="426"/>
      <c r="BF2239" s="315"/>
      <c r="BG2239" s="42"/>
    </row>
    <row r="2240" spans="50:59" x14ac:dyDescent="0.2">
      <c r="AX2240" s="315"/>
      <c r="AY2240" s="326"/>
      <c r="AZ2240" s="175"/>
      <c r="BA2240" s="42"/>
      <c r="BB2240" s="426"/>
      <c r="BF2240" s="315"/>
      <c r="BG2240" s="42"/>
    </row>
    <row r="2241" spans="50:59" x14ac:dyDescent="0.2">
      <c r="AX2241" s="315"/>
      <c r="AY2241" s="326"/>
      <c r="AZ2241" s="175"/>
      <c r="BA2241" s="42"/>
      <c r="BB2241" s="426"/>
      <c r="BF2241" s="315"/>
      <c r="BG2241" s="42"/>
    </row>
    <row r="2242" spans="50:59" x14ac:dyDescent="0.2">
      <c r="AX2242" s="315"/>
      <c r="AY2242" s="326"/>
      <c r="AZ2242" s="175"/>
      <c r="BA2242" s="42"/>
      <c r="BB2242" s="426"/>
      <c r="BF2242" s="315"/>
      <c r="BG2242" s="42"/>
    </row>
    <row r="2243" spans="50:59" x14ac:dyDescent="0.2">
      <c r="AX2243" s="315"/>
      <c r="AY2243" s="326"/>
      <c r="AZ2243" s="175"/>
      <c r="BA2243" s="42"/>
      <c r="BB2243" s="426"/>
      <c r="BF2243" s="315"/>
      <c r="BG2243" s="42"/>
    </row>
    <row r="2244" spans="50:59" x14ac:dyDescent="0.2">
      <c r="AX2244" s="315"/>
      <c r="AY2244" s="326"/>
      <c r="AZ2244" s="175"/>
      <c r="BA2244" s="42"/>
      <c r="BB2244" s="426"/>
      <c r="BF2244" s="315"/>
      <c r="BG2244" s="42"/>
    </row>
    <row r="2245" spans="50:59" x14ac:dyDescent="0.2">
      <c r="AX2245" s="315"/>
      <c r="AY2245" s="326"/>
      <c r="AZ2245" s="175"/>
      <c r="BA2245" s="42"/>
      <c r="BB2245" s="426"/>
      <c r="BF2245" s="315"/>
      <c r="BG2245" s="42"/>
    </row>
    <row r="2246" spans="50:59" x14ac:dyDescent="0.2">
      <c r="AX2246" s="315"/>
      <c r="AY2246" s="326"/>
      <c r="AZ2246" s="175"/>
      <c r="BA2246" s="42"/>
      <c r="BB2246" s="426"/>
      <c r="BF2246" s="315"/>
      <c r="BG2246" s="42"/>
    </row>
    <row r="2247" spans="50:59" x14ac:dyDescent="0.2">
      <c r="AX2247" s="315"/>
      <c r="AY2247" s="326"/>
      <c r="AZ2247" s="175"/>
      <c r="BA2247" s="42"/>
      <c r="BB2247" s="426"/>
      <c r="BF2247" s="315"/>
      <c r="BG2247" s="42"/>
    </row>
    <row r="2248" spans="50:59" x14ac:dyDescent="0.2">
      <c r="AX2248" s="315"/>
      <c r="AY2248" s="326"/>
      <c r="AZ2248" s="175"/>
      <c r="BA2248" s="42"/>
      <c r="BB2248" s="426"/>
      <c r="BF2248" s="315"/>
      <c r="BG2248" s="42"/>
    </row>
    <row r="2249" spans="50:59" x14ac:dyDescent="0.2">
      <c r="AX2249" s="315"/>
      <c r="AY2249" s="326"/>
      <c r="AZ2249" s="175"/>
      <c r="BA2249" s="42"/>
      <c r="BB2249" s="426"/>
      <c r="BF2249" s="315"/>
      <c r="BG2249" s="42"/>
    </row>
    <row r="2250" spans="50:59" x14ac:dyDescent="0.2">
      <c r="AX2250" s="315"/>
      <c r="AY2250" s="326"/>
      <c r="AZ2250" s="175"/>
      <c r="BA2250" s="42"/>
      <c r="BB2250" s="426"/>
      <c r="BF2250" s="315"/>
      <c r="BG2250" s="42"/>
    </row>
    <row r="2251" spans="50:59" x14ac:dyDescent="0.2">
      <c r="AX2251" s="315"/>
      <c r="AY2251" s="326"/>
      <c r="AZ2251" s="175"/>
      <c r="BA2251" s="42"/>
      <c r="BB2251" s="426"/>
      <c r="BF2251" s="315"/>
      <c r="BG2251" s="42"/>
    </row>
    <row r="2252" spans="50:59" x14ac:dyDescent="0.2">
      <c r="AX2252" s="315"/>
      <c r="AY2252" s="326"/>
      <c r="AZ2252" s="175"/>
      <c r="BA2252" s="42"/>
      <c r="BB2252" s="426"/>
      <c r="BF2252" s="315"/>
      <c r="BG2252" s="42"/>
    </row>
    <row r="2253" spans="50:59" x14ac:dyDescent="0.2">
      <c r="AX2253" s="315"/>
      <c r="AY2253" s="326"/>
      <c r="AZ2253" s="175"/>
      <c r="BA2253" s="42"/>
      <c r="BB2253" s="426"/>
      <c r="BF2253" s="315"/>
      <c r="BG2253" s="42"/>
    </row>
    <row r="2254" spans="50:59" x14ac:dyDescent="0.2">
      <c r="AX2254" s="315"/>
      <c r="AY2254" s="326"/>
      <c r="AZ2254" s="175"/>
      <c r="BA2254" s="42"/>
      <c r="BB2254" s="426"/>
      <c r="BF2254" s="315"/>
      <c r="BG2254" s="42"/>
    </row>
    <row r="2255" spans="50:59" x14ac:dyDescent="0.2">
      <c r="AX2255" s="315"/>
      <c r="AY2255" s="326"/>
      <c r="AZ2255" s="175"/>
      <c r="BA2255" s="42"/>
      <c r="BB2255" s="426"/>
      <c r="BF2255" s="315"/>
      <c r="BG2255" s="42"/>
    </row>
    <row r="2256" spans="50:59" x14ac:dyDescent="0.2">
      <c r="AX2256" s="315"/>
      <c r="AY2256" s="326"/>
      <c r="AZ2256" s="175"/>
      <c r="BA2256" s="42"/>
      <c r="BB2256" s="426"/>
      <c r="BF2256" s="315"/>
      <c r="BG2256" s="42"/>
    </row>
    <row r="2257" spans="50:59" x14ac:dyDescent="0.2">
      <c r="AX2257" s="315"/>
      <c r="AY2257" s="326"/>
      <c r="AZ2257" s="175"/>
      <c r="BA2257" s="42"/>
      <c r="BB2257" s="426"/>
      <c r="BF2257" s="315"/>
      <c r="BG2257" s="42"/>
    </row>
    <row r="2258" spans="50:59" x14ac:dyDescent="0.2">
      <c r="AX2258" s="315"/>
      <c r="AY2258" s="326"/>
      <c r="AZ2258" s="175"/>
      <c r="BA2258" s="42"/>
      <c r="BB2258" s="426"/>
      <c r="BF2258" s="315"/>
      <c r="BG2258" s="42"/>
    </row>
    <row r="2259" spans="50:59" x14ac:dyDescent="0.2">
      <c r="AX2259" s="315"/>
      <c r="AY2259" s="326"/>
      <c r="AZ2259" s="175"/>
      <c r="BA2259" s="42"/>
      <c r="BB2259" s="426"/>
      <c r="BF2259" s="315"/>
      <c r="BG2259" s="42"/>
    </row>
    <row r="2260" spans="50:59" x14ac:dyDescent="0.2">
      <c r="AX2260" s="315"/>
      <c r="AY2260" s="326"/>
      <c r="AZ2260" s="175"/>
      <c r="BA2260" s="42"/>
      <c r="BB2260" s="426"/>
      <c r="BF2260" s="315"/>
      <c r="BG2260" s="42"/>
    </row>
    <row r="2261" spans="50:59" x14ac:dyDescent="0.2">
      <c r="AX2261" s="315"/>
      <c r="AY2261" s="326"/>
      <c r="AZ2261" s="175"/>
      <c r="BA2261" s="42"/>
      <c r="BB2261" s="426"/>
      <c r="BF2261" s="315"/>
      <c r="BG2261" s="42"/>
    </row>
    <row r="2262" spans="50:59" x14ac:dyDescent="0.2">
      <c r="AX2262" s="315"/>
      <c r="AY2262" s="326"/>
      <c r="AZ2262" s="175"/>
      <c r="BA2262" s="42"/>
      <c r="BB2262" s="426"/>
      <c r="BF2262" s="315"/>
      <c r="BG2262" s="42"/>
    </row>
    <row r="2263" spans="50:59" x14ac:dyDescent="0.2">
      <c r="AX2263" s="315"/>
      <c r="AY2263" s="326"/>
      <c r="AZ2263" s="175"/>
      <c r="BA2263" s="42"/>
      <c r="BB2263" s="426"/>
      <c r="BF2263" s="315"/>
      <c r="BG2263" s="42"/>
    </row>
    <row r="2264" spans="50:59" x14ac:dyDescent="0.2">
      <c r="AX2264" s="315"/>
      <c r="AY2264" s="326"/>
      <c r="AZ2264" s="175"/>
      <c r="BA2264" s="42"/>
      <c r="BB2264" s="426"/>
      <c r="BF2264" s="315"/>
      <c r="BG2264" s="42"/>
    </row>
    <row r="2265" spans="50:59" x14ac:dyDescent="0.2">
      <c r="AX2265" s="315"/>
      <c r="AY2265" s="326"/>
      <c r="AZ2265" s="175"/>
      <c r="BA2265" s="42"/>
      <c r="BB2265" s="426"/>
      <c r="BF2265" s="315"/>
      <c r="BG2265" s="42"/>
    </row>
    <row r="2266" spans="50:59" x14ac:dyDescent="0.2">
      <c r="AX2266" s="315"/>
      <c r="AY2266" s="326"/>
      <c r="AZ2266" s="175"/>
      <c r="BA2266" s="42"/>
      <c r="BB2266" s="426"/>
      <c r="BF2266" s="315"/>
      <c r="BG2266" s="42"/>
    </row>
    <row r="2267" spans="50:59" x14ac:dyDescent="0.2">
      <c r="AX2267" s="315"/>
      <c r="AY2267" s="326"/>
      <c r="AZ2267" s="175"/>
      <c r="BA2267" s="42"/>
      <c r="BB2267" s="426"/>
      <c r="BF2267" s="315"/>
      <c r="BG2267" s="42"/>
    </row>
    <row r="2268" spans="50:59" x14ac:dyDescent="0.2">
      <c r="AX2268" s="315"/>
      <c r="AY2268" s="326"/>
      <c r="AZ2268" s="175"/>
      <c r="BA2268" s="42"/>
      <c r="BB2268" s="426"/>
      <c r="BF2268" s="315"/>
      <c r="BG2268" s="42"/>
    </row>
    <row r="2269" spans="50:59" x14ac:dyDescent="0.2">
      <c r="AX2269" s="315"/>
      <c r="AY2269" s="326"/>
      <c r="AZ2269" s="175"/>
      <c r="BA2269" s="42"/>
      <c r="BB2269" s="426"/>
      <c r="BF2269" s="315"/>
      <c r="BG2269" s="42"/>
    </row>
    <row r="2270" spans="50:59" x14ac:dyDescent="0.2">
      <c r="AX2270" s="315"/>
      <c r="AY2270" s="326"/>
      <c r="AZ2270" s="175"/>
      <c r="BA2270" s="42"/>
      <c r="BB2270" s="426"/>
      <c r="BF2270" s="315"/>
      <c r="BG2270" s="42"/>
    </row>
    <row r="2271" spans="50:59" x14ac:dyDescent="0.2">
      <c r="AX2271" s="315"/>
      <c r="AY2271" s="326"/>
      <c r="AZ2271" s="175"/>
      <c r="BA2271" s="42"/>
      <c r="BB2271" s="426"/>
      <c r="BF2271" s="315"/>
      <c r="BG2271" s="42"/>
    </row>
    <row r="2272" spans="50:59" x14ac:dyDescent="0.2">
      <c r="AX2272" s="315"/>
      <c r="AY2272" s="326"/>
      <c r="AZ2272" s="175"/>
      <c r="BA2272" s="42"/>
      <c r="BB2272" s="426"/>
      <c r="BF2272" s="315"/>
      <c r="BG2272" s="42"/>
    </row>
    <row r="2273" spans="50:59" x14ac:dyDescent="0.2">
      <c r="AX2273" s="315"/>
      <c r="AY2273" s="326"/>
      <c r="AZ2273" s="175"/>
      <c r="BA2273" s="42"/>
      <c r="BB2273" s="426"/>
      <c r="BF2273" s="315"/>
      <c r="BG2273" s="42"/>
    </row>
    <row r="2274" spans="50:59" x14ac:dyDescent="0.2">
      <c r="AX2274" s="315"/>
      <c r="AY2274" s="326"/>
      <c r="AZ2274" s="175"/>
      <c r="BA2274" s="42"/>
      <c r="BB2274" s="426"/>
      <c r="BF2274" s="315"/>
      <c r="BG2274" s="42"/>
    </row>
    <row r="2275" spans="50:59" x14ac:dyDescent="0.2">
      <c r="AX2275" s="315"/>
      <c r="AY2275" s="326"/>
      <c r="AZ2275" s="175"/>
      <c r="BA2275" s="42"/>
      <c r="BB2275" s="426"/>
      <c r="BF2275" s="315"/>
      <c r="BG2275" s="42"/>
    </row>
    <row r="2276" spans="50:59" x14ac:dyDescent="0.2">
      <c r="AX2276" s="315"/>
      <c r="AY2276" s="326"/>
      <c r="AZ2276" s="175"/>
      <c r="BA2276" s="42"/>
      <c r="BB2276" s="426"/>
      <c r="BF2276" s="315"/>
      <c r="BG2276" s="42"/>
    </row>
    <row r="2277" spans="50:59" x14ac:dyDescent="0.2">
      <c r="AX2277" s="315"/>
      <c r="AY2277" s="326"/>
      <c r="AZ2277" s="175"/>
      <c r="BA2277" s="42"/>
      <c r="BB2277" s="426"/>
      <c r="BF2277" s="315"/>
      <c r="BG2277" s="42"/>
    </row>
    <row r="2278" spans="50:59" x14ac:dyDescent="0.2">
      <c r="AX2278" s="315"/>
      <c r="AY2278" s="326"/>
      <c r="AZ2278" s="175"/>
      <c r="BA2278" s="42"/>
      <c r="BB2278" s="426"/>
      <c r="BF2278" s="315"/>
      <c r="BG2278" s="42"/>
    </row>
    <row r="2279" spans="50:59" x14ac:dyDescent="0.2">
      <c r="AX2279" s="315"/>
      <c r="AY2279" s="326"/>
      <c r="AZ2279" s="175"/>
      <c r="BA2279" s="42"/>
      <c r="BB2279" s="426"/>
      <c r="BF2279" s="315"/>
      <c r="BG2279" s="42"/>
    </row>
    <row r="2280" spans="50:59" x14ac:dyDescent="0.2">
      <c r="AX2280" s="315"/>
      <c r="AY2280" s="326"/>
      <c r="AZ2280" s="175"/>
      <c r="BA2280" s="42"/>
      <c r="BB2280" s="426"/>
      <c r="BF2280" s="315"/>
      <c r="BG2280" s="42"/>
    </row>
    <row r="2281" spans="50:59" x14ac:dyDescent="0.2">
      <c r="AX2281" s="315"/>
      <c r="AY2281" s="326"/>
      <c r="AZ2281" s="175"/>
      <c r="BA2281" s="42"/>
      <c r="BB2281" s="426"/>
      <c r="BF2281" s="315"/>
      <c r="BG2281" s="42"/>
    </row>
    <row r="2282" spans="50:59" x14ac:dyDescent="0.2">
      <c r="AX2282" s="315"/>
      <c r="AY2282" s="326"/>
      <c r="AZ2282" s="175"/>
      <c r="BA2282" s="42"/>
      <c r="BB2282" s="426"/>
      <c r="BF2282" s="315"/>
      <c r="BG2282" s="42"/>
    </row>
    <row r="2283" spans="50:59" x14ac:dyDescent="0.2">
      <c r="AX2283" s="315"/>
      <c r="AY2283" s="326"/>
      <c r="AZ2283" s="175"/>
      <c r="BA2283" s="42"/>
      <c r="BB2283" s="426"/>
      <c r="BF2283" s="315"/>
      <c r="BG2283" s="42"/>
    </row>
    <row r="2284" spans="50:59" x14ac:dyDescent="0.2">
      <c r="AX2284" s="315"/>
      <c r="AY2284" s="326"/>
      <c r="AZ2284" s="175"/>
      <c r="BA2284" s="42"/>
      <c r="BB2284" s="426"/>
      <c r="BF2284" s="315"/>
      <c r="BG2284" s="42"/>
    </row>
    <row r="2285" spans="50:59" x14ac:dyDescent="0.2">
      <c r="AX2285" s="315"/>
      <c r="AY2285" s="326"/>
      <c r="AZ2285" s="175"/>
      <c r="BA2285" s="42"/>
      <c r="BB2285" s="426"/>
      <c r="BF2285" s="315"/>
      <c r="BG2285" s="42"/>
    </row>
    <row r="2286" spans="50:59" x14ac:dyDescent="0.2">
      <c r="AX2286" s="315"/>
      <c r="AY2286" s="326"/>
      <c r="AZ2286" s="175"/>
      <c r="BA2286" s="42"/>
      <c r="BB2286" s="426"/>
      <c r="BF2286" s="315"/>
      <c r="BG2286" s="42"/>
    </row>
    <row r="2287" spans="50:59" x14ac:dyDescent="0.2">
      <c r="AX2287" s="315"/>
      <c r="AY2287" s="326"/>
      <c r="AZ2287" s="175"/>
      <c r="BA2287" s="42"/>
      <c r="BB2287" s="426"/>
      <c r="BF2287" s="315"/>
      <c r="BG2287" s="42"/>
    </row>
    <row r="2288" spans="50:59" x14ac:dyDescent="0.2">
      <c r="AX2288" s="315"/>
      <c r="AY2288" s="326"/>
      <c r="AZ2288" s="175"/>
      <c r="BA2288" s="42"/>
      <c r="BB2288" s="426"/>
      <c r="BF2288" s="315"/>
      <c r="BG2288" s="42"/>
    </row>
    <row r="2289" spans="50:59" x14ac:dyDescent="0.2">
      <c r="AX2289" s="315"/>
      <c r="AY2289" s="326"/>
      <c r="AZ2289" s="175"/>
      <c r="BA2289" s="42"/>
      <c r="BB2289" s="426"/>
      <c r="BF2289" s="315"/>
      <c r="BG2289" s="42"/>
    </row>
    <row r="2290" spans="50:59" x14ac:dyDescent="0.2">
      <c r="AX2290" s="315"/>
      <c r="AY2290" s="326"/>
      <c r="AZ2290" s="175"/>
      <c r="BA2290" s="42"/>
      <c r="BB2290" s="426"/>
      <c r="BF2290" s="315"/>
      <c r="BG2290" s="42"/>
    </row>
    <row r="2291" spans="50:59" x14ac:dyDescent="0.2">
      <c r="AX2291" s="315"/>
      <c r="AY2291" s="326"/>
      <c r="AZ2291" s="175"/>
      <c r="BA2291" s="42"/>
      <c r="BB2291" s="426"/>
      <c r="BF2291" s="315"/>
      <c r="BG2291" s="42"/>
    </row>
    <row r="2292" spans="50:59" x14ac:dyDescent="0.2">
      <c r="AX2292" s="315"/>
      <c r="AY2292" s="326"/>
      <c r="AZ2292" s="175"/>
      <c r="BA2292" s="42"/>
      <c r="BB2292" s="426"/>
      <c r="BF2292" s="315"/>
      <c r="BG2292" s="42"/>
    </row>
    <row r="2293" spans="50:59" x14ac:dyDescent="0.2">
      <c r="AX2293" s="315"/>
      <c r="AY2293" s="326"/>
      <c r="AZ2293" s="175"/>
      <c r="BA2293" s="42"/>
      <c r="BB2293" s="426"/>
      <c r="BF2293" s="315"/>
      <c r="BG2293" s="42"/>
    </row>
    <row r="2294" spans="50:59" x14ac:dyDescent="0.2">
      <c r="AX2294" s="315"/>
      <c r="AY2294" s="326"/>
      <c r="AZ2294" s="175"/>
      <c r="BA2294" s="42"/>
      <c r="BB2294" s="426"/>
      <c r="BF2294" s="315"/>
      <c r="BG2294" s="42"/>
    </row>
    <row r="2295" spans="50:59" x14ac:dyDescent="0.2">
      <c r="AX2295" s="315"/>
      <c r="AY2295" s="326"/>
      <c r="AZ2295" s="175"/>
      <c r="BA2295" s="42"/>
      <c r="BB2295" s="426"/>
      <c r="BF2295" s="315"/>
      <c r="BG2295" s="42"/>
    </row>
    <row r="2296" spans="50:59" x14ac:dyDescent="0.2">
      <c r="AX2296" s="315"/>
      <c r="AY2296" s="326"/>
      <c r="AZ2296" s="175"/>
      <c r="BA2296" s="42"/>
      <c r="BB2296" s="426"/>
      <c r="BF2296" s="315"/>
      <c r="BG2296" s="42"/>
    </row>
    <row r="2297" spans="50:59" x14ac:dyDescent="0.2">
      <c r="AX2297" s="315"/>
      <c r="AY2297" s="326"/>
      <c r="AZ2297" s="175"/>
      <c r="BA2297" s="42"/>
      <c r="BB2297" s="426"/>
      <c r="BF2297" s="315"/>
      <c r="BG2297" s="42"/>
    </row>
    <row r="2298" spans="50:59" x14ac:dyDescent="0.2">
      <c r="AX2298" s="315"/>
      <c r="AY2298" s="326"/>
      <c r="AZ2298" s="175"/>
      <c r="BA2298" s="42"/>
      <c r="BB2298" s="426"/>
      <c r="BF2298" s="315"/>
      <c r="BG2298" s="42"/>
    </row>
    <row r="2299" spans="50:59" x14ac:dyDescent="0.2">
      <c r="AX2299" s="315"/>
      <c r="AY2299" s="326"/>
      <c r="AZ2299" s="175"/>
      <c r="BA2299" s="42"/>
      <c r="BB2299" s="426"/>
      <c r="BF2299" s="315"/>
      <c r="BG2299" s="42"/>
    </row>
    <row r="2300" spans="50:59" x14ac:dyDescent="0.2">
      <c r="AX2300" s="315"/>
      <c r="AY2300" s="326"/>
      <c r="AZ2300" s="175"/>
      <c r="BA2300" s="42"/>
      <c r="BB2300" s="426"/>
      <c r="BF2300" s="315"/>
      <c r="BG2300" s="42"/>
    </row>
    <row r="2301" spans="50:59" x14ac:dyDescent="0.2">
      <c r="AX2301" s="315"/>
      <c r="AY2301" s="326"/>
      <c r="AZ2301" s="175"/>
      <c r="BA2301" s="42"/>
      <c r="BB2301" s="426"/>
      <c r="BF2301" s="315"/>
      <c r="BG2301" s="42"/>
    </row>
    <row r="2302" spans="50:59" x14ac:dyDescent="0.2">
      <c r="AX2302" s="315"/>
      <c r="AY2302" s="326"/>
      <c r="AZ2302" s="175"/>
      <c r="BA2302" s="42"/>
      <c r="BB2302" s="426"/>
      <c r="BF2302" s="315"/>
      <c r="BG2302" s="42"/>
    </row>
    <row r="2303" spans="50:59" x14ac:dyDescent="0.2">
      <c r="AX2303" s="315"/>
      <c r="AY2303" s="326"/>
      <c r="AZ2303" s="175"/>
      <c r="BA2303" s="42"/>
      <c r="BB2303" s="426"/>
      <c r="BF2303" s="315"/>
      <c r="BG2303" s="42"/>
    </row>
    <row r="2304" spans="50:59" x14ac:dyDescent="0.2">
      <c r="AX2304" s="315"/>
      <c r="AY2304" s="326"/>
      <c r="AZ2304" s="175"/>
      <c r="BA2304" s="42"/>
      <c r="BB2304" s="426"/>
      <c r="BF2304" s="315"/>
      <c r="BG2304" s="42"/>
    </row>
    <row r="2305" spans="50:59" x14ac:dyDescent="0.2">
      <c r="AX2305" s="315"/>
      <c r="AY2305" s="326"/>
      <c r="AZ2305" s="175"/>
      <c r="BA2305" s="42"/>
      <c r="BB2305" s="426"/>
      <c r="BF2305" s="315"/>
      <c r="BG2305" s="42"/>
    </row>
    <row r="2306" spans="50:59" x14ac:dyDescent="0.2">
      <c r="AX2306" s="315"/>
      <c r="AY2306" s="326"/>
      <c r="AZ2306" s="175"/>
      <c r="BA2306" s="42"/>
      <c r="BB2306" s="426"/>
      <c r="BF2306" s="315"/>
      <c r="BG2306" s="42"/>
    </row>
    <row r="2307" spans="50:59" x14ac:dyDescent="0.2">
      <c r="AX2307" s="315"/>
      <c r="AY2307" s="326"/>
      <c r="AZ2307" s="175"/>
      <c r="BA2307" s="42"/>
      <c r="BB2307" s="426"/>
      <c r="BF2307" s="315"/>
      <c r="BG2307" s="42"/>
    </row>
    <row r="2308" spans="50:59" x14ac:dyDescent="0.2">
      <c r="AX2308" s="315"/>
      <c r="AY2308" s="326"/>
      <c r="AZ2308" s="175"/>
      <c r="BA2308" s="42"/>
      <c r="BB2308" s="426"/>
      <c r="BF2308" s="315"/>
      <c r="BG2308" s="42"/>
    </row>
    <row r="2309" spans="50:59" x14ac:dyDescent="0.2">
      <c r="AX2309" s="315"/>
      <c r="AY2309" s="326"/>
      <c r="AZ2309" s="175"/>
      <c r="BA2309" s="42"/>
      <c r="BB2309" s="426"/>
      <c r="BF2309" s="315"/>
      <c r="BG2309" s="42"/>
    </row>
    <row r="2310" spans="50:59" x14ac:dyDescent="0.2">
      <c r="AX2310" s="315"/>
      <c r="AY2310" s="326"/>
      <c r="AZ2310" s="175"/>
      <c r="BA2310" s="42"/>
      <c r="BB2310" s="426"/>
      <c r="BF2310" s="315"/>
      <c r="BG2310" s="42"/>
    </row>
    <row r="2311" spans="50:59" x14ac:dyDescent="0.2">
      <c r="AX2311" s="315"/>
      <c r="AY2311" s="326"/>
      <c r="AZ2311" s="175"/>
      <c r="BA2311" s="42"/>
      <c r="BB2311" s="426"/>
      <c r="BF2311" s="315"/>
      <c r="BG2311" s="42"/>
    </row>
    <row r="2312" spans="50:59" x14ac:dyDescent="0.2">
      <c r="AX2312" s="315"/>
      <c r="AY2312" s="326"/>
      <c r="AZ2312" s="175"/>
      <c r="BA2312" s="42"/>
      <c r="BB2312" s="426"/>
      <c r="BF2312" s="315"/>
      <c r="BG2312" s="42"/>
    </row>
    <row r="2313" spans="50:59" x14ac:dyDescent="0.2">
      <c r="AX2313" s="315"/>
      <c r="AY2313" s="326"/>
      <c r="AZ2313" s="175"/>
      <c r="BA2313" s="42"/>
      <c r="BB2313" s="426"/>
      <c r="BF2313" s="315"/>
      <c r="BG2313" s="42"/>
    </row>
    <row r="2314" spans="50:59" x14ac:dyDescent="0.2">
      <c r="AX2314" s="315"/>
      <c r="AY2314" s="326"/>
      <c r="AZ2314" s="175"/>
      <c r="BA2314" s="42"/>
      <c r="BB2314" s="426"/>
      <c r="BF2314" s="315"/>
      <c r="BG2314" s="42"/>
    </row>
    <row r="2315" spans="50:59" x14ac:dyDescent="0.2">
      <c r="AX2315" s="315"/>
      <c r="AY2315" s="326"/>
      <c r="AZ2315" s="175"/>
      <c r="BA2315" s="42"/>
      <c r="BB2315" s="426"/>
      <c r="BF2315" s="315"/>
      <c r="BG2315" s="42"/>
    </row>
    <row r="2316" spans="50:59" x14ac:dyDescent="0.2">
      <c r="AX2316" s="315"/>
      <c r="AY2316" s="326"/>
      <c r="AZ2316" s="175"/>
      <c r="BA2316" s="42"/>
      <c r="BB2316" s="426"/>
      <c r="BF2316" s="315"/>
      <c r="BG2316" s="42"/>
    </row>
    <row r="2317" spans="50:59" x14ac:dyDescent="0.2">
      <c r="AX2317" s="315"/>
      <c r="AY2317" s="326"/>
      <c r="AZ2317" s="175"/>
      <c r="BA2317" s="42"/>
      <c r="BB2317" s="426"/>
      <c r="BF2317" s="315"/>
      <c r="BG2317" s="42"/>
    </row>
    <row r="2318" spans="50:59" x14ac:dyDescent="0.2">
      <c r="AX2318" s="315"/>
      <c r="AY2318" s="326"/>
      <c r="AZ2318" s="175"/>
      <c r="BA2318" s="42"/>
      <c r="BB2318" s="426"/>
      <c r="BF2318" s="315"/>
      <c r="BG2318" s="42"/>
    </row>
    <row r="2319" spans="50:59" x14ac:dyDescent="0.2">
      <c r="AX2319" s="315"/>
      <c r="AY2319" s="326"/>
      <c r="AZ2319" s="175"/>
      <c r="BA2319" s="42"/>
      <c r="BB2319" s="426"/>
      <c r="BF2319" s="315"/>
      <c r="BG2319" s="42"/>
    </row>
    <row r="2320" spans="50:59" x14ac:dyDescent="0.2">
      <c r="AX2320" s="315"/>
      <c r="AY2320" s="326"/>
      <c r="AZ2320" s="175"/>
      <c r="BA2320" s="42"/>
      <c r="BB2320" s="426"/>
      <c r="BF2320" s="315"/>
      <c r="BG2320" s="42"/>
    </row>
    <row r="2321" spans="50:59" x14ac:dyDescent="0.2">
      <c r="AX2321" s="315"/>
      <c r="AY2321" s="326"/>
      <c r="AZ2321" s="175"/>
      <c r="BA2321" s="42"/>
      <c r="BB2321" s="426"/>
      <c r="BF2321" s="315"/>
      <c r="BG2321" s="42"/>
    </row>
    <row r="2322" spans="50:59" x14ac:dyDescent="0.2">
      <c r="AX2322" s="315"/>
      <c r="AY2322" s="326"/>
      <c r="AZ2322" s="175"/>
      <c r="BA2322" s="42"/>
      <c r="BB2322" s="426"/>
      <c r="BF2322" s="315"/>
      <c r="BG2322" s="42"/>
    </row>
    <row r="2323" spans="50:59" x14ac:dyDescent="0.2">
      <c r="AX2323" s="315"/>
      <c r="AY2323" s="326"/>
      <c r="AZ2323" s="175"/>
      <c r="BA2323" s="42"/>
      <c r="BB2323" s="426"/>
      <c r="BF2323" s="315"/>
      <c r="BG2323" s="42"/>
    </row>
    <row r="2324" spans="50:59" x14ac:dyDescent="0.2">
      <c r="AX2324" s="315"/>
      <c r="AY2324" s="326"/>
      <c r="AZ2324" s="175"/>
      <c r="BA2324" s="42"/>
      <c r="BB2324" s="426"/>
      <c r="BF2324" s="315"/>
      <c r="BG2324" s="42"/>
    </row>
    <row r="2325" spans="50:59" x14ac:dyDescent="0.2">
      <c r="AX2325" s="315"/>
      <c r="AY2325" s="326"/>
      <c r="AZ2325" s="175"/>
      <c r="BA2325" s="42"/>
      <c r="BB2325" s="426"/>
      <c r="BF2325" s="315"/>
      <c r="BG2325" s="42"/>
    </row>
    <row r="2326" spans="50:59" x14ac:dyDescent="0.2">
      <c r="AX2326" s="315"/>
      <c r="AY2326" s="326"/>
      <c r="AZ2326" s="175"/>
      <c r="BA2326" s="42"/>
      <c r="BB2326" s="426"/>
      <c r="BF2326" s="315"/>
      <c r="BG2326" s="42"/>
    </row>
    <row r="2327" spans="50:59" x14ac:dyDescent="0.2">
      <c r="AX2327" s="315"/>
      <c r="AY2327" s="326"/>
      <c r="AZ2327" s="175"/>
      <c r="BA2327" s="42"/>
      <c r="BB2327" s="426"/>
      <c r="BF2327" s="315"/>
      <c r="BG2327" s="42"/>
    </row>
    <row r="2328" spans="50:59" x14ac:dyDescent="0.2">
      <c r="AX2328" s="315"/>
      <c r="AY2328" s="326"/>
      <c r="AZ2328" s="175"/>
      <c r="BA2328" s="42"/>
      <c r="BB2328" s="426"/>
      <c r="BF2328" s="315"/>
      <c r="BG2328" s="42"/>
    </row>
    <row r="2329" spans="50:59" x14ac:dyDescent="0.2">
      <c r="AX2329" s="315"/>
      <c r="AY2329" s="326"/>
      <c r="AZ2329" s="175"/>
      <c r="BA2329" s="42"/>
      <c r="BB2329" s="426"/>
      <c r="BF2329" s="315"/>
      <c r="BG2329" s="42"/>
    </row>
    <row r="2330" spans="50:59" x14ac:dyDescent="0.2">
      <c r="AX2330" s="315"/>
      <c r="AY2330" s="326"/>
      <c r="AZ2330" s="175"/>
      <c r="BA2330" s="42"/>
      <c r="BB2330" s="426"/>
      <c r="BF2330" s="315"/>
      <c r="BG2330" s="42"/>
    </row>
    <row r="2331" spans="50:59" x14ac:dyDescent="0.2">
      <c r="AX2331" s="315"/>
      <c r="AY2331" s="326"/>
      <c r="AZ2331" s="175"/>
      <c r="BA2331" s="42"/>
      <c r="BB2331" s="426"/>
      <c r="BF2331" s="315"/>
      <c r="BG2331" s="42"/>
    </row>
    <row r="2332" spans="50:59" x14ac:dyDescent="0.2">
      <c r="AX2332" s="315"/>
      <c r="AY2332" s="326"/>
      <c r="AZ2332" s="175"/>
      <c r="BA2332" s="42"/>
      <c r="BB2332" s="426"/>
      <c r="BF2332" s="315"/>
      <c r="BG2332" s="42"/>
    </row>
    <row r="2333" spans="50:59" x14ac:dyDescent="0.2">
      <c r="AX2333" s="315"/>
      <c r="AY2333" s="326"/>
      <c r="AZ2333" s="175"/>
      <c r="BA2333" s="42"/>
      <c r="BB2333" s="426"/>
      <c r="BF2333" s="315"/>
      <c r="BG2333" s="42"/>
    </row>
    <row r="2334" spans="50:59" x14ac:dyDescent="0.2">
      <c r="AX2334" s="315"/>
      <c r="AY2334" s="326"/>
      <c r="AZ2334" s="175"/>
      <c r="BA2334" s="42"/>
      <c r="BB2334" s="426"/>
      <c r="BF2334" s="315"/>
      <c r="BG2334" s="42"/>
    </row>
    <row r="2335" spans="50:59" x14ac:dyDescent="0.2">
      <c r="AX2335" s="315"/>
      <c r="AY2335" s="326"/>
      <c r="AZ2335" s="175"/>
      <c r="BA2335" s="42"/>
      <c r="BB2335" s="426"/>
      <c r="BF2335" s="315"/>
      <c r="BG2335" s="42"/>
    </row>
    <row r="2336" spans="50:59" x14ac:dyDescent="0.2">
      <c r="AX2336" s="315"/>
      <c r="AY2336" s="326"/>
      <c r="AZ2336" s="175"/>
      <c r="BA2336" s="42"/>
      <c r="BB2336" s="426"/>
      <c r="BF2336" s="315"/>
      <c r="BG2336" s="42"/>
    </row>
    <row r="2337" spans="50:59" x14ac:dyDescent="0.2">
      <c r="AX2337" s="315"/>
      <c r="AY2337" s="326"/>
      <c r="AZ2337" s="175"/>
      <c r="BA2337" s="42"/>
      <c r="BB2337" s="426"/>
      <c r="BF2337" s="315"/>
      <c r="BG2337" s="42"/>
    </row>
    <row r="2338" spans="50:59" x14ac:dyDescent="0.2">
      <c r="AX2338" s="315"/>
      <c r="AY2338" s="326"/>
      <c r="AZ2338" s="175"/>
      <c r="BA2338" s="42"/>
      <c r="BB2338" s="426"/>
      <c r="BF2338" s="315"/>
      <c r="BG2338" s="42"/>
    </row>
    <row r="2339" spans="50:59" x14ac:dyDescent="0.2">
      <c r="AX2339" s="315"/>
      <c r="AY2339" s="326"/>
      <c r="AZ2339" s="175"/>
      <c r="BA2339" s="42"/>
      <c r="BB2339" s="426"/>
      <c r="BF2339" s="315"/>
      <c r="BG2339" s="42"/>
    </row>
    <row r="2340" spans="50:59" x14ac:dyDescent="0.2">
      <c r="AX2340" s="315"/>
      <c r="AY2340" s="326"/>
      <c r="AZ2340" s="175"/>
      <c r="BA2340" s="42"/>
      <c r="BB2340" s="426"/>
      <c r="BF2340" s="315"/>
      <c r="BG2340" s="42"/>
    </row>
    <row r="2341" spans="50:59" x14ac:dyDescent="0.2">
      <c r="AX2341" s="315"/>
      <c r="AY2341" s="326"/>
      <c r="AZ2341" s="175"/>
      <c r="BA2341" s="42"/>
      <c r="BB2341" s="426"/>
      <c r="BF2341" s="315"/>
      <c r="BG2341" s="42"/>
    </row>
    <row r="2342" spans="50:59" x14ac:dyDescent="0.2">
      <c r="AX2342" s="315"/>
      <c r="AY2342" s="326"/>
      <c r="AZ2342" s="175"/>
      <c r="BA2342" s="42"/>
      <c r="BB2342" s="426"/>
      <c r="BF2342" s="315"/>
      <c r="BG2342" s="42"/>
    </row>
    <row r="2343" spans="50:59" x14ac:dyDescent="0.2">
      <c r="AX2343" s="315"/>
      <c r="AY2343" s="326"/>
      <c r="AZ2343" s="175"/>
      <c r="BA2343" s="42"/>
      <c r="BB2343" s="426"/>
      <c r="BF2343" s="315"/>
      <c r="BG2343" s="42"/>
    </row>
    <row r="2344" spans="50:59" x14ac:dyDescent="0.2">
      <c r="AX2344" s="315"/>
      <c r="AY2344" s="326"/>
      <c r="AZ2344" s="175"/>
      <c r="BA2344" s="42"/>
      <c r="BB2344" s="426"/>
      <c r="BF2344" s="315"/>
      <c r="BG2344" s="42"/>
    </row>
    <row r="2345" spans="50:59" x14ac:dyDescent="0.2">
      <c r="AX2345" s="315"/>
      <c r="AY2345" s="326"/>
      <c r="AZ2345" s="175"/>
      <c r="BA2345" s="42"/>
      <c r="BB2345" s="426"/>
      <c r="BF2345" s="315"/>
      <c r="BG2345" s="42"/>
    </row>
    <row r="2346" spans="50:59" x14ac:dyDescent="0.2">
      <c r="AX2346" s="315"/>
      <c r="AY2346" s="326"/>
      <c r="AZ2346" s="175"/>
      <c r="BA2346" s="42"/>
      <c r="BB2346" s="426"/>
      <c r="BF2346" s="315"/>
      <c r="BG2346" s="42"/>
    </row>
    <row r="2347" spans="50:59" x14ac:dyDescent="0.2">
      <c r="AX2347" s="315"/>
      <c r="AY2347" s="326"/>
      <c r="AZ2347" s="175"/>
      <c r="BA2347" s="42"/>
      <c r="BB2347" s="426"/>
      <c r="BF2347" s="315"/>
      <c r="BG2347" s="42"/>
    </row>
    <row r="2348" spans="50:59" x14ac:dyDescent="0.2">
      <c r="AX2348" s="315"/>
      <c r="AY2348" s="326"/>
      <c r="AZ2348" s="175"/>
      <c r="BA2348" s="42"/>
      <c r="BB2348" s="426"/>
      <c r="BF2348" s="315"/>
      <c r="BG2348" s="42"/>
    </row>
    <row r="2349" spans="50:59" x14ac:dyDescent="0.2">
      <c r="AX2349" s="315"/>
      <c r="AY2349" s="326"/>
      <c r="AZ2349" s="175"/>
      <c r="BA2349" s="42"/>
      <c r="BB2349" s="426"/>
      <c r="BF2349" s="315"/>
      <c r="BG2349" s="42"/>
    </row>
    <row r="2350" spans="50:59" x14ac:dyDescent="0.2">
      <c r="AX2350" s="315"/>
      <c r="AY2350" s="326"/>
      <c r="AZ2350" s="175"/>
      <c r="BA2350" s="42"/>
      <c r="BB2350" s="426"/>
      <c r="BF2350" s="315"/>
      <c r="BG2350" s="42"/>
    </row>
    <row r="2351" spans="50:59" x14ac:dyDescent="0.2">
      <c r="AX2351" s="315"/>
      <c r="AY2351" s="326"/>
      <c r="AZ2351" s="175"/>
      <c r="BA2351" s="42"/>
      <c r="BB2351" s="426"/>
      <c r="BF2351" s="315"/>
      <c r="BG2351" s="42"/>
    </row>
    <row r="2352" spans="50:59" x14ac:dyDescent="0.2">
      <c r="AX2352" s="315"/>
      <c r="AY2352" s="326"/>
      <c r="AZ2352" s="175"/>
      <c r="BA2352" s="42"/>
      <c r="BB2352" s="426"/>
      <c r="BF2352" s="315"/>
      <c r="BG2352" s="42"/>
    </row>
    <row r="2353" spans="50:59" x14ac:dyDescent="0.2">
      <c r="AX2353" s="315"/>
      <c r="AY2353" s="326"/>
      <c r="AZ2353" s="175"/>
      <c r="BA2353" s="42"/>
      <c r="BB2353" s="426"/>
      <c r="BF2353" s="315"/>
      <c r="BG2353" s="42"/>
    </row>
    <row r="2354" spans="50:59" x14ac:dyDescent="0.2">
      <c r="AX2354" s="315"/>
      <c r="AY2354" s="326"/>
      <c r="AZ2354" s="175"/>
      <c r="BA2354" s="42"/>
      <c r="BB2354" s="426"/>
      <c r="BF2354" s="315"/>
      <c r="BG2354" s="42"/>
    </row>
    <row r="2355" spans="50:59" x14ac:dyDescent="0.2">
      <c r="AX2355" s="315"/>
      <c r="AY2355" s="326"/>
      <c r="AZ2355" s="175"/>
      <c r="BA2355" s="42"/>
      <c r="BB2355" s="426"/>
      <c r="BF2355" s="315"/>
      <c r="BG2355" s="42"/>
    </row>
    <row r="2356" spans="50:59" x14ac:dyDescent="0.2">
      <c r="AX2356" s="315"/>
      <c r="AY2356" s="326"/>
      <c r="AZ2356" s="175"/>
      <c r="BA2356" s="42"/>
      <c r="BB2356" s="426"/>
      <c r="BF2356" s="315"/>
      <c r="BG2356" s="42"/>
    </row>
    <row r="2357" spans="50:59" x14ac:dyDescent="0.2">
      <c r="AX2357" s="315"/>
      <c r="AY2357" s="326"/>
      <c r="AZ2357" s="175"/>
      <c r="BA2357" s="42"/>
      <c r="BB2357" s="426"/>
      <c r="BF2357" s="315"/>
      <c r="BG2357" s="42"/>
    </row>
    <row r="2358" spans="50:59" x14ac:dyDescent="0.2">
      <c r="AX2358" s="315"/>
      <c r="AY2358" s="326"/>
      <c r="AZ2358" s="175"/>
      <c r="BA2358" s="42"/>
      <c r="BB2358" s="426"/>
      <c r="BF2358" s="315"/>
      <c r="BG2358" s="42"/>
    </row>
    <row r="2359" spans="50:59" x14ac:dyDescent="0.2">
      <c r="AX2359" s="315"/>
      <c r="AY2359" s="326"/>
      <c r="AZ2359" s="175"/>
      <c r="BA2359" s="42"/>
      <c r="BB2359" s="426"/>
      <c r="BF2359" s="315"/>
      <c r="BG2359" s="42"/>
    </row>
    <row r="2360" spans="50:59" x14ac:dyDescent="0.2">
      <c r="AX2360" s="315"/>
      <c r="AY2360" s="326"/>
      <c r="AZ2360" s="175"/>
      <c r="BA2360" s="42"/>
      <c r="BB2360" s="426"/>
      <c r="BF2360" s="315"/>
      <c r="BG2360" s="42"/>
    </row>
    <row r="2361" spans="50:59" x14ac:dyDescent="0.2">
      <c r="AX2361" s="315"/>
      <c r="AY2361" s="326"/>
      <c r="AZ2361" s="175"/>
      <c r="BA2361" s="42"/>
      <c r="BB2361" s="426"/>
      <c r="BF2361" s="315"/>
      <c r="BG2361" s="42"/>
    </row>
    <row r="2362" spans="50:59" x14ac:dyDescent="0.2">
      <c r="AX2362" s="315"/>
      <c r="AY2362" s="326"/>
      <c r="AZ2362" s="175"/>
      <c r="BA2362" s="42"/>
      <c r="BB2362" s="426"/>
      <c r="BF2362" s="315"/>
      <c r="BG2362" s="42"/>
    </row>
    <row r="2363" spans="50:59" x14ac:dyDescent="0.2">
      <c r="AX2363" s="315"/>
      <c r="AY2363" s="326"/>
      <c r="AZ2363" s="175"/>
      <c r="BA2363" s="42"/>
      <c r="BB2363" s="426"/>
      <c r="BF2363" s="315"/>
      <c r="BG2363" s="42"/>
    </row>
    <row r="2364" spans="50:59" x14ac:dyDescent="0.2">
      <c r="AX2364" s="315"/>
      <c r="AY2364" s="326"/>
      <c r="AZ2364" s="175"/>
      <c r="BA2364" s="42"/>
      <c r="BB2364" s="426"/>
      <c r="BF2364" s="315"/>
      <c r="BG2364" s="42"/>
    </row>
    <row r="2365" spans="50:59" x14ac:dyDescent="0.2">
      <c r="AX2365" s="315"/>
      <c r="AY2365" s="326"/>
      <c r="AZ2365" s="175"/>
      <c r="BA2365" s="42"/>
      <c r="BB2365" s="426"/>
      <c r="BF2365" s="315"/>
      <c r="BG2365" s="42"/>
    </row>
    <row r="2366" spans="50:59" x14ac:dyDescent="0.2">
      <c r="AX2366" s="315"/>
      <c r="AY2366" s="326"/>
      <c r="AZ2366" s="175"/>
      <c r="BA2366" s="42"/>
      <c r="BB2366" s="426"/>
      <c r="BF2366" s="315"/>
      <c r="BG2366" s="42"/>
    </row>
    <row r="2367" spans="50:59" x14ac:dyDescent="0.2">
      <c r="AX2367" s="315"/>
      <c r="AY2367" s="326"/>
      <c r="AZ2367" s="175"/>
      <c r="BA2367" s="42"/>
      <c r="BB2367" s="426"/>
      <c r="BF2367" s="315"/>
      <c r="BG2367" s="42"/>
    </row>
    <row r="2368" spans="50:59" x14ac:dyDescent="0.2">
      <c r="AX2368" s="315"/>
      <c r="AY2368" s="326"/>
      <c r="AZ2368" s="175"/>
      <c r="BA2368" s="42"/>
      <c r="BB2368" s="426"/>
      <c r="BF2368" s="315"/>
      <c r="BG2368" s="42"/>
    </row>
    <row r="2369" spans="50:59" x14ac:dyDescent="0.2">
      <c r="AX2369" s="315"/>
      <c r="AY2369" s="326"/>
      <c r="AZ2369" s="175"/>
      <c r="BA2369" s="42"/>
      <c r="BB2369" s="426"/>
      <c r="BF2369" s="315"/>
      <c r="BG2369" s="42"/>
    </row>
    <row r="2370" spans="50:59" x14ac:dyDescent="0.2">
      <c r="AX2370" s="315"/>
      <c r="AY2370" s="326"/>
      <c r="AZ2370" s="175"/>
      <c r="BA2370" s="42"/>
      <c r="BB2370" s="426"/>
      <c r="BF2370" s="315"/>
      <c r="BG2370" s="42"/>
    </row>
    <row r="2371" spans="50:59" x14ac:dyDescent="0.2">
      <c r="AX2371" s="315"/>
      <c r="AY2371" s="326"/>
      <c r="AZ2371" s="175"/>
      <c r="BA2371" s="42"/>
      <c r="BB2371" s="426"/>
      <c r="BF2371" s="315"/>
      <c r="BG2371" s="42"/>
    </row>
    <row r="2372" spans="50:59" x14ac:dyDescent="0.2">
      <c r="AX2372" s="315"/>
      <c r="AY2372" s="326"/>
      <c r="AZ2372" s="175"/>
      <c r="BA2372" s="42"/>
      <c r="BB2372" s="426"/>
      <c r="BF2372" s="315"/>
      <c r="BG2372" s="42"/>
    </row>
    <row r="2373" spans="50:59" x14ac:dyDescent="0.2">
      <c r="AX2373" s="315"/>
      <c r="AY2373" s="326"/>
      <c r="AZ2373" s="175"/>
      <c r="BA2373" s="42"/>
      <c r="BB2373" s="426"/>
      <c r="BF2373" s="315"/>
      <c r="BG2373" s="42"/>
    </row>
    <row r="2374" spans="50:59" x14ac:dyDescent="0.2">
      <c r="AX2374" s="315"/>
      <c r="AY2374" s="326"/>
      <c r="AZ2374" s="175"/>
      <c r="BA2374" s="42"/>
      <c r="BB2374" s="426"/>
      <c r="BF2374" s="315"/>
      <c r="BG2374" s="42"/>
    </row>
    <row r="2375" spans="50:59" x14ac:dyDescent="0.2">
      <c r="AX2375" s="315"/>
      <c r="AY2375" s="326"/>
      <c r="AZ2375" s="175"/>
      <c r="BA2375" s="42"/>
      <c r="BB2375" s="426"/>
      <c r="BF2375" s="315"/>
      <c r="BG2375" s="42"/>
    </row>
    <row r="2376" spans="50:59" x14ac:dyDescent="0.2">
      <c r="AX2376" s="315"/>
      <c r="AY2376" s="326"/>
      <c r="AZ2376" s="175"/>
      <c r="BA2376" s="42"/>
      <c r="BB2376" s="426"/>
      <c r="BF2376" s="315"/>
      <c r="BG2376" s="42"/>
    </row>
    <row r="2377" spans="50:59" x14ac:dyDescent="0.2">
      <c r="AX2377" s="315"/>
      <c r="AY2377" s="326"/>
      <c r="AZ2377" s="175"/>
      <c r="BA2377" s="42"/>
      <c r="BB2377" s="426"/>
      <c r="BF2377" s="315"/>
      <c r="BG2377" s="42"/>
    </row>
    <row r="2378" spans="50:59" x14ac:dyDescent="0.2">
      <c r="AX2378" s="315"/>
      <c r="AY2378" s="326"/>
      <c r="AZ2378" s="175"/>
      <c r="BA2378" s="42"/>
      <c r="BB2378" s="426"/>
      <c r="BF2378" s="315"/>
      <c r="BG2378" s="42"/>
    </row>
    <row r="2379" spans="50:59" x14ac:dyDescent="0.2">
      <c r="AX2379" s="315"/>
      <c r="AY2379" s="326"/>
      <c r="AZ2379" s="175"/>
      <c r="BA2379" s="42"/>
      <c r="BB2379" s="426"/>
      <c r="BF2379" s="315"/>
      <c r="BG2379" s="42"/>
    </row>
    <row r="2380" spans="50:59" x14ac:dyDescent="0.2">
      <c r="AX2380" s="315"/>
      <c r="AY2380" s="326"/>
      <c r="AZ2380" s="175"/>
      <c r="BA2380" s="42"/>
      <c r="BB2380" s="426"/>
      <c r="BF2380" s="315"/>
      <c r="BG2380" s="42"/>
    </row>
    <row r="2381" spans="50:59" x14ac:dyDescent="0.2">
      <c r="AX2381" s="315"/>
      <c r="AY2381" s="326"/>
      <c r="AZ2381" s="175"/>
      <c r="BA2381" s="42"/>
      <c r="BB2381" s="426"/>
      <c r="BF2381" s="315"/>
      <c r="BG2381" s="42"/>
    </row>
    <row r="2382" spans="50:59" x14ac:dyDescent="0.2">
      <c r="AX2382" s="315"/>
      <c r="AY2382" s="326"/>
      <c r="AZ2382" s="175"/>
      <c r="BA2382" s="42"/>
      <c r="BB2382" s="426"/>
      <c r="BF2382" s="315"/>
      <c r="BG2382" s="42"/>
    </row>
    <row r="2383" spans="50:59" x14ac:dyDescent="0.2">
      <c r="AX2383" s="315"/>
      <c r="AY2383" s="326"/>
      <c r="AZ2383" s="175"/>
      <c r="BA2383" s="42"/>
      <c r="BB2383" s="426"/>
      <c r="BF2383" s="315"/>
      <c r="BG2383" s="42"/>
    </row>
    <row r="2384" spans="50:59" x14ac:dyDescent="0.2">
      <c r="AX2384" s="315"/>
      <c r="AY2384" s="326"/>
      <c r="AZ2384" s="175"/>
      <c r="BA2384" s="42"/>
      <c r="BB2384" s="426"/>
      <c r="BF2384" s="315"/>
      <c r="BG2384" s="42"/>
    </row>
    <row r="2385" spans="50:59" x14ac:dyDescent="0.2">
      <c r="AX2385" s="315"/>
      <c r="AY2385" s="326"/>
      <c r="AZ2385" s="175"/>
      <c r="BA2385" s="42"/>
      <c r="BB2385" s="426"/>
      <c r="BF2385" s="315"/>
      <c r="BG2385" s="42"/>
    </row>
    <row r="2386" spans="50:59" x14ac:dyDescent="0.2">
      <c r="AX2386" s="315"/>
      <c r="AY2386" s="326"/>
      <c r="AZ2386" s="175"/>
      <c r="BA2386" s="42"/>
      <c r="BB2386" s="426"/>
      <c r="BF2386" s="315"/>
      <c r="BG2386" s="42"/>
    </row>
    <row r="2387" spans="50:59" x14ac:dyDescent="0.2">
      <c r="AX2387" s="315"/>
      <c r="AY2387" s="326"/>
      <c r="AZ2387" s="175"/>
      <c r="BA2387" s="42"/>
      <c r="BB2387" s="426"/>
      <c r="BF2387" s="315"/>
      <c r="BG2387" s="42"/>
    </row>
    <row r="2388" spans="50:59" x14ac:dyDescent="0.2">
      <c r="AX2388" s="315"/>
      <c r="AY2388" s="326"/>
      <c r="AZ2388" s="175"/>
      <c r="BA2388" s="42"/>
      <c r="BB2388" s="426"/>
      <c r="BF2388" s="315"/>
      <c r="BG2388" s="42"/>
    </row>
    <row r="2389" spans="50:59" x14ac:dyDescent="0.2">
      <c r="AX2389" s="315"/>
      <c r="AY2389" s="326"/>
      <c r="AZ2389" s="175"/>
      <c r="BA2389" s="42"/>
      <c r="BB2389" s="426"/>
      <c r="BF2389" s="315"/>
      <c r="BG2389" s="42"/>
    </row>
    <row r="2390" spans="50:59" x14ac:dyDescent="0.2">
      <c r="AX2390" s="315"/>
      <c r="AY2390" s="326"/>
      <c r="AZ2390" s="175"/>
      <c r="BA2390" s="42"/>
      <c r="BB2390" s="426"/>
      <c r="BF2390" s="315"/>
      <c r="BG2390" s="42"/>
    </row>
    <row r="2391" spans="50:59" x14ac:dyDescent="0.2">
      <c r="AX2391" s="315"/>
      <c r="AY2391" s="326"/>
      <c r="AZ2391" s="175"/>
      <c r="BA2391" s="42"/>
      <c r="BB2391" s="426"/>
      <c r="BF2391" s="315"/>
      <c r="BG2391" s="42"/>
    </row>
    <row r="2392" spans="50:59" x14ac:dyDescent="0.2">
      <c r="AX2392" s="315"/>
      <c r="AY2392" s="326"/>
      <c r="AZ2392" s="175"/>
      <c r="BA2392" s="42"/>
      <c r="BB2392" s="426"/>
      <c r="BF2392" s="315"/>
      <c r="BG2392" s="42"/>
    </row>
    <row r="2393" spans="50:59" x14ac:dyDescent="0.2">
      <c r="AX2393" s="315"/>
      <c r="AY2393" s="326"/>
      <c r="AZ2393" s="175"/>
      <c r="BA2393" s="42"/>
      <c r="BB2393" s="426"/>
      <c r="BF2393" s="315"/>
      <c r="BG2393" s="42"/>
    </row>
    <row r="2394" spans="50:59" x14ac:dyDescent="0.2">
      <c r="AX2394" s="315"/>
      <c r="AY2394" s="326"/>
      <c r="AZ2394" s="175"/>
      <c r="BA2394" s="42"/>
      <c r="BB2394" s="426"/>
      <c r="BF2394" s="315"/>
      <c r="BG2394" s="42"/>
    </row>
    <row r="2395" spans="50:59" x14ac:dyDescent="0.2">
      <c r="AX2395" s="315"/>
      <c r="AY2395" s="326"/>
      <c r="AZ2395" s="175"/>
      <c r="BA2395" s="42"/>
      <c r="BB2395" s="426"/>
      <c r="BF2395" s="315"/>
      <c r="BG2395" s="42"/>
    </row>
    <row r="2396" spans="50:59" x14ac:dyDescent="0.2">
      <c r="AX2396" s="315"/>
      <c r="AY2396" s="326"/>
      <c r="AZ2396" s="175"/>
      <c r="BA2396" s="42"/>
      <c r="BB2396" s="426"/>
      <c r="BF2396" s="315"/>
      <c r="BG2396" s="42"/>
    </row>
    <row r="2397" spans="50:59" x14ac:dyDescent="0.2">
      <c r="AX2397" s="315"/>
      <c r="AY2397" s="326"/>
      <c r="AZ2397" s="175"/>
      <c r="BA2397" s="42"/>
      <c r="BB2397" s="426"/>
      <c r="BF2397" s="315"/>
      <c r="BG2397" s="42"/>
    </row>
    <row r="2398" spans="50:59" x14ac:dyDescent="0.2">
      <c r="AX2398" s="315"/>
      <c r="AY2398" s="326"/>
      <c r="AZ2398" s="175"/>
      <c r="BA2398" s="42"/>
      <c r="BB2398" s="426"/>
      <c r="BF2398" s="315"/>
      <c r="BG2398" s="42"/>
    </row>
    <row r="2399" spans="50:59" x14ac:dyDescent="0.2">
      <c r="AX2399" s="315"/>
      <c r="AY2399" s="326"/>
      <c r="AZ2399" s="175"/>
      <c r="BA2399" s="42"/>
      <c r="BB2399" s="426"/>
      <c r="BF2399" s="315"/>
      <c r="BG2399" s="42"/>
    </row>
    <row r="2400" spans="50:59" x14ac:dyDescent="0.2">
      <c r="AX2400" s="315"/>
      <c r="AY2400" s="326"/>
      <c r="AZ2400" s="175"/>
      <c r="BA2400" s="42"/>
      <c r="BB2400" s="426"/>
      <c r="BF2400" s="315"/>
      <c r="BG2400" s="42"/>
    </row>
    <row r="2401" spans="50:59" x14ac:dyDescent="0.2">
      <c r="AX2401" s="315"/>
      <c r="AY2401" s="326"/>
      <c r="AZ2401" s="175"/>
      <c r="BA2401" s="42"/>
      <c r="BB2401" s="426"/>
      <c r="BF2401" s="315"/>
      <c r="BG2401" s="42"/>
    </row>
    <row r="2402" spans="50:59" x14ac:dyDescent="0.2">
      <c r="AX2402" s="315"/>
      <c r="AY2402" s="326"/>
      <c r="AZ2402" s="175"/>
      <c r="BA2402" s="42"/>
      <c r="BB2402" s="426"/>
      <c r="BF2402" s="315"/>
      <c r="BG2402" s="42"/>
    </row>
    <row r="2403" spans="50:59" x14ac:dyDescent="0.2">
      <c r="AX2403" s="315"/>
      <c r="AY2403" s="326"/>
      <c r="AZ2403" s="175"/>
      <c r="BA2403" s="42"/>
      <c r="BB2403" s="426"/>
      <c r="BF2403" s="315"/>
      <c r="BG2403" s="42"/>
    </row>
    <row r="2404" spans="50:59" x14ac:dyDescent="0.2">
      <c r="AX2404" s="315"/>
      <c r="AY2404" s="326"/>
      <c r="AZ2404" s="175"/>
      <c r="BA2404" s="42"/>
      <c r="BB2404" s="426"/>
      <c r="BF2404" s="315"/>
      <c r="BG2404" s="42"/>
    </row>
    <row r="2405" spans="50:59" x14ac:dyDescent="0.2">
      <c r="AX2405" s="315"/>
      <c r="AY2405" s="326"/>
      <c r="AZ2405" s="175"/>
      <c r="BA2405" s="42"/>
      <c r="BB2405" s="426"/>
      <c r="BF2405" s="315"/>
      <c r="BG2405" s="42"/>
    </row>
    <row r="2406" spans="50:59" x14ac:dyDescent="0.2">
      <c r="AX2406" s="315"/>
      <c r="AY2406" s="326"/>
      <c r="AZ2406" s="175"/>
      <c r="BA2406" s="42"/>
      <c r="BB2406" s="426"/>
      <c r="BF2406" s="315"/>
      <c r="BG2406" s="42"/>
    </row>
    <row r="2407" spans="50:59" x14ac:dyDescent="0.2">
      <c r="AX2407" s="315"/>
      <c r="AY2407" s="326"/>
      <c r="AZ2407" s="175"/>
      <c r="BA2407" s="42"/>
      <c r="BB2407" s="426"/>
      <c r="BF2407" s="315"/>
      <c r="BG2407" s="42"/>
    </row>
    <row r="2408" spans="50:59" x14ac:dyDescent="0.2">
      <c r="AX2408" s="315"/>
      <c r="AY2408" s="326"/>
      <c r="AZ2408" s="175"/>
      <c r="BA2408" s="42"/>
      <c r="BB2408" s="426"/>
      <c r="BF2408" s="315"/>
      <c r="BG2408" s="42"/>
    </row>
    <row r="2409" spans="50:59" x14ac:dyDescent="0.2">
      <c r="AX2409" s="315"/>
      <c r="AY2409" s="326"/>
      <c r="AZ2409" s="175"/>
      <c r="BA2409" s="42"/>
      <c r="BB2409" s="426"/>
      <c r="BF2409" s="315"/>
      <c r="BG2409" s="42"/>
    </row>
    <row r="2410" spans="50:59" x14ac:dyDescent="0.2">
      <c r="AX2410" s="315"/>
      <c r="AY2410" s="326"/>
      <c r="AZ2410" s="175"/>
      <c r="BA2410" s="42"/>
      <c r="BB2410" s="426"/>
      <c r="BF2410" s="315"/>
      <c r="BG2410" s="42"/>
    </row>
    <row r="2411" spans="50:59" x14ac:dyDescent="0.2">
      <c r="AX2411" s="315"/>
      <c r="AY2411" s="326"/>
      <c r="AZ2411" s="175"/>
      <c r="BA2411" s="42"/>
      <c r="BB2411" s="426"/>
      <c r="BF2411" s="315"/>
      <c r="BG2411" s="42"/>
    </row>
    <row r="2412" spans="50:59" x14ac:dyDescent="0.2">
      <c r="AX2412" s="315"/>
      <c r="AY2412" s="326"/>
      <c r="AZ2412" s="175"/>
      <c r="BA2412" s="42"/>
      <c r="BB2412" s="426"/>
      <c r="BF2412" s="315"/>
      <c r="BG2412" s="42"/>
    </row>
    <row r="2413" spans="50:59" x14ac:dyDescent="0.2">
      <c r="AX2413" s="315"/>
      <c r="AY2413" s="326"/>
      <c r="AZ2413" s="175"/>
      <c r="BA2413" s="42"/>
      <c r="BB2413" s="426"/>
      <c r="BF2413" s="315"/>
      <c r="BG2413" s="42"/>
    </row>
    <row r="2414" spans="50:59" x14ac:dyDescent="0.2">
      <c r="AX2414" s="315"/>
      <c r="AY2414" s="326"/>
      <c r="AZ2414" s="175"/>
      <c r="BA2414" s="42"/>
      <c r="BB2414" s="426"/>
      <c r="BF2414" s="315"/>
      <c r="BG2414" s="42"/>
    </row>
    <row r="2415" spans="50:59" x14ac:dyDescent="0.2">
      <c r="AX2415" s="315"/>
      <c r="AY2415" s="326"/>
      <c r="AZ2415" s="175"/>
      <c r="BA2415" s="42"/>
      <c r="BB2415" s="426"/>
      <c r="BF2415" s="315"/>
      <c r="BG2415" s="42"/>
    </row>
    <row r="2416" spans="50:59" x14ac:dyDescent="0.2">
      <c r="AX2416" s="315"/>
      <c r="AY2416" s="326"/>
      <c r="AZ2416" s="175"/>
      <c r="BA2416" s="42"/>
      <c r="BB2416" s="426"/>
      <c r="BF2416" s="315"/>
      <c r="BG2416" s="42"/>
    </row>
    <row r="2417" spans="50:59" x14ac:dyDescent="0.2">
      <c r="AX2417" s="315"/>
      <c r="AY2417" s="326"/>
      <c r="AZ2417" s="175"/>
      <c r="BA2417" s="42"/>
      <c r="BB2417" s="426"/>
      <c r="BF2417" s="315"/>
      <c r="BG2417" s="42"/>
    </row>
    <row r="2418" spans="50:59" x14ac:dyDescent="0.2">
      <c r="AX2418" s="315"/>
      <c r="AY2418" s="326"/>
      <c r="AZ2418" s="175"/>
      <c r="BA2418" s="42"/>
      <c r="BB2418" s="426"/>
      <c r="BF2418" s="315"/>
      <c r="BG2418" s="42"/>
    </row>
    <row r="2419" spans="50:59" x14ac:dyDescent="0.2">
      <c r="AX2419" s="315"/>
      <c r="AY2419" s="326"/>
      <c r="AZ2419" s="175"/>
      <c r="BA2419" s="42"/>
      <c r="BB2419" s="426"/>
      <c r="BF2419" s="315"/>
      <c r="BG2419" s="42"/>
    </row>
    <row r="2420" spans="50:59" x14ac:dyDescent="0.2">
      <c r="AX2420" s="315"/>
      <c r="AY2420" s="326"/>
      <c r="AZ2420" s="175"/>
      <c r="BA2420" s="42"/>
      <c r="BB2420" s="426"/>
      <c r="BF2420" s="315"/>
      <c r="BG2420" s="42"/>
    </row>
    <row r="2421" spans="50:59" x14ac:dyDescent="0.2">
      <c r="AX2421" s="315"/>
      <c r="AY2421" s="326"/>
      <c r="AZ2421" s="175"/>
      <c r="BA2421" s="42"/>
      <c r="BB2421" s="426"/>
      <c r="BF2421" s="315"/>
      <c r="BG2421" s="42"/>
    </row>
    <row r="2422" spans="50:59" x14ac:dyDescent="0.2">
      <c r="AX2422" s="315"/>
      <c r="AY2422" s="326"/>
      <c r="AZ2422" s="175"/>
      <c r="BA2422" s="42"/>
      <c r="BB2422" s="426"/>
      <c r="BF2422" s="315"/>
      <c r="BG2422" s="42"/>
    </row>
    <row r="2423" spans="50:59" x14ac:dyDescent="0.2">
      <c r="AX2423" s="315"/>
      <c r="AY2423" s="326"/>
      <c r="AZ2423" s="175"/>
      <c r="BA2423" s="42"/>
      <c r="BB2423" s="426"/>
      <c r="BF2423" s="315"/>
      <c r="BG2423" s="42"/>
    </row>
    <row r="2424" spans="50:59" x14ac:dyDescent="0.2">
      <c r="AX2424" s="315"/>
      <c r="AY2424" s="326"/>
      <c r="AZ2424" s="175"/>
      <c r="BA2424" s="42"/>
      <c r="BB2424" s="426"/>
      <c r="BF2424" s="315"/>
      <c r="BG2424" s="42"/>
    </row>
    <row r="2425" spans="50:59" x14ac:dyDescent="0.2">
      <c r="AX2425" s="315"/>
      <c r="AY2425" s="326"/>
      <c r="AZ2425" s="175"/>
      <c r="BA2425" s="42"/>
      <c r="BB2425" s="426"/>
      <c r="BF2425" s="315"/>
      <c r="BG2425" s="42"/>
    </row>
    <row r="2426" spans="50:59" x14ac:dyDescent="0.2">
      <c r="AX2426" s="315"/>
      <c r="AY2426" s="326"/>
      <c r="AZ2426" s="175"/>
      <c r="BA2426" s="42"/>
      <c r="BB2426" s="426"/>
      <c r="BF2426" s="315"/>
      <c r="BG2426" s="42"/>
    </row>
    <row r="2427" spans="50:59" x14ac:dyDescent="0.2">
      <c r="AX2427" s="315"/>
      <c r="AY2427" s="326"/>
      <c r="AZ2427" s="175"/>
      <c r="BA2427" s="42"/>
      <c r="BB2427" s="426"/>
      <c r="BF2427" s="315"/>
      <c r="BG2427" s="42"/>
    </row>
    <row r="2428" spans="50:59" x14ac:dyDescent="0.2">
      <c r="AX2428" s="315"/>
      <c r="AY2428" s="326"/>
      <c r="AZ2428" s="175"/>
      <c r="BA2428" s="42"/>
      <c r="BB2428" s="426"/>
      <c r="BF2428" s="315"/>
      <c r="BG2428" s="42"/>
    </row>
    <row r="2429" spans="50:59" x14ac:dyDescent="0.2">
      <c r="AX2429" s="315"/>
      <c r="AY2429" s="326"/>
      <c r="AZ2429" s="175"/>
      <c r="BA2429" s="42"/>
      <c r="BB2429" s="426"/>
      <c r="BF2429" s="315"/>
      <c r="BG2429" s="42"/>
    </row>
    <row r="2430" spans="50:59" x14ac:dyDescent="0.2">
      <c r="AX2430" s="315"/>
      <c r="AY2430" s="326"/>
      <c r="AZ2430" s="175"/>
      <c r="BA2430" s="42"/>
      <c r="BB2430" s="426"/>
      <c r="BF2430" s="315"/>
      <c r="BG2430" s="42"/>
    </row>
    <row r="2431" spans="50:59" x14ac:dyDescent="0.2">
      <c r="AX2431" s="315"/>
      <c r="AY2431" s="326"/>
      <c r="AZ2431" s="175"/>
      <c r="BA2431" s="42"/>
      <c r="BB2431" s="426"/>
      <c r="BF2431" s="315"/>
      <c r="BG2431" s="42"/>
    </row>
    <row r="2432" spans="50:59" x14ac:dyDescent="0.2">
      <c r="AX2432" s="315"/>
      <c r="AY2432" s="326"/>
      <c r="AZ2432" s="175"/>
      <c r="BA2432" s="42"/>
      <c r="BB2432" s="426"/>
      <c r="BF2432" s="315"/>
      <c r="BG2432" s="42"/>
    </row>
    <row r="2433" spans="50:59" x14ac:dyDescent="0.2">
      <c r="AX2433" s="315"/>
      <c r="AY2433" s="326"/>
      <c r="AZ2433" s="175"/>
      <c r="BA2433" s="42"/>
      <c r="BB2433" s="426"/>
      <c r="BF2433" s="315"/>
      <c r="BG2433" s="42"/>
    </row>
    <row r="2434" spans="50:59" x14ac:dyDescent="0.2">
      <c r="AX2434" s="315"/>
      <c r="AY2434" s="326"/>
      <c r="AZ2434" s="175"/>
      <c r="BA2434" s="42"/>
      <c r="BB2434" s="426"/>
      <c r="BF2434" s="315"/>
      <c r="BG2434" s="42"/>
    </row>
    <row r="2435" spans="50:59" x14ac:dyDescent="0.2">
      <c r="AX2435" s="315"/>
      <c r="AY2435" s="326"/>
      <c r="AZ2435" s="175"/>
      <c r="BA2435" s="42"/>
      <c r="BB2435" s="426"/>
      <c r="BF2435" s="315"/>
      <c r="BG2435" s="42"/>
    </row>
    <row r="2436" spans="50:59" x14ac:dyDescent="0.2">
      <c r="AX2436" s="315"/>
      <c r="AY2436" s="326"/>
      <c r="AZ2436" s="175"/>
      <c r="BA2436" s="42"/>
      <c r="BB2436" s="426"/>
      <c r="BF2436" s="315"/>
      <c r="BG2436" s="42"/>
    </row>
    <row r="2437" spans="50:59" x14ac:dyDescent="0.2">
      <c r="AX2437" s="315"/>
      <c r="AY2437" s="326"/>
      <c r="AZ2437" s="175"/>
      <c r="BA2437" s="42"/>
      <c r="BB2437" s="426"/>
      <c r="BF2437" s="315"/>
      <c r="BG2437" s="42"/>
    </row>
    <row r="2438" spans="50:59" x14ac:dyDescent="0.2">
      <c r="AX2438" s="315"/>
      <c r="AY2438" s="326"/>
      <c r="AZ2438" s="175"/>
      <c r="BA2438" s="42"/>
      <c r="BB2438" s="426"/>
      <c r="BF2438" s="315"/>
      <c r="BG2438" s="42"/>
    </row>
    <row r="2439" spans="50:59" x14ac:dyDescent="0.2">
      <c r="AX2439" s="315"/>
      <c r="AY2439" s="326"/>
      <c r="AZ2439" s="175"/>
      <c r="BA2439" s="42"/>
      <c r="BB2439" s="426"/>
      <c r="BF2439" s="315"/>
      <c r="BG2439" s="42"/>
    </row>
    <row r="2440" spans="50:59" x14ac:dyDescent="0.2">
      <c r="AX2440" s="315"/>
      <c r="AY2440" s="326"/>
      <c r="AZ2440" s="175"/>
      <c r="BA2440" s="42"/>
      <c r="BB2440" s="426"/>
      <c r="BF2440" s="315"/>
      <c r="BG2440" s="42"/>
    </row>
    <row r="2441" spans="50:59" x14ac:dyDescent="0.2">
      <c r="AX2441" s="315"/>
      <c r="AY2441" s="326"/>
      <c r="AZ2441" s="175"/>
      <c r="BA2441" s="42"/>
      <c r="BB2441" s="426"/>
      <c r="BF2441" s="315"/>
      <c r="BG2441" s="42"/>
    </row>
    <row r="2442" spans="50:59" x14ac:dyDescent="0.2">
      <c r="AX2442" s="315"/>
      <c r="AY2442" s="326"/>
      <c r="AZ2442" s="175"/>
      <c r="BA2442" s="42"/>
      <c r="BB2442" s="426"/>
      <c r="BF2442" s="315"/>
      <c r="BG2442" s="42"/>
    </row>
    <row r="2443" spans="50:59" x14ac:dyDescent="0.2">
      <c r="AX2443" s="315"/>
      <c r="AY2443" s="326"/>
      <c r="AZ2443" s="175"/>
      <c r="BA2443" s="42"/>
      <c r="BB2443" s="426"/>
      <c r="BF2443" s="315"/>
      <c r="BG2443" s="42"/>
    </row>
    <row r="2444" spans="50:59" x14ac:dyDescent="0.2">
      <c r="AX2444" s="315"/>
      <c r="AY2444" s="326"/>
      <c r="AZ2444" s="175"/>
      <c r="BA2444" s="42"/>
      <c r="BB2444" s="426"/>
      <c r="BF2444" s="315"/>
      <c r="BG2444" s="42"/>
    </row>
    <row r="2445" spans="50:59" x14ac:dyDescent="0.2">
      <c r="AX2445" s="315"/>
      <c r="AY2445" s="326"/>
      <c r="AZ2445" s="175"/>
      <c r="BA2445" s="42"/>
      <c r="BB2445" s="426"/>
      <c r="BF2445" s="315"/>
      <c r="BG2445" s="42"/>
    </row>
    <row r="2446" spans="50:59" x14ac:dyDescent="0.2">
      <c r="AX2446" s="315"/>
      <c r="AY2446" s="326"/>
      <c r="AZ2446" s="175"/>
      <c r="BA2446" s="42"/>
      <c r="BB2446" s="426"/>
      <c r="BF2446" s="315"/>
      <c r="BG2446" s="42"/>
    </row>
    <row r="2447" spans="50:59" x14ac:dyDescent="0.2">
      <c r="AX2447" s="315"/>
      <c r="AY2447" s="326"/>
      <c r="AZ2447" s="175"/>
      <c r="BA2447" s="42"/>
      <c r="BB2447" s="426"/>
      <c r="BF2447" s="315"/>
      <c r="BG2447" s="42"/>
    </row>
    <row r="2448" spans="50:59" x14ac:dyDescent="0.2">
      <c r="AX2448" s="315"/>
      <c r="AY2448" s="326"/>
      <c r="AZ2448" s="175"/>
      <c r="BA2448" s="42"/>
      <c r="BB2448" s="426"/>
      <c r="BF2448" s="315"/>
      <c r="BG2448" s="42"/>
    </row>
    <row r="2449" spans="50:59" x14ac:dyDescent="0.2">
      <c r="AX2449" s="315"/>
      <c r="AY2449" s="326"/>
      <c r="AZ2449" s="175"/>
      <c r="BA2449" s="42"/>
      <c r="BB2449" s="426"/>
      <c r="BF2449" s="315"/>
      <c r="BG2449" s="42"/>
    </row>
    <row r="2450" spans="50:59" x14ac:dyDescent="0.2">
      <c r="AX2450" s="315"/>
      <c r="AY2450" s="326"/>
      <c r="AZ2450" s="175"/>
      <c r="BA2450" s="42"/>
      <c r="BB2450" s="426"/>
      <c r="BF2450" s="315"/>
      <c r="BG2450" s="42"/>
    </row>
    <row r="2451" spans="50:59" x14ac:dyDescent="0.2">
      <c r="AX2451" s="315"/>
      <c r="AY2451" s="326"/>
      <c r="AZ2451" s="175"/>
      <c r="BA2451" s="42"/>
      <c r="BB2451" s="426"/>
      <c r="BF2451" s="315"/>
      <c r="BG2451" s="42"/>
    </row>
    <row r="2452" spans="50:59" x14ac:dyDescent="0.2">
      <c r="AX2452" s="315"/>
      <c r="AY2452" s="326"/>
      <c r="AZ2452" s="175"/>
      <c r="BA2452" s="42"/>
      <c r="BB2452" s="426"/>
      <c r="BF2452" s="315"/>
      <c r="BG2452" s="42"/>
    </row>
    <row r="2453" spans="50:59" x14ac:dyDescent="0.2">
      <c r="AX2453" s="315"/>
      <c r="AY2453" s="326"/>
      <c r="AZ2453" s="175"/>
      <c r="BA2453" s="42"/>
      <c r="BB2453" s="426"/>
      <c r="BF2453" s="315"/>
      <c r="BG2453" s="42"/>
    </row>
    <row r="2454" spans="50:59" x14ac:dyDescent="0.2">
      <c r="AX2454" s="315"/>
      <c r="AY2454" s="326"/>
      <c r="AZ2454" s="175"/>
      <c r="BA2454" s="42"/>
      <c r="BB2454" s="426"/>
      <c r="BF2454" s="315"/>
      <c r="BG2454" s="42"/>
    </row>
    <row r="2455" spans="50:59" x14ac:dyDescent="0.2">
      <c r="AX2455" s="315"/>
      <c r="AY2455" s="326"/>
      <c r="AZ2455" s="175"/>
      <c r="BA2455" s="42"/>
      <c r="BB2455" s="426"/>
      <c r="BF2455" s="315"/>
      <c r="BG2455" s="42"/>
    </row>
    <row r="2456" spans="50:59" x14ac:dyDescent="0.2">
      <c r="AX2456" s="315"/>
      <c r="AY2456" s="326"/>
      <c r="AZ2456" s="175"/>
      <c r="BA2456" s="42"/>
      <c r="BB2456" s="426"/>
      <c r="BF2456" s="315"/>
      <c r="BG2456" s="42"/>
    </row>
    <row r="2457" spans="50:59" x14ac:dyDescent="0.2">
      <c r="AX2457" s="315"/>
      <c r="AY2457" s="326"/>
      <c r="AZ2457" s="175"/>
      <c r="BA2457" s="42"/>
      <c r="BB2457" s="426"/>
      <c r="BF2457" s="315"/>
      <c r="BG2457" s="42"/>
    </row>
    <row r="2458" spans="50:59" x14ac:dyDescent="0.2">
      <c r="AX2458" s="315"/>
      <c r="AY2458" s="326"/>
      <c r="AZ2458" s="175"/>
      <c r="BA2458" s="42"/>
      <c r="BB2458" s="426"/>
      <c r="BF2458" s="315"/>
      <c r="BG2458" s="42"/>
    </row>
    <row r="2459" spans="50:59" x14ac:dyDescent="0.2">
      <c r="AX2459" s="315"/>
      <c r="AY2459" s="326"/>
      <c r="AZ2459" s="175"/>
      <c r="BA2459" s="42"/>
      <c r="BB2459" s="426"/>
      <c r="BF2459" s="315"/>
      <c r="BG2459" s="42"/>
    </row>
    <row r="2460" spans="50:59" x14ac:dyDescent="0.2">
      <c r="AX2460" s="315"/>
      <c r="AY2460" s="326"/>
      <c r="AZ2460" s="175"/>
      <c r="BA2460" s="42"/>
      <c r="BB2460" s="426"/>
      <c r="BF2460" s="315"/>
      <c r="BG2460" s="42"/>
    </row>
    <row r="2461" spans="50:59" x14ac:dyDescent="0.2">
      <c r="AX2461" s="315"/>
      <c r="AY2461" s="326"/>
      <c r="AZ2461" s="175"/>
      <c r="BA2461" s="42"/>
      <c r="BB2461" s="426"/>
      <c r="BF2461" s="315"/>
      <c r="BG2461" s="42"/>
    </row>
    <row r="2462" spans="50:59" x14ac:dyDescent="0.2">
      <c r="AX2462" s="315"/>
      <c r="AY2462" s="326"/>
      <c r="AZ2462" s="175"/>
      <c r="BA2462" s="42"/>
      <c r="BB2462" s="426"/>
      <c r="BF2462" s="315"/>
      <c r="BG2462" s="42"/>
    </row>
    <row r="2463" spans="50:59" x14ac:dyDescent="0.2">
      <c r="AX2463" s="315"/>
      <c r="AY2463" s="326"/>
      <c r="AZ2463" s="175"/>
      <c r="BA2463" s="42"/>
      <c r="BB2463" s="426"/>
      <c r="BF2463" s="315"/>
      <c r="BG2463" s="42"/>
    </row>
    <row r="2464" spans="50:59" x14ac:dyDescent="0.2">
      <c r="AX2464" s="315"/>
      <c r="AY2464" s="326"/>
      <c r="AZ2464" s="175"/>
      <c r="BA2464" s="42"/>
      <c r="BB2464" s="426"/>
      <c r="BF2464" s="315"/>
      <c r="BG2464" s="42"/>
    </row>
    <row r="2465" spans="50:59" x14ac:dyDescent="0.2">
      <c r="AX2465" s="315"/>
      <c r="AY2465" s="326"/>
      <c r="AZ2465" s="175"/>
      <c r="BA2465" s="42"/>
      <c r="BB2465" s="426"/>
      <c r="BF2465" s="315"/>
      <c r="BG2465" s="42"/>
    </row>
    <row r="2466" spans="50:59" x14ac:dyDescent="0.2">
      <c r="AX2466" s="315"/>
      <c r="AY2466" s="326"/>
      <c r="AZ2466" s="175"/>
      <c r="BA2466" s="42"/>
      <c r="BB2466" s="426"/>
      <c r="BF2466" s="315"/>
      <c r="BG2466" s="42"/>
    </row>
    <row r="2467" spans="50:59" x14ac:dyDescent="0.2">
      <c r="AX2467" s="315"/>
      <c r="AY2467" s="326"/>
      <c r="AZ2467" s="175"/>
      <c r="BA2467" s="42"/>
      <c r="BB2467" s="426"/>
      <c r="BF2467" s="315"/>
      <c r="BG2467" s="42"/>
    </row>
    <row r="2468" spans="50:59" x14ac:dyDescent="0.2">
      <c r="AX2468" s="315"/>
      <c r="AY2468" s="326"/>
      <c r="AZ2468" s="175"/>
      <c r="BA2468" s="42"/>
      <c r="BB2468" s="426"/>
      <c r="BF2468" s="315"/>
      <c r="BG2468" s="42"/>
    </row>
    <row r="2469" spans="50:59" x14ac:dyDescent="0.2">
      <c r="AX2469" s="315"/>
      <c r="AY2469" s="326"/>
      <c r="AZ2469" s="175"/>
      <c r="BA2469" s="42"/>
      <c r="BB2469" s="426"/>
      <c r="BF2469" s="315"/>
      <c r="BG2469" s="42"/>
    </row>
    <row r="2470" spans="50:59" x14ac:dyDescent="0.2">
      <c r="AX2470" s="315"/>
      <c r="AY2470" s="326"/>
      <c r="AZ2470" s="175"/>
      <c r="BA2470" s="42"/>
      <c r="BB2470" s="426"/>
      <c r="BF2470" s="315"/>
      <c r="BG2470" s="42"/>
    </row>
    <row r="2471" spans="50:59" x14ac:dyDescent="0.2">
      <c r="AX2471" s="315"/>
      <c r="AY2471" s="326"/>
      <c r="AZ2471" s="175"/>
      <c r="BA2471" s="42"/>
      <c r="BB2471" s="426"/>
      <c r="BF2471" s="315"/>
      <c r="BG2471" s="42"/>
    </row>
    <row r="2472" spans="50:59" x14ac:dyDescent="0.2">
      <c r="AX2472" s="315"/>
      <c r="AY2472" s="326"/>
      <c r="AZ2472" s="175"/>
      <c r="BA2472" s="42"/>
      <c r="BB2472" s="426"/>
      <c r="BF2472" s="315"/>
      <c r="BG2472" s="42"/>
    </row>
    <row r="2473" spans="50:59" x14ac:dyDescent="0.2">
      <c r="AX2473" s="315"/>
      <c r="AY2473" s="326"/>
      <c r="AZ2473" s="175"/>
      <c r="BA2473" s="42"/>
      <c r="BB2473" s="426"/>
      <c r="BF2473" s="315"/>
      <c r="BG2473" s="42"/>
    </row>
    <row r="2474" spans="50:59" x14ac:dyDescent="0.2">
      <c r="AX2474" s="315"/>
      <c r="AY2474" s="326"/>
      <c r="AZ2474" s="175"/>
      <c r="BA2474" s="42"/>
      <c r="BB2474" s="426"/>
      <c r="BF2474" s="315"/>
      <c r="BG2474" s="42"/>
    </row>
    <row r="2475" spans="50:59" x14ac:dyDescent="0.2">
      <c r="AX2475" s="315"/>
      <c r="AY2475" s="326"/>
      <c r="AZ2475" s="175"/>
      <c r="BA2475" s="42"/>
      <c r="BB2475" s="426"/>
      <c r="BF2475" s="315"/>
      <c r="BG2475" s="42"/>
    </row>
    <row r="2476" spans="50:59" x14ac:dyDescent="0.2">
      <c r="AX2476" s="315"/>
      <c r="AY2476" s="326"/>
      <c r="AZ2476" s="175"/>
      <c r="BA2476" s="42"/>
      <c r="BB2476" s="426"/>
      <c r="BF2476" s="315"/>
      <c r="BG2476" s="42"/>
    </row>
    <row r="2477" spans="50:59" x14ac:dyDescent="0.2">
      <c r="AX2477" s="315"/>
      <c r="AY2477" s="326"/>
      <c r="AZ2477" s="175"/>
      <c r="BA2477" s="42"/>
      <c r="BB2477" s="426"/>
      <c r="BF2477" s="315"/>
      <c r="BG2477" s="42"/>
    </row>
    <row r="2478" spans="50:59" x14ac:dyDescent="0.2">
      <c r="AX2478" s="315"/>
      <c r="AY2478" s="326"/>
      <c r="AZ2478" s="175"/>
      <c r="BA2478" s="42"/>
      <c r="BB2478" s="426"/>
      <c r="BF2478" s="315"/>
      <c r="BG2478" s="42"/>
    </row>
    <row r="2479" spans="50:59" x14ac:dyDescent="0.2">
      <c r="AX2479" s="315"/>
      <c r="AY2479" s="326"/>
      <c r="AZ2479" s="175"/>
      <c r="BA2479" s="42"/>
      <c r="BB2479" s="426"/>
      <c r="BF2479" s="315"/>
      <c r="BG2479" s="42"/>
    </row>
    <row r="2480" spans="50:59" x14ac:dyDescent="0.2">
      <c r="AX2480" s="315"/>
      <c r="AY2480" s="326"/>
      <c r="AZ2480" s="175"/>
      <c r="BA2480" s="42"/>
      <c r="BB2480" s="426"/>
      <c r="BF2480" s="315"/>
      <c r="BG2480" s="42"/>
    </row>
    <row r="2481" spans="50:59" x14ac:dyDescent="0.2">
      <c r="AX2481" s="315"/>
      <c r="AY2481" s="326"/>
      <c r="AZ2481" s="175"/>
      <c r="BA2481" s="42"/>
      <c r="BB2481" s="426"/>
      <c r="BF2481" s="315"/>
      <c r="BG2481" s="42"/>
    </row>
    <row r="2482" spans="50:59" x14ac:dyDescent="0.2">
      <c r="AX2482" s="315"/>
      <c r="AY2482" s="326"/>
      <c r="AZ2482" s="175"/>
      <c r="BA2482" s="42"/>
      <c r="BB2482" s="426"/>
      <c r="BF2482" s="315"/>
      <c r="BG2482" s="42"/>
    </row>
    <row r="2483" spans="50:59" x14ac:dyDescent="0.2">
      <c r="AX2483" s="315"/>
      <c r="AY2483" s="326"/>
      <c r="AZ2483" s="175"/>
      <c r="BA2483" s="42"/>
      <c r="BB2483" s="426"/>
      <c r="BF2483" s="315"/>
      <c r="BG2483" s="42"/>
    </row>
    <row r="2484" spans="50:59" x14ac:dyDescent="0.2">
      <c r="AX2484" s="315"/>
      <c r="AY2484" s="326"/>
      <c r="AZ2484" s="175"/>
      <c r="BA2484" s="42"/>
      <c r="BB2484" s="426"/>
      <c r="BF2484" s="315"/>
      <c r="BG2484" s="42"/>
    </row>
    <row r="2485" spans="50:59" x14ac:dyDescent="0.2">
      <c r="AX2485" s="315"/>
      <c r="AY2485" s="326"/>
      <c r="AZ2485" s="175"/>
      <c r="BA2485" s="42"/>
      <c r="BB2485" s="426"/>
      <c r="BF2485" s="315"/>
      <c r="BG2485" s="42"/>
    </row>
    <row r="2486" spans="50:59" x14ac:dyDescent="0.2">
      <c r="AX2486" s="315"/>
      <c r="AY2486" s="326"/>
      <c r="AZ2486" s="175"/>
      <c r="BA2486" s="42"/>
      <c r="BB2486" s="426"/>
      <c r="BF2486" s="315"/>
      <c r="BG2486" s="42"/>
    </row>
    <row r="2487" spans="50:59" x14ac:dyDescent="0.2">
      <c r="AX2487" s="315"/>
      <c r="AY2487" s="326"/>
      <c r="AZ2487" s="175"/>
      <c r="BA2487" s="42"/>
      <c r="BB2487" s="426"/>
      <c r="BF2487" s="315"/>
      <c r="BG2487" s="42"/>
    </row>
    <row r="2488" spans="50:59" x14ac:dyDescent="0.2">
      <c r="AX2488" s="315"/>
      <c r="AY2488" s="326"/>
      <c r="AZ2488" s="175"/>
      <c r="BA2488" s="42"/>
      <c r="BB2488" s="426"/>
      <c r="BF2488" s="315"/>
      <c r="BG2488" s="42"/>
    </row>
    <row r="2489" spans="50:59" x14ac:dyDescent="0.2">
      <c r="AX2489" s="315"/>
      <c r="AY2489" s="326"/>
      <c r="AZ2489" s="175"/>
      <c r="BA2489" s="42"/>
      <c r="BB2489" s="426"/>
      <c r="BF2489" s="315"/>
      <c r="BG2489" s="42"/>
    </row>
    <row r="2490" spans="50:59" x14ac:dyDescent="0.2">
      <c r="AX2490" s="315"/>
      <c r="AY2490" s="326"/>
      <c r="AZ2490" s="175"/>
      <c r="BA2490" s="42"/>
      <c r="BB2490" s="426"/>
      <c r="BF2490" s="315"/>
      <c r="BG2490" s="42"/>
    </row>
    <row r="2491" spans="50:59" x14ac:dyDescent="0.2">
      <c r="AX2491" s="315"/>
      <c r="AY2491" s="326"/>
      <c r="AZ2491" s="175"/>
      <c r="BA2491" s="42"/>
      <c r="BB2491" s="426"/>
      <c r="BF2491" s="315"/>
      <c r="BG2491" s="42"/>
    </row>
    <row r="2492" spans="50:59" x14ac:dyDescent="0.2">
      <c r="AX2492" s="315"/>
      <c r="AY2492" s="326"/>
      <c r="AZ2492" s="175"/>
      <c r="BA2492" s="42"/>
      <c r="BB2492" s="426"/>
      <c r="BF2492" s="315"/>
      <c r="BG2492" s="42"/>
    </row>
    <row r="2493" spans="50:59" x14ac:dyDescent="0.2">
      <c r="AX2493" s="315"/>
      <c r="AY2493" s="326"/>
      <c r="AZ2493" s="175"/>
      <c r="BA2493" s="42"/>
      <c r="BB2493" s="426"/>
      <c r="BF2493" s="315"/>
      <c r="BG2493" s="42"/>
    </row>
    <row r="2494" spans="50:59" x14ac:dyDescent="0.2">
      <c r="AX2494" s="315"/>
      <c r="AY2494" s="326"/>
      <c r="AZ2494" s="175"/>
      <c r="BA2494" s="42"/>
      <c r="BB2494" s="426"/>
      <c r="BF2494" s="315"/>
      <c r="BG2494" s="42"/>
    </row>
    <row r="2495" spans="50:59" x14ac:dyDescent="0.2">
      <c r="AX2495" s="315"/>
      <c r="AY2495" s="326"/>
      <c r="AZ2495" s="175"/>
      <c r="BA2495" s="42"/>
      <c r="BB2495" s="426"/>
      <c r="BF2495" s="315"/>
      <c r="BG2495" s="42"/>
    </row>
    <row r="2496" spans="50:59" x14ac:dyDescent="0.2">
      <c r="AX2496" s="315"/>
      <c r="AY2496" s="326"/>
      <c r="AZ2496" s="175"/>
      <c r="BA2496" s="42"/>
      <c r="BB2496" s="426"/>
      <c r="BF2496" s="315"/>
      <c r="BG2496" s="42"/>
    </row>
    <row r="2497" spans="50:59" x14ac:dyDescent="0.2">
      <c r="AX2497" s="315"/>
      <c r="AY2497" s="326"/>
      <c r="AZ2497" s="175"/>
      <c r="BA2497" s="42"/>
      <c r="BB2497" s="426"/>
      <c r="BF2497" s="315"/>
      <c r="BG2497" s="42"/>
    </row>
    <row r="2498" spans="50:59" x14ac:dyDescent="0.2">
      <c r="AX2498" s="315"/>
      <c r="AY2498" s="326"/>
      <c r="AZ2498" s="175"/>
      <c r="BA2498" s="42"/>
      <c r="BB2498" s="426"/>
      <c r="BF2498" s="315"/>
      <c r="BG2498" s="42"/>
    </row>
    <row r="2499" spans="50:59" x14ac:dyDescent="0.2">
      <c r="AX2499" s="315"/>
      <c r="AY2499" s="326"/>
      <c r="AZ2499" s="175"/>
      <c r="BA2499" s="42"/>
      <c r="BB2499" s="426"/>
      <c r="BF2499" s="315"/>
      <c r="BG2499" s="42"/>
    </row>
    <row r="2500" spans="50:59" x14ac:dyDescent="0.2">
      <c r="AX2500" s="315"/>
      <c r="AY2500" s="326"/>
      <c r="AZ2500" s="175"/>
      <c r="BA2500" s="42"/>
      <c r="BB2500" s="426"/>
      <c r="BF2500" s="315"/>
      <c r="BG2500" s="42"/>
    </row>
    <row r="2501" spans="50:59" x14ac:dyDescent="0.2">
      <c r="AX2501" s="315"/>
      <c r="AY2501" s="326"/>
      <c r="AZ2501" s="175"/>
      <c r="BA2501" s="42"/>
      <c r="BB2501" s="426"/>
      <c r="BF2501" s="315"/>
      <c r="BG2501" s="42"/>
    </row>
    <row r="2502" spans="50:59" x14ac:dyDescent="0.2">
      <c r="AX2502" s="315"/>
      <c r="AY2502" s="326"/>
      <c r="AZ2502" s="175"/>
      <c r="BA2502" s="42"/>
      <c r="BB2502" s="426"/>
      <c r="BF2502" s="315"/>
      <c r="BG2502" s="42"/>
    </row>
    <row r="2503" spans="50:59" x14ac:dyDescent="0.2">
      <c r="AX2503" s="315"/>
      <c r="AY2503" s="326"/>
      <c r="AZ2503" s="175"/>
      <c r="BA2503" s="42"/>
      <c r="BB2503" s="426"/>
      <c r="BF2503" s="315"/>
      <c r="BG2503" s="42"/>
    </row>
    <row r="2504" spans="50:59" x14ac:dyDescent="0.2">
      <c r="AX2504" s="315"/>
      <c r="AY2504" s="326"/>
      <c r="AZ2504" s="175"/>
      <c r="BA2504" s="42"/>
      <c r="BB2504" s="426"/>
      <c r="BF2504" s="315"/>
      <c r="BG2504" s="42"/>
    </row>
    <row r="2505" spans="50:59" x14ac:dyDescent="0.2">
      <c r="AX2505" s="315"/>
      <c r="AY2505" s="326"/>
      <c r="AZ2505" s="175"/>
      <c r="BA2505" s="42"/>
      <c r="BB2505" s="426"/>
      <c r="BF2505" s="315"/>
      <c r="BG2505" s="42"/>
    </row>
    <row r="2506" spans="50:59" x14ac:dyDescent="0.2">
      <c r="AX2506" s="315"/>
      <c r="AY2506" s="326"/>
      <c r="AZ2506" s="175"/>
      <c r="BA2506" s="42"/>
      <c r="BB2506" s="426"/>
      <c r="BF2506" s="315"/>
      <c r="BG2506" s="42"/>
    </row>
    <row r="2507" spans="50:59" x14ac:dyDescent="0.2">
      <c r="AX2507" s="315"/>
      <c r="AY2507" s="326"/>
      <c r="AZ2507" s="175"/>
      <c r="BA2507" s="42"/>
      <c r="BB2507" s="426"/>
      <c r="BF2507" s="315"/>
      <c r="BG2507" s="42"/>
    </row>
    <row r="2508" spans="50:59" x14ac:dyDescent="0.2">
      <c r="AX2508" s="315"/>
      <c r="AY2508" s="326"/>
      <c r="AZ2508" s="175"/>
      <c r="BA2508" s="42"/>
      <c r="BB2508" s="426"/>
      <c r="BF2508" s="315"/>
      <c r="BG2508" s="42"/>
    </row>
    <row r="2509" spans="50:59" x14ac:dyDescent="0.2">
      <c r="AX2509" s="315"/>
      <c r="AY2509" s="326"/>
      <c r="AZ2509" s="175"/>
      <c r="BA2509" s="42"/>
      <c r="BB2509" s="426"/>
      <c r="BF2509" s="315"/>
      <c r="BG2509" s="42"/>
    </row>
    <row r="2510" spans="50:59" x14ac:dyDescent="0.2">
      <c r="AX2510" s="315"/>
      <c r="AY2510" s="326"/>
      <c r="AZ2510" s="175"/>
      <c r="BA2510" s="42"/>
      <c r="BB2510" s="426"/>
      <c r="BF2510" s="315"/>
      <c r="BG2510" s="42"/>
    </row>
    <row r="2511" spans="50:59" x14ac:dyDescent="0.2">
      <c r="AX2511" s="315"/>
      <c r="AY2511" s="326"/>
      <c r="AZ2511" s="175"/>
      <c r="BA2511" s="42"/>
      <c r="BB2511" s="426"/>
      <c r="BF2511" s="315"/>
      <c r="BG2511" s="42"/>
    </row>
    <row r="2512" spans="50:59" x14ac:dyDescent="0.2">
      <c r="AX2512" s="315"/>
      <c r="AY2512" s="326"/>
      <c r="AZ2512" s="175"/>
      <c r="BA2512" s="42"/>
      <c r="BB2512" s="426"/>
      <c r="BF2512" s="315"/>
      <c r="BG2512" s="42"/>
    </row>
    <row r="2513" spans="50:59" x14ac:dyDescent="0.2">
      <c r="AX2513" s="315"/>
      <c r="AY2513" s="326"/>
      <c r="AZ2513" s="175"/>
      <c r="BA2513" s="42"/>
      <c r="BB2513" s="426"/>
      <c r="BF2513" s="315"/>
      <c r="BG2513" s="42"/>
    </row>
    <row r="2514" spans="50:59" x14ac:dyDescent="0.2">
      <c r="AX2514" s="315"/>
      <c r="AY2514" s="326"/>
      <c r="AZ2514" s="175"/>
      <c r="BA2514" s="42"/>
      <c r="BB2514" s="426"/>
      <c r="BF2514" s="315"/>
      <c r="BG2514" s="42"/>
    </row>
    <row r="2515" spans="50:59" x14ac:dyDescent="0.2">
      <c r="AX2515" s="315"/>
      <c r="AY2515" s="326"/>
      <c r="AZ2515" s="175"/>
      <c r="BA2515" s="42"/>
      <c r="BB2515" s="426"/>
      <c r="BF2515" s="315"/>
      <c r="BG2515" s="42"/>
    </row>
    <row r="2516" spans="50:59" x14ac:dyDescent="0.2">
      <c r="AX2516" s="315"/>
      <c r="AY2516" s="326"/>
      <c r="AZ2516" s="175"/>
      <c r="BA2516" s="42"/>
      <c r="BB2516" s="426"/>
      <c r="BF2516" s="315"/>
      <c r="BG2516" s="42"/>
    </row>
    <row r="2517" spans="50:59" x14ac:dyDescent="0.2">
      <c r="AX2517" s="315"/>
      <c r="AY2517" s="326"/>
      <c r="AZ2517" s="175"/>
      <c r="BA2517" s="42"/>
      <c r="BB2517" s="426"/>
      <c r="BF2517" s="315"/>
      <c r="BG2517" s="42"/>
    </row>
    <row r="2518" spans="50:59" x14ac:dyDescent="0.2">
      <c r="AX2518" s="315"/>
      <c r="AY2518" s="326"/>
      <c r="AZ2518" s="175"/>
      <c r="BA2518" s="42"/>
      <c r="BB2518" s="426"/>
      <c r="BF2518" s="315"/>
      <c r="BG2518" s="42"/>
    </row>
    <row r="2519" spans="50:59" x14ac:dyDescent="0.2">
      <c r="AX2519" s="315"/>
      <c r="AY2519" s="326"/>
      <c r="AZ2519" s="175"/>
      <c r="BA2519" s="42"/>
      <c r="BB2519" s="426"/>
      <c r="BF2519" s="315"/>
      <c r="BG2519" s="42"/>
    </row>
    <row r="2520" spans="50:59" x14ac:dyDescent="0.2">
      <c r="AX2520" s="315"/>
      <c r="AY2520" s="326"/>
      <c r="AZ2520" s="175"/>
      <c r="BA2520" s="42"/>
      <c r="BB2520" s="426"/>
      <c r="BF2520" s="315"/>
      <c r="BG2520" s="42"/>
    </row>
    <row r="2521" spans="50:59" x14ac:dyDescent="0.2">
      <c r="AX2521" s="315"/>
      <c r="AY2521" s="326"/>
      <c r="AZ2521" s="175"/>
      <c r="BA2521" s="42"/>
      <c r="BB2521" s="426"/>
      <c r="BF2521" s="315"/>
      <c r="BG2521" s="42"/>
    </row>
    <row r="2522" spans="50:59" x14ac:dyDescent="0.2">
      <c r="AX2522" s="315"/>
      <c r="AY2522" s="326"/>
      <c r="AZ2522" s="175"/>
      <c r="BA2522" s="42"/>
      <c r="BB2522" s="426"/>
      <c r="BF2522" s="315"/>
      <c r="BG2522" s="42"/>
    </row>
    <row r="2523" spans="50:59" x14ac:dyDescent="0.2">
      <c r="AX2523" s="315"/>
      <c r="AY2523" s="326"/>
      <c r="AZ2523" s="175"/>
      <c r="BA2523" s="42"/>
      <c r="BB2523" s="426"/>
      <c r="BF2523" s="315"/>
      <c r="BG2523" s="42"/>
    </row>
    <row r="2524" spans="50:59" x14ac:dyDescent="0.2">
      <c r="AX2524" s="315"/>
      <c r="AY2524" s="326"/>
      <c r="AZ2524" s="175"/>
      <c r="BA2524" s="42"/>
      <c r="BB2524" s="426"/>
      <c r="BF2524" s="315"/>
      <c r="BG2524" s="42"/>
    </row>
    <row r="2525" spans="50:59" x14ac:dyDescent="0.2">
      <c r="AX2525" s="315"/>
      <c r="AY2525" s="326"/>
      <c r="AZ2525" s="175"/>
      <c r="BA2525" s="42"/>
      <c r="BB2525" s="426"/>
      <c r="BF2525" s="315"/>
      <c r="BG2525" s="42"/>
    </row>
    <row r="2526" spans="50:59" x14ac:dyDescent="0.2">
      <c r="AX2526" s="315"/>
      <c r="AY2526" s="326"/>
      <c r="AZ2526" s="175"/>
      <c r="BA2526" s="42"/>
      <c r="BB2526" s="426"/>
      <c r="BF2526" s="315"/>
      <c r="BG2526" s="42"/>
    </row>
    <row r="2527" spans="50:59" x14ac:dyDescent="0.2">
      <c r="AX2527" s="315"/>
      <c r="AY2527" s="326"/>
      <c r="AZ2527" s="175"/>
      <c r="BA2527" s="42"/>
      <c r="BB2527" s="426"/>
      <c r="BF2527" s="315"/>
      <c r="BG2527" s="42"/>
    </row>
    <row r="2528" spans="50:59" x14ac:dyDescent="0.2">
      <c r="AX2528" s="315"/>
      <c r="AY2528" s="326"/>
      <c r="AZ2528" s="175"/>
      <c r="BA2528" s="42"/>
      <c r="BB2528" s="426"/>
      <c r="BF2528" s="315"/>
      <c r="BG2528" s="42"/>
    </row>
    <row r="2529" spans="50:59" x14ac:dyDescent="0.2">
      <c r="AX2529" s="315"/>
      <c r="AY2529" s="326"/>
      <c r="AZ2529" s="175"/>
      <c r="BA2529" s="42"/>
      <c r="BB2529" s="426"/>
      <c r="BF2529" s="315"/>
      <c r="BG2529" s="42"/>
    </row>
    <row r="2530" spans="50:59" x14ac:dyDescent="0.2">
      <c r="AX2530" s="315"/>
      <c r="AY2530" s="326"/>
      <c r="AZ2530" s="175"/>
      <c r="BA2530" s="42"/>
      <c r="BB2530" s="426"/>
      <c r="BF2530" s="315"/>
      <c r="BG2530" s="42"/>
    </row>
    <row r="2531" spans="50:59" x14ac:dyDescent="0.2">
      <c r="AX2531" s="315"/>
      <c r="AY2531" s="326"/>
      <c r="AZ2531" s="175"/>
      <c r="BA2531" s="42"/>
      <c r="BB2531" s="426"/>
      <c r="BF2531" s="315"/>
      <c r="BG2531" s="42"/>
    </row>
    <row r="2532" spans="50:59" x14ac:dyDescent="0.2">
      <c r="AX2532" s="315"/>
      <c r="AY2532" s="326"/>
      <c r="AZ2532" s="175"/>
      <c r="BA2532" s="42"/>
      <c r="BB2532" s="426"/>
      <c r="BF2532" s="315"/>
      <c r="BG2532" s="42"/>
    </row>
    <row r="2533" spans="50:59" x14ac:dyDescent="0.2">
      <c r="AX2533" s="315"/>
      <c r="AY2533" s="326"/>
      <c r="AZ2533" s="175"/>
      <c r="BA2533" s="42"/>
      <c r="BB2533" s="426"/>
      <c r="BF2533" s="315"/>
      <c r="BG2533" s="42"/>
    </row>
    <row r="2534" spans="50:59" x14ac:dyDescent="0.2">
      <c r="AX2534" s="315"/>
      <c r="AY2534" s="326"/>
      <c r="AZ2534" s="175"/>
      <c r="BA2534" s="42"/>
      <c r="BB2534" s="426"/>
      <c r="BF2534" s="315"/>
      <c r="BG2534" s="42"/>
    </row>
    <row r="2535" spans="50:59" x14ac:dyDescent="0.2">
      <c r="AX2535" s="315"/>
      <c r="AY2535" s="326"/>
      <c r="AZ2535" s="175"/>
      <c r="BA2535" s="42"/>
      <c r="BB2535" s="426"/>
      <c r="BF2535" s="315"/>
      <c r="BG2535" s="42"/>
    </row>
    <row r="2536" spans="50:59" x14ac:dyDescent="0.2">
      <c r="AX2536" s="315"/>
      <c r="AY2536" s="326"/>
      <c r="AZ2536" s="175"/>
      <c r="BA2536" s="42"/>
      <c r="BB2536" s="426"/>
      <c r="BF2536" s="315"/>
      <c r="BG2536" s="42"/>
    </row>
    <row r="2537" spans="50:59" x14ac:dyDescent="0.2">
      <c r="AX2537" s="315"/>
      <c r="AY2537" s="326"/>
      <c r="AZ2537" s="175"/>
      <c r="BA2537" s="42"/>
      <c r="BB2537" s="426"/>
      <c r="BF2537" s="315"/>
      <c r="BG2537" s="42"/>
    </row>
    <row r="2538" spans="50:59" x14ac:dyDescent="0.2">
      <c r="AX2538" s="315"/>
      <c r="AY2538" s="326"/>
      <c r="AZ2538" s="175"/>
      <c r="BA2538" s="42"/>
      <c r="BB2538" s="426"/>
      <c r="BF2538" s="315"/>
      <c r="BG2538" s="42"/>
    </row>
    <row r="2539" spans="50:59" x14ac:dyDescent="0.2">
      <c r="AX2539" s="315"/>
      <c r="AY2539" s="326"/>
      <c r="AZ2539" s="175"/>
      <c r="BA2539" s="42"/>
      <c r="BB2539" s="426"/>
      <c r="BF2539" s="315"/>
      <c r="BG2539" s="42"/>
    </row>
    <row r="2540" spans="50:59" x14ac:dyDescent="0.2">
      <c r="AX2540" s="315"/>
      <c r="AY2540" s="326"/>
      <c r="AZ2540" s="175"/>
      <c r="BA2540" s="42"/>
      <c r="BB2540" s="426"/>
      <c r="BF2540" s="315"/>
      <c r="BG2540" s="42"/>
    </row>
    <row r="2541" spans="50:59" x14ac:dyDescent="0.2">
      <c r="AX2541" s="315"/>
      <c r="AY2541" s="326"/>
      <c r="AZ2541" s="175"/>
      <c r="BA2541" s="42"/>
      <c r="BB2541" s="426"/>
      <c r="BF2541" s="315"/>
      <c r="BG2541" s="42"/>
    </row>
    <row r="2542" spans="50:59" x14ac:dyDescent="0.2">
      <c r="AX2542" s="315"/>
      <c r="AY2542" s="326"/>
      <c r="AZ2542" s="175"/>
      <c r="BA2542" s="42"/>
      <c r="BB2542" s="426"/>
      <c r="BF2542" s="315"/>
      <c r="BG2542" s="42"/>
    </row>
    <row r="2543" spans="50:59" x14ac:dyDescent="0.2">
      <c r="AX2543" s="315"/>
      <c r="AY2543" s="326"/>
      <c r="AZ2543" s="175"/>
      <c r="BA2543" s="42"/>
      <c r="BB2543" s="426"/>
      <c r="BF2543" s="315"/>
      <c r="BG2543" s="42"/>
    </row>
    <row r="2544" spans="50:59" x14ac:dyDescent="0.2">
      <c r="AX2544" s="315"/>
      <c r="AY2544" s="326"/>
      <c r="AZ2544" s="175"/>
      <c r="BA2544" s="42"/>
      <c r="BB2544" s="426"/>
      <c r="BF2544" s="315"/>
      <c r="BG2544" s="42"/>
    </row>
    <row r="2545" spans="50:59" x14ac:dyDescent="0.2">
      <c r="AX2545" s="315"/>
      <c r="AY2545" s="326"/>
      <c r="AZ2545" s="175"/>
      <c r="BA2545" s="42"/>
      <c r="BB2545" s="426"/>
      <c r="BF2545" s="315"/>
      <c r="BG2545" s="42"/>
    </row>
    <row r="2546" spans="50:59" x14ac:dyDescent="0.2">
      <c r="AX2546" s="315"/>
      <c r="AY2546" s="326"/>
      <c r="AZ2546" s="175"/>
      <c r="BA2546" s="42"/>
      <c r="BB2546" s="426"/>
      <c r="BF2546" s="315"/>
      <c r="BG2546" s="42"/>
    </row>
    <row r="2547" spans="50:59" x14ac:dyDescent="0.2">
      <c r="AX2547" s="315"/>
      <c r="AY2547" s="326"/>
      <c r="AZ2547" s="175"/>
      <c r="BA2547" s="42"/>
      <c r="BB2547" s="426"/>
      <c r="BF2547" s="315"/>
      <c r="BG2547" s="42"/>
    </row>
    <row r="2548" spans="50:59" x14ac:dyDescent="0.2">
      <c r="AX2548" s="315"/>
      <c r="AY2548" s="326"/>
      <c r="AZ2548" s="175"/>
      <c r="BA2548" s="42"/>
      <c r="BB2548" s="426"/>
      <c r="BF2548" s="315"/>
      <c r="BG2548" s="42"/>
    </row>
    <row r="2549" spans="50:59" x14ac:dyDescent="0.2">
      <c r="AX2549" s="315"/>
      <c r="AY2549" s="326"/>
      <c r="AZ2549" s="175"/>
      <c r="BA2549" s="42"/>
      <c r="BB2549" s="426"/>
      <c r="BF2549" s="315"/>
      <c r="BG2549" s="42"/>
    </row>
    <row r="2550" spans="50:59" x14ac:dyDescent="0.2">
      <c r="AX2550" s="315"/>
      <c r="AY2550" s="326"/>
      <c r="AZ2550" s="175"/>
      <c r="BA2550" s="42"/>
      <c r="BB2550" s="426"/>
      <c r="BF2550" s="315"/>
      <c r="BG2550" s="42"/>
    </row>
    <row r="2551" spans="50:59" x14ac:dyDescent="0.2">
      <c r="AX2551" s="315"/>
      <c r="AY2551" s="326"/>
      <c r="AZ2551" s="175"/>
      <c r="BA2551" s="42"/>
      <c r="BB2551" s="426"/>
      <c r="BF2551" s="315"/>
      <c r="BG2551" s="42"/>
    </row>
    <row r="2552" spans="50:59" x14ac:dyDescent="0.2">
      <c r="AX2552" s="315"/>
      <c r="AY2552" s="326"/>
      <c r="AZ2552" s="175"/>
      <c r="BA2552" s="42"/>
      <c r="BB2552" s="426"/>
      <c r="BF2552" s="315"/>
      <c r="BG2552" s="42"/>
    </row>
    <row r="2553" spans="50:59" x14ac:dyDescent="0.2">
      <c r="AX2553" s="315"/>
      <c r="AY2553" s="326"/>
      <c r="AZ2553" s="175"/>
      <c r="BA2553" s="42"/>
      <c r="BB2553" s="426"/>
      <c r="BF2553" s="315"/>
      <c r="BG2553" s="42"/>
    </row>
    <row r="2554" spans="50:59" x14ac:dyDescent="0.2">
      <c r="AX2554" s="315"/>
      <c r="AY2554" s="326"/>
      <c r="AZ2554" s="175"/>
      <c r="BA2554" s="42"/>
      <c r="BB2554" s="426"/>
      <c r="BF2554" s="315"/>
      <c r="BG2554" s="42"/>
    </row>
    <row r="2555" spans="50:59" x14ac:dyDescent="0.2">
      <c r="AX2555" s="315"/>
      <c r="AY2555" s="326"/>
      <c r="AZ2555" s="175"/>
      <c r="BA2555" s="42"/>
      <c r="BB2555" s="426"/>
      <c r="BF2555" s="315"/>
      <c r="BG2555" s="42"/>
    </row>
    <row r="2556" spans="50:59" x14ac:dyDescent="0.2">
      <c r="AX2556" s="315"/>
      <c r="AY2556" s="326"/>
      <c r="AZ2556" s="175"/>
      <c r="BA2556" s="42"/>
      <c r="BB2556" s="426"/>
      <c r="BF2556" s="315"/>
      <c r="BG2556" s="42"/>
    </row>
    <row r="2557" spans="50:59" x14ac:dyDescent="0.2">
      <c r="AX2557" s="315"/>
      <c r="AY2557" s="326"/>
      <c r="AZ2557" s="175"/>
      <c r="BA2557" s="42"/>
      <c r="BB2557" s="426"/>
      <c r="BF2557" s="315"/>
      <c r="BG2557" s="42"/>
    </row>
    <row r="2558" spans="50:59" x14ac:dyDescent="0.2">
      <c r="AX2558" s="315"/>
      <c r="AY2558" s="326"/>
      <c r="AZ2558" s="175"/>
      <c r="BA2558" s="42"/>
      <c r="BB2558" s="426"/>
      <c r="BF2558" s="315"/>
      <c r="BG2558" s="42"/>
    </row>
    <row r="2559" spans="50:59" x14ac:dyDescent="0.2">
      <c r="AX2559" s="315"/>
      <c r="AY2559" s="326"/>
      <c r="AZ2559" s="175"/>
      <c r="BA2559" s="42"/>
      <c r="BB2559" s="426"/>
      <c r="BF2559" s="315"/>
      <c r="BG2559" s="42"/>
    </row>
    <row r="2560" spans="50:59" x14ac:dyDescent="0.2">
      <c r="AX2560" s="315"/>
      <c r="AY2560" s="326"/>
      <c r="AZ2560" s="175"/>
      <c r="BA2560" s="42"/>
      <c r="BB2560" s="426"/>
      <c r="BF2560" s="315"/>
      <c r="BG2560" s="42"/>
    </row>
    <row r="2561" spans="50:59" x14ac:dyDescent="0.2">
      <c r="AX2561" s="315"/>
      <c r="AY2561" s="326"/>
      <c r="AZ2561" s="175"/>
      <c r="BA2561" s="42"/>
      <c r="BB2561" s="426"/>
      <c r="BF2561" s="315"/>
      <c r="BG2561" s="42"/>
    </row>
    <row r="2562" spans="50:59" x14ac:dyDescent="0.2">
      <c r="AX2562" s="315"/>
      <c r="AY2562" s="326"/>
      <c r="AZ2562" s="175"/>
      <c r="BA2562" s="42"/>
      <c r="BB2562" s="426"/>
      <c r="BF2562" s="315"/>
      <c r="BG2562" s="42"/>
    </row>
    <row r="2563" spans="50:59" x14ac:dyDescent="0.2">
      <c r="AX2563" s="315"/>
      <c r="AY2563" s="326"/>
      <c r="AZ2563" s="175"/>
      <c r="BA2563" s="42"/>
      <c r="BB2563" s="426"/>
      <c r="BF2563" s="315"/>
      <c r="BG2563" s="42"/>
    </row>
    <row r="2564" spans="50:59" x14ac:dyDescent="0.2">
      <c r="AX2564" s="315"/>
      <c r="AY2564" s="326"/>
      <c r="AZ2564" s="175"/>
      <c r="BA2564" s="42"/>
      <c r="BB2564" s="426"/>
      <c r="BF2564" s="315"/>
      <c r="BG2564" s="42"/>
    </row>
    <row r="2565" spans="50:59" x14ac:dyDescent="0.2">
      <c r="AX2565" s="315"/>
      <c r="AY2565" s="326"/>
      <c r="AZ2565" s="175"/>
      <c r="BA2565" s="42"/>
      <c r="BB2565" s="426"/>
      <c r="BF2565" s="315"/>
      <c r="BG2565" s="42"/>
    </row>
    <row r="2566" spans="50:59" x14ac:dyDescent="0.2">
      <c r="AX2566" s="315"/>
      <c r="AY2566" s="326"/>
      <c r="AZ2566" s="175"/>
      <c r="BA2566" s="42"/>
      <c r="BB2566" s="426"/>
      <c r="BF2566" s="315"/>
      <c r="BG2566" s="42"/>
    </row>
    <row r="2567" spans="50:59" x14ac:dyDescent="0.2">
      <c r="AX2567" s="315"/>
      <c r="AY2567" s="326"/>
      <c r="AZ2567" s="175"/>
      <c r="BA2567" s="42"/>
      <c r="BB2567" s="426"/>
      <c r="BF2567" s="315"/>
      <c r="BG2567" s="42"/>
    </row>
    <row r="2568" spans="50:59" x14ac:dyDescent="0.2">
      <c r="AX2568" s="315"/>
      <c r="AY2568" s="326"/>
      <c r="AZ2568" s="175"/>
      <c r="BA2568" s="42"/>
      <c r="BB2568" s="426"/>
      <c r="BF2568" s="315"/>
      <c r="BG2568" s="42"/>
    </row>
    <row r="2569" spans="50:59" x14ac:dyDescent="0.2">
      <c r="AX2569" s="315"/>
      <c r="AY2569" s="326"/>
      <c r="AZ2569" s="175"/>
      <c r="BA2569" s="42"/>
      <c r="BB2569" s="426"/>
      <c r="BF2569" s="315"/>
      <c r="BG2569" s="42"/>
    </row>
    <row r="2570" spans="50:59" x14ac:dyDescent="0.2">
      <c r="AX2570" s="315"/>
      <c r="AY2570" s="326"/>
      <c r="AZ2570" s="175"/>
      <c r="BA2570" s="42"/>
      <c r="BB2570" s="426"/>
      <c r="BF2570" s="315"/>
      <c r="BG2570" s="42"/>
    </row>
    <row r="2571" spans="50:59" x14ac:dyDescent="0.2">
      <c r="AX2571" s="315"/>
      <c r="AY2571" s="326"/>
      <c r="AZ2571" s="175"/>
      <c r="BA2571" s="42"/>
      <c r="BB2571" s="426"/>
      <c r="BF2571" s="315"/>
      <c r="BG2571" s="42"/>
    </row>
    <row r="2572" spans="50:59" x14ac:dyDescent="0.2">
      <c r="AX2572" s="315"/>
      <c r="AY2572" s="326"/>
      <c r="AZ2572" s="175"/>
      <c r="BA2572" s="42"/>
      <c r="BB2572" s="426"/>
      <c r="BF2572" s="315"/>
      <c r="BG2572" s="42"/>
    </row>
    <row r="2573" spans="50:59" x14ac:dyDescent="0.2">
      <c r="AX2573" s="315"/>
      <c r="AY2573" s="326"/>
      <c r="AZ2573" s="175"/>
      <c r="BA2573" s="42"/>
      <c r="BB2573" s="426"/>
      <c r="BF2573" s="315"/>
      <c r="BG2573" s="42"/>
    </row>
    <row r="2574" spans="50:59" x14ac:dyDescent="0.2">
      <c r="AX2574" s="315"/>
      <c r="AY2574" s="326"/>
      <c r="AZ2574" s="175"/>
      <c r="BA2574" s="42"/>
      <c r="BB2574" s="426"/>
      <c r="BF2574" s="315"/>
      <c r="BG2574" s="42"/>
    </row>
    <row r="2575" spans="50:59" x14ac:dyDescent="0.2">
      <c r="AX2575" s="315"/>
      <c r="AY2575" s="326"/>
      <c r="AZ2575" s="175"/>
      <c r="BA2575" s="42"/>
      <c r="BB2575" s="426"/>
      <c r="BF2575" s="315"/>
      <c r="BG2575" s="42"/>
    </row>
    <row r="2576" spans="50:59" x14ac:dyDescent="0.2">
      <c r="AX2576" s="315"/>
      <c r="AY2576" s="326"/>
      <c r="AZ2576" s="175"/>
      <c r="BA2576" s="42"/>
      <c r="BB2576" s="426"/>
      <c r="BF2576" s="315"/>
      <c r="BG2576" s="42"/>
    </row>
    <row r="2577" spans="50:59" x14ac:dyDescent="0.2">
      <c r="AX2577" s="315"/>
      <c r="AY2577" s="326"/>
      <c r="AZ2577" s="175"/>
      <c r="BA2577" s="42"/>
      <c r="BB2577" s="426"/>
      <c r="BF2577" s="315"/>
      <c r="BG2577" s="42"/>
    </row>
    <row r="2578" spans="50:59" x14ac:dyDescent="0.2">
      <c r="AX2578" s="315"/>
      <c r="AY2578" s="326"/>
      <c r="AZ2578" s="175"/>
      <c r="BA2578" s="42"/>
      <c r="BB2578" s="426"/>
      <c r="BF2578" s="315"/>
      <c r="BG2578" s="42"/>
    </row>
    <row r="2579" spans="50:59" x14ac:dyDescent="0.2">
      <c r="AX2579" s="315"/>
      <c r="AY2579" s="326"/>
      <c r="AZ2579" s="175"/>
      <c r="BA2579" s="42"/>
      <c r="BB2579" s="426"/>
      <c r="BF2579" s="315"/>
      <c r="BG2579" s="42"/>
    </row>
    <row r="2580" spans="50:59" x14ac:dyDescent="0.2">
      <c r="AX2580" s="315"/>
      <c r="AY2580" s="326"/>
      <c r="AZ2580" s="175"/>
      <c r="BA2580" s="42"/>
      <c r="BB2580" s="426"/>
      <c r="BF2580" s="315"/>
      <c r="BG2580" s="42"/>
    </row>
    <row r="2581" spans="50:59" x14ac:dyDescent="0.2">
      <c r="AX2581" s="315"/>
      <c r="AY2581" s="326"/>
      <c r="AZ2581" s="175"/>
      <c r="BA2581" s="42"/>
      <c r="BB2581" s="426"/>
      <c r="BF2581" s="315"/>
      <c r="BG2581" s="42"/>
    </row>
    <row r="2582" spans="50:59" x14ac:dyDescent="0.2">
      <c r="AX2582" s="315"/>
      <c r="AY2582" s="326"/>
      <c r="AZ2582" s="175"/>
      <c r="BA2582" s="42"/>
      <c r="BB2582" s="426"/>
      <c r="BF2582" s="315"/>
      <c r="BG2582" s="42"/>
    </row>
    <row r="2583" spans="50:59" x14ac:dyDescent="0.2">
      <c r="AX2583" s="315"/>
      <c r="AY2583" s="326"/>
      <c r="AZ2583" s="175"/>
      <c r="BA2583" s="42"/>
      <c r="BB2583" s="426"/>
      <c r="BF2583" s="315"/>
      <c r="BG2583" s="42"/>
    </row>
    <row r="2584" spans="50:59" x14ac:dyDescent="0.2">
      <c r="AX2584" s="315"/>
      <c r="AY2584" s="326"/>
      <c r="AZ2584" s="175"/>
      <c r="BA2584" s="42"/>
      <c r="BB2584" s="426"/>
      <c r="BF2584" s="315"/>
      <c r="BG2584" s="42"/>
    </row>
    <row r="2585" spans="50:59" x14ac:dyDescent="0.2">
      <c r="AX2585" s="315"/>
      <c r="AY2585" s="326"/>
      <c r="AZ2585" s="175"/>
      <c r="BA2585" s="42"/>
      <c r="BB2585" s="426"/>
      <c r="BF2585" s="315"/>
      <c r="BG2585" s="42"/>
    </row>
    <row r="2586" spans="50:59" x14ac:dyDescent="0.2">
      <c r="AX2586" s="315"/>
      <c r="AY2586" s="326"/>
      <c r="AZ2586" s="175"/>
      <c r="BA2586" s="42"/>
      <c r="BB2586" s="426"/>
      <c r="BF2586" s="315"/>
      <c r="BG2586" s="42"/>
    </row>
    <row r="2587" spans="50:59" x14ac:dyDescent="0.2">
      <c r="AX2587" s="315"/>
      <c r="AY2587" s="326"/>
      <c r="AZ2587" s="175"/>
      <c r="BA2587" s="42"/>
      <c r="BB2587" s="426"/>
      <c r="BF2587" s="315"/>
      <c r="BG2587" s="42"/>
    </row>
    <row r="2588" spans="50:59" x14ac:dyDescent="0.2">
      <c r="AX2588" s="315"/>
      <c r="AY2588" s="326"/>
      <c r="AZ2588" s="175"/>
      <c r="BA2588" s="42"/>
      <c r="BB2588" s="426"/>
      <c r="BF2588" s="315"/>
      <c r="BG2588" s="42"/>
    </row>
    <row r="2589" spans="50:59" x14ac:dyDescent="0.2">
      <c r="AX2589" s="315"/>
      <c r="AY2589" s="326"/>
      <c r="AZ2589" s="175"/>
      <c r="BA2589" s="42"/>
      <c r="BB2589" s="426"/>
      <c r="BF2589" s="315"/>
      <c r="BG2589" s="42"/>
    </row>
    <row r="2590" spans="50:59" x14ac:dyDescent="0.2">
      <c r="AX2590" s="315"/>
      <c r="AY2590" s="326"/>
      <c r="AZ2590" s="175"/>
      <c r="BA2590" s="42"/>
      <c r="BB2590" s="426"/>
      <c r="BF2590" s="315"/>
      <c r="BG2590" s="42"/>
    </row>
    <row r="2591" spans="50:59" x14ac:dyDescent="0.2">
      <c r="AX2591" s="315"/>
      <c r="AY2591" s="326"/>
      <c r="AZ2591" s="175"/>
      <c r="BA2591" s="42"/>
      <c r="BB2591" s="426"/>
      <c r="BF2591" s="315"/>
      <c r="BG2591" s="42"/>
    </row>
    <row r="2592" spans="50:59" x14ac:dyDescent="0.2">
      <c r="AX2592" s="315"/>
      <c r="AY2592" s="326"/>
      <c r="AZ2592" s="175"/>
      <c r="BA2592" s="42"/>
      <c r="BB2592" s="426"/>
      <c r="BF2592" s="315"/>
      <c r="BG2592" s="42"/>
    </row>
    <row r="2593" spans="50:59" x14ac:dyDescent="0.2">
      <c r="AX2593" s="315"/>
      <c r="AY2593" s="326"/>
      <c r="AZ2593" s="175"/>
      <c r="BA2593" s="42"/>
      <c r="BB2593" s="426"/>
      <c r="BF2593" s="315"/>
      <c r="BG2593" s="42"/>
    </row>
    <row r="2594" spans="50:59" x14ac:dyDescent="0.2">
      <c r="AX2594" s="315"/>
      <c r="AY2594" s="326"/>
      <c r="AZ2594" s="175"/>
      <c r="BA2594" s="42"/>
      <c r="BB2594" s="426"/>
      <c r="BF2594" s="315"/>
      <c r="BG2594" s="42"/>
    </row>
    <row r="2595" spans="50:59" x14ac:dyDescent="0.2">
      <c r="AX2595" s="315"/>
      <c r="AY2595" s="326"/>
      <c r="AZ2595" s="175"/>
      <c r="BA2595" s="42"/>
      <c r="BB2595" s="426"/>
      <c r="BF2595" s="315"/>
      <c r="BG2595" s="42"/>
    </row>
    <row r="2596" spans="50:59" x14ac:dyDescent="0.2">
      <c r="AX2596" s="315"/>
      <c r="AY2596" s="326"/>
      <c r="AZ2596" s="175"/>
      <c r="BA2596" s="42"/>
      <c r="BB2596" s="426"/>
      <c r="BF2596" s="315"/>
      <c r="BG2596" s="42"/>
    </row>
    <row r="2597" spans="50:59" x14ac:dyDescent="0.2">
      <c r="AX2597" s="315"/>
      <c r="AY2597" s="326"/>
      <c r="AZ2597" s="175"/>
      <c r="BA2597" s="42"/>
      <c r="BB2597" s="426"/>
      <c r="BF2597" s="315"/>
      <c r="BG2597" s="42"/>
    </row>
    <row r="2598" spans="50:59" x14ac:dyDescent="0.2">
      <c r="AX2598" s="315"/>
      <c r="AY2598" s="326"/>
      <c r="AZ2598" s="175"/>
      <c r="BA2598" s="42"/>
      <c r="BB2598" s="426"/>
      <c r="BF2598" s="315"/>
      <c r="BG2598" s="42"/>
    </row>
    <row r="2599" spans="50:59" x14ac:dyDescent="0.2">
      <c r="AX2599" s="315"/>
      <c r="AY2599" s="326"/>
      <c r="AZ2599" s="175"/>
      <c r="BA2599" s="42"/>
      <c r="BB2599" s="426"/>
      <c r="BF2599" s="315"/>
      <c r="BG2599" s="42"/>
    </row>
    <row r="2600" spans="50:59" x14ac:dyDescent="0.2">
      <c r="AX2600" s="315"/>
      <c r="AY2600" s="326"/>
      <c r="AZ2600" s="175"/>
      <c r="BA2600" s="42"/>
      <c r="BB2600" s="426"/>
      <c r="BF2600" s="315"/>
      <c r="BG2600" s="42"/>
    </row>
    <row r="2601" spans="50:59" x14ac:dyDescent="0.2">
      <c r="AX2601" s="315"/>
      <c r="AY2601" s="326"/>
      <c r="AZ2601" s="175"/>
      <c r="BA2601" s="42"/>
      <c r="BB2601" s="426"/>
      <c r="BF2601" s="315"/>
      <c r="BG2601" s="42"/>
    </row>
    <row r="2602" spans="50:59" x14ac:dyDescent="0.2">
      <c r="AX2602" s="315"/>
      <c r="AY2602" s="326"/>
      <c r="AZ2602" s="175"/>
      <c r="BA2602" s="42"/>
      <c r="BB2602" s="426"/>
      <c r="BF2602" s="315"/>
      <c r="BG2602" s="42"/>
    </row>
    <row r="2603" spans="50:59" x14ac:dyDescent="0.2">
      <c r="AX2603" s="315"/>
      <c r="AY2603" s="326"/>
      <c r="AZ2603" s="175"/>
      <c r="BA2603" s="42"/>
      <c r="BB2603" s="426"/>
      <c r="BF2603" s="315"/>
      <c r="BG2603" s="42"/>
    </row>
    <row r="2604" spans="50:59" x14ac:dyDescent="0.2">
      <c r="AX2604" s="315"/>
      <c r="AY2604" s="326"/>
      <c r="AZ2604" s="175"/>
      <c r="BA2604" s="42"/>
      <c r="BB2604" s="426"/>
      <c r="BF2604" s="315"/>
      <c r="BG2604" s="42"/>
    </row>
    <row r="2605" spans="50:59" x14ac:dyDescent="0.2">
      <c r="AX2605" s="315"/>
      <c r="AY2605" s="326"/>
      <c r="AZ2605" s="175"/>
      <c r="BA2605" s="42"/>
      <c r="BB2605" s="426"/>
      <c r="BF2605" s="315"/>
      <c r="BG2605" s="42"/>
    </row>
    <row r="2606" spans="50:59" x14ac:dyDescent="0.2">
      <c r="AX2606" s="315"/>
      <c r="AY2606" s="326"/>
      <c r="AZ2606" s="175"/>
      <c r="BA2606" s="42"/>
      <c r="BB2606" s="426"/>
      <c r="BF2606" s="315"/>
      <c r="BG2606" s="42"/>
    </row>
    <row r="2607" spans="50:59" x14ac:dyDescent="0.2">
      <c r="AX2607" s="315"/>
      <c r="AY2607" s="326"/>
      <c r="AZ2607" s="175"/>
      <c r="BA2607" s="42"/>
      <c r="BB2607" s="426"/>
      <c r="BF2607" s="315"/>
      <c r="BG2607" s="42"/>
    </row>
    <row r="2608" spans="50:59" x14ac:dyDescent="0.2">
      <c r="AX2608" s="315"/>
      <c r="AY2608" s="326"/>
      <c r="AZ2608" s="175"/>
      <c r="BA2608" s="42"/>
      <c r="BB2608" s="426"/>
      <c r="BF2608" s="315"/>
      <c r="BG2608" s="42"/>
    </row>
    <row r="2609" spans="50:59" x14ac:dyDescent="0.2">
      <c r="AX2609" s="315"/>
      <c r="AY2609" s="326"/>
      <c r="AZ2609" s="175"/>
      <c r="BA2609" s="42"/>
      <c r="BB2609" s="426"/>
      <c r="BF2609" s="315"/>
      <c r="BG2609" s="42"/>
    </row>
    <row r="2610" spans="50:59" x14ac:dyDescent="0.2">
      <c r="AX2610" s="315"/>
      <c r="AY2610" s="326"/>
      <c r="AZ2610" s="175"/>
      <c r="BA2610" s="42"/>
      <c r="BB2610" s="426"/>
      <c r="BF2610" s="315"/>
      <c r="BG2610" s="42"/>
    </row>
    <row r="2611" spans="50:59" x14ac:dyDescent="0.2">
      <c r="AX2611" s="315"/>
      <c r="AY2611" s="326"/>
      <c r="AZ2611" s="175"/>
      <c r="BA2611" s="42"/>
      <c r="BB2611" s="426"/>
      <c r="BF2611" s="315"/>
      <c r="BG2611" s="42"/>
    </row>
    <row r="2612" spans="50:59" x14ac:dyDescent="0.2">
      <c r="AX2612" s="315"/>
      <c r="AY2612" s="326"/>
      <c r="AZ2612" s="175"/>
      <c r="BA2612" s="42"/>
      <c r="BB2612" s="426"/>
      <c r="BF2612" s="315"/>
      <c r="BG2612" s="42"/>
    </row>
    <row r="2613" spans="50:59" x14ac:dyDescent="0.2">
      <c r="AX2613" s="315"/>
      <c r="AY2613" s="326"/>
      <c r="AZ2613" s="175"/>
      <c r="BA2613" s="42"/>
      <c r="BB2613" s="426"/>
      <c r="BF2613" s="315"/>
      <c r="BG2613" s="42"/>
    </row>
    <row r="2614" spans="50:59" x14ac:dyDescent="0.2">
      <c r="AX2614" s="315"/>
      <c r="AY2614" s="326"/>
      <c r="AZ2614" s="175"/>
      <c r="BA2614" s="42"/>
      <c r="BB2614" s="426"/>
      <c r="BF2614" s="315"/>
      <c r="BG2614" s="42"/>
    </row>
    <row r="2615" spans="50:59" x14ac:dyDescent="0.2">
      <c r="AX2615" s="315"/>
      <c r="AY2615" s="326"/>
      <c r="AZ2615" s="175"/>
      <c r="BA2615" s="42"/>
      <c r="BB2615" s="426"/>
      <c r="BF2615" s="315"/>
      <c r="BG2615" s="42"/>
    </row>
    <row r="2616" spans="50:59" x14ac:dyDescent="0.2">
      <c r="AX2616" s="315"/>
      <c r="AY2616" s="326"/>
      <c r="AZ2616" s="175"/>
      <c r="BA2616" s="42"/>
      <c r="BB2616" s="426"/>
      <c r="BF2616" s="315"/>
      <c r="BG2616" s="42"/>
    </row>
    <row r="2617" spans="50:59" x14ac:dyDescent="0.2">
      <c r="AX2617" s="315"/>
      <c r="AY2617" s="326"/>
      <c r="AZ2617" s="175"/>
      <c r="BA2617" s="42"/>
      <c r="BB2617" s="426"/>
      <c r="BF2617" s="315"/>
      <c r="BG2617" s="42"/>
    </row>
    <row r="2618" spans="50:59" x14ac:dyDescent="0.2">
      <c r="AX2618" s="315"/>
      <c r="AY2618" s="326"/>
      <c r="AZ2618" s="175"/>
      <c r="BA2618" s="42"/>
      <c r="BB2618" s="426"/>
      <c r="BF2618" s="315"/>
      <c r="BG2618" s="42"/>
    </row>
    <row r="2619" spans="50:59" x14ac:dyDescent="0.2">
      <c r="AX2619" s="315"/>
      <c r="AY2619" s="326"/>
      <c r="AZ2619" s="175"/>
      <c r="BA2619" s="42"/>
      <c r="BB2619" s="426"/>
      <c r="BF2619" s="315"/>
      <c r="BG2619" s="42"/>
    </row>
    <row r="2620" spans="50:59" x14ac:dyDescent="0.2">
      <c r="AX2620" s="315"/>
      <c r="AY2620" s="326"/>
      <c r="AZ2620" s="175"/>
      <c r="BA2620" s="42"/>
      <c r="BB2620" s="426"/>
      <c r="BF2620" s="315"/>
      <c r="BG2620" s="42"/>
    </row>
    <row r="2621" spans="50:59" x14ac:dyDescent="0.2">
      <c r="AX2621" s="315"/>
      <c r="AY2621" s="326"/>
      <c r="AZ2621" s="175"/>
      <c r="BA2621" s="42"/>
      <c r="BB2621" s="426"/>
      <c r="BF2621" s="315"/>
      <c r="BG2621" s="42"/>
    </row>
    <row r="2622" spans="50:59" x14ac:dyDescent="0.2">
      <c r="AX2622" s="315"/>
      <c r="AY2622" s="326"/>
      <c r="AZ2622" s="175"/>
      <c r="BA2622" s="42"/>
      <c r="BB2622" s="426"/>
      <c r="BF2622" s="315"/>
      <c r="BG2622" s="42"/>
    </row>
    <row r="2623" spans="50:59" x14ac:dyDescent="0.2">
      <c r="AX2623" s="315"/>
      <c r="AY2623" s="326"/>
      <c r="AZ2623" s="175"/>
      <c r="BA2623" s="42"/>
      <c r="BB2623" s="426"/>
      <c r="BF2623" s="315"/>
      <c r="BG2623" s="42"/>
    </row>
    <row r="2624" spans="50:59" x14ac:dyDescent="0.2">
      <c r="AX2624" s="315"/>
      <c r="AY2624" s="326"/>
      <c r="AZ2624" s="175"/>
      <c r="BA2624" s="42"/>
      <c r="BB2624" s="426"/>
      <c r="BF2624" s="315"/>
      <c r="BG2624" s="42"/>
    </row>
    <row r="2625" spans="50:59" x14ac:dyDescent="0.2">
      <c r="AX2625" s="315"/>
      <c r="AY2625" s="326"/>
      <c r="AZ2625" s="175"/>
      <c r="BA2625" s="42"/>
      <c r="BB2625" s="426"/>
      <c r="BF2625" s="315"/>
      <c r="BG2625" s="42"/>
    </row>
    <row r="2626" spans="50:59" x14ac:dyDescent="0.2">
      <c r="AX2626" s="315"/>
      <c r="AY2626" s="326"/>
      <c r="AZ2626" s="175"/>
      <c r="BA2626" s="42"/>
      <c r="BB2626" s="426"/>
      <c r="BF2626" s="315"/>
      <c r="BG2626" s="42"/>
    </row>
    <row r="2627" spans="50:59" x14ac:dyDescent="0.2">
      <c r="AX2627" s="315"/>
      <c r="AY2627" s="326"/>
      <c r="AZ2627" s="175"/>
      <c r="BA2627" s="42"/>
      <c r="BB2627" s="426"/>
      <c r="BF2627" s="315"/>
      <c r="BG2627" s="42"/>
    </row>
    <row r="2628" spans="50:59" x14ac:dyDescent="0.2">
      <c r="AX2628" s="315"/>
      <c r="AY2628" s="326"/>
      <c r="AZ2628" s="175"/>
      <c r="BA2628" s="42"/>
      <c r="BB2628" s="426"/>
      <c r="BF2628" s="315"/>
      <c r="BG2628" s="42"/>
    </row>
    <row r="2629" spans="50:59" x14ac:dyDescent="0.2">
      <c r="AX2629" s="315"/>
      <c r="AY2629" s="326"/>
      <c r="AZ2629" s="175"/>
      <c r="BA2629" s="42"/>
      <c r="BB2629" s="426"/>
      <c r="BF2629" s="315"/>
      <c r="BG2629" s="42"/>
    </row>
    <row r="2630" spans="50:59" x14ac:dyDescent="0.2">
      <c r="AX2630" s="315"/>
      <c r="AY2630" s="326"/>
      <c r="AZ2630" s="175"/>
      <c r="BA2630" s="42"/>
      <c r="BB2630" s="426"/>
      <c r="BF2630" s="315"/>
      <c r="BG2630" s="42"/>
    </row>
    <row r="2631" spans="50:59" x14ac:dyDescent="0.2">
      <c r="AX2631" s="315"/>
      <c r="AY2631" s="326"/>
      <c r="AZ2631" s="175"/>
      <c r="BA2631" s="42"/>
      <c r="BB2631" s="426"/>
      <c r="BF2631" s="315"/>
      <c r="BG2631" s="42"/>
    </row>
    <row r="2632" spans="50:59" x14ac:dyDescent="0.2">
      <c r="AX2632" s="315"/>
      <c r="AY2632" s="326"/>
      <c r="AZ2632" s="175"/>
      <c r="BA2632" s="42"/>
      <c r="BB2632" s="426"/>
      <c r="BF2632" s="315"/>
      <c r="BG2632" s="42"/>
    </row>
    <row r="2633" spans="50:59" x14ac:dyDescent="0.2">
      <c r="AX2633" s="315"/>
      <c r="AY2633" s="326"/>
      <c r="AZ2633" s="175"/>
      <c r="BA2633" s="42"/>
      <c r="BB2633" s="426"/>
      <c r="BF2633" s="315"/>
      <c r="BG2633" s="42"/>
    </row>
    <row r="2634" spans="50:59" x14ac:dyDescent="0.2">
      <c r="AX2634" s="315"/>
      <c r="AY2634" s="326"/>
      <c r="AZ2634" s="175"/>
      <c r="BA2634" s="42"/>
      <c r="BB2634" s="426"/>
      <c r="BF2634" s="315"/>
      <c r="BG2634" s="42"/>
    </row>
    <row r="2635" spans="50:59" x14ac:dyDescent="0.2">
      <c r="AX2635" s="315"/>
      <c r="AY2635" s="326"/>
      <c r="AZ2635" s="175"/>
      <c r="BA2635" s="42"/>
      <c r="BB2635" s="426"/>
      <c r="BF2635" s="315"/>
      <c r="BG2635" s="42"/>
    </row>
    <row r="2636" spans="50:59" x14ac:dyDescent="0.2">
      <c r="AX2636" s="315"/>
      <c r="AY2636" s="326"/>
      <c r="AZ2636" s="175"/>
      <c r="BA2636" s="42"/>
      <c r="BB2636" s="426"/>
      <c r="BF2636" s="315"/>
      <c r="BG2636" s="42"/>
    </row>
    <row r="2637" spans="50:59" x14ac:dyDescent="0.2">
      <c r="AX2637" s="315"/>
      <c r="AY2637" s="326"/>
      <c r="AZ2637" s="175"/>
      <c r="BA2637" s="42"/>
      <c r="BB2637" s="426"/>
      <c r="BF2637" s="315"/>
      <c r="BG2637" s="42"/>
    </row>
    <row r="2638" spans="50:59" x14ac:dyDescent="0.2">
      <c r="AX2638" s="315"/>
      <c r="AY2638" s="326"/>
      <c r="AZ2638" s="175"/>
      <c r="BA2638" s="42"/>
      <c r="BB2638" s="426"/>
      <c r="BF2638" s="315"/>
      <c r="BG2638" s="42"/>
    </row>
    <row r="2639" spans="50:59" x14ac:dyDescent="0.2">
      <c r="AX2639" s="315"/>
      <c r="AY2639" s="326"/>
      <c r="AZ2639" s="175"/>
      <c r="BA2639" s="42"/>
      <c r="BB2639" s="426"/>
      <c r="BF2639" s="315"/>
      <c r="BG2639" s="42"/>
    </row>
    <row r="2640" spans="50:59" x14ac:dyDescent="0.2">
      <c r="AX2640" s="315"/>
      <c r="AY2640" s="326"/>
      <c r="AZ2640" s="175"/>
      <c r="BA2640" s="42"/>
      <c r="BB2640" s="426"/>
      <c r="BF2640" s="315"/>
      <c r="BG2640" s="42"/>
    </row>
    <row r="2641" spans="50:59" x14ac:dyDescent="0.2">
      <c r="AX2641" s="315"/>
      <c r="AY2641" s="326"/>
      <c r="AZ2641" s="175"/>
      <c r="BA2641" s="42"/>
      <c r="BB2641" s="426"/>
      <c r="BF2641" s="315"/>
      <c r="BG2641" s="42"/>
    </row>
    <row r="2642" spans="50:59" x14ac:dyDescent="0.2">
      <c r="AX2642" s="315"/>
      <c r="AY2642" s="326"/>
      <c r="AZ2642" s="175"/>
      <c r="BA2642" s="42"/>
      <c r="BB2642" s="426"/>
      <c r="BF2642" s="315"/>
      <c r="BG2642" s="42"/>
    </row>
    <row r="2643" spans="50:59" x14ac:dyDescent="0.2">
      <c r="AX2643" s="315"/>
      <c r="AY2643" s="326"/>
      <c r="AZ2643" s="175"/>
      <c r="BA2643" s="42"/>
      <c r="BB2643" s="426"/>
      <c r="BF2643" s="315"/>
      <c r="BG2643" s="42"/>
    </row>
    <row r="2644" spans="50:59" x14ac:dyDescent="0.2">
      <c r="AX2644" s="315"/>
      <c r="AY2644" s="326"/>
      <c r="AZ2644" s="175"/>
      <c r="BA2644" s="42"/>
      <c r="BB2644" s="426"/>
      <c r="BF2644" s="315"/>
      <c r="BG2644" s="42"/>
    </row>
    <row r="2645" spans="50:59" x14ac:dyDescent="0.2">
      <c r="AX2645" s="315"/>
      <c r="AY2645" s="326"/>
      <c r="AZ2645" s="175"/>
      <c r="BA2645" s="42"/>
      <c r="BB2645" s="426"/>
      <c r="BF2645" s="315"/>
      <c r="BG2645" s="42"/>
    </row>
    <row r="2646" spans="50:59" x14ac:dyDescent="0.2">
      <c r="AX2646" s="315"/>
      <c r="AY2646" s="326"/>
      <c r="AZ2646" s="175"/>
      <c r="BA2646" s="42"/>
      <c r="BB2646" s="426"/>
      <c r="BF2646" s="315"/>
      <c r="BG2646" s="42"/>
    </row>
    <row r="2647" spans="50:59" x14ac:dyDescent="0.2">
      <c r="AX2647" s="315"/>
      <c r="AY2647" s="326"/>
      <c r="AZ2647" s="175"/>
      <c r="BA2647" s="42"/>
      <c r="BB2647" s="426"/>
      <c r="BF2647" s="315"/>
      <c r="BG2647" s="42"/>
    </row>
    <row r="2648" spans="50:59" x14ac:dyDescent="0.2">
      <c r="AX2648" s="315"/>
      <c r="AY2648" s="326"/>
      <c r="AZ2648" s="175"/>
      <c r="BA2648" s="42"/>
      <c r="BB2648" s="426"/>
      <c r="BF2648" s="315"/>
      <c r="BG2648" s="42"/>
    </row>
    <row r="2649" spans="50:59" x14ac:dyDescent="0.2">
      <c r="AX2649" s="315"/>
      <c r="AY2649" s="326"/>
      <c r="AZ2649" s="175"/>
      <c r="BA2649" s="42"/>
      <c r="BB2649" s="426"/>
      <c r="BF2649" s="315"/>
      <c r="BG2649" s="42"/>
    </row>
    <row r="2650" spans="50:59" x14ac:dyDescent="0.2">
      <c r="AX2650" s="315"/>
      <c r="AY2650" s="326"/>
      <c r="AZ2650" s="175"/>
      <c r="BA2650" s="42"/>
      <c r="BB2650" s="426"/>
      <c r="BF2650" s="315"/>
      <c r="BG2650" s="42"/>
    </row>
    <row r="2651" spans="50:59" x14ac:dyDescent="0.2">
      <c r="AX2651" s="315"/>
      <c r="AY2651" s="326"/>
      <c r="AZ2651" s="175"/>
      <c r="BA2651" s="42"/>
      <c r="BB2651" s="426"/>
      <c r="BF2651" s="315"/>
      <c r="BG2651" s="42"/>
    </row>
    <row r="2652" spans="50:59" x14ac:dyDescent="0.2">
      <c r="AX2652" s="315"/>
      <c r="AY2652" s="326"/>
      <c r="AZ2652" s="175"/>
      <c r="BA2652" s="42"/>
      <c r="BB2652" s="426"/>
      <c r="BF2652" s="315"/>
      <c r="BG2652" s="42"/>
    </row>
    <row r="2653" spans="50:59" x14ac:dyDescent="0.2">
      <c r="AX2653" s="315"/>
      <c r="AY2653" s="326"/>
      <c r="AZ2653" s="175"/>
      <c r="BA2653" s="42"/>
      <c r="BB2653" s="426"/>
      <c r="BF2653" s="315"/>
      <c r="BG2653" s="42"/>
    </row>
    <row r="2654" spans="50:59" x14ac:dyDescent="0.2">
      <c r="AX2654" s="315"/>
      <c r="AY2654" s="326"/>
      <c r="AZ2654" s="175"/>
      <c r="BA2654" s="42"/>
      <c r="BB2654" s="426"/>
      <c r="BF2654" s="315"/>
      <c r="BG2654" s="42"/>
    </row>
    <row r="2655" spans="50:59" x14ac:dyDescent="0.2">
      <c r="AX2655" s="315"/>
      <c r="AY2655" s="326"/>
      <c r="AZ2655" s="175"/>
      <c r="BA2655" s="42"/>
      <c r="BB2655" s="426"/>
      <c r="BF2655" s="315"/>
      <c r="BG2655" s="42"/>
    </row>
    <row r="2656" spans="50:59" x14ac:dyDescent="0.2">
      <c r="AX2656" s="315"/>
      <c r="AY2656" s="326"/>
      <c r="AZ2656" s="175"/>
      <c r="BA2656" s="42"/>
      <c r="BB2656" s="426"/>
      <c r="BF2656" s="315"/>
      <c r="BG2656" s="42"/>
    </row>
    <row r="2657" spans="50:59" x14ac:dyDescent="0.2">
      <c r="AX2657" s="315"/>
      <c r="AY2657" s="326"/>
      <c r="AZ2657" s="175"/>
      <c r="BA2657" s="42"/>
      <c r="BB2657" s="426"/>
      <c r="BF2657" s="315"/>
      <c r="BG2657" s="42"/>
    </row>
    <row r="2658" spans="50:59" x14ac:dyDescent="0.2">
      <c r="AX2658" s="315"/>
      <c r="AY2658" s="326"/>
      <c r="AZ2658" s="175"/>
      <c r="BA2658" s="42"/>
      <c r="BB2658" s="426"/>
      <c r="BF2658" s="315"/>
      <c r="BG2658" s="42"/>
    </row>
    <row r="2659" spans="50:59" x14ac:dyDescent="0.2">
      <c r="AX2659" s="315"/>
      <c r="AY2659" s="326"/>
      <c r="AZ2659" s="175"/>
      <c r="BA2659" s="42"/>
      <c r="BB2659" s="426"/>
      <c r="BF2659" s="315"/>
      <c r="BG2659" s="42"/>
    </row>
    <row r="2660" spans="50:59" x14ac:dyDescent="0.2">
      <c r="AX2660" s="315"/>
      <c r="AY2660" s="326"/>
      <c r="AZ2660" s="175"/>
      <c r="BA2660" s="42"/>
      <c r="BB2660" s="426"/>
      <c r="BF2660" s="315"/>
      <c r="BG2660" s="42"/>
    </row>
    <row r="2661" spans="50:59" x14ac:dyDescent="0.2">
      <c r="AX2661" s="315"/>
      <c r="AY2661" s="326"/>
      <c r="AZ2661" s="175"/>
      <c r="BA2661" s="42"/>
      <c r="BB2661" s="426"/>
      <c r="BF2661" s="315"/>
      <c r="BG2661" s="42"/>
    </row>
    <row r="2662" spans="50:59" x14ac:dyDescent="0.2">
      <c r="AX2662" s="315"/>
      <c r="AY2662" s="326"/>
      <c r="AZ2662" s="175"/>
      <c r="BA2662" s="42"/>
      <c r="BB2662" s="426"/>
      <c r="BF2662" s="315"/>
      <c r="BG2662" s="42"/>
    </row>
    <row r="2663" spans="50:59" x14ac:dyDescent="0.2">
      <c r="AX2663" s="315"/>
      <c r="AY2663" s="326"/>
      <c r="AZ2663" s="175"/>
      <c r="BA2663" s="42"/>
      <c r="BB2663" s="426"/>
      <c r="BF2663" s="315"/>
      <c r="BG2663" s="42"/>
    </row>
    <row r="2664" spans="50:59" x14ac:dyDescent="0.2">
      <c r="AX2664" s="315"/>
      <c r="AY2664" s="326"/>
      <c r="AZ2664" s="175"/>
      <c r="BA2664" s="42"/>
      <c r="BB2664" s="426"/>
      <c r="BF2664" s="315"/>
      <c r="BG2664" s="42"/>
    </row>
    <row r="2665" spans="50:59" x14ac:dyDescent="0.2">
      <c r="AX2665" s="315"/>
      <c r="AY2665" s="326"/>
      <c r="AZ2665" s="175"/>
      <c r="BA2665" s="42"/>
      <c r="BB2665" s="426"/>
      <c r="BF2665" s="315"/>
      <c r="BG2665" s="42"/>
    </row>
    <row r="2666" spans="50:59" x14ac:dyDescent="0.2">
      <c r="AX2666" s="315"/>
      <c r="AY2666" s="326"/>
      <c r="AZ2666" s="175"/>
      <c r="BA2666" s="42"/>
      <c r="BB2666" s="426"/>
      <c r="BF2666" s="315"/>
      <c r="BG2666" s="42"/>
    </row>
    <row r="2667" spans="50:59" x14ac:dyDescent="0.2">
      <c r="AX2667" s="315"/>
      <c r="AY2667" s="326"/>
      <c r="AZ2667" s="175"/>
      <c r="BA2667" s="42"/>
      <c r="BB2667" s="426"/>
      <c r="BF2667" s="315"/>
      <c r="BG2667" s="42"/>
    </row>
    <row r="2668" spans="50:59" x14ac:dyDescent="0.2">
      <c r="AX2668" s="315"/>
      <c r="AY2668" s="326"/>
      <c r="AZ2668" s="175"/>
      <c r="BA2668" s="42"/>
      <c r="BB2668" s="426"/>
      <c r="BF2668" s="315"/>
      <c r="BG2668" s="42"/>
    </row>
    <row r="2669" spans="50:59" x14ac:dyDescent="0.2">
      <c r="AX2669" s="315"/>
      <c r="AY2669" s="326"/>
      <c r="AZ2669" s="175"/>
      <c r="BA2669" s="42"/>
      <c r="BB2669" s="426"/>
      <c r="BF2669" s="315"/>
      <c r="BG2669" s="42"/>
    </row>
    <row r="2670" spans="50:59" x14ac:dyDescent="0.2">
      <c r="AX2670" s="315"/>
      <c r="AY2670" s="326"/>
      <c r="AZ2670" s="175"/>
      <c r="BA2670" s="42"/>
      <c r="BB2670" s="426"/>
      <c r="BF2670" s="315"/>
      <c r="BG2670" s="42"/>
    </row>
    <row r="2671" spans="50:59" x14ac:dyDescent="0.2">
      <c r="AX2671" s="315"/>
      <c r="AY2671" s="326"/>
      <c r="AZ2671" s="175"/>
      <c r="BA2671" s="42"/>
      <c r="BB2671" s="426"/>
      <c r="BF2671" s="315"/>
      <c r="BG2671" s="42"/>
    </row>
    <row r="2672" spans="50:59" x14ac:dyDescent="0.2">
      <c r="AX2672" s="315"/>
      <c r="AY2672" s="326"/>
      <c r="AZ2672" s="175"/>
      <c r="BA2672" s="42"/>
      <c r="BB2672" s="426"/>
      <c r="BF2672" s="315"/>
      <c r="BG2672" s="42"/>
    </row>
    <row r="2673" spans="50:59" x14ac:dyDescent="0.2">
      <c r="AX2673" s="315"/>
      <c r="AY2673" s="326"/>
      <c r="AZ2673" s="175"/>
      <c r="BA2673" s="42"/>
      <c r="BB2673" s="426"/>
      <c r="BF2673" s="315"/>
      <c r="BG2673" s="42"/>
    </row>
    <row r="2674" spans="50:59" x14ac:dyDescent="0.2">
      <c r="AX2674" s="315"/>
      <c r="AY2674" s="326"/>
      <c r="AZ2674" s="175"/>
      <c r="BA2674" s="42"/>
      <c r="BB2674" s="426"/>
      <c r="BF2674" s="315"/>
      <c r="BG2674" s="42"/>
    </row>
    <row r="2675" spans="50:59" x14ac:dyDescent="0.2">
      <c r="AX2675" s="315"/>
      <c r="AY2675" s="326"/>
      <c r="AZ2675" s="175"/>
      <c r="BA2675" s="42"/>
      <c r="BB2675" s="426"/>
      <c r="BF2675" s="315"/>
      <c r="BG2675" s="42"/>
    </row>
    <row r="2676" spans="50:59" x14ac:dyDescent="0.2">
      <c r="AX2676" s="315"/>
      <c r="AY2676" s="326"/>
      <c r="AZ2676" s="175"/>
      <c r="BA2676" s="42"/>
      <c r="BB2676" s="426"/>
      <c r="BF2676" s="315"/>
      <c r="BG2676" s="42"/>
    </row>
    <row r="2677" spans="50:59" x14ac:dyDescent="0.2">
      <c r="AX2677" s="315"/>
      <c r="AY2677" s="326"/>
      <c r="AZ2677" s="175"/>
      <c r="BA2677" s="42"/>
      <c r="BB2677" s="426"/>
      <c r="BF2677" s="315"/>
      <c r="BG2677" s="42"/>
    </row>
    <row r="2678" spans="50:59" x14ac:dyDescent="0.2">
      <c r="AX2678" s="315"/>
      <c r="AY2678" s="326"/>
      <c r="AZ2678" s="175"/>
      <c r="BA2678" s="42"/>
      <c r="BB2678" s="426"/>
      <c r="BF2678" s="315"/>
      <c r="BG2678" s="42"/>
    </row>
    <row r="2679" spans="50:59" x14ac:dyDescent="0.2">
      <c r="AX2679" s="315"/>
      <c r="AY2679" s="326"/>
      <c r="AZ2679" s="175"/>
      <c r="BA2679" s="42"/>
      <c r="BB2679" s="426"/>
      <c r="BF2679" s="315"/>
      <c r="BG2679" s="42"/>
    </row>
    <row r="2680" spans="50:59" x14ac:dyDescent="0.2">
      <c r="AX2680" s="315"/>
      <c r="AY2680" s="326"/>
      <c r="AZ2680" s="175"/>
      <c r="BA2680" s="42"/>
      <c r="BB2680" s="426"/>
      <c r="BF2680" s="315"/>
      <c r="BG2680" s="42"/>
    </row>
    <row r="2681" spans="50:59" x14ac:dyDescent="0.2">
      <c r="AX2681" s="315"/>
      <c r="AY2681" s="326"/>
      <c r="AZ2681" s="175"/>
      <c r="BA2681" s="42"/>
      <c r="BB2681" s="426"/>
      <c r="BF2681" s="315"/>
      <c r="BG2681" s="42"/>
    </row>
    <row r="2682" spans="50:59" x14ac:dyDescent="0.2">
      <c r="AX2682" s="315"/>
      <c r="AY2682" s="326"/>
      <c r="AZ2682" s="175"/>
      <c r="BA2682" s="42"/>
      <c r="BB2682" s="426"/>
      <c r="BF2682" s="315"/>
      <c r="BG2682" s="42"/>
    </row>
    <row r="2683" spans="50:59" x14ac:dyDescent="0.2">
      <c r="AX2683" s="315"/>
      <c r="AY2683" s="326"/>
      <c r="AZ2683" s="175"/>
      <c r="BA2683" s="42"/>
      <c r="BB2683" s="426"/>
      <c r="BF2683" s="315"/>
      <c r="BG2683" s="42"/>
    </row>
    <row r="2684" spans="50:59" x14ac:dyDescent="0.2">
      <c r="AX2684" s="315"/>
      <c r="AY2684" s="326"/>
      <c r="AZ2684" s="175"/>
      <c r="BA2684" s="42"/>
      <c r="BB2684" s="426"/>
      <c r="BF2684" s="315"/>
      <c r="BG2684" s="42"/>
    </row>
    <row r="2685" spans="50:59" x14ac:dyDescent="0.2">
      <c r="AX2685" s="315"/>
      <c r="AY2685" s="326"/>
      <c r="AZ2685" s="175"/>
      <c r="BA2685" s="42"/>
      <c r="BB2685" s="426"/>
      <c r="BF2685" s="315"/>
      <c r="BG2685" s="42"/>
    </row>
    <row r="2686" spans="50:59" x14ac:dyDescent="0.2">
      <c r="AX2686" s="315"/>
      <c r="AY2686" s="326"/>
      <c r="AZ2686" s="175"/>
      <c r="BA2686" s="42"/>
      <c r="BB2686" s="426"/>
      <c r="BF2686" s="315"/>
      <c r="BG2686" s="42"/>
    </row>
    <row r="2687" spans="50:59" x14ac:dyDescent="0.2">
      <c r="AX2687" s="315"/>
      <c r="AY2687" s="326"/>
      <c r="AZ2687" s="175"/>
      <c r="BA2687" s="42"/>
      <c r="BB2687" s="426"/>
      <c r="BF2687" s="315"/>
      <c r="BG2687" s="42"/>
    </row>
    <row r="2688" spans="50:59" x14ac:dyDescent="0.2">
      <c r="AX2688" s="315"/>
      <c r="AY2688" s="326"/>
      <c r="AZ2688" s="175"/>
      <c r="BA2688" s="42"/>
      <c r="BB2688" s="426"/>
      <c r="BF2688" s="315"/>
      <c r="BG2688" s="42"/>
    </row>
    <row r="2689" spans="50:59" x14ac:dyDescent="0.2">
      <c r="AX2689" s="315"/>
      <c r="AY2689" s="326"/>
      <c r="AZ2689" s="175"/>
      <c r="BA2689" s="42"/>
      <c r="BB2689" s="426"/>
      <c r="BF2689" s="315"/>
      <c r="BG2689" s="42"/>
    </row>
    <row r="2690" spans="50:59" x14ac:dyDescent="0.2">
      <c r="AX2690" s="315"/>
      <c r="AY2690" s="326"/>
      <c r="AZ2690" s="175"/>
      <c r="BA2690" s="42"/>
      <c r="BB2690" s="426"/>
      <c r="BF2690" s="315"/>
      <c r="BG2690" s="42"/>
    </row>
    <row r="2691" spans="50:59" x14ac:dyDescent="0.2">
      <c r="AX2691" s="315"/>
      <c r="AY2691" s="326"/>
      <c r="AZ2691" s="175"/>
      <c r="BA2691" s="42"/>
      <c r="BB2691" s="426"/>
      <c r="BF2691" s="315"/>
      <c r="BG2691" s="42"/>
    </row>
    <row r="2692" spans="50:59" x14ac:dyDescent="0.2">
      <c r="AX2692" s="315"/>
      <c r="AY2692" s="326"/>
      <c r="AZ2692" s="175"/>
      <c r="BA2692" s="42"/>
      <c r="BB2692" s="426"/>
      <c r="BF2692" s="315"/>
      <c r="BG2692" s="42"/>
    </row>
    <row r="2693" spans="50:59" x14ac:dyDescent="0.2">
      <c r="AX2693" s="315"/>
      <c r="AY2693" s="326"/>
      <c r="AZ2693" s="175"/>
      <c r="BA2693" s="42"/>
      <c r="BB2693" s="426"/>
      <c r="BF2693" s="315"/>
      <c r="BG2693" s="42"/>
    </row>
    <row r="2694" spans="50:59" x14ac:dyDescent="0.2">
      <c r="AX2694" s="315"/>
      <c r="AY2694" s="326"/>
      <c r="AZ2694" s="175"/>
      <c r="BA2694" s="42"/>
      <c r="BB2694" s="426"/>
      <c r="BF2694" s="315"/>
      <c r="BG2694" s="42"/>
    </row>
    <row r="2695" spans="50:59" x14ac:dyDescent="0.2">
      <c r="AX2695" s="315"/>
      <c r="AY2695" s="326"/>
      <c r="AZ2695" s="175"/>
      <c r="BA2695" s="42"/>
      <c r="BB2695" s="426"/>
      <c r="BF2695" s="315"/>
      <c r="BG2695" s="42"/>
    </row>
    <row r="2696" spans="50:59" x14ac:dyDescent="0.2">
      <c r="AX2696" s="315"/>
      <c r="AY2696" s="326"/>
      <c r="AZ2696" s="175"/>
      <c r="BA2696" s="42"/>
      <c r="BB2696" s="426"/>
      <c r="BF2696" s="315"/>
      <c r="BG2696" s="42"/>
    </row>
    <row r="2697" spans="50:59" x14ac:dyDescent="0.2">
      <c r="AX2697" s="315"/>
      <c r="AY2697" s="326"/>
      <c r="AZ2697" s="175"/>
      <c r="BA2697" s="42"/>
      <c r="BB2697" s="426"/>
      <c r="BF2697" s="315"/>
      <c r="BG2697" s="42"/>
    </row>
    <row r="2698" spans="50:59" x14ac:dyDescent="0.2">
      <c r="AX2698" s="315"/>
      <c r="AY2698" s="326"/>
      <c r="AZ2698" s="175"/>
      <c r="BA2698" s="42"/>
      <c r="BB2698" s="426"/>
      <c r="BF2698" s="315"/>
      <c r="BG2698" s="42"/>
    </row>
    <row r="2699" spans="50:59" x14ac:dyDescent="0.2">
      <c r="AX2699" s="315"/>
      <c r="AY2699" s="326"/>
      <c r="AZ2699" s="175"/>
      <c r="BA2699" s="42"/>
      <c r="BB2699" s="426"/>
      <c r="BF2699" s="315"/>
      <c r="BG2699" s="42"/>
    </row>
    <row r="2700" spans="50:59" x14ac:dyDescent="0.2">
      <c r="AX2700" s="315"/>
      <c r="AY2700" s="326"/>
      <c r="AZ2700" s="175"/>
      <c r="BA2700" s="42"/>
      <c r="BB2700" s="426"/>
      <c r="BF2700" s="315"/>
      <c r="BG2700" s="42"/>
    </row>
    <row r="2701" spans="50:59" x14ac:dyDescent="0.2">
      <c r="AX2701" s="315"/>
      <c r="AY2701" s="326"/>
      <c r="AZ2701" s="175"/>
      <c r="BA2701" s="42"/>
      <c r="BB2701" s="426"/>
      <c r="BF2701" s="315"/>
      <c r="BG2701" s="42"/>
    </row>
    <row r="2702" spans="50:59" x14ac:dyDescent="0.2">
      <c r="AX2702" s="315"/>
      <c r="AY2702" s="326"/>
      <c r="AZ2702" s="175"/>
      <c r="BA2702" s="42"/>
      <c r="BB2702" s="426"/>
      <c r="BF2702" s="315"/>
      <c r="BG2702" s="42"/>
    </row>
    <row r="2703" spans="50:59" x14ac:dyDescent="0.2">
      <c r="AX2703" s="315"/>
      <c r="AY2703" s="326"/>
      <c r="AZ2703" s="175"/>
      <c r="BA2703" s="42"/>
      <c r="BB2703" s="426"/>
      <c r="BF2703" s="315"/>
      <c r="BG2703" s="42"/>
    </row>
    <row r="2704" spans="50:59" x14ac:dyDescent="0.2">
      <c r="AX2704" s="315"/>
      <c r="AY2704" s="326"/>
      <c r="AZ2704" s="175"/>
      <c r="BA2704" s="42"/>
      <c r="BB2704" s="426"/>
      <c r="BF2704" s="315"/>
      <c r="BG2704" s="42"/>
    </row>
    <row r="2705" spans="50:59" x14ac:dyDescent="0.2">
      <c r="AX2705" s="315"/>
      <c r="AY2705" s="326"/>
      <c r="AZ2705" s="175"/>
      <c r="BA2705" s="42"/>
      <c r="BB2705" s="426"/>
      <c r="BF2705" s="315"/>
      <c r="BG2705" s="42"/>
    </row>
    <row r="2706" spans="50:59" x14ac:dyDescent="0.2">
      <c r="AX2706" s="315"/>
      <c r="AY2706" s="326"/>
      <c r="AZ2706" s="175"/>
      <c r="BA2706" s="42"/>
      <c r="BB2706" s="426"/>
      <c r="BF2706" s="315"/>
      <c r="BG2706" s="42"/>
    </row>
    <row r="2707" spans="50:59" x14ac:dyDescent="0.2">
      <c r="AX2707" s="315"/>
      <c r="AY2707" s="326"/>
      <c r="AZ2707" s="175"/>
      <c r="BA2707" s="42"/>
      <c r="BB2707" s="426"/>
      <c r="BF2707" s="315"/>
      <c r="BG2707" s="42"/>
    </row>
    <row r="2708" spans="50:59" x14ac:dyDescent="0.2">
      <c r="AX2708" s="315"/>
      <c r="AY2708" s="326"/>
      <c r="AZ2708" s="175"/>
      <c r="BA2708" s="42"/>
      <c r="BB2708" s="426"/>
      <c r="BF2708" s="315"/>
      <c r="BG2708" s="42"/>
    </row>
    <row r="2709" spans="50:59" x14ac:dyDescent="0.2">
      <c r="AX2709" s="315"/>
      <c r="AY2709" s="326"/>
      <c r="AZ2709" s="175"/>
      <c r="BA2709" s="42"/>
      <c r="BB2709" s="426"/>
      <c r="BF2709" s="315"/>
      <c r="BG2709" s="42"/>
    </row>
    <row r="2710" spans="50:59" x14ac:dyDescent="0.2">
      <c r="AX2710" s="315"/>
      <c r="AY2710" s="326"/>
      <c r="AZ2710" s="175"/>
      <c r="BA2710" s="42"/>
      <c r="BB2710" s="426"/>
      <c r="BF2710" s="315"/>
      <c r="BG2710" s="42"/>
    </row>
    <row r="2711" spans="50:59" x14ac:dyDescent="0.2">
      <c r="AX2711" s="315"/>
      <c r="AY2711" s="326"/>
      <c r="AZ2711" s="175"/>
      <c r="BA2711" s="42"/>
      <c r="BB2711" s="426"/>
      <c r="BF2711" s="315"/>
      <c r="BG2711" s="42"/>
    </row>
    <row r="2712" spans="50:59" x14ac:dyDescent="0.2">
      <c r="AX2712" s="315"/>
      <c r="AY2712" s="326"/>
      <c r="AZ2712" s="175"/>
      <c r="BA2712" s="42"/>
      <c r="BB2712" s="426"/>
      <c r="BF2712" s="315"/>
      <c r="BG2712" s="42"/>
    </row>
    <row r="2713" spans="50:59" x14ac:dyDescent="0.2">
      <c r="AX2713" s="315"/>
      <c r="AY2713" s="326"/>
      <c r="AZ2713" s="175"/>
      <c r="BA2713" s="42"/>
      <c r="BB2713" s="426"/>
      <c r="BF2713" s="315"/>
      <c r="BG2713" s="42"/>
    </row>
    <row r="2714" spans="50:59" x14ac:dyDescent="0.2">
      <c r="AX2714" s="315"/>
      <c r="AY2714" s="326"/>
      <c r="AZ2714" s="175"/>
      <c r="BA2714" s="42"/>
      <c r="BB2714" s="426"/>
      <c r="BF2714" s="315"/>
      <c r="BG2714" s="42"/>
    </row>
    <row r="2715" spans="50:59" x14ac:dyDescent="0.2">
      <c r="AX2715" s="315"/>
      <c r="AY2715" s="326"/>
      <c r="AZ2715" s="175"/>
      <c r="BA2715" s="42"/>
      <c r="BB2715" s="426"/>
      <c r="BF2715" s="315"/>
      <c r="BG2715" s="42"/>
    </row>
    <row r="2716" spans="50:59" x14ac:dyDescent="0.2">
      <c r="AX2716" s="315"/>
      <c r="AY2716" s="326"/>
      <c r="AZ2716" s="175"/>
      <c r="BA2716" s="42"/>
      <c r="BB2716" s="426"/>
      <c r="BF2716" s="315"/>
      <c r="BG2716" s="42"/>
    </row>
    <row r="2717" spans="50:59" x14ac:dyDescent="0.2">
      <c r="AX2717" s="315"/>
      <c r="AY2717" s="326"/>
      <c r="AZ2717" s="175"/>
      <c r="BA2717" s="42"/>
      <c r="BB2717" s="426"/>
      <c r="BF2717" s="315"/>
      <c r="BG2717" s="42"/>
    </row>
    <row r="2718" spans="50:59" x14ac:dyDescent="0.2">
      <c r="AX2718" s="315"/>
      <c r="AY2718" s="326"/>
      <c r="AZ2718" s="175"/>
      <c r="BA2718" s="42"/>
      <c r="BB2718" s="426"/>
      <c r="BF2718" s="315"/>
      <c r="BG2718" s="42"/>
    </row>
    <row r="2719" spans="50:59" x14ac:dyDescent="0.2">
      <c r="AX2719" s="315"/>
      <c r="AY2719" s="326"/>
      <c r="AZ2719" s="175"/>
      <c r="BA2719" s="42"/>
      <c r="BB2719" s="426"/>
      <c r="BF2719" s="315"/>
      <c r="BG2719" s="42"/>
    </row>
    <row r="2720" spans="50:59" x14ac:dyDescent="0.2">
      <c r="AX2720" s="315"/>
      <c r="AY2720" s="326"/>
      <c r="AZ2720" s="175"/>
      <c r="BA2720" s="42"/>
      <c r="BB2720" s="426"/>
      <c r="BF2720" s="315"/>
      <c r="BG2720" s="42"/>
    </row>
    <row r="2721" spans="50:59" x14ac:dyDescent="0.2">
      <c r="AX2721" s="315"/>
      <c r="AY2721" s="326"/>
      <c r="AZ2721" s="175"/>
      <c r="BA2721" s="42"/>
      <c r="BB2721" s="426"/>
      <c r="BF2721" s="315"/>
      <c r="BG2721" s="42"/>
    </row>
    <row r="2722" spans="50:59" x14ac:dyDescent="0.2">
      <c r="AX2722" s="315"/>
      <c r="AY2722" s="326"/>
      <c r="AZ2722" s="175"/>
      <c r="BA2722" s="42"/>
      <c r="BB2722" s="426"/>
      <c r="BF2722" s="315"/>
      <c r="BG2722" s="42"/>
    </row>
    <row r="2723" spans="50:59" x14ac:dyDescent="0.2">
      <c r="AX2723" s="315"/>
      <c r="AY2723" s="326"/>
      <c r="AZ2723" s="175"/>
      <c r="BA2723" s="42"/>
      <c r="BB2723" s="426"/>
      <c r="BF2723" s="315"/>
      <c r="BG2723" s="42"/>
    </row>
    <row r="2724" spans="50:59" x14ac:dyDescent="0.2">
      <c r="AX2724" s="315"/>
      <c r="AY2724" s="326"/>
      <c r="AZ2724" s="175"/>
      <c r="BA2724" s="42"/>
      <c r="BB2724" s="426"/>
      <c r="BF2724" s="315"/>
      <c r="BG2724" s="42"/>
    </row>
    <row r="2725" spans="50:59" x14ac:dyDescent="0.2">
      <c r="AX2725" s="315"/>
      <c r="AY2725" s="326"/>
      <c r="AZ2725" s="175"/>
      <c r="BA2725" s="42"/>
      <c r="BB2725" s="426"/>
      <c r="BF2725" s="315"/>
      <c r="BG2725" s="42"/>
    </row>
    <row r="2726" spans="50:59" x14ac:dyDescent="0.2">
      <c r="AX2726" s="315"/>
      <c r="AY2726" s="326"/>
      <c r="AZ2726" s="175"/>
      <c r="BA2726" s="42"/>
      <c r="BB2726" s="426"/>
      <c r="BF2726" s="315"/>
      <c r="BG2726" s="42"/>
    </row>
    <row r="2727" spans="50:59" x14ac:dyDescent="0.2">
      <c r="AX2727" s="315"/>
      <c r="AY2727" s="326"/>
      <c r="AZ2727" s="175"/>
      <c r="BA2727" s="42"/>
      <c r="BB2727" s="426"/>
      <c r="BF2727" s="315"/>
      <c r="BG2727" s="42"/>
    </row>
    <row r="2728" spans="50:59" x14ac:dyDescent="0.2">
      <c r="AX2728" s="315"/>
      <c r="AY2728" s="326"/>
      <c r="AZ2728" s="175"/>
      <c r="BA2728" s="42"/>
      <c r="BB2728" s="426"/>
      <c r="BF2728" s="315"/>
      <c r="BG2728" s="42"/>
    </row>
    <row r="2729" spans="50:59" x14ac:dyDescent="0.2">
      <c r="AX2729" s="315"/>
      <c r="AY2729" s="326"/>
      <c r="AZ2729" s="175"/>
      <c r="BA2729" s="42"/>
      <c r="BB2729" s="426"/>
      <c r="BF2729" s="315"/>
      <c r="BG2729" s="42"/>
    </row>
    <row r="2730" spans="50:59" x14ac:dyDescent="0.2">
      <c r="AX2730" s="315"/>
      <c r="AY2730" s="326"/>
      <c r="AZ2730" s="175"/>
      <c r="BA2730" s="42"/>
      <c r="BB2730" s="426"/>
      <c r="BF2730" s="315"/>
      <c r="BG2730" s="42"/>
    </row>
    <row r="2731" spans="50:59" x14ac:dyDescent="0.2">
      <c r="AX2731" s="315"/>
      <c r="AY2731" s="326"/>
      <c r="AZ2731" s="175"/>
      <c r="BA2731" s="42"/>
      <c r="BB2731" s="426"/>
      <c r="BF2731" s="315"/>
      <c r="BG2731" s="42"/>
    </row>
    <row r="2732" spans="50:59" x14ac:dyDescent="0.2">
      <c r="AX2732" s="315"/>
      <c r="AY2732" s="326"/>
      <c r="AZ2732" s="175"/>
      <c r="BA2732" s="42"/>
      <c r="BB2732" s="426"/>
      <c r="BF2732" s="315"/>
      <c r="BG2732" s="42"/>
    </row>
    <row r="2733" spans="50:59" x14ac:dyDescent="0.2">
      <c r="AX2733" s="315"/>
      <c r="AY2733" s="326"/>
      <c r="AZ2733" s="175"/>
      <c r="BA2733" s="42"/>
      <c r="BB2733" s="426"/>
      <c r="BF2733" s="315"/>
      <c r="BG2733" s="42"/>
    </row>
    <row r="2734" spans="50:59" x14ac:dyDescent="0.2">
      <c r="AX2734" s="315"/>
      <c r="AY2734" s="326"/>
      <c r="AZ2734" s="175"/>
      <c r="BA2734" s="42"/>
      <c r="BB2734" s="426"/>
      <c r="BF2734" s="315"/>
      <c r="BG2734" s="42"/>
    </row>
    <row r="2735" spans="50:59" x14ac:dyDescent="0.2">
      <c r="AX2735" s="315"/>
      <c r="AY2735" s="326"/>
      <c r="AZ2735" s="175"/>
      <c r="BA2735" s="42"/>
      <c r="BB2735" s="426"/>
      <c r="BF2735" s="315"/>
      <c r="BG2735" s="42"/>
    </row>
    <row r="2736" spans="50:59" x14ac:dyDescent="0.2">
      <c r="AX2736" s="315"/>
      <c r="AY2736" s="326"/>
      <c r="AZ2736" s="175"/>
      <c r="BA2736" s="42"/>
      <c r="BB2736" s="426"/>
      <c r="BF2736" s="315"/>
      <c r="BG2736" s="42"/>
    </row>
    <row r="2737" spans="50:59" x14ac:dyDescent="0.2">
      <c r="AX2737" s="315"/>
      <c r="AY2737" s="326"/>
      <c r="AZ2737" s="175"/>
      <c r="BA2737" s="42"/>
      <c r="BB2737" s="426"/>
      <c r="BF2737" s="315"/>
      <c r="BG2737" s="42"/>
    </row>
    <row r="2738" spans="50:59" x14ac:dyDescent="0.2">
      <c r="AX2738" s="315"/>
      <c r="AY2738" s="326"/>
      <c r="AZ2738" s="175"/>
      <c r="BA2738" s="42"/>
      <c r="BB2738" s="426"/>
      <c r="BF2738" s="315"/>
      <c r="BG2738" s="42"/>
    </row>
    <row r="2739" spans="50:59" x14ac:dyDescent="0.2">
      <c r="AX2739" s="315"/>
      <c r="AY2739" s="326"/>
      <c r="AZ2739" s="175"/>
      <c r="BA2739" s="42"/>
      <c r="BB2739" s="426"/>
      <c r="BF2739" s="315"/>
      <c r="BG2739" s="42"/>
    </row>
    <row r="2740" spans="50:59" x14ac:dyDescent="0.2">
      <c r="AX2740" s="315"/>
      <c r="AY2740" s="326"/>
      <c r="AZ2740" s="175"/>
      <c r="BA2740" s="42"/>
      <c r="BB2740" s="426"/>
      <c r="BF2740" s="315"/>
      <c r="BG2740" s="42"/>
    </row>
    <row r="2741" spans="50:59" x14ac:dyDescent="0.2">
      <c r="AX2741" s="315"/>
      <c r="AY2741" s="326"/>
      <c r="AZ2741" s="175"/>
      <c r="BA2741" s="42"/>
      <c r="BB2741" s="426"/>
      <c r="BF2741" s="315"/>
      <c r="BG2741" s="42"/>
    </row>
    <row r="2742" spans="50:59" x14ac:dyDescent="0.2">
      <c r="AX2742" s="315"/>
      <c r="AY2742" s="326"/>
      <c r="AZ2742" s="175"/>
      <c r="BA2742" s="42"/>
      <c r="BB2742" s="426"/>
      <c r="BF2742" s="315"/>
      <c r="BG2742" s="42"/>
    </row>
    <row r="2743" spans="50:59" x14ac:dyDescent="0.2">
      <c r="AX2743" s="315"/>
      <c r="AY2743" s="326"/>
      <c r="AZ2743" s="175"/>
      <c r="BA2743" s="42"/>
      <c r="BB2743" s="426"/>
      <c r="BF2743" s="315"/>
      <c r="BG2743" s="42"/>
    </row>
    <row r="2744" spans="50:59" x14ac:dyDescent="0.2">
      <c r="AX2744" s="315"/>
      <c r="AY2744" s="326"/>
      <c r="AZ2744" s="175"/>
      <c r="BA2744" s="42"/>
      <c r="BB2744" s="426"/>
      <c r="BF2744" s="315"/>
      <c r="BG2744" s="42"/>
    </row>
    <row r="2745" spans="50:59" x14ac:dyDescent="0.2">
      <c r="AX2745" s="315"/>
      <c r="AY2745" s="326"/>
      <c r="AZ2745" s="175"/>
      <c r="BA2745" s="42"/>
      <c r="BB2745" s="426"/>
      <c r="BF2745" s="315"/>
      <c r="BG2745" s="42"/>
    </row>
    <row r="2746" spans="50:59" x14ac:dyDescent="0.2">
      <c r="AX2746" s="315"/>
      <c r="AY2746" s="326"/>
      <c r="AZ2746" s="175"/>
      <c r="BA2746" s="42"/>
      <c r="BB2746" s="426"/>
      <c r="BF2746" s="315"/>
      <c r="BG2746" s="42"/>
    </row>
    <row r="2747" spans="50:59" x14ac:dyDescent="0.2">
      <c r="AX2747" s="315"/>
      <c r="AY2747" s="326"/>
      <c r="AZ2747" s="175"/>
      <c r="BA2747" s="42"/>
      <c r="BB2747" s="426"/>
      <c r="BF2747" s="315"/>
      <c r="BG2747" s="42"/>
    </row>
    <row r="2748" spans="50:59" x14ac:dyDescent="0.2">
      <c r="AX2748" s="315"/>
      <c r="AY2748" s="326"/>
      <c r="AZ2748" s="175"/>
      <c r="BA2748" s="42"/>
      <c r="BB2748" s="426"/>
      <c r="BF2748" s="315"/>
      <c r="BG2748" s="42"/>
    </row>
    <row r="2749" spans="50:59" x14ac:dyDescent="0.2">
      <c r="AX2749" s="315"/>
      <c r="AY2749" s="326"/>
      <c r="AZ2749" s="175"/>
      <c r="BA2749" s="42"/>
      <c r="BB2749" s="426"/>
      <c r="BF2749" s="315"/>
      <c r="BG2749" s="42"/>
    </row>
    <row r="2750" spans="50:59" x14ac:dyDescent="0.2">
      <c r="AX2750" s="315"/>
      <c r="AY2750" s="326"/>
      <c r="AZ2750" s="175"/>
      <c r="BA2750" s="42"/>
      <c r="BB2750" s="426"/>
      <c r="BF2750" s="315"/>
      <c r="BG2750" s="42"/>
    </row>
    <row r="2751" spans="50:59" x14ac:dyDescent="0.2">
      <c r="AX2751" s="315"/>
      <c r="AY2751" s="326"/>
      <c r="AZ2751" s="175"/>
      <c r="BA2751" s="42"/>
      <c r="BB2751" s="426"/>
      <c r="BF2751" s="315"/>
      <c r="BG2751" s="42"/>
    </row>
    <row r="2752" spans="50:59" x14ac:dyDescent="0.2">
      <c r="AX2752" s="315"/>
      <c r="AY2752" s="326"/>
      <c r="AZ2752" s="175"/>
      <c r="BA2752" s="42"/>
      <c r="BB2752" s="426"/>
      <c r="BF2752" s="315"/>
      <c r="BG2752" s="42"/>
    </row>
    <row r="2753" spans="50:59" x14ac:dyDescent="0.2">
      <c r="AX2753" s="315"/>
      <c r="AY2753" s="326"/>
      <c r="AZ2753" s="175"/>
      <c r="BA2753" s="42"/>
      <c r="BB2753" s="426"/>
      <c r="BF2753" s="315"/>
      <c r="BG2753" s="42"/>
    </row>
    <row r="2754" spans="50:59" x14ac:dyDescent="0.2">
      <c r="AX2754" s="315"/>
      <c r="AY2754" s="326"/>
      <c r="AZ2754" s="175"/>
      <c r="BA2754" s="42"/>
      <c r="BB2754" s="426"/>
      <c r="BF2754" s="315"/>
      <c r="BG2754" s="42"/>
    </row>
    <row r="2755" spans="50:59" x14ac:dyDescent="0.2">
      <c r="AX2755" s="315"/>
      <c r="AY2755" s="326"/>
      <c r="AZ2755" s="175"/>
      <c r="BA2755" s="42"/>
      <c r="BB2755" s="426"/>
      <c r="BF2755" s="315"/>
      <c r="BG2755" s="42"/>
    </row>
    <row r="2756" spans="50:59" x14ac:dyDescent="0.2">
      <c r="AX2756" s="315"/>
      <c r="AY2756" s="326"/>
      <c r="AZ2756" s="175"/>
      <c r="BA2756" s="42"/>
      <c r="BB2756" s="426"/>
      <c r="BF2756" s="315"/>
      <c r="BG2756" s="42"/>
    </row>
    <row r="2757" spans="50:59" x14ac:dyDescent="0.2">
      <c r="AX2757" s="315"/>
      <c r="AY2757" s="326"/>
      <c r="AZ2757" s="175"/>
      <c r="BA2757" s="42"/>
      <c r="BB2757" s="426"/>
      <c r="BF2757" s="315"/>
      <c r="BG2757" s="42"/>
    </row>
    <row r="2758" spans="50:59" x14ac:dyDescent="0.2">
      <c r="AX2758" s="315"/>
      <c r="AY2758" s="326"/>
      <c r="AZ2758" s="175"/>
      <c r="BA2758" s="42"/>
      <c r="BB2758" s="426"/>
      <c r="BF2758" s="315"/>
      <c r="BG2758" s="42"/>
    </row>
    <row r="2759" spans="50:59" x14ac:dyDescent="0.2">
      <c r="AX2759" s="315"/>
      <c r="AY2759" s="326"/>
      <c r="AZ2759" s="175"/>
      <c r="BA2759" s="42"/>
      <c r="BB2759" s="426"/>
      <c r="BF2759" s="315"/>
      <c r="BG2759" s="42"/>
    </row>
    <row r="2760" spans="50:59" x14ac:dyDescent="0.2">
      <c r="AX2760" s="315"/>
      <c r="AY2760" s="326"/>
      <c r="AZ2760" s="175"/>
      <c r="BA2760" s="42"/>
      <c r="BB2760" s="426"/>
      <c r="BF2760" s="315"/>
      <c r="BG2760" s="42"/>
    </row>
    <row r="2761" spans="50:59" x14ac:dyDescent="0.2">
      <c r="AX2761" s="315"/>
      <c r="AY2761" s="326"/>
      <c r="AZ2761" s="175"/>
      <c r="BA2761" s="42"/>
      <c r="BB2761" s="426"/>
      <c r="BF2761" s="315"/>
      <c r="BG2761" s="42"/>
    </row>
    <row r="2762" spans="50:59" x14ac:dyDescent="0.2">
      <c r="AX2762" s="315"/>
      <c r="AY2762" s="326"/>
      <c r="AZ2762" s="175"/>
      <c r="BA2762" s="42"/>
      <c r="BB2762" s="426"/>
      <c r="BF2762" s="315"/>
      <c r="BG2762" s="42"/>
    </row>
    <row r="2763" spans="50:59" x14ac:dyDescent="0.2">
      <c r="AX2763" s="315"/>
      <c r="AY2763" s="326"/>
      <c r="AZ2763" s="175"/>
      <c r="BA2763" s="42"/>
      <c r="BB2763" s="426"/>
      <c r="BF2763" s="315"/>
      <c r="BG2763" s="42"/>
    </row>
    <row r="2764" spans="50:59" x14ac:dyDescent="0.2">
      <c r="AX2764" s="315"/>
      <c r="AY2764" s="326"/>
      <c r="AZ2764" s="175"/>
      <c r="BA2764" s="42"/>
      <c r="BB2764" s="426"/>
      <c r="BF2764" s="315"/>
      <c r="BG2764" s="42"/>
    </row>
    <row r="2765" spans="50:59" x14ac:dyDescent="0.2">
      <c r="AX2765" s="315"/>
      <c r="AY2765" s="326"/>
      <c r="AZ2765" s="175"/>
      <c r="BA2765" s="42"/>
      <c r="BB2765" s="426"/>
      <c r="BF2765" s="315"/>
      <c r="BG2765" s="42"/>
    </row>
    <row r="2766" spans="50:59" x14ac:dyDescent="0.2">
      <c r="AX2766" s="315"/>
      <c r="AY2766" s="326"/>
      <c r="AZ2766" s="175"/>
      <c r="BA2766" s="42"/>
      <c r="BB2766" s="426"/>
      <c r="BF2766" s="315"/>
      <c r="BG2766" s="42"/>
    </row>
    <row r="2767" spans="50:59" x14ac:dyDescent="0.2">
      <c r="AX2767" s="315"/>
      <c r="AY2767" s="326"/>
      <c r="AZ2767" s="175"/>
      <c r="BA2767" s="42"/>
      <c r="BB2767" s="426"/>
      <c r="BF2767" s="315"/>
      <c r="BG2767" s="42"/>
    </row>
    <row r="2768" spans="50:59" x14ac:dyDescent="0.2">
      <c r="AX2768" s="315"/>
      <c r="AY2768" s="326"/>
      <c r="AZ2768" s="175"/>
      <c r="BA2768" s="42"/>
      <c r="BB2768" s="426"/>
      <c r="BF2768" s="315"/>
      <c r="BG2768" s="42"/>
    </row>
    <row r="2769" spans="50:59" x14ac:dyDescent="0.2">
      <c r="AX2769" s="315"/>
      <c r="AY2769" s="326"/>
      <c r="AZ2769" s="175"/>
      <c r="BA2769" s="42"/>
      <c r="BB2769" s="426"/>
      <c r="BF2769" s="315"/>
      <c r="BG2769" s="42"/>
    </row>
    <row r="2770" spans="50:59" x14ac:dyDescent="0.2">
      <c r="AX2770" s="315"/>
      <c r="AY2770" s="326"/>
      <c r="AZ2770" s="175"/>
      <c r="BA2770" s="42"/>
      <c r="BB2770" s="426"/>
      <c r="BF2770" s="315"/>
      <c r="BG2770" s="42"/>
    </row>
    <row r="2771" spans="50:59" x14ac:dyDescent="0.2">
      <c r="AX2771" s="315"/>
      <c r="AY2771" s="326"/>
      <c r="AZ2771" s="175"/>
      <c r="BA2771" s="42"/>
      <c r="BB2771" s="426"/>
      <c r="BF2771" s="315"/>
      <c r="BG2771" s="42"/>
    </row>
    <row r="2772" spans="50:59" x14ac:dyDescent="0.2">
      <c r="AX2772" s="315"/>
      <c r="AY2772" s="326"/>
      <c r="AZ2772" s="175"/>
      <c r="BA2772" s="42"/>
      <c r="BB2772" s="426"/>
      <c r="BF2772" s="315"/>
      <c r="BG2772" s="42"/>
    </row>
    <row r="2773" spans="50:59" x14ac:dyDescent="0.2">
      <c r="AX2773" s="315"/>
      <c r="AY2773" s="326"/>
      <c r="AZ2773" s="175"/>
      <c r="BA2773" s="42"/>
      <c r="BB2773" s="426"/>
      <c r="BF2773" s="315"/>
      <c r="BG2773" s="42"/>
    </row>
    <row r="2774" spans="50:59" x14ac:dyDescent="0.2">
      <c r="AX2774" s="315"/>
      <c r="AY2774" s="326"/>
      <c r="AZ2774" s="175"/>
      <c r="BA2774" s="42"/>
      <c r="BB2774" s="426"/>
      <c r="BF2774" s="315"/>
      <c r="BG2774" s="42"/>
    </row>
    <row r="2775" spans="50:59" x14ac:dyDescent="0.2">
      <c r="AX2775" s="315"/>
      <c r="AY2775" s="326"/>
      <c r="AZ2775" s="175"/>
      <c r="BA2775" s="42"/>
      <c r="BB2775" s="426"/>
      <c r="BF2775" s="315"/>
      <c r="BG2775" s="42"/>
    </row>
    <row r="2776" spans="50:59" x14ac:dyDescent="0.2">
      <c r="AX2776" s="315"/>
      <c r="AY2776" s="326"/>
      <c r="AZ2776" s="175"/>
      <c r="BA2776" s="42"/>
      <c r="BB2776" s="426"/>
      <c r="BF2776" s="315"/>
      <c r="BG2776" s="42"/>
    </row>
    <row r="2777" spans="50:59" x14ac:dyDescent="0.2">
      <c r="AX2777" s="315"/>
      <c r="AY2777" s="326"/>
      <c r="AZ2777" s="175"/>
      <c r="BA2777" s="42"/>
      <c r="BB2777" s="426"/>
      <c r="BF2777" s="315"/>
      <c r="BG2777" s="42"/>
    </row>
    <row r="2778" spans="50:59" x14ac:dyDescent="0.2">
      <c r="AX2778" s="315"/>
      <c r="AY2778" s="326"/>
      <c r="AZ2778" s="175"/>
      <c r="BA2778" s="42"/>
      <c r="BB2778" s="426"/>
      <c r="BF2778" s="315"/>
      <c r="BG2778" s="42"/>
    </row>
    <row r="2779" spans="50:59" x14ac:dyDescent="0.2">
      <c r="AX2779" s="315"/>
      <c r="AY2779" s="326"/>
      <c r="AZ2779" s="175"/>
      <c r="BA2779" s="42"/>
      <c r="BB2779" s="426"/>
      <c r="BF2779" s="315"/>
      <c r="BG2779" s="42"/>
    </row>
    <row r="2780" spans="50:59" x14ac:dyDescent="0.2">
      <c r="AX2780" s="315"/>
      <c r="AY2780" s="326"/>
      <c r="AZ2780" s="175"/>
      <c r="BA2780" s="42"/>
      <c r="BB2780" s="426"/>
      <c r="BF2780" s="315"/>
      <c r="BG2780" s="42"/>
    </row>
    <row r="2781" spans="50:59" x14ac:dyDescent="0.2">
      <c r="AX2781" s="315"/>
      <c r="AY2781" s="326"/>
      <c r="AZ2781" s="175"/>
      <c r="BA2781" s="42"/>
      <c r="BB2781" s="426"/>
      <c r="BF2781" s="315"/>
      <c r="BG2781" s="42"/>
    </row>
    <row r="2782" spans="50:59" x14ac:dyDescent="0.2">
      <c r="AX2782" s="315"/>
      <c r="AY2782" s="326"/>
      <c r="AZ2782" s="175"/>
      <c r="BA2782" s="42"/>
      <c r="BB2782" s="426"/>
      <c r="BF2782" s="315"/>
      <c r="BG2782" s="42"/>
    </row>
    <row r="2783" spans="50:59" x14ac:dyDescent="0.2">
      <c r="AX2783" s="315"/>
      <c r="AY2783" s="326"/>
      <c r="AZ2783" s="175"/>
      <c r="BA2783" s="42"/>
      <c r="BB2783" s="426"/>
      <c r="BF2783" s="315"/>
      <c r="BG2783" s="42"/>
    </row>
    <row r="2784" spans="50:59" x14ac:dyDescent="0.2">
      <c r="AX2784" s="315"/>
      <c r="AY2784" s="326"/>
      <c r="AZ2784" s="175"/>
      <c r="BA2784" s="42"/>
      <c r="BB2784" s="426"/>
      <c r="BF2784" s="315"/>
      <c r="BG2784" s="42"/>
    </row>
    <row r="2785" spans="50:59" x14ac:dyDescent="0.2">
      <c r="AX2785" s="315"/>
      <c r="AY2785" s="326"/>
      <c r="AZ2785" s="175"/>
      <c r="BA2785" s="42"/>
      <c r="BB2785" s="426"/>
      <c r="BF2785" s="315"/>
      <c r="BG2785" s="42"/>
    </row>
    <row r="2786" spans="50:59" x14ac:dyDescent="0.2">
      <c r="AX2786" s="315"/>
      <c r="AY2786" s="326"/>
      <c r="AZ2786" s="175"/>
      <c r="BA2786" s="42"/>
      <c r="BB2786" s="426"/>
      <c r="BF2786" s="315"/>
      <c r="BG2786" s="42"/>
    </row>
    <row r="2787" spans="50:59" x14ac:dyDescent="0.2">
      <c r="AX2787" s="315"/>
      <c r="AY2787" s="326"/>
      <c r="AZ2787" s="175"/>
      <c r="BA2787" s="42"/>
      <c r="BB2787" s="426"/>
      <c r="BF2787" s="315"/>
      <c r="BG2787" s="42"/>
    </row>
    <row r="2788" spans="50:59" x14ac:dyDescent="0.2">
      <c r="AX2788" s="315"/>
      <c r="AY2788" s="326"/>
      <c r="AZ2788" s="175"/>
      <c r="BA2788" s="42"/>
      <c r="BB2788" s="426"/>
      <c r="BF2788" s="315"/>
      <c r="BG2788" s="42"/>
    </row>
    <row r="2789" spans="50:59" x14ac:dyDescent="0.2">
      <c r="AX2789" s="315"/>
      <c r="AY2789" s="326"/>
      <c r="AZ2789" s="175"/>
      <c r="BA2789" s="42"/>
      <c r="BB2789" s="426"/>
      <c r="BF2789" s="315"/>
      <c r="BG2789" s="42"/>
    </row>
    <row r="2790" spans="50:59" x14ac:dyDescent="0.2">
      <c r="AX2790" s="315"/>
      <c r="AY2790" s="326"/>
      <c r="AZ2790" s="175"/>
      <c r="BA2790" s="42"/>
      <c r="BB2790" s="426"/>
      <c r="BF2790" s="315"/>
      <c r="BG2790" s="42"/>
    </row>
    <row r="2791" spans="50:59" x14ac:dyDescent="0.2">
      <c r="AX2791" s="315"/>
      <c r="AY2791" s="326"/>
      <c r="AZ2791" s="175"/>
      <c r="BA2791" s="42"/>
      <c r="BB2791" s="426"/>
      <c r="BF2791" s="315"/>
      <c r="BG2791" s="42"/>
    </row>
    <row r="2792" spans="50:59" x14ac:dyDescent="0.2">
      <c r="AX2792" s="315"/>
      <c r="AY2792" s="326"/>
      <c r="AZ2792" s="175"/>
      <c r="BA2792" s="42"/>
      <c r="BB2792" s="426"/>
      <c r="BF2792" s="315"/>
      <c r="BG2792" s="42"/>
    </row>
    <row r="2793" spans="50:59" x14ac:dyDescent="0.2">
      <c r="AX2793" s="315"/>
      <c r="AY2793" s="326"/>
      <c r="AZ2793" s="175"/>
      <c r="BA2793" s="42"/>
      <c r="BB2793" s="426"/>
      <c r="BF2793" s="315"/>
      <c r="BG2793" s="42"/>
    </row>
    <row r="2794" spans="50:59" x14ac:dyDescent="0.2">
      <c r="AX2794" s="315"/>
      <c r="AY2794" s="326"/>
      <c r="AZ2794" s="175"/>
      <c r="BA2794" s="42"/>
      <c r="BB2794" s="426"/>
      <c r="BF2794" s="315"/>
      <c r="BG2794" s="42"/>
    </row>
    <row r="2795" spans="50:59" x14ac:dyDescent="0.2">
      <c r="AX2795" s="315"/>
      <c r="AY2795" s="326"/>
      <c r="AZ2795" s="175"/>
      <c r="BA2795" s="42"/>
      <c r="BB2795" s="426"/>
      <c r="BF2795" s="315"/>
      <c r="BG2795" s="42"/>
    </row>
    <row r="2796" spans="50:59" x14ac:dyDescent="0.2">
      <c r="AX2796" s="315"/>
      <c r="AY2796" s="326"/>
      <c r="AZ2796" s="175"/>
      <c r="BA2796" s="42"/>
      <c r="BB2796" s="426"/>
      <c r="BF2796" s="315"/>
      <c r="BG2796" s="42"/>
    </row>
    <row r="2797" spans="50:59" x14ac:dyDescent="0.2">
      <c r="AX2797" s="315"/>
      <c r="AY2797" s="326"/>
      <c r="AZ2797" s="175"/>
      <c r="BA2797" s="42"/>
      <c r="BB2797" s="426"/>
      <c r="BF2797" s="315"/>
      <c r="BG2797" s="42"/>
    </row>
    <row r="2798" spans="50:59" x14ac:dyDescent="0.2">
      <c r="AX2798" s="315"/>
      <c r="AY2798" s="326"/>
      <c r="AZ2798" s="175"/>
      <c r="BA2798" s="42"/>
      <c r="BB2798" s="426"/>
      <c r="BF2798" s="315"/>
      <c r="BG2798" s="42"/>
    </row>
    <row r="2799" spans="50:59" x14ac:dyDescent="0.2">
      <c r="AX2799" s="315"/>
      <c r="AY2799" s="326"/>
      <c r="AZ2799" s="175"/>
      <c r="BA2799" s="42"/>
      <c r="BB2799" s="426"/>
      <c r="BF2799" s="315"/>
      <c r="BG2799" s="42"/>
    </row>
    <row r="2800" spans="50:59" x14ac:dyDescent="0.2">
      <c r="AX2800" s="315"/>
      <c r="AY2800" s="326"/>
      <c r="AZ2800" s="175"/>
      <c r="BA2800" s="42"/>
      <c r="BB2800" s="426"/>
      <c r="BF2800" s="315"/>
      <c r="BG2800" s="42"/>
    </row>
    <row r="2801" spans="50:59" x14ac:dyDescent="0.2">
      <c r="AX2801" s="315"/>
      <c r="AY2801" s="326"/>
      <c r="AZ2801" s="175"/>
      <c r="BA2801" s="42"/>
      <c r="BB2801" s="426"/>
      <c r="BF2801" s="315"/>
      <c r="BG2801" s="42"/>
    </row>
    <row r="2802" spans="50:59" x14ac:dyDescent="0.2">
      <c r="AX2802" s="315"/>
      <c r="AY2802" s="326"/>
      <c r="AZ2802" s="175"/>
      <c r="BA2802" s="42"/>
      <c r="BB2802" s="426"/>
      <c r="BF2802" s="315"/>
      <c r="BG2802" s="42"/>
    </row>
    <row r="2803" spans="50:59" x14ac:dyDescent="0.2">
      <c r="AX2803" s="315"/>
      <c r="AY2803" s="326"/>
      <c r="AZ2803" s="175"/>
      <c r="BA2803" s="42"/>
      <c r="BB2803" s="426"/>
      <c r="BF2803" s="315"/>
      <c r="BG2803" s="42"/>
    </row>
    <row r="2804" spans="50:59" x14ac:dyDescent="0.2">
      <c r="AX2804" s="315"/>
      <c r="AY2804" s="326"/>
      <c r="AZ2804" s="175"/>
      <c r="BA2804" s="42"/>
      <c r="BB2804" s="426"/>
      <c r="BF2804" s="315"/>
      <c r="BG2804" s="42"/>
    </row>
    <row r="2805" spans="50:59" x14ac:dyDescent="0.2">
      <c r="AX2805" s="315"/>
      <c r="AY2805" s="326"/>
      <c r="AZ2805" s="175"/>
      <c r="BA2805" s="42"/>
      <c r="BB2805" s="426"/>
      <c r="BF2805" s="315"/>
      <c r="BG2805" s="42"/>
    </row>
    <row r="2806" spans="50:59" x14ac:dyDescent="0.2">
      <c r="AX2806" s="315"/>
      <c r="AY2806" s="326"/>
      <c r="AZ2806" s="175"/>
      <c r="BA2806" s="42"/>
      <c r="BB2806" s="426"/>
      <c r="BF2806" s="315"/>
      <c r="BG2806" s="42"/>
    </row>
    <row r="2807" spans="50:59" x14ac:dyDescent="0.2">
      <c r="AX2807" s="315"/>
      <c r="AY2807" s="326"/>
      <c r="AZ2807" s="175"/>
      <c r="BA2807" s="42"/>
      <c r="BB2807" s="426"/>
      <c r="BF2807" s="315"/>
      <c r="BG2807" s="42"/>
    </row>
    <row r="2808" spans="50:59" x14ac:dyDescent="0.2">
      <c r="AX2808" s="315"/>
      <c r="AY2808" s="326"/>
      <c r="AZ2808" s="175"/>
      <c r="BA2808" s="42"/>
      <c r="BB2808" s="426"/>
      <c r="BF2808" s="315"/>
      <c r="BG2808" s="42"/>
    </row>
    <row r="2809" spans="50:59" x14ac:dyDescent="0.2">
      <c r="AX2809" s="315"/>
      <c r="AY2809" s="326"/>
      <c r="AZ2809" s="175"/>
      <c r="BA2809" s="42"/>
      <c r="BB2809" s="426"/>
      <c r="BF2809" s="315"/>
      <c r="BG2809" s="42"/>
    </row>
    <row r="2810" spans="50:59" x14ac:dyDescent="0.2">
      <c r="AX2810" s="315"/>
      <c r="AY2810" s="326"/>
      <c r="AZ2810" s="175"/>
      <c r="BA2810" s="42"/>
      <c r="BB2810" s="426"/>
      <c r="BF2810" s="315"/>
      <c r="BG2810" s="42"/>
    </row>
    <row r="2811" spans="50:59" x14ac:dyDescent="0.2">
      <c r="AX2811" s="315"/>
      <c r="AY2811" s="326"/>
      <c r="AZ2811" s="175"/>
      <c r="BA2811" s="42"/>
      <c r="BB2811" s="426"/>
      <c r="BF2811" s="315"/>
      <c r="BG2811" s="42"/>
    </row>
    <row r="2812" spans="50:59" x14ac:dyDescent="0.2">
      <c r="AX2812" s="315"/>
      <c r="AY2812" s="326"/>
      <c r="AZ2812" s="175"/>
      <c r="BA2812" s="42"/>
      <c r="BB2812" s="426"/>
      <c r="BF2812" s="315"/>
      <c r="BG2812" s="42"/>
    </row>
    <row r="2813" spans="50:59" x14ac:dyDescent="0.2">
      <c r="AX2813" s="315"/>
      <c r="AY2813" s="326"/>
      <c r="AZ2813" s="175"/>
      <c r="BA2813" s="42"/>
      <c r="BB2813" s="426"/>
      <c r="BF2813" s="315"/>
      <c r="BG2813" s="42"/>
    </row>
    <row r="2814" spans="50:59" x14ac:dyDescent="0.2">
      <c r="AX2814" s="315"/>
      <c r="AY2814" s="326"/>
      <c r="AZ2814" s="175"/>
      <c r="BA2814" s="42"/>
      <c r="BB2814" s="426"/>
      <c r="BF2814" s="315"/>
      <c r="BG2814" s="42"/>
    </row>
    <row r="2815" spans="50:59" x14ac:dyDescent="0.2">
      <c r="AX2815" s="315"/>
      <c r="AY2815" s="326"/>
      <c r="AZ2815" s="175"/>
      <c r="BA2815" s="42"/>
      <c r="BB2815" s="426"/>
      <c r="BF2815" s="315"/>
      <c r="BG2815" s="42"/>
    </row>
    <row r="2816" spans="50:59" x14ac:dyDescent="0.2">
      <c r="AX2816" s="315"/>
      <c r="AY2816" s="326"/>
      <c r="AZ2816" s="175"/>
      <c r="BA2816" s="42"/>
      <c r="BB2816" s="426"/>
      <c r="BF2816" s="315"/>
      <c r="BG2816" s="42"/>
    </row>
    <row r="2817" spans="50:59" x14ac:dyDescent="0.2">
      <c r="AX2817" s="315"/>
      <c r="AY2817" s="326"/>
      <c r="AZ2817" s="175"/>
      <c r="BA2817" s="42"/>
      <c r="BB2817" s="426"/>
      <c r="BF2817" s="315"/>
      <c r="BG2817" s="42"/>
    </row>
    <row r="2818" spans="50:59" x14ac:dyDescent="0.2">
      <c r="AX2818" s="315"/>
      <c r="AY2818" s="326"/>
      <c r="AZ2818" s="175"/>
      <c r="BA2818" s="42"/>
      <c r="BB2818" s="426"/>
      <c r="BF2818" s="315"/>
      <c r="BG2818" s="42"/>
    </row>
    <row r="2819" spans="50:59" x14ac:dyDescent="0.2">
      <c r="AX2819" s="315"/>
      <c r="AY2819" s="326"/>
      <c r="AZ2819" s="175"/>
      <c r="BA2819" s="42"/>
      <c r="BB2819" s="426"/>
      <c r="BF2819" s="315"/>
      <c r="BG2819" s="42"/>
    </row>
    <row r="2820" spans="50:59" x14ac:dyDescent="0.2">
      <c r="AX2820" s="315"/>
      <c r="AY2820" s="326"/>
      <c r="AZ2820" s="175"/>
      <c r="BA2820" s="42"/>
      <c r="BB2820" s="426"/>
      <c r="BF2820" s="315"/>
      <c r="BG2820" s="42"/>
    </row>
    <row r="2821" spans="50:59" x14ac:dyDescent="0.2">
      <c r="AX2821" s="315"/>
      <c r="AY2821" s="326"/>
      <c r="AZ2821" s="175"/>
      <c r="BA2821" s="42"/>
      <c r="BB2821" s="426"/>
      <c r="BF2821" s="315"/>
      <c r="BG2821" s="42"/>
    </row>
    <row r="2822" spans="50:59" x14ac:dyDescent="0.2">
      <c r="AX2822" s="315"/>
      <c r="AY2822" s="326"/>
      <c r="AZ2822" s="175"/>
      <c r="BA2822" s="42"/>
      <c r="BB2822" s="426"/>
      <c r="BF2822" s="315"/>
      <c r="BG2822" s="42"/>
    </row>
    <row r="2823" spans="50:59" x14ac:dyDescent="0.2">
      <c r="AX2823" s="315"/>
      <c r="AY2823" s="326"/>
      <c r="AZ2823" s="175"/>
      <c r="BA2823" s="42"/>
      <c r="BB2823" s="426"/>
      <c r="BF2823" s="315"/>
      <c r="BG2823" s="42"/>
    </row>
    <row r="2824" spans="50:59" x14ac:dyDescent="0.2">
      <c r="AX2824" s="315"/>
      <c r="AY2824" s="326"/>
      <c r="AZ2824" s="175"/>
      <c r="BA2824" s="42"/>
      <c r="BB2824" s="426"/>
      <c r="BF2824" s="315"/>
      <c r="BG2824" s="42"/>
    </row>
    <row r="2825" spans="50:59" x14ac:dyDescent="0.2">
      <c r="AX2825" s="315"/>
      <c r="AY2825" s="326"/>
      <c r="AZ2825" s="175"/>
      <c r="BA2825" s="42"/>
      <c r="BB2825" s="426"/>
      <c r="BF2825" s="315"/>
      <c r="BG2825" s="42"/>
    </row>
    <row r="2826" spans="50:59" x14ac:dyDescent="0.2">
      <c r="AX2826" s="315"/>
      <c r="AY2826" s="326"/>
      <c r="AZ2826" s="175"/>
      <c r="BA2826" s="42"/>
      <c r="BB2826" s="426"/>
      <c r="BF2826" s="315"/>
      <c r="BG2826" s="42"/>
    </row>
    <row r="2827" spans="50:59" x14ac:dyDescent="0.2">
      <c r="AX2827" s="315"/>
      <c r="AY2827" s="326"/>
      <c r="AZ2827" s="175"/>
      <c r="BA2827" s="42"/>
      <c r="BB2827" s="426"/>
      <c r="BF2827" s="315"/>
      <c r="BG2827" s="42"/>
    </row>
    <row r="2828" spans="50:59" x14ac:dyDescent="0.2">
      <c r="AX2828" s="315"/>
      <c r="AY2828" s="326"/>
      <c r="AZ2828" s="175"/>
      <c r="BA2828" s="42"/>
      <c r="BB2828" s="426"/>
      <c r="BF2828" s="315"/>
      <c r="BG2828" s="42"/>
    </row>
    <row r="2829" spans="50:59" x14ac:dyDescent="0.2">
      <c r="AX2829" s="315"/>
      <c r="AY2829" s="326"/>
      <c r="AZ2829" s="175"/>
      <c r="BA2829" s="42"/>
      <c r="BB2829" s="426"/>
      <c r="BF2829" s="315"/>
      <c r="BG2829" s="42"/>
    </row>
    <row r="2830" spans="50:59" x14ac:dyDescent="0.2">
      <c r="AX2830" s="315"/>
      <c r="AY2830" s="326"/>
      <c r="AZ2830" s="175"/>
      <c r="BA2830" s="42"/>
      <c r="BB2830" s="426"/>
      <c r="BF2830" s="315"/>
      <c r="BG2830" s="42"/>
    </row>
    <row r="2831" spans="50:59" x14ac:dyDescent="0.2">
      <c r="AX2831" s="315"/>
      <c r="AY2831" s="326"/>
      <c r="AZ2831" s="175"/>
      <c r="BA2831" s="42"/>
      <c r="BB2831" s="426"/>
      <c r="BF2831" s="315"/>
      <c r="BG2831" s="42"/>
    </row>
    <row r="2832" spans="50:59" x14ac:dyDescent="0.2">
      <c r="AX2832" s="315"/>
      <c r="AY2832" s="326"/>
      <c r="AZ2832" s="175"/>
      <c r="BA2832" s="42"/>
      <c r="BB2832" s="426"/>
      <c r="BF2832" s="315"/>
      <c r="BG2832" s="42"/>
    </row>
    <row r="2833" spans="50:59" x14ac:dyDescent="0.2">
      <c r="AX2833" s="315"/>
      <c r="AY2833" s="326"/>
      <c r="AZ2833" s="175"/>
      <c r="BA2833" s="42"/>
      <c r="BB2833" s="426"/>
      <c r="BF2833" s="315"/>
      <c r="BG2833" s="42"/>
    </row>
    <row r="2834" spans="50:59" x14ac:dyDescent="0.2">
      <c r="AX2834" s="315"/>
      <c r="AY2834" s="326"/>
      <c r="AZ2834" s="175"/>
      <c r="BA2834" s="42"/>
      <c r="BB2834" s="426"/>
      <c r="BF2834" s="315"/>
      <c r="BG2834" s="42"/>
    </row>
    <row r="2835" spans="50:59" x14ac:dyDescent="0.2">
      <c r="AX2835" s="315"/>
      <c r="AY2835" s="326"/>
      <c r="AZ2835" s="175"/>
      <c r="BA2835" s="42"/>
      <c r="BB2835" s="426"/>
      <c r="BF2835" s="315"/>
      <c r="BG2835" s="42"/>
    </row>
    <row r="2836" spans="50:59" x14ac:dyDescent="0.2">
      <c r="AX2836" s="315"/>
      <c r="AY2836" s="326"/>
      <c r="AZ2836" s="175"/>
      <c r="BA2836" s="42"/>
      <c r="BB2836" s="426"/>
      <c r="BF2836" s="315"/>
      <c r="BG2836" s="42"/>
    </row>
    <row r="2837" spans="50:59" x14ac:dyDescent="0.2">
      <c r="AX2837" s="315"/>
      <c r="AY2837" s="326"/>
      <c r="AZ2837" s="175"/>
      <c r="BA2837" s="42"/>
      <c r="BB2837" s="426"/>
      <c r="BF2837" s="315"/>
      <c r="BG2837" s="42"/>
    </row>
    <row r="2838" spans="50:59" x14ac:dyDescent="0.2">
      <c r="AX2838" s="315"/>
      <c r="AY2838" s="326"/>
      <c r="AZ2838" s="175"/>
      <c r="BA2838" s="42"/>
      <c r="BB2838" s="426"/>
      <c r="BF2838" s="315"/>
      <c r="BG2838" s="42"/>
    </row>
    <row r="2839" spans="50:59" x14ac:dyDescent="0.2">
      <c r="AX2839" s="315"/>
      <c r="AY2839" s="326"/>
      <c r="AZ2839" s="175"/>
      <c r="BA2839" s="42"/>
      <c r="BB2839" s="426"/>
      <c r="BF2839" s="315"/>
      <c r="BG2839" s="42"/>
    </row>
    <row r="2840" spans="50:59" x14ac:dyDescent="0.2">
      <c r="AX2840" s="315"/>
      <c r="AY2840" s="326"/>
      <c r="AZ2840" s="175"/>
      <c r="BA2840" s="42"/>
      <c r="BB2840" s="426"/>
      <c r="BF2840" s="315"/>
      <c r="BG2840" s="42"/>
    </row>
    <row r="2841" spans="50:59" x14ac:dyDescent="0.2">
      <c r="AX2841" s="315"/>
      <c r="AY2841" s="326"/>
      <c r="AZ2841" s="175"/>
      <c r="BA2841" s="42"/>
      <c r="BB2841" s="426"/>
      <c r="BF2841" s="315"/>
      <c r="BG2841" s="42"/>
    </row>
    <row r="2842" spans="50:59" x14ac:dyDescent="0.2">
      <c r="AX2842" s="315"/>
      <c r="AY2842" s="326"/>
      <c r="AZ2842" s="175"/>
      <c r="BA2842" s="42"/>
      <c r="BB2842" s="426"/>
      <c r="BF2842" s="315"/>
      <c r="BG2842" s="42"/>
    </row>
    <row r="2843" spans="50:59" x14ac:dyDescent="0.2">
      <c r="AX2843" s="315"/>
      <c r="AY2843" s="326"/>
      <c r="AZ2843" s="175"/>
      <c r="BA2843" s="42"/>
      <c r="BB2843" s="426"/>
      <c r="BF2843" s="315"/>
      <c r="BG2843" s="42"/>
    </row>
    <row r="2844" spans="50:59" x14ac:dyDescent="0.2">
      <c r="AX2844" s="315"/>
      <c r="AY2844" s="326"/>
      <c r="AZ2844" s="175"/>
      <c r="BA2844" s="42"/>
      <c r="BB2844" s="426"/>
      <c r="BF2844" s="315"/>
      <c r="BG2844" s="42"/>
    </row>
    <row r="2845" spans="50:59" x14ac:dyDescent="0.2">
      <c r="AX2845" s="315"/>
      <c r="AY2845" s="326"/>
      <c r="AZ2845" s="175"/>
      <c r="BA2845" s="42"/>
      <c r="BB2845" s="426"/>
      <c r="BF2845" s="315"/>
      <c r="BG2845" s="42"/>
    </row>
    <row r="2846" spans="50:59" x14ac:dyDescent="0.2">
      <c r="AX2846" s="315"/>
      <c r="AY2846" s="326"/>
      <c r="AZ2846" s="175"/>
      <c r="BA2846" s="42"/>
      <c r="BB2846" s="426"/>
      <c r="BF2846" s="315"/>
      <c r="BG2846" s="42"/>
    </row>
    <row r="2847" spans="50:59" x14ac:dyDescent="0.2">
      <c r="AX2847" s="315"/>
      <c r="AY2847" s="326"/>
      <c r="AZ2847" s="175"/>
      <c r="BA2847" s="42"/>
      <c r="BB2847" s="426"/>
      <c r="BF2847" s="315"/>
      <c r="BG2847" s="42"/>
    </row>
    <row r="2848" spans="50:59" x14ac:dyDescent="0.2">
      <c r="AX2848" s="315"/>
      <c r="AY2848" s="326"/>
      <c r="AZ2848" s="175"/>
      <c r="BA2848" s="42"/>
      <c r="BB2848" s="426"/>
      <c r="BF2848" s="315"/>
      <c r="BG2848" s="42"/>
    </row>
    <row r="2849" spans="50:59" x14ac:dyDescent="0.2">
      <c r="AX2849" s="315"/>
      <c r="AY2849" s="326"/>
      <c r="AZ2849" s="175"/>
      <c r="BA2849" s="42"/>
      <c r="BB2849" s="426"/>
      <c r="BF2849" s="315"/>
      <c r="BG2849" s="42"/>
    </row>
    <row r="2850" spans="50:59" x14ac:dyDescent="0.2">
      <c r="AX2850" s="315"/>
      <c r="AY2850" s="326"/>
      <c r="AZ2850" s="175"/>
      <c r="BA2850" s="42"/>
      <c r="BB2850" s="426"/>
      <c r="BF2850" s="315"/>
      <c r="BG2850" s="42"/>
    </row>
    <row r="2851" spans="50:59" x14ac:dyDescent="0.2">
      <c r="AX2851" s="315"/>
      <c r="AY2851" s="326"/>
      <c r="AZ2851" s="175"/>
      <c r="BA2851" s="42"/>
      <c r="BB2851" s="426"/>
      <c r="BF2851" s="315"/>
      <c r="BG2851" s="42"/>
    </row>
    <row r="2852" spans="50:59" x14ac:dyDescent="0.2">
      <c r="AX2852" s="315"/>
      <c r="AY2852" s="326"/>
      <c r="AZ2852" s="175"/>
      <c r="BA2852" s="42"/>
      <c r="BB2852" s="426"/>
      <c r="BF2852" s="315"/>
      <c r="BG2852" s="42"/>
    </row>
    <row r="2853" spans="50:59" x14ac:dyDescent="0.2">
      <c r="AX2853" s="315"/>
      <c r="AY2853" s="326"/>
      <c r="AZ2853" s="175"/>
      <c r="BA2853" s="42"/>
      <c r="BB2853" s="426"/>
      <c r="BF2853" s="315"/>
      <c r="BG2853" s="42"/>
    </row>
    <row r="2854" spans="50:59" x14ac:dyDescent="0.2">
      <c r="AX2854" s="315"/>
      <c r="AY2854" s="326"/>
      <c r="AZ2854" s="175"/>
      <c r="BA2854" s="42"/>
      <c r="BB2854" s="426"/>
      <c r="BF2854" s="315"/>
      <c r="BG2854" s="42"/>
    </row>
    <row r="2855" spans="50:59" x14ac:dyDescent="0.2">
      <c r="AX2855" s="315"/>
      <c r="AY2855" s="326"/>
      <c r="AZ2855" s="175"/>
      <c r="BA2855" s="42"/>
      <c r="BB2855" s="426"/>
      <c r="BF2855" s="315"/>
      <c r="BG2855" s="42"/>
    </row>
    <row r="2856" spans="50:59" x14ac:dyDescent="0.2">
      <c r="AX2856" s="315"/>
      <c r="AY2856" s="326"/>
      <c r="AZ2856" s="175"/>
      <c r="BA2856" s="42"/>
      <c r="BB2856" s="426"/>
      <c r="BF2856" s="315"/>
      <c r="BG2856" s="42"/>
    </row>
    <row r="2857" spans="50:59" x14ac:dyDescent="0.2">
      <c r="AX2857" s="315"/>
      <c r="AY2857" s="326"/>
      <c r="AZ2857" s="175"/>
      <c r="BA2857" s="42"/>
      <c r="BB2857" s="426"/>
      <c r="BF2857" s="315"/>
      <c r="BG2857" s="42"/>
    </row>
    <row r="2858" spans="50:59" x14ac:dyDescent="0.2">
      <c r="AX2858" s="315"/>
      <c r="AY2858" s="326"/>
      <c r="AZ2858" s="175"/>
      <c r="BA2858" s="42"/>
      <c r="BB2858" s="426"/>
      <c r="BF2858" s="315"/>
      <c r="BG2858" s="42"/>
    </row>
    <row r="2859" spans="50:59" x14ac:dyDescent="0.2">
      <c r="AX2859" s="315"/>
      <c r="AY2859" s="326"/>
      <c r="AZ2859" s="175"/>
      <c r="BA2859" s="42"/>
      <c r="BB2859" s="426"/>
      <c r="BF2859" s="315"/>
      <c r="BG2859" s="42"/>
    </row>
    <row r="2860" spans="50:59" x14ac:dyDescent="0.2">
      <c r="AX2860" s="315"/>
      <c r="AY2860" s="326"/>
      <c r="AZ2860" s="175"/>
      <c r="BA2860" s="42"/>
      <c r="BB2860" s="426"/>
      <c r="BF2860" s="315"/>
      <c r="BG2860" s="42"/>
    </row>
    <row r="2861" spans="50:59" x14ac:dyDescent="0.2">
      <c r="AX2861" s="315"/>
      <c r="AY2861" s="326"/>
      <c r="AZ2861" s="175"/>
      <c r="BA2861" s="42"/>
      <c r="BB2861" s="426"/>
      <c r="BF2861" s="315"/>
      <c r="BG2861" s="42"/>
    </row>
    <row r="2862" spans="50:59" x14ac:dyDescent="0.2">
      <c r="AX2862" s="315"/>
      <c r="AY2862" s="326"/>
      <c r="AZ2862" s="175"/>
      <c r="BA2862" s="42"/>
      <c r="BB2862" s="426"/>
      <c r="BF2862" s="315"/>
      <c r="BG2862" s="42"/>
    </row>
    <row r="2863" spans="50:59" x14ac:dyDescent="0.2">
      <c r="AX2863" s="315"/>
      <c r="AY2863" s="326"/>
      <c r="AZ2863" s="175"/>
      <c r="BA2863" s="42"/>
      <c r="BB2863" s="426"/>
      <c r="BF2863" s="315"/>
      <c r="BG2863" s="42"/>
    </row>
    <row r="2864" spans="50:59" x14ac:dyDescent="0.2">
      <c r="AX2864" s="315"/>
      <c r="AY2864" s="326"/>
      <c r="AZ2864" s="175"/>
      <c r="BA2864" s="42"/>
      <c r="BB2864" s="426"/>
      <c r="BF2864" s="315"/>
      <c r="BG2864" s="42"/>
    </row>
    <row r="2865" spans="50:59" x14ac:dyDescent="0.2">
      <c r="AX2865" s="315"/>
      <c r="AY2865" s="326"/>
      <c r="AZ2865" s="175"/>
      <c r="BA2865" s="42"/>
      <c r="BB2865" s="426"/>
      <c r="BF2865" s="315"/>
      <c r="BG2865" s="42"/>
    </row>
    <row r="2866" spans="50:59" x14ac:dyDescent="0.2">
      <c r="AX2866" s="315"/>
      <c r="AY2866" s="326"/>
      <c r="AZ2866" s="175"/>
      <c r="BA2866" s="42"/>
      <c r="BB2866" s="426"/>
      <c r="BF2866" s="315"/>
      <c r="BG2866" s="42"/>
    </row>
    <row r="2867" spans="50:59" x14ac:dyDescent="0.2">
      <c r="AX2867" s="315"/>
      <c r="AY2867" s="326"/>
      <c r="AZ2867" s="175"/>
      <c r="BA2867" s="42"/>
      <c r="BB2867" s="426"/>
      <c r="BF2867" s="315"/>
      <c r="BG2867" s="42"/>
    </row>
    <row r="2868" spans="50:59" x14ac:dyDescent="0.2">
      <c r="AX2868" s="315"/>
      <c r="AY2868" s="326"/>
      <c r="AZ2868" s="175"/>
      <c r="BA2868" s="42"/>
      <c r="BB2868" s="426"/>
      <c r="BF2868" s="315"/>
      <c r="BG2868" s="42"/>
    </row>
    <row r="2869" spans="50:59" x14ac:dyDescent="0.2">
      <c r="AX2869" s="315"/>
      <c r="AY2869" s="326"/>
      <c r="AZ2869" s="175"/>
      <c r="BA2869" s="42"/>
      <c r="BB2869" s="426"/>
      <c r="BF2869" s="315"/>
      <c r="BG2869" s="42"/>
    </row>
    <row r="2870" spans="50:59" x14ac:dyDescent="0.2">
      <c r="AX2870" s="315"/>
      <c r="AY2870" s="326"/>
      <c r="AZ2870" s="175"/>
      <c r="BA2870" s="42"/>
      <c r="BB2870" s="426"/>
      <c r="BF2870" s="315"/>
      <c r="BG2870" s="42"/>
    </row>
    <row r="2871" spans="50:59" x14ac:dyDescent="0.2">
      <c r="AX2871" s="315"/>
      <c r="AY2871" s="326"/>
      <c r="AZ2871" s="175"/>
      <c r="BA2871" s="42"/>
      <c r="BB2871" s="426"/>
      <c r="BF2871" s="315"/>
      <c r="BG2871" s="42"/>
    </row>
    <row r="2872" spans="50:59" x14ac:dyDescent="0.2">
      <c r="AX2872" s="315"/>
      <c r="AY2872" s="326"/>
      <c r="AZ2872" s="175"/>
      <c r="BA2872" s="42"/>
      <c r="BB2872" s="426"/>
      <c r="BF2872" s="315"/>
      <c r="BG2872" s="42"/>
    </row>
    <row r="2873" spans="50:59" x14ac:dyDescent="0.2">
      <c r="AX2873" s="315"/>
      <c r="AY2873" s="326"/>
      <c r="AZ2873" s="175"/>
      <c r="BA2873" s="42"/>
      <c r="BB2873" s="426"/>
      <c r="BF2873" s="315"/>
      <c r="BG2873" s="42"/>
    </row>
    <row r="2874" spans="50:59" x14ac:dyDescent="0.2">
      <c r="AX2874" s="315"/>
      <c r="AY2874" s="326"/>
      <c r="AZ2874" s="175"/>
      <c r="BA2874" s="42"/>
      <c r="BB2874" s="426"/>
      <c r="BF2874" s="315"/>
      <c r="BG2874" s="42"/>
    </row>
    <row r="2875" spans="50:59" x14ac:dyDescent="0.2">
      <c r="AX2875" s="315"/>
      <c r="AY2875" s="326"/>
      <c r="AZ2875" s="175"/>
      <c r="BA2875" s="42"/>
      <c r="BB2875" s="426"/>
      <c r="BF2875" s="315"/>
      <c r="BG2875" s="42"/>
    </row>
    <row r="2876" spans="50:59" x14ac:dyDescent="0.2">
      <c r="AX2876" s="315"/>
      <c r="AY2876" s="326"/>
      <c r="AZ2876" s="175"/>
      <c r="BA2876" s="42"/>
      <c r="BB2876" s="426"/>
      <c r="BF2876" s="315"/>
      <c r="BG2876" s="42"/>
    </row>
    <row r="2877" spans="50:59" x14ac:dyDescent="0.2">
      <c r="AX2877" s="315"/>
      <c r="AY2877" s="326"/>
      <c r="AZ2877" s="175"/>
      <c r="BA2877" s="42"/>
      <c r="BB2877" s="426"/>
      <c r="BF2877" s="315"/>
      <c r="BG2877" s="42"/>
    </row>
    <row r="2878" spans="50:59" x14ac:dyDescent="0.2">
      <c r="AX2878" s="315"/>
      <c r="AY2878" s="326"/>
      <c r="AZ2878" s="175"/>
      <c r="BA2878" s="42"/>
      <c r="BB2878" s="426"/>
      <c r="BF2878" s="315"/>
      <c r="BG2878" s="42"/>
    </row>
    <row r="2879" spans="50:59" x14ac:dyDescent="0.2">
      <c r="AX2879" s="315"/>
      <c r="AY2879" s="326"/>
      <c r="AZ2879" s="175"/>
      <c r="BA2879" s="42"/>
      <c r="BB2879" s="426"/>
      <c r="BF2879" s="315"/>
      <c r="BG2879" s="42"/>
    </row>
    <row r="2880" spans="50:59" x14ac:dyDescent="0.2">
      <c r="AX2880" s="315"/>
      <c r="AY2880" s="326"/>
      <c r="AZ2880" s="175"/>
      <c r="BA2880" s="42"/>
      <c r="BB2880" s="426"/>
      <c r="BF2880" s="315"/>
      <c r="BG2880" s="42"/>
    </row>
    <row r="2881" spans="50:59" x14ac:dyDescent="0.2">
      <c r="AX2881" s="315"/>
      <c r="AY2881" s="326"/>
      <c r="AZ2881" s="175"/>
      <c r="BA2881" s="42"/>
      <c r="BB2881" s="426"/>
      <c r="BF2881" s="315"/>
      <c r="BG2881" s="42"/>
    </row>
    <row r="2882" spans="50:59" x14ac:dyDescent="0.2">
      <c r="AX2882" s="315"/>
      <c r="AY2882" s="326"/>
      <c r="AZ2882" s="175"/>
      <c r="BA2882" s="42"/>
      <c r="BB2882" s="426"/>
      <c r="BF2882" s="315"/>
      <c r="BG2882" s="42"/>
    </row>
    <row r="2883" spans="50:59" x14ac:dyDescent="0.2">
      <c r="AX2883" s="315"/>
      <c r="AY2883" s="326"/>
      <c r="AZ2883" s="175"/>
      <c r="BA2883" s="42"/>
      <c r="BB2883" s="426"/>
      <c r="BF2883" s="315"/>
      <c r="BG2883" s="42"/>
    </row>
    <row r="2884" spans="50:59" x14ac:dyDescent="0.2">
      <c r="AX2884" s="315"/>
      <c r="AY2884" s="326"/>
      <c r="AZ2884" s="175"/>
      <c r="BA2884" s="42"/>
      <c r="BB2884" s="426"/>
      <c r="BF2884" s="315"/>
      <c r="BG2884" s="42"/>
    </row>
    <row r="2885" spans="50:59" x14ac:dyDescent="0.2">
      <c r="AX2885" s="315"/>
      <c r="AY2885" s="326"/>
      <c r="AZ2885" s="175"/>
      <c r="BA2885" s="42"/>
      <c r="BB2885" s="426"/>
      <c r="BF2885" s="315"/>
      <c r="BG2885" s="42"/>
    </row>
    <row r="2886" spans="50:59" x14ac:dyDescent="0.2">
      <c r="AX2886" s="315"/>
      <c r="AY2886" s="326"/>
      <c r="AZ2886" s="175"/>
      <c r="BA2886" s="42"/>
      <c r="BB2886" s="426"/>
      <c r="BF2886" s="315"/>
      <c r="BG2886" s="42"/>
    </row>
    <row r="2887" spans="50:59" x14ac:dyDescent="0.2">
      <c r="AX2887" s="315"/>
      <c r="AY2887" s="326"/>
      <c r="AZ2887" s="175"/>
      <c r="BA2887" s="42"/>
      <c r="BB2887" s="426"/>
      <c r="BF2887" s="315"/>
      <c r="BG2887" s="42"/>
    </row>
    <row r="2888" spans="50:59" x14ac:dyDescent="0.2">
      <c r="AX2888" s="315"/>
      <c r="AY2888" s="326"/>
      <c r="AZ2888" s="175"/>
      <c r="BA2888" s="42"/>
      <c r="BB2888" s="426"/>
      <c r="BF2888" s="315"/>
      <c r="BG2888" s="42"/>
    </row>
    <row r="2889" spans="50:59" x14ac:dyDescent="0.2">
      <c r="AX2889" s="315"/>
      <c r="AY2889" s="326"/>
      <c r="AZ2889" s="175"/>
      <c r="BA2889" s="42"/>
      <c r="BB2889" s="426"/>
      <c r="BF2889" s="315"/>
      <c r="BG2889" s="42"/>
    </row>
    <row r="2890" spans="50:59" x14ac:dyDescent="0.2">
      <c r="AX2890" s="315"/>
      <c r="AY2890" s="326"/>
      <c r="AZ2890" s="175"/>
      <c r="BA2890" s="42"/>
      <c r="BB2890" s="426"/>
      <c r="BF2890" s="315"/>
      <c r="BG2890" s="42"/>
    </row>
    <row r="2891" spans="50:59" x14ac:dyDescent="0.2">
      <c r="AX2891" s="315"/>
      <c r="AY2891" s="326"/>
      <c r="AZ2891" s="175"/>
      <c r="BA2891" s="42"/>
      <c r="BB2891" s="426"/>
      <c r="BF2891" s="315"/>
      <c r="BG2891" s="42"/>
    </row>
    <row r="2892" spans="50:59" x14ac:dyDescent="0.2">
      <c r="AX2892" s="315"/>
      <c r="AY2892" s="326"/>
      <c r="AZ2892" s="175"/>
      <c r="BA2892" s="42"/>
      <c r="BB2892" s="426"/>
      <c r="BF2892" s="315"/>
      <c r="BG2892" s="42"/>
    </row>
    <row r="2893" spans="50:59" x14ac:dyDescent="0.2">
      <c r="AX2893" s="315"/>
      <c r="AY2893" s="326"/>
      <c r="AZ2893" s="175"/>
      <c r="BA2893" s="42"/>
      <c r="BB2893" s="426"/>
      <c r="BF2893" s="315"/>
      <c r="BG2893" s="42"/>
    </row>
    <row r="2894" spans="50:59" x14ac:dyDescent="0.2">
      <c r="AX2894" s="315"/>
      <c r="AY2894" s="326"/>
      <c r="AZ2894" s="175"/>
      <c r="BA2894" s="42"/>
      <c r="BB2894" s="426"/>
      <c r="BF2894" s="315"/>
      <c r="BG2894" s="42"/>
    </row>
    <row r="2895" spans="50:59" x14ac:dyDescent="0.2">
      <c r="AX2895" s="315"/>
      <c r="AY2895" s="326"/>
      <c r="AZ2895" s="175"/>
      <c r="BA2895" s="42"/>
      <c r="BB2895" s="426"/>
      <c r="BF2895" s="315"/>
      <c r="BG2895" s="42"/>
    </row>
    <row r="2896" spans="50:59" x14ac:dyDescent="0.2">
      <c r="AX2896" s="315"/>
      <c r="AY2896" s="326"/>
      <c r="AZ2896" s="175"/>
      <c r="BA2896" s="42"/>
      <c r="BB2896" s="426"/>
      <c r="BF2896" s="315"/>
      <c r="BG2896" s="42"/>
    </row>
    <row r="2897" spans="50:59" x14ac:dyDescent="0.2">
      <c r="AX2897" s="315"/>
      <c r="AY2897" s="326"/>
      <c r="AZ2897" s="175"/>
      <c r="BA2897" s="42"/>
      <c r="BB2897" s="426"/>
      <c r="BF2897" s="315"/>
      <c r="BG2897" s="42"/>
    </row>
    <row r="2898" spans="50:59" x14ac:dyDescent="0.2">
      <c r="AX2898" s="315"/>
      <c r="AY2898" s="326"/>
      <c r="AZ2898" s="175"/>
      <c r="BA2898" s="42"/>
      <c r="BB2898" s="426"/>
      <c r="BF2898" s="315"/>
      <c r="BG2898" s="42"/>
    </row>
    <row r="2899" spans="50:59" x14ac:dyDescent="0.2">
      <c r="AX2899" s="315"/>
      <c r="AY2899" s="326"/>
      <c r="AZ2899" s="175"/>
      <c r="BA2899" s="42"/>
      <c r="BB2899" s="426"/>
      <c r="BF2899" s="315"/>
      <c r="BG2899" s="42"/>
    </row>
    <row r="2900" spans="50:59" x14ac:dyDescent="0.2">
      <c r="AX2900" s="315"/>
      <c r="AY2900" s="326"/>
      <c r="AZ2900" s="175"/>
      <c r="BA2900" s="42"/>
      <c r="BB2900" s="426"/>
      <c r="BF2900" s="315"/>
      <c r="BG2900" s="42"/>
    </row>
    <row r="2901" spans="50:59" x14ac:dyDescent="0.2">
      <c r="AX2901" s="315"/>
      <c r="AY2901" s="326"/>
      <c r="AZ2901" s="175"/>
      <c r="BA2901" s="42"/>
      <c r="BB2901" s="426"/>
      <c r="BF2901" s="315"/>
      <c r="BG2901" s="42"/>
    </row>
    <row r="2902" spans="50:59" x14ac:dyDescent="0.2">
      <c r="AX2902" s="315"/>
      <c r="AY2902" s="326"/>
      <c r="AZ2902" s="175"/>
      <c r="BA2902" s="42"/>
      <c r="BB2902" s="426"/>
      <c r="BF2902" s="315"/>
      <c r="BG2902" s="42"/>
    </row>
    <row r="2903" spans="50:59" x14ac:dyDescent="0.2">
      <c r="AX2903" s="315"/>
      <c r="AY2903" s="326"/>
      <c r="AZ2903" s="175"/>
      <c r="BA2903" s="42"/>
      <c r="BB2903" s="426"/>
      <c r="BF2903" s="315"/>
      <c r="BG2903" s="42"/>
    </row>
    <row r="2904" spans="50:59" x14ac:dyDescent="0.2">
      <c r="AX2904" s="315"/>
      <c r="AY2904" s="326"/>
      <c r="AZ2904" s="175"/>
      <c r="BA2904" s="42"/>
      <c r="BB2904" s="426"/>
      <c r="BF2904" s="315"/>
      <c r="BG2904" s="42"/>
    </row>
    <row r="2905" spans="50:59" x14ac:dyDescent="0.2">
      <c r="AX2905" s="315"/>
      <c r="AY2905" s="326"/>
      <c r="AZ2905" s="175"/>
      <c r="BA2905" s="42"/>
      <c r="BB2905" s="426"/>
      <c r="BF2905" s="315"/>
      <c r="BG2905" s="42"/>
    </row>
    <row r="2906" spans="50:59" x14ac:dyDescent="0.2">
      <c r="AX2906" s="315"/>
      <c r="AY2906" s="326"/>
      <c r="AZ2906" s="175"/>
      <c r="BA2906" s="42"/>
      <c r="BB2906" s="426"/>
      <c r="BF2906" s="315"/>
      <c r="BG2906" s="42"/>
    </row>
    <row r="2907" spans="50:59" x14ac:dyDescent="0.2">
      <c r="AX2907" s="315"/>
      <c r="AY2907" s="326"/>
      <c r="AZ2907" s="175"/>
      <c r="BA2907" s="42"/>
      <c r="BB2907" s="426"/>
      <c r="BF2907" s="315"/>
      <c r="BG2907" s="42"/>
    </row>
    <row r="2908" spans="50:59" x14ac:dyDescent="0.2">
      <c r="AX2908" s="315"/>
      <c r="AY2908" s="326"/>
      <c r="AZ2908" s="175"/>
      <c r="BA2908" s="42"/>
      <c r="BB2908" s="426"/>
      <c r="BF2908" s="315"/>
      <c r="BG2908" s="42"/>
    </row>
    <row r="2909" spans="50:59" x14ac:dyDescent="0.2">
      <c r="AX2909" s="315"/>
      <c r="AY2909" s="326"/>
      <c r="AZ2909" s="175"/>
      <c r="BA2909" s="42"/>
      <c r="BB2909" s="426"/>
      <c r="BF2909" s="315"/>
      <c r="BG2909" s="42"/>
    </row>
    <row r="2910" spans="50:59" x14ac:dyDescent="0.2">
      <c r="AX2910" s="315"/>
      <c r="AY2910" s="326"/>
      <c r="AZ2910" s="175"/>
      <c r="BA2910" s="42"/>
      <c r="BB2910" s="426"/>
      <c r="BF2910" s="315"/>
      <c r="BG2910" s="42"/>
    </row>
    <row r="2911" spans="50:59" x14ac:dyDescent="0.2">
      <c r="AX2911" s="315"/>
      <c r="AY2911" s="326"/>
      <c r="AZ2911" s="175"/>
      <c r="BA2911" s="42"/>
      <c r="BB2911" s="426"/>
      <c r="BF2911" s="315"/>
      <c r="BG2911" s="42"/>
    </row>
    <row r="2912" spans="50:59" x14ac:dyDescent="0.2">
      <c r="AX2912" s="315"/>
      <c r="AY2912" s="326"/>
      <c r="AZ2912" s="175"/>
      <c r="BA2912" s="42"/>
      <c r="BB2912" s="426"/>
      <c r="BF2912" s="315"/>
      <c r="BG2912" s="42"/>
    </row>
    <row r="2913" spans="50:59" x14ac:dyDescent="0.2">
      <c r="AX2913" s="315"/>
      <c r="AY2913" s="326"/>
      <c r="AZ2913" s="175"/>
      <c r="BA2913" s="42"/>
      <c r="BB2913" s="426"/>
      <c r="BF2913" s="315"/>
      <c r="BG2913" s="42"/>
    </row>
    <row r="2914" spans="50:59" x14ac:dyDescent="0.2">
      <c r="AX2914" s="315"/>
      <c r="AY2914" s="326"/>
      <c r="AZ2914" s="175"/>
      <c r="BA2914" s="42"/>
      <c r="BB2914" s="426"/>
      <c r="BF2914" s="315"/>
      <c r="BG2914" s="42"/>
    </row>
    <row r="2915" spans="50:59" x14ac:dyDescent="0.2">
      <c r="AX2915" s="315"/>
      <c r="AY2915" s="326"/>
      <c r="AZ2915" s="175"/>
      <c r="BA2915" s="42"/>
      <c r="BB2915" s="426"/>
      <c r="BF2915" s="315"/>
      <c r="BG2915" s="42"/>
    </row>
    <row r="2916" spans="50:59" x14ac:dyDescent="0.2">
      <c r="AX2916" s="315"/>
      <c r="AY2916" s="326"/>
      <c r="AZ2916" s="175"/>
      <c r="BA2916" s="42"/>
      <c r="BB2916" s="426"/>
      <c r="BF2916" s="315"/>
      <c r="BG2916" s="42"/>
    </row>
    <row r="2917" spans="50:59" x14ac:dyDescent="0.2">
      <c r="AX2917" s="315"/>
      <c r="AY2917" s="326"/>
      <c r="AZ2917" s="175"/>
      <c r="BA2917" s="42"/>
      <c r="BB2917" s="426"/>
      <c r="BF2917" s="315"/>
      <c r="BG2917" s="42"/>
    </row>
    <row r="2918" spans="50:59" x14ac:dyDescent="0.2">
      <c r="AX2918" s="315"/>
      <c r="AY2918" s="326"/>
      <c r="AZ2918" s="175"/>
      <c r="BA2918" s="42"/>
      <c r="BB2918" s="426"/>
      <c r="BF2918" s="315"/>
      <c r="BG2918" s="42"/>
    </row>
    <row r="2919" spans="50:59" x14ac:dyDescent="0.2">
      <c r="AX2919" s="315"/>
      <c r="AY2919" s="326"/>
      <c r="AZ2919" s="175"/>
      <c r="BA2919" s="42"/>
      <c r="BB2919" s="426"/>
      <c r="BF2919" s="315"/>
      <c r="BG2919" s="42"/>
    </row>
    <row r="2920" spans="50:59" x14ac:dyDescent="0.2">
      <c r="AX2920" s="315"/>
      <c r="AY2920" s="326"/>
      <c r="AZ2920" s="175"/>
      <c r="BA2920" s="42"/>
      <c r="BB2920" s="426"/>
      <c r="BF2920" s="315"/>
      <c r="BG2920" s="42"/>
    </row>
    <row r="2921" spans="50:59" x14ac:dyDescent="0.2">
      <c r="AX2921" s="315"/>
      <c r="AY2921" s="326"/>
      <c r="AZ2921" s="175"/>
      <c r="BA2921" s="42"/>
      <c r="BB2921" s="426"/>
      <c r="BF2921" s="315"/>
      <c r="BG2921" s="42"/>
    </row>
    <row r="2922" spans="50:59" x14ac:dyDescent="0.2">
      <c r="AX2922" s="315"/>
      <c r="AY2922" s="326"/>
      <c r="AZ2922" s="175"/>
      <c r="BA2922" s="42"/>
      <c r="BB2922" s="426"/>
      <c r="BF2922" s="315"/>
      <c r="BG2922" s="42"/>
    </row>
    <row r="2923" spans="50:59" x14ac:dyDescent="0.2">
      <c r="AX2923" s="315"/>
      <c r="AY2923" s="326"/>
      <c r="AZ2923" s="175"/>
      <c r="BA2923" s="42"/>
      <c r="BB2923" s="426"/>
      <c r="BF2923" s="315"/>
      <c r="BG2923" s="42"/>
    </row>
    <row r="2924" spans="50:59" x14ac:dyDescent="0.2">
      <c r="AX2924" s="315"/>
      <c r="AY2924" s="326"/>
      <c r="AZ2924" s="175"/>
      <c r="BA2924" s="42"/>
      <c r="BB2924" s="426"/>
      <c r="BF2924" s="315"/>
      <c r="BG2924" s="42"/>
    </row>
    <row r="2925" spans="50:59" x14ac:dyDescent="0.2">
      <c r="AX2925" s="315"/>
      <c r="AY2925" s="326"/>
      <c r="AZ2925" s="175"/>
      <c r="BA2925" s="42"/>
      <c r="BB2925" s="426"/>
      <c r="BF2925" s="315"/>
      <c r="BG2925" s="42"/>
    </row>
    <row r="2926" spans="50:59" x14ac:dyDescent="0.2">
      <c r="AX2926" s="315"/>
      <c r="AY2926" s="326"/>
      <c r="AZ2926" s="175"/>
      <c r="BA2926" s="42"/>
      <c r="BB2926" s="426"/>
      <c r="BF2926" s="315"/>
      <c r="BG2926" s="42"/>
    </row>
    <row r="2927" spans="50:59" x14ac:dyDescent="0.2">
      <c r="AX2927" s="315"/>
      <c r="AY2927" s="326"/>
      <c r="AZ2927" s="175"/>
      <c r="BA2927" s="42"/>
      <c r="BB2927" s="426"/>
      <c r="BF2927" s="315"/>
      <c r="BG2927" s="42"/>
    </row>
    <row r="2928" spans="50:59" x14ac:dyDescent="0.2">
      <c r="AX2928" s="315"/>
      <c r="AY2928" s="326"/>
      <c r="AZ2928" s="175"/>
      <c r="BA2928" s="42"/>
      <c r="BB2928" s="426"/>
      <c r="BF2928" s="315"/>
      <c r="BG2928" s="42"/>
    </row>
    <row r="2929" spans="50:59" x14ac:dyDescent="0.2">
      <c r="AX2929" s="315"/>
      <c r="AY2929" s="326"/>
      <c r="AZ2929" s="175"/>
      <c r="BA2929" s="42"/>
      <c r="BB2929" s="426"/>
      <c r="BF2929" s="315"/>
      <c r="BG2929" s="42"/>
    </row>
    <row r="2930" spans="50:59" x14ac:dyDescent="0.2">
      <c r="AX2930" s="315"/>
      <c r="AY2930" s="326"/>
      <c r="AZ2930" s="175"/>
      <c r="BA2930" s="42"/>
      <c r="BB2930" s="426"/>
      <c r="BF2930" s="315"/>
      <c r="BG2930" s="42"/>
    </row>
    <row r="2931" spans="50:59" x14ac:dyDescent="0.2">
      <c r="AX2931" s="315"/>
      <c r="AY2931" s="326"/>
      <c r="AZ2931" s="175"/>
      <c r="BA2931" s="42"/>
      <c r="BB2931" s="426"/>
      <c r="BF2931" s="315"/>
      <c r="BG2931" s="42"/>
    </row>
    <row r="2932" spans="50:59" x14ac:dyDescent="0.2">
      <c r="AX2932" s="315"/>
      <c r="AY2932" s="326"/>
      <c r="AZ2932" s="175"/>
      <c r="BA2932" s="42"/>
      <c r="BB2932" s="426"/>
      <c r="BF2932" s="315"/>
      <c r="BG2932" s="42"/>
    </row>
    <row r="2933" spans="50:59" x14ac:dyDescent="0.2">
      <c r="AX2933" s="315"/>
      <c r="AY2933" s="326"/>
      <c r="AZ2933" s="175"/>
      <c r="BA2933" s="42"/>
      <c r="BB2933" s="426"/>
      <c r="BF2933" s="315"/>
      <c r="BG2933" s="42"/>
    </row>
    <row r="2934" spans="50:59" x14ac:dyDescent="0.2">
      <c r="AX2934" s="315"/>
      <c r="AY2934" s="326"/>
      <c r="AZ2934" s="175"/>
      <c r="BA2934" s="42"/>
      <c r="BB2934" s="426"/>
      <c r="BF2934" s="315"/>
      <c r="BG2934" s="42"/>
    </row>
    <row r="2935" spans="50:59" x14ac:dyDescent="0.2">
      <c r="AX2935" s="315"/>
      <c r="AY2935" s="326"/>
      <c r="AZ2935" s="175"/>
      <c r="BA2935" s="42"/>
      <c r="BB2935" s="426"/>
      <c r="BF2935" s="315"/>
      <c r="BG2935" s="42"/>
    </row>
    <row r="2936" spans="50:59" x14ac:dyDescent="0.2">
      <c r="AX2936" s="315"/>
      <c r="AY2936" s="326"/>
      <c r="AZ2936" s="175"/>
      <c r="BA2936" s="42"/>
      <c r="BB2936" s="426"/>
      <c r="BF2936" s="315"/>
      <c r="BG2936" s="42"/>
    </row>
    <row r="2937" spans="50:59" x14ac:dyDescent="0.2">
      <c r="AX2937" s="315"/>
      <c r="AY2937" s="326"/>
      <c r="AZ2937" s="175"/>
      <c r="BA2937" s="42"/>
      <c r="BB2937" s="426"/>
      <c r="BF2937" s="315"/>
      <c r="BG2937" s="42"/>
    </row>
    <row r="2938" spans="50:59" x14ac:dyDescent="0.2">
      <c r="AX2938" s="315"/>
      <c r="AY2938" s="326"/>
      <c r="AZ2938" s="175"/>
      <c r="BA2938" s="42"/>
      <c r="BB2938" s="426"/>
      <c r="BF2938" s="315"/>
      <c r="BG2938" s="42"/>
    </row>
    <row r="2939" spans="50:59" x14ac:dyDescent="0.2">
      <c r="AX2939" s="315"/>
      <c r="AY2939" s="326"/>
      <c r="AZ2939" s="175"/>
      <c r="BA2939" s="42"/>
      <c r="BB2939" s="426"/>
      <c r="BF2939" s="315"/>
      <c r="BG2939" s="42"/>
    </row>
    <row r="2940" spans="50:59" x14ac:dyDescent="0.2">
      <c r="AX2940" s="315"/>
      <c r="AY2940" s="326"/>
      <c r="AZ2940" s="175"/>
      <c r="BA2940" s="42"/>
      <c r="BB2940" s="426"/>
      <c r="BF2940" s="315"/>
      <c r="BG2940" s="42"/>
    </row>
    <row r="2941" spans="50:59" x14ac:dyDescent="0.2">
      <c r="AX2941" s="315"/>
      <c r="AY2941" s="326"/>
      <c r="AZ2941" s="175"/>
      <c r="BA2941" s="42"/>
      <c r="BB2941" s="426"/>
      <c r="BF2941" s="315"/>
      <c r="BG2941" s="42"/>
    </row>
    <row r="2942" spans="50:59" x14ac:dyDescent="0.2">
      <c r="AX2942" s="315"/>
      <c r="AY2942" s="326"/>
      <c r="AZ2942" s="175"/>
      <c r="BA2942" s="42"/>
      <c r="BB2942" s="426"/>
      <c r="BF2942" s="315"/>
      <c r="BG2942" s="42"/>
    </row>
    <row r="2943" spans="50:59" x14ac:dyDescent="0.2">
      <c r="AX2943" s="315"/>
      <c r="AY2943" s="326"/>
      <c r="AZ2943" s="175"/>
      <c r="BA2943" s="42"/>
      <c r="BB2943" s="426"/>
      <c r="BF2943" s="315"/>
      <c r="BG2943" s="42"/>
    </row>
    <row r="2944" spans="50:59" x14ac:dyDescent="0.2">
      <c r="AX2944" s="315"/>
      <c r="AY2944" s="326"/>
      <c r="AZ2944" s="175"/>
      <c r="BA2944" s="42"/>
      <c r="BB2944" s="426"/>
      <c r="BF2944" s="315"/>
      <c r="BG2944" s="42"/>
    </row>
    <row r="2945" spans="50:59" x14ac:dyDescent="0.2">
      <c r="AX2945" s="315"/>
      <c r="AY2945" s="326"/>
      <c r="AZ2945" s="175"/>
      <c r="BA2945" s="42"/>
      <c r="BB2945" s="426"/>
      <c r="BF2945" s="315"/>
      <c r="BG2945" s="42"/>
    </row>
    <row r="2946" spans="50:59" x14ac:dyDescent="0.2">
      <c r="AX2946" s="315"/>
      <c r="AY2946" s="326"/>
      <c r="AZ2946" s="175"/>
      <c r="BA2946" s="42"/>
      <c r="BB2946" s="426"/>
      <c r="BF2946" s="315"/>
      <c r="BG2946" s="42"/>
    </row>
    <row r="2947" spans="50:59" x14ac:dyDescent="0.2">
      <c r="AX2947" s="315"/>
      <c r="AY2947" s="326"/>
      <c r="AZ2947" s="175"/>
      <c r="BA2947" s="42"/>
      <c r="BB2947" s="426"/>
      <c r="BF2947" s="315"/>
      <c r="BG2947" s="42"/>
    </row>
    <row r="2948" spans="50:59" x14ac:dyDescent="0.2">
      <c r="AX2948" s="315"/>
      <c r="AY2948" s="326"/>
      <c r="AZ2948" s="175"/>
      <c r="BA2948" s="42"/>
      <c r="BB2948" s="426"/>
      <c r="BF2948" s="315"/>
      <c r="BG2948" s="42"/>
    </row>
    <row r="2949" spans="50:59" x14ac:dyDescent="0.2">
      <c r="AX2949" s="315"/>
      <c r="AY2949" s="326"/>
      <c r="AZ2949" s="175"/>
      <c r="BA2949" s="42"/>
      <c r="BB2949" s="426"/>
      <c r="BF2949" s="315"/>
      <c r="BG2949" s="42"/>
    </row>
    <row r="2950" spans="50:59" x14ac:dyDescent="0.2">
      <c r="AX2950" s="315"/>
      <c r="AY2950" s="326"/>
      <c r="AZ2950" s="175"/>
      <c r="BA2950" s="42"/>
      <c r="BB2950" s="426"/>
      <c r="BF2950" s="315"/>
      <c r="BG2950" s="42"/>
    </row>
    <row r="2951" spans="50:59" x14ac:dyDescent="0.2">
      <c r="AX2951" s="315"/>
      <c r="AY2951" s="326"/>
      <c r="AZ2951" s="175"/>
      <c r="BA2951" s="42"/>
      <c r="BB2951" s="426"/>
      <c r="BF2951" s="315"/>
      <c r="BG2951" s="42"/>
    </row>
    <row r="2952" spans="50:59" x14ac:dyDescent="0.2">
      <c r="AX2952" s="315"/>
      <c r="AY2952" s="326"/>
      <c r="AZ2952" s="175"/>
      <c r="BA2952" s="42"/>
      <c r="BB2952" s="426"/>
      <c r="BF2952" s="315"/>
      <c r="BG2952" s="42"/>
    </row>
    <row r="2953" spans="50:59" x14ac:dyDescent="0.2">
      <c r="AX2953" s="315"/>
      <c r="AY2953" s="326"/>
      <c r="AZ2953" s="175"/>
      <c r="BA2953" s="42"/>
      <c r="BB2953" s="426"/>
      <c r="BF2953" s="315"/>
      <c r="BG2953" s="42"/>
    </row>
    <row r="2954" spans="50:59" x14ac:dyDescent="0.2">
      <c r="AX2954" s="315"/>
      <c r="AY2954" s="326"/>
      <c r="AZ2954" s="175"/>
      <c r="BA2954" s="42"/>
      <c r="BB2954" s="426"/>
      <c r="BF2954" s="315"/>
      <c r="BG2954" s="42"/>
    </row>
    <row r="2955" spans="50:59" x14ac:dyDescent="0.2">
      <c r="AX2955" s="315"/>
      <c r="AY2955" s="326"/>
      <c r="AZ2955" s="175"/>
      <c r="BA2955" s="42"/>
      <c r="BB2955" s="426"/>
      <c r="BF2955" s="315"/>
      <c r="BG2955" s="42"/>
    </row>
    <row r="2956" spans="50:59" x14ac:dyDescent="0.2">
      <c r="AX2956" s="315"/>
      <c r="AY2956" s="326"/>
      <c r="AZ2956" s="175"/>
      <c r="BA2956" s="42"/>
      <c r="BB2956" s="426"/>
      <c r="BF2956" s="315"/>
      <c r="BG2956" s="42"/>
    </row>
    <row r="2957" spans="50:59" x14ac:dyDescent="0.2">
      <c r="AX2957" s="315"/>
      <c r="AY2957" s="326"/>
      <c r="AZ2957" s="175"/>
      <c r="BA2957" s="42"/>
      <c r="BB2957" s="426"/>
      <c r="BF2957" s="315"/>
      <c r="BG2957" s="42"/>
    </row>
    <row r="2958" spans="50:59" x14ac:dyDescent="0.2">
      <c r="AX2958" s="315"/>
      <c r="AY2958" s="326"/>
      <c r="AZ2958" s="175"/>
      <c r="BA2958" s="42"/>
      <c r="BB2958" s="426"/>
      <c r="BF2958" s="315"/>
      <c r="BG2958" s="42"/>
    </row>
    <row r="2959" spans="50:59" x14ac:dyDescent="0.2">
      <c r="AX2959" s="315"/>
      <c r="AY2959" s="326"/>
      <c r="AZ2959" s="175"/>
      <c r="BA2959" s="42"/>
      <c r="BB2959" s="426"/>
      <c r="BF2959" s="315"/>
      <c r="BG2959" s="42"/>
    </row>
    <row r="2960" spans="50:59" x14ac:dyDescent="0.2">
      <c r="AX2960" s="315"/>
      <c r="AY2960" s="326"/>
      <c r="AZ2960" s="175"/>
      <c r="BA2960" s="42"/>
      <c r="BB2960" s="426"/>
      <c r="BF2960" s="315"/>
      <c r="BG2960" s="42"/>
    </row>
    <row r="2961" spans="50:59" x14ac:dyDescent="0.2">
      <c r="AX2961" s="315"/>
      <c r="AY2961" s="326"/>
      <c r="AZ2961" s="175"/>
      <c r="BA2961" s="42"/>
      <c r="BB2961" s="426"/>
      <c r="BF2961" s="315"/>
      <c r="BG2961" s="42"/>
    </row>
    <row r="2962" spans="50:59" x14ac:dyDescent="0.2">
      <c r="AX2962" s="315"/>
      <c r="AY2962" s="326"/>
      <c r="AZ2962" s="175"/>
      <c r="BA2962" s="42"/>
      <c r="BB2962" s="426"/>
      <c r="BF2962" s="315"/>
      <c r="BG2962" s="42"/>
    </row>
    <row r="2963" spans="50:59" x14ac:dyDescent="0.2">
      <c r="AX2963" s="315"/>
      <c r="AY2963" s="326"/>
      <c r="AZ2963" s="175"/>
      <c r="BA2963" s="42"/>
      <c r="BB2963" s="426"/>
      <c r="BF2963" s="315"/>
      <c r="BG2963" s="42"/>
    </row>
    <row r="2964" spans="50:59" x14ac:dyDescent="0.2">
      <c r="AX2964" s="315"/>
      <c r="AY2964" s="326"/>
      <c r="AZ2964" s="175"/>
      <c r="BA2964" s="42"/>
      <c r="BB2964" s="426"/>
      <c r="BF2964" s="315"/>
      <c r="BG2964" s="42"/>
    </row>
    <row r="2965" spans="50:59" x14ac:dyDescent="0.2">
      <c r="AX2965" s="315"/>
      <c r="AY2965" s="326"/>
      <c r="AZ2965" s="175"/>
      <c r="BA2965" s="42"/>
      <c r="BB2965" s="426"/>
      <c r="BF2965" s="315"/>
      <c r="BG2965" s="42"/>
    </row>
    <row r="2966" spans="50:59" x14ac:dyDescent="0.2">
      <c r="AX2966" s="315"/>
      <c r="AY2966" s="326"/>
      <c r="AZ2966" s="175"/>
      <c r="BA2966" s="42"/>
      <c r="BB2966" s="426"/>
      <c r="BF2966" s="315"/>
      <c r="BG2966" s="42"/>
    </row>
    <row r="2967" spans="50:59" x14ac:dyDescent="0.2">
      <c r="AX2967" s="315"/>
      <c r="AY2967" s="326"/>
      <c r="AZ2967" s="175"/>
      <c r="BA2967" s="42"/>
      <c r="BB2967" s="426"/>
      <c r="BF2967" s="315"/>
      <c r="BG2967" s="42"/>
    </row>
    <row r="2968" spans="50:59" x14ac:dyDescent="0.2">
      <c r="AX2968" s="315"/>
      <c r="AY2968" s="326"/>
      <c r="AZ2968" s="175"/>
      <c r="BA2968" s="42"/>
      <c r="BB2968" s="426"/>
      <c r="BF2968" s="315"/>
      <c r="BG2968" s="42"/>
    </row>
    <row r="2969" spans="50:59" x14ac:dyDescent="0.2">
      <c r="AX2969" s="315"/>
      <c r="AY2969" s="326"/>
      <c r="AZ2969" s="175"/>
      <c r="BA2969" s="42"/>
      <c r="BB2969" s="426"/>
      <c r="BF2969" s="315"/>
      <c r="BG2969" s="42"/>
    </row>
    <row r="2970" spans="50:59" x14ac:dyDescent="0.2">
      <c r="AX2970" s="315"/>
      <c r="AY2970" s="326"/>
      <c r="AZ2970" s="175"/>
      <c r="BA2970" s="42"/>
      <c r="BB2970" s="426"/>
      <c r="BF2970" s="315"/>
      <c r="BG2970" s="42"/>
    </row>
    <row r="2971" spans="50:59" x14ac:dyDescent="0.2">
      <c r="AX2971" s="315"/>
      <c r="AY2971" s="326"/>
      <c r="AZ2971" s="175"/>
      <c r="BA2971" s="42"/>
      <c r="BB2971" s="426"/>
      <c r="BF2971" s="315"/>
      <c r="BG2971" s="42"/>
    </row>
    <row r="2972" spans="50:59" x14ac:dyDescent="0.2">
      <c r="AX2972" s="315"/>
      <c r="AY2972" s="326"/>
      <c r="AZ2972" s="175"/>
      <c r="BA2972" s="42"/>
      <c r="BB2972" s="426"/>
      <c r="BF2972" s="315"/>
      <c r="BG2972" s="42"/>
    </row>
    <row r="2973" spans="50:59" x14ac:dyDescent="0.2">
      <c r="AX2973" s="315"/>
      <c r="AY2973" s="326"/>
      <c r="AZ2973" s="175"/>
      <c r="BA2973" s="42"/>
      <c r="BB2973" s="426"/>
      <c r="BF2973" s="315"/>
      <c r="BG2973" s="42"/>
    </row>
    <row r="2974" spans="50:59" x14ac:dyDescent="0.2">
      <c r="AX2974" s="315"/>
      <c r="AY2974" s="326"/>
      <c r="AZ2974" s="175"/>
      <c r="BA2974" s="42"/>
      <c r="BB2974" s="426"/>
      <c r="BF2974" s="315"/>
      <c r="BG2974" s="42"/>
    </row>
    <row r="2975" spans="50:59" x14ac:dyDescent="0.2">
      <c r="AX2975" s="315"/>
      <c r="AY2975" s="326"/>
      <c r="AZ2975" s="175"/>
      <c r="BA2975" s="42"/>
      <c r="BB2975" s="426"/>
      <c r="BF2975" s="315"/>
      <c r="BG2975" s="42"/>
    </row>
    <row r="2976" spans="50:59" x14ac:dyDescent="0.2">
      <c r="AX2976" s="315"/>
      <c r="AY2976" s="326"/>
      <c r="AZ2976" s="175"/>
      <c r="BA2976" s="42"/>
      <c r="BB2976" s="426"/>
      <c r="BF2976" s="315"/>
      <c r="BG2976" s="42"/>
    </row>
    <row r="2977" spans="50:59" x14ac:dyDescent="0.2">
      <c r="AX2977" s="315"/>
      <c r="AY2977" s="326"/>
      <c r="AZ2977" s="175"/>
      <c r="BA2977" s="42"/>
      <c r="BB2977" s="426"/>
      <c r="BF2977" s="315"/>
      <c r="BG2977" s="42"/>
    </row>
    <row r="2978" spans="50:59" x14ac:dyDescent="0.2">
      <c r="AX2978" s="315"/>
      <c r="AY2978" s="326"/>
      <c r="AZ2978" s="175"/>
      <c r="BA2978" s="42"/>
      <c r="BB2978" s="426"/>
      <c r="BF2978" s="315"/>
      <c r="BG2978" s="42"/>
    </row>
    <row r="2979" spans="50:59" x14ac:dyDescent="0.2">
      <c r="AX2979" s="315"/>
      <c r="AY2979" s="326"/>
      <c r="AZ2979" s="175"/>
      <c r="BA2979" s="42"/>
      <c r="BB2979" s="426"/>
      <c r="BF2979" s="315"/>
      <c r="BG2979" s="42"/>
    </row>
    <row r="2980" spans="50:59" x14ac:dyDescent="0.2">
      <c r="AX2980" s="315"/>
      <c r="AY2980" s="326"/>
      <c r="AZ2980" s="175"/>
      <c r="BA2980" s="42"/>
      <c r="BB2980" s="426"/>
      <c r="BF2980" s="315"/>
      <c r="BG2980" s="42"/>
    </row>
    <row r="2981" spans="50:59" x14ac:dyDescent="0.2">
      <c r="AX2981" s="315"/>
      <c r="AY2981" s="326"/>
      <c r="AZ2981" s="175"/>
      <c r="BA2981" s="42"/>
      <c r="BB2981" s="426"/>
      <c r="BF2981" s="315"/>
      <c r="BG2981" s="42"/>
    </row>
    <row r="2982" spans="50:59" x14ac:dyDescent="0.2">
      <c r="AX2982" s="315"/>
      <c r="AY2982" s="326"/>
      <c r="AZ2982" s="175"/>
      <c r="BA2982" s="42"/>
      <c r="BB2982" s="426"/>
      <c r="BF2982" s="315"/>
      <c r="BG2982" s="42"/>
    </row>
    <row r="2983" spans="50:59" x14ac:dyDescent="0.2">
      <c r="AX2983" s="315"/>
      <c r="AY2983" s="326"/>
      <c r="AZ2983" s="175"/>
      <c r="BA2983" s="42"/>
      <c r="BB2983" s="426"/>
      <c r="BF2983" s="315"/>
      <c r="BG2983" s="42"/>
    </row>
    <row r="2984" spans="50:59" x14ac:dyDescent="0.2">
      <c r="AX2984" s="315"/>
      <c r="AY2984" s="326"/>
      <c r="AZ2984" s="175"/>
      <c r="BA2984" s="42"/>
      <c r="BB2984" s="426"/>
      <c r="BF2984" s="315"/>
      <c r="BG2984" s="42"/>
    </row>
    <row r="2985" spans="50:59" x14ac:dyDescent="0.2">
      <c r="AX2985" s="315"/>
      <c r="AY2985" s="326"/>
      <c r="AZ2985" s="175"/>
      <c r="BA2985" s="42"/>
      <c r="BB2985" s="426"/>
      <c r="BF2985" s="315"/>
      <c r="BG2985" s="42"/>
    </row>
    <row r="2986" spans="50:59" x14ac:dyDescent="0.2">
      <c r="AX2986" s="315"/>
      <c r="AY2986" s="326"/>
      <c r="AZ2986" s="175"/>
      <c r="BA2986" s="42"/>
      <c r="BB2986" s="426"/>
      <c r="BF2986" s="315"/>
      <c r="BG2986" s="42"/>
    </row>
    <row r="2987" spans="50:59" x14ac:dyDescent="0.2">
      <c r="AX2987" s="315"/>
      <c r="AY2987" s="326"/>
      <c r="AZ2987" s="175"/>
      <c r="BA2987" s="42"/>
      <c r="BB2987" s="426"/>
      <c r="BF2987" s="315"/>
      <c r="BG2987" s="42"/>
    </row>
    <row r="2988" spans="50:59" x14ac:dyDescent="0.2">
      <c r="AX2988" s="315"/>
      <c r="AY2988" s="326"/>
      <c r="AZ2988" s="175"/>
      <c r="BA2988" s="42"/>
      <c r="BB2988" s="426"/>
      <c r="BF2988" s="315"/>
      <c r="BG2988" s="42"/>
    </row>
    <row r="2989" spans="50:59" x14ac:dyDescent="0.2">
      <c r="AX2989" s="315"/>
      <c r="AY2989" s="326"/>
      <c r="AZ2989" s="175"/>
      <c r="BA2989" s="42"/>
      <c r="BB2989" s="426"/>
      <c r="BF2989" s="315"/>
      <c r="BG2989" s="42"/>
    </row>
    <row r="2990" spans="50:59" x14ac:dyDescent="0.2">
      <c r="AX2990" s="315"/>
      <c r="AY2990" s="326"/>
      <c r="AZ2990" s="175"/>
      <c r="BA2990" s="42"/>
      <c r="BB2990" s="426"/>
      <c r="BF2990" s="315"/>
      <c r="BG2990" s="42"/>
    </row>
    <row r="2991" spans="50:59" x14ac:dyDescent="0.2">
      <c r="AX2991" s="315"/>
      <c r="AY2991" s="326"/>
      <c r="AZ2991" s="175"/>
      <c r="BA2991" s="42"/>
      <c r="BB2991" s="426"/>
      <c r="BF2991" s="315"/>
      <c r="BG2991" s="42"/>
    </row>
    <row r="2992" spans="50:59" x14ac:dyDescent="0.2">
      <c r="AX2992" s="315"/>
      <c r="AY2992" s="326"/>
      <c r="AZ2992" s="175"/>
      <c r="BA2992" s="42"/>
      <c r="BB2992" s="426"/>
      <c r="BF2992" s="315"/>
      <c r="BG2992" s="42"/>
    </row>
    <row r="2993" spans="50:59" x14ac:dyDescent="0.2">
      <c r="AX2993" s="315"/>
      <c r="AY2993" s="326"/>
      <c r="AZ2993" s="175"/>
      <c r="BA2993" s="42"/>
      <c r="BB2993" s="426"/>
      <c r="BF2993" s="315"/>
      <c r="BG2993" s="42"/>
    </row>
    <row r="2994" spans="50:59" x14ac:dyDescent="0.2">
      <c r="AX2994" s="315"/>
      <c r="AY2994" s="326"/>
      <c r="AZ2994" s="175"/>
      <c r="BA2994" s="42"/>
      <c r="BB2994" s="426"/>
      <c r="BF2994" s="315"/>
      <c r="BG2994" s="42"/>
    </row>
    <row r="2995" spans="50:59" x14ac:dyDescent="0.2">
      <c r="AX2995" s="315"/>
      <c r="AY2995" s="326"/>
      <c r="AZ2995" s="175"/>
      <c r="BA2995" s="42"/>
      <c r="BB2995" s="426"/>
      <c r="BF2995" s="315"/>
      <c r="BG2995" s="42"/>
    </row>
    <row r="2996" spans="50:59" x14ac:dyDescent="0.2">
      <c r="AX2996" s="315"/>
      <c r="AY2996" s="326"/>
      <c r="AZ2996" s="175"/>
      <c r="BA2996" s="42"/>
      <c r="BB2996" s="426"/>
      <c r="BF2996" s="315"/>
      <c r="BG2996" s="42"/>
    </row>
    <row r="2997" spans="50:59" x14ac:dyDescent="0.2">
      <c r="AX2997" s="315"/>
      <c r="AY2997" s="326"/>
      <c r="AZ2997" s="175"/>
      <c r="BA2997" s="42"/>
      <c r="BB2997" s="426"/>
      <c r="BF2997" s="315"/>
      <c r="BG2997" s="42"/>
    </row>
    <row r="2998" spans="50:59" x14ac:dyDescent="0.2">
      <c r="AX2998" s="315"/>
      <c r="AY2998" s="326"/>
      <c r="AZ2998" s="175"/>
      <c r="BA2998" s="42"/>
      <c r="BB2998" s="426"/>
      <c r="BF2998" s="315"/>
      <c r="BG2998" s="42"/>
    </row>
    <row r="2999" spans="50:59" x14ac:dyDescent="0.2">
      <c r="AX2999" s="315"/>
      <c r="AY2999" s="326"/>
      <c r="AZ2999" s="175"/>
      <c r="BA2999" s="42"/>
      <c r="BB2999" s="426"/>
      <c r="BF2999" s="315"/>
      <c r="BG2999" s="42"/>
    </row>
    <row r="3000" spans="50:59" x14ac:dyDescent="0.2">
      <c r="AX3000" s="315"/>
      <c r="AY3000" s="326"/>
      <c r="AZ3000" s="175"/>
      <c r="BA3000" s="42"/>
      <c r="BB3000" s="426"/>
      <c r="BF3000" s="315"/>
      <c r="BG3000" s="42"/>
    </row>
    <row r="3001" spans="50:59" x14ac:dyDescent="0.2">
      <c r="AX3001" s="315"/>
      <c r="AY3001" s="326"/>
      <c r="AZ3001" s="175"/>
      <c r="BA3001" s="42"/>
      <c r="BB3001" s="426"/>
      <c r="BF3001" s="315"/>
      <c r="BG3001" s="42"/>
    </row>
    <row r="3002" spans="50:59" x14ac:dyDescent="0.2">
      <c r="AX3002" s="315"/>
      <c r="AY3002" s="326"/>
      <c r="AZ3002" s="175"/>
      <c r="BA3002" s="42"/>
      <c r="BB3002" s="426"/>
      <c r="BF3002" s="315"/>
      <c r="BG3002" s="42"/>
    </row>
    <row r="3003" spans="50:59" x14ac:dyDescent="0.2">
      <c r="AX3003" s="315"/>
      <c r="AY3003" s="326"/>
      <c r="AZ3003" s="175"/>
      <c r="BA3003" s="42"/>
      <c r="BB3003" s="426"/>
      <c r="BF3003" s="315"/>
      <c r="BG3003" s="42"/>
    </row>
    <row r="3004" spans="50:59" x14ac:dyDescent="0.2">
      <c r="AX3004" s="315"/>
      <c r="AY3004" s="326"/>
      <c r="AZ3004" s="175"/>
      <c r="BA3004" s="42"/>
      <c r="BB3004" s="426"/>
      <c r="BF3004" s="315"/>
      <c r="BG3004" s="42"/>
    </row>
    <row r="3005" spans="50:59" x14ac:dyDescent="0.2">
      <c r="AX3005" s="315"/>
      <c r="AY3005" s="326"/>
      <c r="AZ3005" s="175"/>
      <c r="BA3005" s="42"/>
      <c r="BB3005" s="426"/>
      <c r="BF3005" s="315"/>
      <c r="BG3005" s="42"/>
    </row>
    <row r="3006" spans="50:59" x14ac:dyDescent="0.2">
      <c r="AX3006" s="315"/>
      <c r="AY3006" s="326"/>
      <c r="AZ3006" s="175"/>
      <c r="BA3006" s="42"/>
      <c r="BB3006" s="426"/>
      <c r="BF3006" s="315"/>
      <c r="BG3006" s="42"/>
    </row>
    <row r="3007" spans="50:59" x14ac:dyDescent="0.2">
      <c r="AX3007" s="315"/>
      <c r="AY3007" s="326"/>
      <c r="AZ3007" s="175"/>
      <c r="BA3007" s="42"/>
      <c r="BB3007" s="426"/>
      <c r="BF3007" s="315"/>
      <c r="BG3007" s="42"/>
    </row>
    <row r="3008" spans="50:59" x14ac:dyDescent="0.2">
      <c r="AX3008" s="315"/>
      <c r="AY3008" s="326"/>
      <c r="AZ3008" s="175"/>
      <c r="BA3008" s="42"/>
      <c r="BB3008" s="426"/>
      <c r="BF3008" s="315"/>
      <c r="BG3008" s="42"/>
    </row>
    <row r="3009" spans="50:59" x14ac:dyDescent="0.2">
      <c r="AX3009" s="315"/>
      <c r="AY3009" s="326"/>
      <c r="AZ3009" s="175"/>
      <c r="BA3009" s="42"/>
      <c r="BB3009" s="426"/>
      <c r="BF3009" s="315"/>
      <c r="BG3009" s="42"/>
    </row>
    <row r="3010" spans="50:59" x14ac:dyDescent="0.2">
      <c r="AX3010" s="315"/>
      <c r="AY3010" s="326"/>
      <c r="AZ3010" s="175"/>
      <c r="BA3010" s="42"/>
      <c r="BB3010" s="426"/>
      <c r="BF3010" s="315"/>
      <c r="BG3010" s="42"/>
    </row>
    <row r="3011" spans="50:59" x14ac:dyDescent="0.2">
      <c r="AX3011" s="315"/>
      <c r="AY3011" s="326"/>
      <c r="AZ3011" s="175"/>
      <c r="BA3011" s="42"/>
      <c r="BB3011" s="426"/>
      <c r="BF3011" s="315"/>
      <c r="BG3011" s="42"/>
    </row>
    <row r="3012" spans="50:59" x14ac:dyDescent="0.2">
      <c r="AX3012" s="315"/>
      <c r="AY3012" s="326"/>
      <c r="AZ3012" s="175"/>
      <c r="BA3012" s="42"/>
      <c r="BB3012" s="426"/>
      <c r="BF3012" s="315"/>
      <c r="BG3012" s="42"/>
    </row>
    <row r="3013" spans="50:59" x14ac:dyDescent="0.2">
      <c r="AX3013" s="315"/>
      <c r="AY3013" s="326"/>
      <c r="AZ3013" s="175"/>
      <c r="BA3013" s="42"/>
      <c r="BB3013" s="426"/>
      <c r="BF3013" s="315"/>
      <c r="BG3013" s="42"/>
    </row>
    <row r="3014" spans="50:59" x14ac:dyDescent="0.2">
      <c r="AX3014" s="315"/>
      <c r="AY3014" s="326"/>
      <c r="AZ3014" s="175"/>
      <c r="BA3014" s="42"/>
      <c r="BB3014" s="426"/>
      <c r="BF3014" s="315"/>
      <c r="BG3014" s="42"/>
    </row>
    <row r="3015" spans="50:59" x14ac:dyDescent="0.2">
      <c r="AX3015" s="315"/>
      <c r="AY3015" s="326"/>
      <c r="AZ3015" s="175"/>
      <c r="BA3015" s="42"/>
      <c r="BB3015" s="426"/>
      <c r="BF3015" s="315"/>
      <c r="BG3015" s="42"/>
    </row>
    <row r="3016" spans="50:59" x14ac:dyDescent="0.2">
      <c r="AX3016" s="315"/>
      <c r="AY3016" s="326"/>
      <c r="AZ3016" s="175"/>
      <c r="BA3016" s="42"/>
      <c r="BB3016" s="426"/>
      <c r="BF3016" s="315"/>
      <c r="BG3016" s="42"/>
    </row>
    <row r="3017" spans="50:59" x14ac:dyDescent="0.2">
      <c r="AX3017" s="315"/>
      <c r="AY3017" s="326"/>
      <c r="AZ3017" s="175"/>
      <c r="BA3017" s="42"/>
      <c r="BB3017" s="426"/>
      <c r="BF3017" s="315"/>
      <c r="BG3017" s="42"/>
    </row>
    <row r="3018" spans="50:59" x14ac:dyDescent="0.2">
      <c r="AX3018" s="315"/>
      <c r="AY3018" s="326"/>
      <c r="AZ3018" s="175"/>
      <c r="BA3018" s="42"/>
      <c r="BB3018" s="426"/>
      <c r="BF3018" s="315"/>
      <c r="BG3018" s="42"/>
    </row>
    <row r="3019" spans="50:59" x14ac:dyDescent="0.2">
      <c r="AX3019" s="315"/>
      <c r="AY3019" s="326"/>
      <c r="AZ3019" s="175"/>
      <c r="BA3019" s="42"/>
      <c r="BB3019" s="426"/>
      <c r="BF3019" s="315"/>
      <c r="BG3019" s="42"/>
    </row>
    <row r="3020" spans="50:59" x14ac:dyDescent="0.2">
      <c r="AX3020" s="315"/>
      <c r="AY3020" s="326"/>
      <c r="AZ3020" s="175"/>
      <c r="BA3020" s="42"/>
      <c r="BB3020" s="426"/>
      <c r="BF3020" s="315"/>
      <c r="BG3020" s="42"/>
    </row>
    <row r="3021" spans="50:59" x14ac:dyDescent="0.2">
      <c r="AX3021" s="315"/>
      <c r="AY3021" s="326"/>
      <c r="AZ3021" s="175"/>
      <c r="BA3021" s="42"/>
      <c r="BB3021" s="426"/>
      <c r="BF3021" s="315"/>
      <c r="BG3021" s="42"/>
    </row>
    <row r="3022" spans="50:59" x14ac:dyDescent="0.2">
      <c r="AX3022" s="315"/>
      <c r="AY3022" s="326"/>
      <c r="AZ3022" s="175"/>
      <c r="BA3022" s="42"/>
      <c r="BB3022" s="426"/>
      <c r="BF3022" s="315"/>
      <c r="BG3022" s="42"/>
    </row>
    <row r="3023" spans="50:59" x14ac:dyDescent="0.2">
      <c r="AX3023" s="315"/>
      <c r="AY3023" s="326"/>
      <c r="AZ3023" s="175"/>
      <c r="BA3023" s="42"/>
      <c r="BB3023" s="426"/>
      <c r="BF3023" s="315"/>
      <c r="BG3023" s="42"/>
    </row>
    <row r="3024" spans="50:59" x14ac:dyDescent="0.2">
      <c r="AX3024" s="315"/>
      <c r="AY3024" s="326"/>
      <c r="AZ3024" s="175"/>
      <c r="BA3024" s="42"/>
      <c r="BB3024" s="426"/>
      <c r="BF3024" s="315"/>
      <c r="BG3024" s="42"/>
    </row>
    <row r="3025" spans="50:59" x14ac:dyDescent="0.2">
      <c r="AX3025" s="315"/>
      <c r="AY3025" s="326"/>
      <c r="AZ3025" s="175"/>
      <c r="BA3025" s="42"/>
      <c r="BB3025" s="426"/>
      <c r="BF3025" s="315"/>
      <c r="BG3025" s="42"/>
    </row>
    <row r="3026" spans="50:59" x14ac:dyDescent="0.2">
      <c r="AX3026" s="315"/>
      <c r="AY3026" s="326"/>
      <c r="AZ3026" s="175"/>
      <c r="BA3026" s="42"/>
      <c r="BB3026" s="426"/>
      <c r="BF3026" s="315"/>
      <c r="BG3026" s="42"/>
    </row>
    <row r="3027" spans="50:59" x14ac:dyDescent="0.2">
      <c r="AX3027" s="315"/>
      <c r="AY3027" s="326"/>
      <c r="AZ3027" s="175"/>
      <c r="BA3027" s="42"/>
      <c r="BB3027" s="426"/>
      <c r="BF3027" s="315"/>
      <c r="BG3027" s="42"/>
    </row>
    <row r="3028" spans="50:59" x14ac:dyDescent="0.2">
      <c r="AX3028" s="315"/>
      <c r="AY3028" s="326"/>
      <c r="AZ3028" s="175"/>
      <c r="BA3028" s="42"/>
      <c r="BB3028" s="426"/>
      <c r="BF3028" s="315"/>
      <c r="BG3028" s="42"/>
    </row>
    <row r="3029" spans="50:59" x14ac:dyDescent="0.2">
      <c r="AX3029" s="315"/>
      <c r="AY3029" s="326"/>
      <c r="AZ3029" s="175"/>
      <c r="BA3029" s="42"/>
      <c r="BB3029" s="426"/>
      <c r="BF3029" s="315"/>
      <c r="BG3029" s="42"/>
    </row>
    <row r="3030" spans="50:59" x14ac:dyDescent="0.2">
      <c r="AX3030" s="315"/>
      <c r="AY3030" s="326"/>
      <c r="AZ3030" s="175"/>
      <c r="BA3030" s="42"/>
      <c r="BB3030" s="426"/>
      <c r="BF3030" s="315"/>
      <c r="BG3030" s="42"/>
    </row>
    <row r="3031" spans="50:59" x14ac:dyDescent="0.2">
      <c r="AX3031" s="315"/>
      <c r="AY3031" s="326"/>
      <c r="AZ3031" s="175"/>
      <c r="BA3031" s="42"/>
      <c r="BB3031" s="426"/>
      <c r="BF3031" s="315"/>
      <c r="BG3031" s="42"/>
    </row>
    <row r="3032" spans="50:59" x14ac:dyDescent="0.2">
      <c r="AX3032" s="315"/>
      <c r="AY3032" s="326"/>
      <c r="AZ3032" s="175"/>
      <c r="BA3032" s="42"/>
      <c r="BB3032" s="426"/>
      <c r="BF3032" s="315"/>
      <c r="BG3032" s="42"/>
    </row>
    <row r="3033" spans="50:59" x14ac:dyDescent="0.2">
      <c r="AX3033" s="315"/>
      <c r="AY3033" s="326"/>
      <c r="AZ3033" s="175"/>
      <c r="BA3033" s="42"/>
      <c r="BB3033" s="426"/>
      <c r="BF3033" s="315"/>
      <c r="BG3033" s="42"/>
    </row>
    <row r="3034" spans="50:59" x14ac:dyDescent="0.2">
      <c r="AX3034" s="315"/>
      <c r="AY3034" s="326"/>
      <c r="AZ3034" s="175"/>
      <c r="BA3034" s="42"/>
      <c r="BB3034" s="426"/>
      <c r="BF3034" s="315"/>
      <c r="BG3034" s="42"/>
    </row>
    <row r="3035" spans="50:59" x14ac:dyDescent="0.2">
      <c r="AX3035" s="315"/>
      <c r="AY3035" s="326"/>
      <c r="AZ3035" s="175"/>
      <c r="BA3035" s="42"/>
      <c r="BB3035" s="426"/>
      <c r="BF3035" s="315"/>
      <c r="BG3035" s="42"/>
    </row>
    <row r="3036" spans="50:59" x14ac:dyDescent="0.2">
      <c r="AX3036" s="315"/>
      <c r="AY3036" s="326"/>
      <c r="AZ3036" s="175"/>
      <c r="BA3036" s="42"/>
      <c r="BB3036" s="426"/>
      <c r="BF3036" s="315"/>
      <c r="BG3036" s="42"/>
    </row>
    <row r="3037" spans="50:59" x14ac:dyDescent="0.2">
      <c r="AX3037" s="315"/>
      <c r="AY3037" s="326"/>
      <c r="AZ3037" s="175"/>
      <c r="BA3037" s="42"/>
      <c r="BB3037" s="426"/>
      <c r="BF3037" s="315"/>
      <c r="BG3037" s="42"/>
    </row>
    <row r="3038" spans="50:59" x14ac:dyDescent="0.2">
      <c r="AX3038" s="315"/>
      <c r="AY3038" s="326"/>
      <c r="AZ3038" s="175"/>
      <c r="BA3038" s="42"/>
      <c r="BB3038" s="426"/>
      <c r="BF3038" s="315"/>
      <c r="BG3038" s="42"/>
    </row>
    <row r="3039" spans="50:59" x14ac:dyDescent="0.2">
      <c r="AX3039" s="315"/>
      <c r="AY3039" s="326"/>
      <c r="AZ3039" s="175"/>
      <c r="BA3039" s="42"/>
      <c r="BB3039" s="426"/>
      <c r="BF3039" s="315"/>
      <c r="BG3039" s="42"/>
    </row>
    <row r="3040" spans="50:59" x14ac:dyDescent="0.2">
      <c r="AX3040" s="315"/>
      <c r="AY3040" s="326"/>
      <c r="AZ3040" s="175"/>
      <c r="BA3040" s="42"/>
      <c r="BB3040" s="426"/>
      <c r="BF3040" s="315"/>
      <c r="BG3040" s="42"/>
    </row>
    <row r="3041" spans="50:59" x14ac:dyDescent="0.2">
      <c r="AX3041" s="315"/>
      <c r="AY3041" s="326"/>
      <c r="AZ3041" s="175"/>
      <c r="BA3041" s="42"/>
      <c r="BB3041" s="426"/>
      <c r="BF3041" s="315"/>
      <c r="BG3041" s="42"/>
    </row>
    <row r="3042" spans="50:59" x14ac:dyDescent="0.2">
      <c r="AX3042" s="315"/>
      <c r="AY3042" s="326"/>
      <c r="AZ3042" s="175"/>
      <c r="BA3042" s="42"/>
      <c r="BB3042" s="426"/>
      <c r="BF3042" s="315"/>
      <c r="BG3042" s="42"/>
    </row>
    <row r="3043" spans="50:59" x14ac:dyDescent="0.2">
      <c r="AX3043" s="315"/>
      <c r="AY3043" s="326"/>
      <c r="AZ3043" s="175"/>
      <c r="BA3043" s="42"/>
      <c r="BB3043" s="426"/>
      <c r="BF3043" s="315"/>
      <c r="BG3043" s="42"/>
    </row>
    <row r="3044" spans="50:59" x14ac:dyDescent="0.2">
      <c r="AX3044" s="315"/>
      <c r="AY3044" s="326"/>
      <c r="AZ3044" s="175"/>
      <c r="BA3044" s="42"/>
      <c r="BB3044" s="426"/>
      <c r="BF3044" s="315"/>
      <c r="BG3044" s="42"/>
    </row>
    <row r="3045" spans="50:59" x14ac:dyDescent="0.2">
      <c r="AX3045" s="315"/>
      <c r="AY3045" s="326"/>
      <c r="AZ3045" s="175"/>
      <c r="BA3045" s="42"/>
      <c r="BB3045" s="426"/>
      <c r="BF3045" s="315"/>
      <c r="BG3045" s="42"/>
    </row>
    <row r="3046" spans="50:59" x14ac:dyDescent="0.2">
      <c r="AX3046" s="315"/>
      <c r="AY3046" s="326"/>
      <c r="AZ3046" s="175"/>
      <c r="BA3046" s="42"/>
      <c r="BB3046" s="426"/>
      <c r="BF3046" s="315"/>
      <c r="BG3046" s="42"/>
    </row>
    <row r="3047" spans="50:59" x14ac:dyDescent="0.2">
      <c r="AX3047" s="315"/>
      <c r="AY3047" s="326"/>
      <c r="AZ3047" s="175"/>
      <c r="BA3047" s="42"/>
      <c r="BB3047" s="426"/>
      <c r="BF3047" s="315"/>
      <c r="BG3047" s="42"/>
    </row>
    <row r="3048" spans="50:59" x14ac:dyDescent="0.2">
      <c r="AX3048" s="315"/>
      <c r="AY3048" s="326"/>
      <c r="AZ3048" s="175"/>
      <c r="BA3048" s="42"/>
      <c r="BB3048" s="426"/>
      <c r="BF3048" s="315"/>
      <c r="BG3048" s="42"/>
    </row>
    <row r="3049" spans="50:59" x14ac:dyDescent="0.2">
      <c r="AX3049" s="315"/>
      <c r="AY3049" s="326"/>
      <c r="AZ3049" s="175"/>
      <c r="BA3049" s="42"/>
      <c r="BB3049" s="426"/>
      <c r="BF3049" s="315"/>
      <c r="BG3049" s="42"/>
    </row>
    <row r="3050" spans="50:59" x14ac:dyDescent="0.2">
      <c r="AX3050" s="315"/>
      <c r="AY3050" s="326"/>
      <c r="AZ3050" s="175"/>
      <c r="BA3050" s="42"/>
      <c r="BB3050" s="426"/>
      <c r="BF3050" s="315"/>
      <c r="BG3050" s="42"/>
    </row>
    <row r="3051" spans="50:59" x14ac:dyDescent="0.2">
      <c r="AX3051" s="315"/>
      <c r="AY3051" s="326"/>
      <c r="AZ3051" s="175"/>
      <c r="BA3051" s="42"/>
      <c r="BB3051" s="426"/>
      <c r="BF3051" s="315"/>
      <c r="BG3051" s="42"/>
    </row>
    <row r="3052" spans="50:59" x14ac:dyDescent="0.2">
      <c r="AX3052" s="315"/>
      <c r="AY3052" s="326"/>
      <c r="AZ3052" s="175"/>
      <c r="BA3052" s="42"/>
      <c r="BB3052" s="426"/>
      <c r="BF3052" s="315"/>
      <c r="BG3052" s="42"/>
    </row>
    <row r="3053" spans="50:59" x14ac:dyDescent="0.2">
      <c r="AX3053" s="315"/>
      <c r="AY3053" s="326"/>
      <c r="AZ3053" s="175"/>
      <c r="BA3053" s="42"/>
      <c r="BB3053" s="426"/>
      <c r="BF3053" s="315"/>
      <c r="BG3053" s="42"/>
    </row>
    <row r="3054" spans="50:59" x14ac:dyDescent="0.2">
      <c r="AX3054" s="315"/>
      <c r="AY3054" s="326"/>
      <c r="AZ3054" s="175"/>
      <c r="BA3054" s="42"/>
      <c r="BB3054" s="426"/>
      <c r="BF3054" s="315"/>
      <c r="BG3054" s="42"/>
    </row>
    <row r="3055" spans="50:59" x14ac:dyDescent="0.2">
      <c r="AX3055" s="315"/>
      <c r="AY3055" s="326"/>
      <c r="AZ3055" s="175"/>
      <c r="BA3055" s="42"/>
      <c r="BB3055" s="426"/>
      <c r="BF3055" s="315"/>
      <c r="BG3055" s="42"/>
    </row>
    <row r="3056" spans="50:59" x14ac:dyDescent="0.2">
      <c r="AX3056" s="315"/>
      <c r="AY3056" s="326"/>
      <c r="AZ3056" s="175"/>
      <c r="BA3056" s="42"/>
      <c r="BB3056" s="426"/>
      <c r="BF3056" s="315"/>
      <c r="BG3056" s="42"/>
    </row>
    <row r="3057" spans="50:59" x14ac:dyDescent="0.2">
      <c r="AX3057" s="315"/>
      <c r="AY3057" s="326"/>
      <c r="AZ3057" s="175"/>
      <c r="BA3057" s="42"/>
      <c r="BB3057" s="426"/>
      <c r="BF3057" s="315"/>
      <c r="BG3057" s="42"/>
    </row>
    <row r="3058" spans="50:59" x14ac:dyDescent="0.2">
      <c r="AX3058" s="315"/>
      <c r="AY3058" s="326"/>
      <c r="AZ3058" s="175"/>
      <c r="BA3058" s="42"/>
      <c r="BB3058" s="426"/>
      <c r="BF3058" s="315"/>
      <c r="BG3058" s="42"/>
    </row>
    <row r="3059" spans="50:59" x14ac:dyDescent="0.2">
      <c r="AX3059" s="315"/>
      <c r="AY3059" s="326"/>
      <c r="AZ3059" s="175"/>
      <c r="BA3059" s="42"/>
      <c r="BB3059" s="426"/>
      <c r="BF3059" s="315"/>
      <c r="BG3059" s="42"/>
    </row>
    <row r="3060" spans="50:59" x14ac:dyDescent="0.2">
      <c r="AX3060" s="315"/>
      <c r="AY3060" s="326"/>
      <c r="AZ3060" s="175"/>
      <c r="BA3060" s="42"/>
      <c r="BB3060" s="426"/>
      <c r="BF3060" s="315"/>
      <c r="BG3060" s="42"/>
    </row>
    <row r="3061" spans="50:59" x14ac:dyDescent="0.2">
      <c r="AX3061" s="315"/>
      <c r="AY3061" s="326"/>
      <c r="AZ3061" s="175"/>
      <c r="BA3061" s="42"/>
      <c r="BB3061" s="426"/>
      <c r="BF3061" s="315"/>
      <c r="BG3061" s="42"/>
    </row>
    <row r="3062" spans="50:59" x14ac:dyDescent="0.2">
      <c r="AX3062" s="315"/>
      <c r="AY3062" s="326"/>
      <c r="AZ3062" s="175"/>
      <c r="BA3062" s="42"/>
      <c r="BB3062" s="426"/>
      <c r="BF3062" s="315"/>
      <c r="BG3062" s="42"/>
    </row>
    <row r="3063" spans="50:59" x14ac:dyDescent="0.2">
      <c r="AX3063" s="315"/>
      <c r="AY3063" s="326"/>
      <c r="AZ3063" s="175"/>
      <c r="BA3063" s="42"/>
      <c r="BB3063" s="426"/>
      <c r="BF3063" s="315"/>
      <c r="BG3063" s="42"/>
    </row>
    <row r="3064" spans="50:59" x14ac:dyDescent="0.2">
      <c r="AX3064" s="315"/>
      <c r="AY3064" s="326"/>
      <c r="AZ3064" s="175"/>
      <c r="BA3064" s="42"/>
      <c r="BB3064" s="426"/>
      <c r="BF3064" s="315"/>
      <c r="BG3064" s="42"/>
    </row>
    <row r="3065" spans="50:59" x14ac:dyDescent="0.2">
      <c r="AX3065" s="315"/>
      <c r="AY3065" s="326"/>
      <c r="AZ3065" s="175"/>
      <c r="BA3065" s="42"/>
      <c r="BB3065" s="426"/>
      <c r="BF3065" s="315"/>
      <c r="BG3065" s="42"/>
    </row>
    <row r="3066" spans="50:59" x14ac:dyDescent="0.2">
      <c r="AX3066" s="315"/>
      <c r="AY3066" s="326"/>
      <c r="AZ3066" s="175"/>
      <c r="BA3066" s="42"/>
      <c r="BB3066" s="426"/>
      <c r="BF3066" s="315"/>
      <c r="BG3066" s="42"/>
    </row>
    <row r="3067" spans="50:59" x14ac:dyDescent="0.2">
      <c r="AX3067" s="315"/>
      <c r="AY3067" s="326"/>
      <c r="AZ3067" s="175"/>
      <c r="BA3067" s="42"/>
      <c r="BB3067" s="426"/>
      <c r="BF3067" s="315"/>
      <c r="BG3067" s="42"/>
    </row>
    <row r="3068" spans="50:59" x14ac:dyDescent="0.2">
      <c r="AX3068" s="315"/>
      <c r="AY3068" s="326"/>
      <c r="AZ3068" s="175"/>
      <c r="BA3068" s="42"/>
      <c r="BB3068" s="426"/>
      <c r="BF3068" s="315"/>
      <c r="BG3068" s="42"/>
    </row>
    <row r="3069" spans="50:59" x14ac:dyDescent="0.2">
      <c r="AX3069" s="315"/>
      <c r="AY3069" s="326"/>
      <c r="AZ3069" s="175"/>
      <c r="BA3069" s="42"/>
      <c r="BB3069" s="426"/>
      <c r="BF3069" s="315"/>
      <c r="BG3069" s="42"/>
    </row>
    <row r="3070" spans="50:59" x14ac:dyDescent="0.2">
      <c r="AX3070" s="315"/>
      <c r="AY3070" s="326"/>
      <c r="AZ3070" s="175"/>
      <c r="BA3070" s="42"/>
      <c r="BB3070" s="426"/>
      <c r="BF3070" s="315"/>
      <c r="BG3070" s="42"/>
    </row>
    <row r="3071" spans="50:59" x14ac:dyDescent="0.2">
      <c r="AX3071" s="315"/>
      <c r="AY3071" s="326"/>
      <c r="AZ3071" s="175"/>
      <c r="BA3071" s="42"/>
      <c r="BB3071" s="426"/>
      <c r="BF3071" s="315"/>
      <c r="BG3071" s="42"/>
    </row>
    <row r="3072" spans="50:59" x14ac:dyDescent="0.2">
      <c r="AX3072" s="315"/>
      <c r="AY3072" s="326"/>
      <c r="AZ3072" s="175"/>
      <c r="BA3072" s="42"/>
      <c r="BB3072" s="426"/>
      <c r="BF3072" s="315"/>
      <c r="BG3072" s="42"/>
    </row>
    <row r="3073" spans="50:59" x14ac:dyDescent="0.2">
      <c r="AX3073" s="315"/>
      <c r="AY3073" s="326"/>
      <c r="AZ3073" s="175"/>
      <c r="BA3073" s="42"/>
      <c r="BB3073" s="426"/>
      <c r="BF3073" s="315"/>
      <c r="BG3073" s="42"/>
    </row>
    <row r="3074" spans="50:59" x14ac:dyDescent="0.2">
      <c r="AX3074" s="315"/>
      <c r="AY3074" s="326"/>
      <c r="AZ3074" s="175"/>
      <c r="BA3074" s="42"/>
      <c r="BB3074" s="426"/>
      <c r="BF3074" s="315"/>
      <c r="BG3074" s="42"/>
    </row>
    <row r="3075" spans="50:59" x14ac:dyDescent="0.2">
      <c r="AX3075" s="315"/>
      <c r="AY3075" s="326"/>
      <c r="AZ3075" s="175"/>
      <c r="BA3075" s="42"/>
      <c r="BB3075" s="426"/>
      <c r="BF3075" s="315"/>
      <c r="BG3075" s="42"/>
    </row>
    <row r="3076" spans="50:59" x14ac:dyDescent="0.2">
      <c r="AX3076" s="315"/>
      <c r="AY3076" s="326"/>
      <c r="AZ3076" s="175"/>
      <c r="BA3076" s="42"/>
      <c r="BB3076" s="426"/>
      <c r="BF3076" s="315"/>
      <c r="BG3076" s="42"/>
    </row>
    <row r="3077" spans="50:59" x14ac:dyDescent="0.2">
      <c r="AX3077" s="315"/>
      <c r="AY3077" s="326"/>
      <c r="AZ3077" s="175"/>
      <c r="BA3077" s="42"/>
      <c r="BB3077" s="426"/>
      <c r="BF3077" s="315"/>
      <c r="BG3077" s="42"/>
    </row>
    <row r="3078" spans="50:59" x14ac:dyDescent="0.2">
      <c r="AX3078" s="315"/>
      <c r="AY3078" s="326"/>
      <c r="AZ3078" s="175"/>
      <c r="BA3078" s="42"/>
      <c r="BB3078" s="426"/>
      <c r="BF3078" s="315"/>
      <c r="BG3078" s="42"/>
    </row>
    <row r="3079" spans="50:59" x14ac:dyDescent="0.2">
      <c r="AX3079" s="315"/>
      <c r="AY3079" s="326"/>
      <c r="AZ3079" s="175"/>
      <c r="BA3079" s="42"/>
      <c r="BB3079" s="426"/>
      <c r="BF3079" s="315"/>
      <c r="BG3079" s="42"/>
    </row>
    <row r="3080" spans="50:59" x14ac:dyDescent="0.2">
      <c r="AX3080" s="315"/>
      <c r="AY3080" s="326"/>
      <c r="AZ3080" s="175"/>
      <c r="BA3080" s="42"/>
      <c r="BB3080" s="426"/>
      <c r="BF3080" s="315"/>
      <c r="BG3080" s="42"/>
    </row>
    <row r="3081" spans="50:59" x14ac:dyDescent="0.2">
      <c r="AX3081" s="315"/>
      <c r="AY3081" s="326"/>
      <c r="AZ3081" s="175"/>
      <c r="BA3081" s="42"/>
      <c r="BB3081" s="426"/>
      <c r="BF3081" s="315"/>
      <c r="BG3081" s="42"/>
    </row>
    <row r="3082" spans="50:59" x14ac:dyDescent="0.2">
      <c r="AX3082" s="315"/>
      <c r="AY3082" s="326"/>
      <c r="AZ3082" s="175"/>
      <c r="BA3082" s="42"/>
      <c r="BB3082" s="426"/>
      <c r="BF3082" s="315"/>
      <c r="BG3082" s="42"/>
    </row>
    <row r="3083" spans="50:59" x14ac:dyDescent="0.2">
      <c r="AX3083" s="315"/>
      <c r="AY3083" s="326"/>
      <c r="AZ3083" s="175"/>
      <c r="BA3083" s="42"/>
      <c r="BB3083" s="426"/>
      <c r="BF3083" s="315"/>
      <c r="BG3083" s="42"/>
    </row>
    <row r="3084" spans="50:59" x14ac:dyDescent="0.2">
      <c r="AX3084" s="315"/>
      <c r="AY3084" s="326"/>
      <c r="AZ3084" s="175"/>
      <c r="BA3084" s="42"/>
      <c r="BB3084" s="426"/>
      <c r="BF3084" s="315"/>
      <c r="BG3084" s="42"/>
    </row>
    <row r="3085" spans="50:59" x14ac:dyDescent="0.2">
      <c r="AX3085" s="315"/>
      <c r="AY3085" s="326"/>
      <c r="AZ3085" s="175"/>
      <c r="BA3085" s="42"/>
      <c r="BB3085" s="426"/>
      <c r="BF3085" s="315"/>
      <c r="BG3085" s="42"/>
    </row>
    <row r="3086" spans="50:59" x14ac:dyDescent="0.2">
      <c r="AX3086" s="315"/>
      <c r="AY3086" s="326"/>
      <c r="AZ3086" s="175"/>
      <c r="BA3086" s="42"/>
      <c r="BB3086" s="426"/>
      <c r="BF3086" s="315"/>
      <c r="BG3086" s="42"/>
    </row>
    <row r="3087" spans="50:59" x14ac:dyDescent="0.2">
      <c r="AX3087" s="315"/>
      <c r="AY3087" s="326"/>
      <c r="AZ3087" s="175"/>
      <c r="BA3087" s="42"/>
      <c r="BB3087" s="426"/>
      <c r="BF3087" s="315"/>
      <c r="BG3087" s="42"/>
    </row>
    <row r="3088" spans="50:59" x14ac:dyDescent="0.2">
      <c r="AX3088" s="315"/>
      <c r="AY3088" s="326"/>
      <c r="AZ3088" s="175"/>
      <c r="BA3088" s="42"/>
      <c r="BB3088" s="426"/>
      <c r="BF3088" s="315"/>
      <c r="BG3088" s="42"/>
    </row>
    <row r="3089" spans="50:59" x14ac:dyDescent="0.2">
      <c r="AX3089" s="315"/>
      <c r="AY3089" s="326"/>
      <c r="AZ3089" s="175"/>
      <c r="BA3089" s="42"/>
      <c r="BB3089" s="426"/>
      <c r="BF3089" s="315"/>
      <c r="BG3089" s="42"/>
    </row>
    <row r="3090" spans="50:59" x14ac:dyDescent="0.2">
      <c r="AX3090" s="315"/>
      <c r="AY3090" s="326"/>
      <c r="AZ3090" s="175"/>
      <c r="BA3090" s="42"/>
      <c r="BB3090" s="426"/>
      <c r="BF3090" s="315"/>
      <c r="BG3090" s="42"/>
    </row>
    <row r="3091" spans="50:59" x14ac:dyDescent="0.2">
      <c r="AX3091" s="315"/>
      <c r="AY3091" s="326"/>
      <c r="AZ3091" s="175"/>
      <c r="BA3091" s="42"/>
      <c r="BB3091" s="426"/>
      <c r="BF3091" s="315"/>
      <c r="BG3091" s="42"/>
    </row>
    <row r="3092" spans="50:59" x14ac:dyDescent="0.2">
      <c r="AX3092" s="315"/>
      <c r="AY3092" s="326"/>
      <c r="AZ3092" s="175"/>
      <c r="BA3092" s="42"/>
      <c r="BB3092" s="426"/>
      <c r="BF3092" s="315"/>
      <c r="BG3092" s="42"/>
    </row>
    <row r="3093" spans="50:59" x14ac:dyDescent="0.2">
      <c r="AX3093" s="315"/>
      <c r="AY3093" s="326"/>
      <c r="AZ3093" s="175"/>
      <c r="BA3093" s="42"/>
      <c r="BB3093" s="426"/>
      <c r="BF3093" s="315"/>
      <c r="BG3093" s="42"/>
    </row>
    <row r="3094" spans="50:59" x14ac:dyDescent="0.2">
      <c r="AX3094" s="315"/>
      <c r="AY3094" s="326"/>
      <c r="AZ3094" s="175"/>
      <c r="BA3094" s="42"/>
      <c r="BB3094" s="426"/>
      <c r="BF3094" s="315"/>
      <c r="BG3094" s="42"/>
    </row>
    <row r="3095" spans="50:59" x14ac:dyDescent="0.2">
      <c r="AX3095" s="315"/>
      <c r="AY3095" s="326"/>
      <c r="AZ3095" s="175"/>
      <c r="BA3095" s="42"/>
      <c r="BB3095" s="426"/>
      <c r="BF3095" s="315"/>
      <c r="BG3095" s="42"/>
    </row>
    <row r="3096" spans="50:59" x14ac:dyDescent="0.2">
      <c r="AX3096" s="315"/>
      <c r="AY3096" s="326"/>
      <c r="AZ3096" s="175"/>
      <c r="BA3096" s="42"/>
      <c r="BB3096" s="426"/>
      <c r="BF3096" s="315"/>
      <c r="BG3096" s="42"/>
    </row>
    <row r="3097" spans="50:59" x14ac:dyDescent="0.2">
      <c r="AX3097" s="315"/>
      <c r="AY3097" s="326"/>
      <c r="AZ3097" s="175"/>
      <c r="BA3097" s="42"/>
      <c r="BB3097" s="426"/>
      <c r="BF3097" s="315"/>
      <c r="BG3097" s="42"/>
    </row>
    <row r="3098" spans="50:59" x14ac:dyDescent="0.2">
      <c r="AX3098" s="315"/>
      <c r="AY3098" s="326"/>
      <c r="AZ3098" s="175"/>
      <c r="BA3098" s="42"/>
      <c r="BB3098" s="426"/>
      <c r="BF3098" s="315"/>
      <c r="BG3098" s="42"/>
    </row>
    <row r="3099" spans="50:59" x14ac:dyDescent="0.2">
      <c r="AX3099" s="315"/>
      <c r="AY3099" s="326"/>
      <c r="AZ3099" s="175"/>
      <c r="BA3099" s="42"/>
      <c r="BB3099" s="426"/>
      <c r="BF3099" s="315"/>
      <c r="BG3099" s="42"/>
    </row>
    <row r="3100" spans="50:59" x14ac:dyDescent="0.2">
      <c r="AX3100" s="315"/>
      <c r="AY3100" s="326"/>
      <c r="AZ3100" s="175"/>
      <c r="BA3100" s="42"/>
      <c r="BB3100" s="426"/>
      <c r="BF3100" s="315"/>
      <c r="BG3100" s="42"/>
    </row>
    <row r="3101" spans="50:59" x14ac:dyDescent="0.2">
      <c r="AX3101" s="315"/>
      <c r="AY3101" s="326"/>
      <c r="AZ3101" s="175"/>
      <c r="BA3101" s="42"/>
      <c r="BB3101" s="426"/>
      <c r="BF3101" s="315"/>
      <c r="BG3101" s="42"/>
    </row>
    <row r="3102" spans="50:59" x14ac:dyDescent="0.2">
      <c r="AX3102" s="315"/>
      <c r="AY3102" s="326"/>
      <c r="AZ3102" s="175"/>
      <c r="BA3102" s="42"/>
      <c r="BB3102" s="426"/>
      <c r="BF3102" s="315"/>
      <c r="BG3102" s="42"/>
    </row>
    <row r="3103" spans="50:59" x14ac:dyDescent="0.2">
      <c r="AX3103" s="315"/>
      <c r="AY3103" s="326"/>
      <c r="AZ3103" s="175"/>
      <c r="BA3103" s="42"/>
      <c r="BB3103" s="426"/>
      <c r="BF3103" s="315"/>
      <c r="BG3103" s="42"/>
    </row>
    <row r="3104" spans="50:59" x14ac:dyDescent="0.2">
      <c r="AX3104" s="315"/>
      <c r="AY3104" s="326"/>
      <c r="AZ3104" s="175"/>
      <c r="BA3104" s="42"/>
      <c r="BB3104" s="426"/>
      <c r="BF3104" s="315"/>
      <c r="BG3104" s="42"/>
    </row>
    <row r="3105" spans="50:59" x14ac:dyDescent="0.2">
      <c r="AX3105" s="315"/>
      <c r="AY3105" s="326"/>
      <c r="AZ3105" s="175"/>
      <c r="BA3105" s="42"/>
      <c r="BB3105" s="426"/>
      <c r="BF3105" s="315"/>
      <c r="BG3105" s="42"/>
    </row>
    <row r="3106" spans="50:59" x14ac:dyDescent="0.2">
      <c r="AX3106" s="315"/>
      <c r="AY3106" s="326"/>
      <c r="AZ3106" s="175"/>
      <c r="BA3106" s="42"/>
      <c r="BB3106" s="426"/>
      <c r="BF3106" s="315"/>
      <c r="BG3106" s="42"/>
    </row>
    <row r="3107" spans="50:59" x14ac:dyDescent="0.2">
      <c r="AX3107" s="315"/>
      <c r="AY3107" s="326"/>
      <c r="AZ3107" s="175"/>
      <c r="BA3107" s="42"/>
      <c r="BB3107" s="426"/>
      <c r="BF3107" s="315"/>
      <c r="BG3107" s="42"/>
    </row>
    <row r="3108" spans="50:59" x14ac:dyDescent="0.2">
      <c r="AX3108" s="315"/>
      <c r="AY3108" s="326"/>
      <c r="AZ3108" s="175"/>
      <c r="BA3108" s="42"/>
      <c r="BB3108" s="426"/>
      <c r="BF3108" s="315"/>
      <c r="BG3108" s="42"/>
    </row>
    <row r="3109" spans="50:59" x14ac:dyDescent="0.2">
      <c r="AX3109" s="315"/>
      <c r="AY3109" s="326"/>
      <c r="AZ3109" s="175"/>
      <c r="BA3109" s="42"/>
      <c r="BB3109" s="426"/>
      <c r="BF3109" s="315"/>
      <c r="BG3109" s="42"/>
    </row>
    <row r="3110" spans="50:59" x14ac:dyDescent="0.2">
      <c r="AX3110" s="315"/>
      <c r="AY3110" s="326"/>
      <c r="AZ3110" s="175"/>
      <c r="BA3110" s="42"/>
      <c r="BB3110" s="426"/>
      <c r="BF3110" s="315"/>
      <c r="BG3110" s="42"/>
    </row>
    <row r="3111" spans="50:59" x14ac:dyDescent="0.2">
      <c r="AX3111" s="315"/>
      <c r="AY3111" s="326"/>
      <c r="AZ3111" s="175"/>
      <c r="BA3111" s="42"/>
      <c r="BB3111" s="426"/>
      <c r="BF3111" s="315"/>
      <c r="BG3111" s="42"/>
    </row>
    <row r="3112" spans="50:59" x14ac:dyDescent="0.2">
      <c r="AX3112" s="315"/>
      <c r="AY3112" s="326"/>
      <c r="AZ3112" s="175"/>
      <c r="BA3112" s="42"/>
      <c r="BB3112" s="426"/>
      <c r="BF3112" s="315"/>
      <c r="BG3112" s="42"/>
    </row>
    <row r="3113" spans="50:59" x14ac:dyDescent="0.2">
      <c r="AX3113" s="315"/>
      <c r="AY3113" s="326"/>
      <c r="AZ3113" s="175"/>
      <c r="BA3113" s="42"/>
      <c r="BB3113" s="426"/>
      <c r="BF3113" s="315"/>
      <c r="BG3113" s="42"/>
    </row>
    <row r="3114" spans="50:59" x14ac:dyDescent="0.2">
      <c r="AX3114" s="315"/>
      <c r="AY3114" s="326"/>
      <c r="AZ3114" s="175"/>
      <c r="BA3114" s="42"/>
      <c r="BB3114" s="426"/>
      <c r="BF3114" s="315"/>
      <c r="BG3114" s="42"/>
    </row>
    <row r="3115" spans="50:59" x14ac:dyDescent="0.2">
      <c r="AX3115" s="315"/>
      <c r="AY3115" s="326"/>
      <c r="AZ3115" s="175"/>
      <c r="BA3115" s="42"/>
      <c r="BB3115" s="426"/>
      <c r="BF3115" s="315"/>
      <c r="BG3115" s="42"/>
    </row>
    <row r="3116" spans="50:59" x14ac:dyDescent="0.2">
      <c r="AX3116" s="315"/>
      <c r="AY3116" s="326"/>
      <c r="AZ3116" s="175"/>
      <c r="BA3116" s="42"/>
      <c r="BB3116" s="426"/>
      <c r="BF3116" s="315"/>
      <c r="BG3116" s="42"/>
    </row>
    <row r="3117" spans="50:59" x14ac:dyDescent="0.2">
      <c r="AX3117" s="315"/>
      <c r="AY3117" s="326"/>
      <c r="AZ3117" s="175"/>
      <c r="BA3117" s="42"/>
      <c r="BB3117" s="426"/>
      <c r="BF3117" s="315"/>
      <c r="BG3117" s="42"/>
    </row>
    <row r="3118" spans="50:59" x14ac:dyDescent="0.2">
      <c r="AX3118" s="315"/>
      <c r="AY3118" s="326"/>
      <c r="AZ3118" s="175"/>
      <c r="BA3118" s="42"/>
      <c r="BB3118" s="426"/>
      <c r="BF3118" s="315"/>
      <c r="BG3118" s="42"/>
    </row>
    <row r="3119" spans="50:59" x14ac:dyDescent="0.2">
      <c r="AX3119" s="315"/>
      <c r="AY3119" s="326"/>
      <c r="AZ3119" s="175"/>
      <c r="BA3119" s="42"/>
      <c r="BB3119" s="426"/>
      <c r="BF3119" s="315"/>
      <c r="BG3119" s="42"/>
    </row>
    <row r="3120" spans="50:59" x14ac:dyDescent="0.2">
      <c r="AX3120" s="315"/>
      <c r="AY3120" s="326"/>
      <c r="AZ3120" s="175"/>
      <c r="BA3120" s="42"/>
      <c r="BB3120" s="426"/>
      <c r="BF3120" s="315"/>
      <c r="BG3120" s="42"/>
    </row>
    <row r="3121" spans="50:59" x14ac:dyDescent="0.2">
      <c r="AX3121" s="315"/>
      <c r="AY3121" s="326"/>
      <c r="AZ3121" s="175"/>
      <c r="BA3121" s="42"/>
      <c r="BB3121" s="426"/>
      <c r="BF3121" s="315"/>
      <c r="BG3121" s="42"/>
    </row>
    <row r="3122" spans="50:59" x14ac:dyDescent="0.2">
      <c r="AX3122" s="315"/>
      <c r="AY3122" s="326"/>
      <c r="AZ3122" s="175"/>
      <c r="BA3122" s="42"/>
      <c r="BB3122" s="426"/>
      <c r="BF3122" s="315"/>
      <c r="BG3122" s="42"/>
    </row>
    <row r="3123" spans="50:59" x14ac:dyDescent="0.2">
      <c r="AX3123" s="315"/>
      <c r="AY3123" s="326"/>
      <c r="AZ3123" s="175"/>
      <c r="BA3123" s="42"/>
      <c r="BB3123" s="426"/>
      <c r="BF3123" s="315"/>
      <c r="BG3123" s="42"/>
    </row>
    <row r="3124" spans="50:59" x14ac:dyDescent="0.2">
      <c r="AX3124" s="315"/>
      <c r="AY3124" s="326"/>
      <c r="AZ3124" s="175"/>
      <c r="BA3124" s="42"/>
      <c r="BB3124" s="426"/>
      <c r="BF3124" s="315"/>
      <c r="BG3124" s="42"/>
    </row>
    <row r="3125" spans="50:59" x14ac:dyDescent="0.2">
      <c r="AX3125" s="315"/>
      <c r="AY3125" s="326"/>
      <c r="AZ3125" s="175"/>
      <c r="BA3125" s="42"/>
      <c r="BB3125" s="426"/>
      <c r="BF3125" s="315"/>
      <c r="BG3125" s="42"/>
    </row>
    <row r="3126" spans="50:59" x14ac:dyDescent="0.2">
      <c r="AX3126" s="315"/>
      <c r="AY3126" s="326"/>
      <c r="AZ3126" s="175"/>
      <c r="BA3126" s="42"/>
      <c r="BB3126" s="426"/>
      <c r="BF3126" s="315"/>
      <c r="BG3126" s="42"/>
    </row>
    <row r="3127" spans="50:59" x14ac:dyDescent="0.2">
      <c r="AX3127" s="315"/>
      <c r="AY3127" s="326"/>
      <c r="AZ3127" s="175"/>
      <c r="BA3127" s="42"/>
      <c r="BB3127" s="426"/>
      <c r="BF3127" s="315"/>
      <c r="BG3127" s="42"/>
    </row>
    <row r="3128" spans="50:59" x14ac:dyDescent="0.2">
      <c r="AX3128" s="315"/>
      <c r="AY3128" s="326"/>
      <c r="AZ3128" s="175"/>
      <c r="BA3128" s="42"/>
      <c r="BB3128" s="426"/>
      <c r="BF3128" s="315"/>
      <c r="BG3128" s="42"/>
    </row>
    <row r="3129" spans="50:59" x14ac:dyDescent="0.2">
      <c r="AX3129" s="315"/>
      <c r="AY3129" s="326"/>
      <c r="AZ3129" s="175"/>
      <c r="BA3129" s="42"/>
      <c r="BB3129" s="426"/>
      <c r="BF3129" s="315"/>
      <c r="BG3129" s="42"/>
    </row>
    <row r="3130" spans="50:59" x14ac:dyDescent="0.2">
      <c r="AX3130" s="315"/>
      <c r="AY3130" s="326"/>
      <c r="AZ3130" s="175"/>
      <c r="BA3130" s="42"/>
      <c r="BB3130" s="426"/>
      <c r="BF3130" s="315"/>
      <c r="BG3130" s="42"/>
    </row>
    <row r="3131" spans="50:59" x14ac:dyDescent="0.2">
      <c r="AX3131" s="315"/>
      <c r="AY3131" s="326"/>
      <c r="AZ3131" s="175"/>
      <c r="BA3131" s="42"/>
      <c r="BB3131" s="426"/>
      <c r="BF3131" s="315"/>
      <c r="BG3131" s="42"/>
    </row>
    <row r="3132" spans="50:59" x14ac:dyDescent="0.2">
      <c r="AX3132" s="315"/>
      <c r="AY3132" s="326"/>
      <c r="AZ3132" s="175"/>
      <c r="BA3132" s="42"/>
      <c r="BB3132" s="426"/>
      <c r="BF3132" s="315"/>
      <c r="BG3132" s="42"/>
    </row>
    <row r="3133" spans="50:59" x14ac:dyDescent="0.2">
      <c r="AX3133" s="315"/>
      <c r="AY3133" s="326"/>
      <c r="AZ3133" s="175"/>
      <c r="BA3133" s="42"/>
      <c r="BB3133" s="426"/>
      <c r="BF3133" s="315"/>
      <c r="BG3133" s="42"/>
    </row>
    <row r="3134" spans="50:59" x14ac:dyDescent="0.2">
      <c r="AX3134" s="315"/>
      <c r="AY3134" s="326"/>
      <c r="AZ3134" s="175"/>
      <c r="BA3134" s="42"/>
      <c r="BB3134" s="426"/>
      <c r="BF3134" s="315"/>
      <c r="BG3134" s="42"/>
    </row>
    <row r="3135" spans="50:59" x14ac:dyDescent="0.2">
      <c r="AX3135" s="315"/>
      <c r="AY3135" s="326"/>
      <c r="AZ3135" s="175"/>
      <c r="BA3135" s="42"/>
      <c r="BB3135" s="426"/>
      <c r="BF3135" s="315"/>
      <c r="BG3135" s="42"/>
    </row>
    <row r="3136" spans="50:59" x14ac:dyDescent="0.2">
      <c r="AX3136" s="315"/>
      <c r="AY3136" s="326"/>
      <c r="AZ3136" s="175"/>
      <c r="BA3136" s="42"/>
      <c r="BB3136" s="426"/>
      <c r="BF3136" s="315"/>
      <c r="BG3136" s="42"/>
    </row>
    <row r="3137" spans="50:59" x14ac:dyDescent="0.2">
      <c r="AX3137" s="315"/>
      <c r="AY3137" s="326"/>
      <c r="AZ3137" s="175"/>
      <c r="BA3137" s="42"/>
      <c r="BB3137" s="426"/>
      <c r="BF3137" s="315"/>
      <c r="BG3137" s="42"/>
    </row>
    <row r="3138" spans="50:59" x14ac:dyDescent="0.2">
      <c r="AX3138" s="315"/>
      <c r="AY3138" s="326"/>
      <c r="AZ3138" s="175"/>
      <c r="BA3138" s="42"/>
      <c r="BB3138" s="426"/>
      <c r="BF3138" s="315"/>
      <c r="BG3138" s="42"/>
    </row>
    <row r="3139" spans="50:59" x14ac:dyDescent="0.2">
      <c r="AX3139" s="315"/>
      <c r="AY3139" s="326"/>
      <c r="AZ3139" s="175"/>
      <c r="BA3139" s="42"/>
      <c r="BB3139" s="426"/>
      <c r="BF3139" s="315"/>
      <c r="BG3139" s="42"/>
    </row>
    <row r="3140" spans="50:59" x14ac:dyDescent="0.2">
      <c r="AX3140" s="315"/>
      <c r="AY3140" s="326"/>
      <c r="AZ3140" s="175"/>
      <c r="BA3140" s="42"/>
      <c r="BB3140" s="426"/>
      <c r="BF3140" s="315"/>
      <c r="BG3140" s="42"/>
    </row>
    <row r="3141" spans="50:59" x14ac:dyDescent="0.2">
      <c r="AX3141" s="315"/>
      <c r="AY3141" s="326"/>
      <c r="AZ3141" s="175"/>
      <c r="BA3141" s="42"/>
      <c r="BB3141" s="426"/>
      <c r="BF3141" s="315"/>
      <c r="BG3141" s="42"/>
    </row>
    <row r="3142" spans="50:59" x14ac:dyDescent="0.2">
      <c r="AX3142" s="315"/>
      <c r="AY3142" s="326"/>
      <c r="AZ3142" s="175"/>
      <c r="BA3142" s="42"/>
      <c r="BB3142" s="426"/>
      <c r="BF3142" s="315"/>
      <c r="BG3142" s="42"/>
    </row>
    <row r="3143" spans="50:59" x14ac:dyDescent="0.2">
      <c r="AX3143" s="315"/>
      <c r="AY3143" s="326"/>
      <c r="AZ3143" s="175"/>
      <c r="BA3143" s="42"/>
      <c r="BB3143" s="426"/>
      <c r="BF3143" s="315"/>
      <c r="BG3143" s="42"/>
    </row>
    <row r="3144" spans="50:59" x14ac:dyDescent="0.2">
      <c r="AX3144" s="315"/>
      <c r="AY3144" s="326"/>
      <c r="AZ3144" s="175"/>
      <c r="BA3144" s="42"/>
      <c r="BB3144" s="426"/>
      <c r="BF3144" s="315"/>
      <c r="BG3144" s="42"/>
    </row>
    <row r="3145" spans="50:59" x14ac:dyDescent="0.2">
      <c r="AX3145" s="315"/>
      <c r="AY3145" s="326"/>
      <c r="AZ3145" s="175"/>
      <c r="BA3145" s="42"/>
      <c r="BB3145" s="426"/>
      <c r="BF3145" s="315"/>
      <c r="BG3145" s="42"/>
    </row>
    <row r="3146" spans="50:59" x14ac:dyDescent="0.2">
      <c r="AX3146" s="315"/>
      <c r="AY3146" s="326"/>
      <c r="AZ3146" s="175"/>
      <c r="BA3146" s="42"/>
      <c r="BB3146" s="426"/>
      <c r="BF3146" s="315"/>
      <c r="BG3146" s="42"/>
    </row>
    <row r="3147" spans="50:59" x14ac:dyDescent="0.2">
      <c r="AX3147" s="315"/>
      <c r="AY3147" s="326"/>
      <c r="AZ3147" s="175"/>
      <c r="BA3147" s="42"/>
      <c r="BB3147" s="426"/>
      <c r="BF3147" s="315"/>
      <c r="BG3147" s="42"/>
    </row>
    <row r="3148" spans="50:59" x14ac:dyDescent="0.2">
      <c r="AX3148" s="315"/>
      <c r="AY3148" s="326"/>
      <c r="AZ3148" s="175"/>
      <c r="BA3148" s="42"/>
      <c r="BB3148" s="426"/>
      <c r="BF3148" s="315"/>
      <c r="BG3148" s="42"/>
    </row>
    <row r="3149" spans="50:59" x14ac:dyDescent="0.2">
      <c r="AX3149" s="315"/>
      <c r="AY3149" s="326"/>
      <c r="AZ3149" s="175"/>
      <c r="BA3149" s="42"/>
      <c r="BB3149" s="426"/>
      <c r="BF3149" s="315"/>
      <c r="BG3149" s="42"/>
    </row>
    <row r="3150" spans="50:59" x14ac:dyDescent="0.2">
      <c r="AX3150" s="315"/>
      <c r="AY3150" s="326"/>
      <c r="AZ3150" s="175"/>
      <c r="BA3150" s="42"/>
      <c r="BB3150" s="426"/>
      <c r="BF3150" s="315"/>
      <c r="BG3150" s="42"/>
    </row>
    <row r="3151" spans="50:59" x14ac:dyDescent="0.2">
      <c r="AX3151" s="315"/>
      <c r="AY3151" s="326"/>
      <c r="AZ3151" s="175"/>
      <c r="BA3151" s="42"/>
      <c r="BB3151" s="426"/>
      <c r="BF3151" s="315"/>
      <c r="BG3151" s="42"/>
    </row>
    <row r="3152" spans="50:59" x14ac:dyDescent="0.2">
      <c r="AX3152" s="315"/>
      <c r="AY3152" s="326"/>
      <c r="AZ3152" s="175"/>
      <c r="BA3152" s="42"/>
      <c r="BB3152" s="426"/>
      <c r="BF3152" s="315"/>
      <c r="BG3152" s="42"/>
    </row>
    <row r="3153" spans="50:59" x14ac:dyDescent="0.2">
      <c r="AX3153" s="315"/>
      <c r="AY3153" s="326"/>
      <c r="AZ3153" s="175"/>
      <c r="BA3153" s="42"/>
      <c r="BB3153" s="426"/>
      <c r="BF3153" s="315"/>
      <c r="BG3153" s="42"/>
    </row>
    <row r="3154" spans="50:59" x14ac:dyDescent="0.2">
      <c r="AX3154" s="315"/>
      <c r="AY3154" s="326"/>
      <c r="AZ3154" s="175"/>
      <c r="BA3154" s="42"/>
      <c r="BB3154" s="426"/>
      <c r="BF3154" s="315"/>
      <c r="BG3154" s="42"/>
    </row>
    <row r="3155" spans="50:59" x14ac:dyDescent="0.2">
      <c r="AX3155" s="315"/>
      <c r="AY3155" s="326"/>
      <c r="AZ3155" s="175"/>
      <c r="BA3155" s="42"/>
      <c r="BB3155" s="426"/>
      <c r="BF3155" s="315"/>
      <c r="BG3155" s="42"/>
    </row>
    <row r="3156" spans="50:59" x14ac:dyDescent="0.2">
      <c r="AX3156" s="315"/>
      <c r="AY3156" s="326"/>
      <c r="AZ3156" s="175"/>
      <c r="BA3156" s="42"/>
      <c r="BB3156" s="426"/>
      <c r="BF3156" s="315"/>
      <c r="BG3156" s="42"/>
    </row>
    <row r="3157" spans="50:59" x14ac:dyDescent="0.2">
      <c r="AX3157" s="315"/>
      <c r="AY3157" s="326"/>
      <c r="AZ3157" s="175"/>
      <c r="BA3157" s="42"/>
      <c r="BB3157" s="426"/>
      <c r="BF3157" s="315"/>
      <c r="BG3157" s="42"/>
    </row>
    <row r="3158" spans="50:59" x14ac:dyDescent="0.2">
      <c r="AX3158" s="315"/>
      <c r="AY3158" s="326"/>
      <c r="AZ3158" s="175"/>
      <c r="BA3158" s="42"/>
      <c r="BB3158" s="426"/>
      <c r="BF3158" s="315"/>
      <c r="BG3158" s="42"/>
    </row>
    <row r="3159" spans="50:59" x14ac:dyDescent="0.2">
      <c r="AX3159" s="315"/>
      <c r="AY3159" s="326"/>
      <c r="AZ3159" s="175"/>
      <c r="BA3159" s="42"/>
      <c r="BB3159" s="426"/>
      <c r="BF3159" s="315"/>
      <c r="BG3159" s="42"/>
    </row>
    <row r="3160" spans="50:59" x14ac:dyDescent="0.2">
      <c r="AX3160" s="315"/>
      <c r="AY3160" s="326"/>
      <c r="AZ3160" s="175"/>
      <c r="BA3160" s="42"/>
      <c r="BB3160" s="426"/>
      <c r="BF3160" s="315"/>
      <c r="BG3160" s="42"/>
    </row>
    <row r="3161" spans="50:59" x14ac:dyDescent="0.2">
      <c r="AX3161" s="315"/>
      <c r="AY3161" s="326"/>
      <c r="AZ3161" s="175"/>
      <c r="BA3161" s="42"/>
      <c r="BB3161" s="426"/>
      <c r="BF3161" s="315"/>
      <c r="BG3161" s="42"/>
    </row>
    <row r="3162" spans="50:59" x14ac:dyDescent="0.2">
      <c r="AX3162" s="315"/>
      <c r="AY3162" s="326"/>
      <c r="AZ3162" s="175"/>
      <c r="BA3162" s="42"/>
      <c r="BB3162" s="426"/>
      <c r="BF3162" s="315"/>
      <c r="BG3162" s="42"/>
    </row>
    <row r="3163" spans="50:59" x14ac:dyDescent="0.2">
      <c r="AX3163" s="315"/>
      <c r="AY3163" s="326"/>
      <c r="AZ3163" s="175"/>
      <c r="BA3163" s="42"/>
      <c r="BB3163" s="426"/>
      <c r="BF3163" s="315"/>
      <c r="BG3163" s="42"/>
    </row>
    <row r="3164" spans="50:59" x14ac:dyDescent="0.2">
      <c r="AX3164" s="315"/>
      <c r="AY3164" s="326"/>
      <c r="AZ3164" s="175"/>
      <c r="BA3164" s="42"/>
      <c r="BB3164" s="426"/>
      <c r="BF3164" s="315"/>
      <c r="BG3164" s="42"/>
    </row>
    <row r="3165" spans="50:59" x14ac:dyDescent="0.2">
      <c r="AX3165" s="315"/>
      <c r="AY3165" s="326"/>
      <c r="AZ3165" s="175"/>
      <c r="BA3165" s="42"/>
      <c r="BB3165" s="426"/>
      <c r="BF3165" s="315"/>
      <c r="BG3165" s="42"/>
    </row>
    <row r="3166" spans="50:59" x14ac:dyDescent="0.2">
      <c r="AX3166" s="315"/>
      <c r="AY3166" s="326"/>
      <c r="AZ3166" s="175"/>
      <c r="BA3166" s="42"/>
      <c r="BB3166" s="426"/>
      <c r="BF3166" s="315"/>
      <c r="BG3166" s="42"/>
    </row>
    <row r="3167" spans="50:59" x14ac:dyDescent="0.2">
      <c r="AX3167" s="315"/>
      <c r="AY3167" s="326"/>
      <c r="AZ3167" s="175"/>
      <c r="BA3167" s="42"/>
      <c r="BB3167" s="426"/>
      <c r="BF3167" s="315"/>
      <c r="BG3167" s="42"/>
    </row>
    <row r="3168" spans="50:59" x14ac:dyDescent="0.2">
      <c r="AX3168" s="315"/>
      <c r="AY3168" s="326"/>
      <c r="AZ3168" s="175"/>
      <c r="BA3168" s="42"/>
      <c r="BB3168" s="426"/>
      <c r="BF3168" s="315"/>
      <c r="BG3168" s="42"/>
    </row>
    <row r="3169" spans="50:59" x14ac:dyDescent="0.2">
      <c r="AX3169" s="315"/>
      <c r="AY3169" s="326"/>
      <c r="AZ3169" s="175"/>
      <c r="BA3169" s="42"/>
      <c r="BB3169" s="426"/>
      <c r="BF3169" s="315"/>
      <c r="BG3169" s="42"/>
    </row>
    <row r="3170" spans="50:59" x14ac:dyDescent="0.2">
      <c r="AX3170" s="315"/>
      <c r="AY3170" s="326"/>
      <c r="AZ3170" s="175"/>
      <c r="BA3170" s="42"/>
      <c r="BB3170" s="426"/>
      <c r="BF3170" s="315"/>
      <c r="BG3170" s="42"/>
    </row>
    <row r="3171" spans="50:59" x14ac:dyDescent="0.2">
      <c r="AX3171" s="315"/>
      <c r="AY3171" s="326"/>
      <c r="AZ3171" s="175"/>
      <c r="BA3171" s="42"/>
      <c r="BB3171" s="426"/>
      <c r="BF3171" s="315"/>
      <c r="BG3171" s="42"/>
    </row>
    <row r="3172" spans="50:59" x14ac:dyDescent="0.2">
      <c r="AX3172" s="315"/>
      <c r="AY3172" s="326"/>
      <c r="AZ3172" s="175"/>
      <c r="BA3172" s="42"/>
      <c r="BB3172" s="426"/>
      <c r="BF3172" s="315"/>
      <c r="BG3172" s="42"/>
    </row>
    <row r="3173" spans="50:59" x14ac:dyDescent="0.2">
      <c r="AX3173" s="315"/>
      <c r="AY3173" s="326"/>
      <c r="AZ3173" s="175"/>
      <c r="BA3173" s="42"/>
      <c r="BB3173" s="426"/>
      <c r="BF3173" s="315"/>
      <c r="BG3173" s="42"/>
    </row>
    <row r="3174" spans="50:59" x14ac:dyDescent="0.2">
      <c r="AX3174" s="315"/>
      <c r="AY3174" s="326"/>
      <c r="AZ3174" s="175"/>
      <c r="BA3174" s="42"/>
      <c r="BB3174" s="426"/>
      <c r="BF3174" s="315"/>
      <c r="BG3174" s="42"/>
    </row>
    <row r="3175" spans="50:59" x14ac:dyDescent="0.2">
      <c r="AX3175" s="315"/>
      <c r="AY3175" s="326"/>
      <c r="AZ3175" s="175"/>
      <c r="BA3175" s="42"/>
      <c r="BB3175" s="426"/>
      <c r="BF3175" s="315"/>
      <c r="BG3175" s="42"/>
    </row>
    <row r="3176" spans="50:59" x14ac:dyDescent="0.2">
      <c r="AX3176" s="315"/>
      <c r="AY3176" s="326"/>
      <c r="AZ3176" s="175"/>
      <c r="BA3176" s="42"/>
      <c r="BB3176" s="426"/>
      <c r="BF3176" s="315"/>
      <c r="BG3176" s="42"/>
    </row>
    <row r="3177" spans="50:59" x14ac:dyDescent="0.2">
      <c r="AX3177" s="315"/>
      <c r="AY3177" s="326"/>
      <c r="AZ3177" s="175"/>
      <c r="BA3177" s="42"/>
      <c r="BB3177" s="426"/>
      <c r="BF3177" s="315"/>
      <c r="BG3177" s="42"/>
    </row>
    <row r="3178" spans="50:59" x14ac:dyDescent="0.2">
      <c r="AX3178" s="315"/>
      <c r="AY3178" s="326"/>
      <c r="AZ3178" s="175"/>
      <c r="BA3178" s="42"/>
      <c r="BB3178" s="426"/>
      <c r="BF3178" s="315"/>
      <c r="BG3178" s="42"/>
    </row>
    <row r="3179" spans="50:59" x14ac:dyDescent="0.2">
      <c r="AX3179" s="315"/>
      <c r="AY3179" s="326"/>
      <c r="AZ3179" s="175"/>
      <c r="BA3179" s="42"/>
      <c r="BB3179" s="426"/>
      <c r="BF3179" s="315"/>
      <c r="BG3179" s="42"/>
    </row>
    <row r="3180" spans="50:59" x14ac:dyDescent="0.2">
      <c r="AX3180" s="315"/>
      <c r="AY3180" s="326"/>
      <c r="AZ3180" s="175"/>
      <c r="BA3180" s="42"/>
      <c r="BB3180" s="426"/>
      <c r="BF3180" s="315"/>
      <c r="BG3180" s="42"/>
    </row>
    <row r="3181" spans="50:59" x14ac:dyDescent="0.2">
      <c r="AX3181" s="315"/>
      <c r="AY3181" s="326"/>
      <c r="AZ3181" s="175"/>
      <c r="BA3181" s="42"/>
      <c r="BB3181" s="426"/>
      <c r="BF3181" s="315"/>
      <c r="BG3181" s="42"/>
    </row>
    <row r="3182" spans="50:59" x14ac:dyDescent="0.2">
      <c r="AX3182" s="315"/>
      <c r="AY3182" s="326"/>
      <c r="AZ3182" s="175"/>
      <c r="BA3182" s="42"/>
      <c r="BB3182" s="426"/>
      <c r="BF3182" s="315"/>
      <c r="BG3182" s="42"/>
    </row>
    <row r="3183" spans="50:59" x14ac:dyDescent="0.2">
      <c r="AX3183" s="315"/>
      <c r="AY3183" s="326"/>
      <c r="AZ3183" s="175"/>
      <c r="BA3183" s="42"/>
      <c r="BB3183" s="426"/>
      <c r="BF3183" s="315"/>
      <c r="BG3183" s="42"/>
    </row>
    <row r="3184" spans="50:59" x14ac:dyDescent="0.2">
      <c r="AX3184" s="315"/>
      <c r="AY3184" s="326"/>
      <c r="AZ3184" s="175"/>
      <c r="BA3184" s="42"/>
      <c r="BB3184" s="426"/>
      <c r="BF3184" s="315"/>
      <c r="BG3184" s="42"/>
    </row>
    <row r="3185" spans="50:59" x14ac:dyDescent="0.2">
      <c r="AX3185" s="315"/>
      <c r="AY3185" s="326"/>
      <c r="AZ3185" s="175"/>
      <c r="BA3185" s="42"/>
      <c r="BB3185" s="426"/>
      <c r="BF3185" s="315"/>
      <c r="BG3185" s="42"/>
    </row>
    <row r="3186" spans="50:59" x14ac:dyDescent="0.2">
      <c r="AX3186" s="315"/>
      <c r="AY3186" s="326"/>
      <c r="AZ3186" s="175"/>
      <c r="BA3186" s="42"/>
      <c r="BB3186" s="426"/>
      <c r="BF3186" s="315"/>
      <c r="BG3186" s="42"/>
    </row>
    <row r="3187" spans="50:59" x14ac:dyDescent="0.2">
      <c r="AX3187" s="315"/>
      <c r="AY3187" s="326"/>
      <c r="AZ3187" s="175"/>
      <c r="BA3187" s="42"/>
      <c r="BB3187" s="426"/>
      <c r="BF3187" s="315"/>
      <c r="BG3187" s="42"/>
    </row>
    <row r="3188" spans="50:59" x14ac:dyDescent="0.2">
      <c r="AX3188" s="315"/>
      <c r="AY3188" s="326"/>
      <c r="AZ3188" s="175"/>
      <c r="BA3188" s="42"/>
      <c r="BB3188" s="426"/>
      <c r="BF3188" s="315"/>
      <c r="BG3188" s="42"/>
    </row>
    <row r="3189" spans="50:59" x14ac:dyDescent="0.2">
      <c r="AX3189" s="315"/>
      <c r="AY3189" s="326"/>
      <c r="AZ3189" s="175"/>
      <c r="BA3189" s="42"/>
      <c r="BB3189" s="426"/>
      <c r="BF3189" s="315"/>
      <c r="BG3189" s="42"/>
    </row>
    <row r="3190" spans="50:59" x14ac:dyDescent="0.2">
      <c r="AX3190" s="315"/>
      <c r="AY3190" s="326"/>
      <c r="AZ3190" s="175"/>
      <c r="BA3190" s="42"/>
      <c r="BB3190" s="426"/>
      <c r="BF3190" s="315"/>
      <c r="BG3190" s="42"/>
    </row>
    <row r="3191" spans="50:59" x14ac:dyDescent="0.2">
      <c r="AX3191" s="315"/>
      <c r="AY3191" s="326"/>
      <c r="AZ3191" s="175"/>
      <c r="BA3191" s="42"/>
      <c r="BB3191" s="426"/>
      <c r="BF3191" s="315"/>
      <c r="BG3191" s="42"/>
    </row>
    <row r="3192" spans="50:59" x14ac:dyDescent="0.2">
      <c r="AX3192" s="315"/>
      <c r="AY3192" s="326"/>
      <c r="AZ3192" s="175"/>
      <c r="BA3192" s="42"/>
      <c r="BB3192" s="426"/>
      <c r="BF3192" s="315"/>
      <c r="BG3192" s="42"/>
    </row>
    <row r="3193" spans="50:59" x14ac:dyDescent="0.2">
      <c r="AX3193" s="315"/>
      <c r="AY3193" s="326"/>
      <c r="AZ3193" s="175"/>
      <c r="BA3193" s="42"/>
      <c r="BB3193" s="426"/>
      <c r="BF3193" s="315"/>
      <c r="BG3193" s="42"/>
    </row>
    <row r="3194" spans="50:59" x14ac:dyDescent="0.2">
      <c r="AX3194" s="315"/>
      <c r="AY3194" s="326"/>
      <c r="AZ3194" s="175"/>
      <c r="BA3194" s="42"/>
      <c r="BB3194" s="426"/>
      <c r="BF3194" s="315"/>
      <c r="BG3194" s="42"/>
    </row>
    <row r="3195" spans="50:59" x14ac:dyDescent="0.2">
      <c r="AX3195" s="315"/>
      <c r="AY3195" s="326"/>
      <c r="AZ3195" s="175"/>
      <c r="BA3195" s="42"/>
      <c r="BB3195" s="426"/>
      <c r="BF3195" s="315"/>
      <c r="BG3195" s="42"/>
    </row>
    <row r="3196" spans="50:59" x14ac:dyDescent="0.2">
      <c r="AX3196" s="315"/>
      <c r="AY3196" s="326"/>
      <c r="AZ3196" s="175"/>
      <c r="BA3196" s="42"/>
      <c r="BB3196" s="426"/>
      <c r="BF3196" s="315"/>
      <c r="BG3196" s="42"/>
    </row>
    <row r="3197" spans="50:59" x14ac:dyDescent="0.2">
      <c r="AX3197" s="315"/>
      <c r="AY3197" s="326"/>
      <c r="AZ3197" s="175"/>
      <c r="BA3197" s="42"/>
      <c r="BB3197" s="426"/>
      <c r="BF3197" s="315"/>
      <c r="BG3197" s="42"/>
    </row>
    <row r="3198" spans="50:59" x14ac:dyDescent="0.2">
      <c r="AX3198" s="315"/>
      <c r="AY3198" s="326"/>
      <c r="AZ3198" s="175"/>
      <c r="BA3198" s="42"/>
      <c r="BB3198" s="426"/>
      <c r="BF3198" s="315"/>
      <c r="BG3198" s="42"/>
    </row>
    <row r="3199" spans="50:59" x14ac:dyDescent="0.2">
      <c r="AX3199" s="315"/>
      <c r="AY3199" s="326"/>
      <c r="AZ3199" s="175"/>
      <c r="BA3199" s="42"/>
      <c r="BB3199" s="426"/>
      <c r="BF3199" s="315"/>
      <c r="BG3199" s="42"/>
    </row>
    <row r="3200" spans="50:59" x14ac:dyDescent="0.2">
      <c r="AX3200" s="315"/>
      <c r="AY3200" s="326"/>
      <c r="AZ3200" s="175"/>
      <c r="BA3200" s="42"/>
      <c r="BB3200" s="426"/>
      <c r="BF3200" s="315"/>
      <c r="BG3200" s="42"/>
    </row>
    <row r="3201" spans="50:59" x14ac:dyDescent="0.2">
      <c r="AX3201" s="315"/>
      <c r="AY3201" s="326"/>
      <c r="AZ3201" s="175"/>
      <c r="BA3201" s="42"/>
      <c r="BB3201" s="426"/>
      <c r="BF3201" s="315"/>
      <c r="BG3201" s="42"/>
    </row>
    <row r="3202" spans="50:59" x14ac:dyDescent="0.2">
      <c r="AX3202" s="315"/>
      <c r="AY3202" s="326"/>
      <c r="AZ3202" s="175"/>
      <c r="BA3202" s="42"/>
      <c r="BB3202" s="426"/>
      <c r="BF3202" s="315"/>
      <c r="BG3202" s="42"/>
    </row>
    <row r="3203" spans="50:59" x14ac:dyDescent="0.2">
      <c r="AX3203" s="315"/>
      <c r="AY3203" s="326"/>
      <c r="AZ3203" s="175"/>
      <c r="BA3203" s="42"/>
      <c r="BB3203" s="426"/>
      <c r="BF3203" s="315"/>
      <c r="BG3203" s="42"/>
    </row>
    <row r="3204" spans="50:59" x14ac:dyDescent="0.2">
      <c r="AX3204" s="315"/>
      <c r="AY3204" s="326"/>
      <c r="AZ3204" s="175"/>
      <c r="BA3204" s="42"/>
      <c r="BB3204" s="426"/>
      <c r="BF3204" s="315"/>
      <c r="BG3204" s="42"/>
    </row>
    <row r="3205" spans="50:59" x14ac:dyDescent="0.2">
      <c r="AX3205" s="315"/>
      <c r="AY3205" s="326"/>
      <c r="AZ3205" s="175"/>
      <c r="BA3205" s="42"/>
      <c r="BB3205" s="426"/>
      <c r="BF3205" s="315"/>
      <c r="BG3205" s="42"/>
    </row>
    <row r="3206" spans="50:59" x14ac:dyDescent="0.2">
      <c r="AX3206" s="315"/>
      <c r="AY3206" s="326"/>
      <c r="AZ3206" s="175"/>
      <c r="BA3206" s="42"/>
      <c r="BB3206" s="426"/>
      <c r="BF3206" s="315"/>
      <c r="BG3206" s="42"/>
    </row>
    <row r="3207" spans="50:59" x14ac:dyDescent="0.2">
      <c r="AX3207" s="315"/>
      <c r="AY3207" s="326"/>
      <c r="AZ3207" s="175"/>
      <c r="BA3207" s="42"/>
      <c r="BB3207" s="426"/>
      <c r="BF3207" s="315"/>
      <c r="BG3207" s="42"/>
    </row>
    <row r="3208" spans="50:59" x14ac:dyDescent="0.2">
      <c r="AX3208" s="315"/>
      <c r="AY3208" s="326"/>
      <c r="AZ3208" s="175"/>
      <c r="BA3208" s="42"/>
      <c r="BB3208" s="426"/>
      <c r="BF3208" s="315"/>
      <c r="BG3208" s="42"/>
    </row>
    <row r="3209" spans="50:59" x14ac:dyDescent="0.2">
      <c r="AX3209" s="315"/>
      <c r="AY3209" s="326"/>
      <c r="AZ3209" s="175"/>
      <c r="BA3209" s="42"/>
      <c r="BB3209" s="426"/>
      <c r="BF3209" s="315"/>
      <c r="BG3209" s="42"/>
    </row>
    <row r="3210" spans="50:59" x14ac:dyDescent="0.2">
      <c r="AX3210" s="315"/>
      <c r="AY3210" s="326"/>
      <c r="AZ3210" s="175"/>
      <c r="BA3210" s="42"/>
      <c r="BB3210" s="426"/>
      <c r="BF3210" s="315"/>
      <c r="BG3210" s="42"/>
    </row>
    <row r="3211" spans="50:59" x14ac:dyDescent="0.2">
      <c r="AX3211" s="315"/>
      <c r="AY3211" s="326"/>
      <c r="AZ3211" s="175"/>
      <c r="BA3211" s="42"/>
      <c r="BB3211" s="426"/>
      <c r="BF3211" s="315"/>
      <c r="BG3211" s="42"/>
    </row>
    <row r="3212" spans="50:59" x14ac:dyDescent="0.2">
      <c r="AX3212" s="315"/>
      <c r="AY3212" s="326"/>
      <c r="AZ3212" s="175"/>
      <c r="BA3212" s="42"/>
      <c r="BB3212" s="426"/>
      <c r="BF3212" s="315"/>
      <c r="BG3212" s="42"/>
    </row>
    <row r="3213" spans="50:59" x14ac:dyDescent="0.2">
      <c r="AX3213" s="315"/>
      <c r="AY3213" s="326"/>
      <c r="AZ3213" s="175"/>
      <c r="BA3213" s="42"/>
      <c r="BB3213" s="426"/>
      <c r="BF3213" s="315"/>
      <c r="BG3213" s="42"/>
    </row>
    <row r="3214" spans="50:59" x14ac:dyDescent="0.2">
      <c r="AX3214" s="315"/>
      <c r="AY3214" s="326"/>
      <c r="AZ3214" s="175"/>
      <c r="BA3214" s="42"/>
      <c r="BB3214" s="426"/>
      <c r="BF3214" s="315"/>
      <c r="BG3214" s="42"/>
    </row>
    <row r="3215" spans="50:59" x14ac:dyDescent="0.2">
      <c r="AX3215" s="315"/>
      <c r="AY3215" s="326"/>
      <c r="AZ3215" s="175"/>
      <c r="BA3215" s="42"/>
      <c r="BB3215" s="426"/>
      <c r="BF3215" s="315"/>
      <c r="BG3215" s="42"/>
    </row>
    <row r="3216" spans="50:59" x14ac:dyDescent="0.2">
      <c r="AX3216" s="315"/>
      <c r="AY3216" s="326"/>
      <c r="AZ3216" s="175"/>
      <c r="BA3216" s="42"/>
      <c r="BB3216" s="426"/>
      <c r="BF3216" s="315"/>
      <c r="BG3216" s="42"/>
    </row>
    <row r="3217" spans="50:59" x14ac:dyDescent="0.2">
      <c r="AX3217" s="315"/>
      <c r="AY3217" s="326"/>
      <c r="AZ3217" s="175"/>
      <c r="BA3217" s="42"/>
      <c r="BB3217" s="426"/>
      <c r="BF3217" s="315"/>
      <c r="BG3217" s="42"/>
    </row>
    <row r="3218" spans="50:59" x14ac:dyDescent="0.2">
      <c r="AX3218" s="315"/>
      <c r="AY3218" s="326"/>
      <c r="AZ3218" s="175"/>
      <c r="BA3218" s="42"/>
      <c r="BB3218" s="426"/>
      <c r="BF3218" s="315"/>
      <c r="BG3218" s="42"/>
    </row>
    <row r="3219" spans="50:59" x14ac:dyDescent="0.2">
      <c r="AX3219" s="315"/>
      <c r="AY3219" s="326"/>
      <c r="AZ3219" s="175"/>
      <c r="BA3219" s="42"/>
      <c r="BB3219" s="426"/>
      <c r="BF3219" s="315"/>
      <c r="BG3219" s="42"/>
    </row>
    <row r="3220" spans="50:59" x14ac:dyDescent="0.2">
      <c r="AX3220" s="315"/>
      <c r="AY3220" s="326"/>
      <c r="AZ3220" s="175"/>
      <c r="BA3220" s="42"/>
      <c r="BB3220" s="426"/>
      <c r="BF3220" s="315"/>
      <c r="BG3220" s="42"/>
    </row>
    <row r="3221" spans="50:59" x14ac:dyDescent="0.2">
      <c r="AX3221" s="315"/>
      <c r="AY3221" s="326"/>
      <c r="AZ3221" s="175"/>
      <c r="BA3221" s="42"/>
      <c r="BB3221" s="426"/>
      <c r="BF3221" s="315"/>
      <c r="BG3221" s="42"/>
    </row>
    <row r="3222" spans="50:59" x14ac:dyDescent="0.2">
      <c r="AX3222" s="315"/>
      <c r="AY3222" s="326"/>
      <c r="AZ3222" s="175"/>
      <c r="BA3222" s="42"/>
      <c r="BB3222" s="426"/>
      <c r="BF3222" s="315"/>
      <c r="BG3222" s="42"/>
    </row>
    <row r="3223" spans="50:59" x14ac:dyDescent="0.2">
      <c r="AX3223" s="315"/>
      <c r="AY3223" s="326"/>
      <c r="AZ3223" s="175"/>
      <c r="BA3223" s="42"/>
      <c r="BB3223" s="426"/>
      <c r="BF3223" s="315"/>
      <c r="BG3223" s="42"/>
    </row>
    <row r="3224" spans="50:59" x14ac:dyDescent="0.2">
      <c r="AX3224" s="315"/>
      <c r="AY3224" s="326"/>
      <c r="AZ3224" s="175"/>
      <c r="BA3224" s="42"/>
      <c r="BB3224" s="426"/>
      <c r="BF3224" s="315"/>
      <c r="BG3224" s="42"/>
    </row>
    <row r="3225" spans="50:59" x14ac:dyDescent="0.2">
      <c r="AX3225" s="315"/>
      <c r="AY3225" s="326"/>
      <c r="AZ3225" s="175"/>
      <c r="BA3225" s="42"/>
      <c r="BB3225" s="426"/>
      <c r="BF3225" s="315"/>
      <c r="BG3225" s="42"/>
    </row>
    <row r="3226" spans="50:59" x14ac:dyDescent="0.2">
      <c r="AX3226" s="315"/>
      <c r="AY3226" s="326"/>
      <c r="AZ3226" s="175"/>
      <c r="BA3226" s="42"/>
      <c r="BB3226" s="426"/>
      <c r="BF3226" s="315"/>
      <c r="BG3226" s="42"/>
    </row>
    <row r="3227" spans="50:59" x14ac:dyDescent="0.2">
      <c r="AX3227" s="315"/>
      <c r="AY3227" s="326"/>
      <c r="AZ3227" s="175"/>
      <c r="BA3227" s="42"/>
      <c r="BB3227" s="426"/>
      <c r="BF3227" s="315"/>
      <c r="BG3227" s="42"/>
    </row>
    <row r="3228" spans="50:59" x14ac:dyDescent="0.2">
      <c r="AX3228" s="315"/>
      <c r="AY3228" s="326"/>
      <c r="AZ3228" s="175"/>
      <c r="BA3228" s="42"/>
      <c r="BB3228" s="426"/>
      <c r="BF3228" s="315"/>
      <c r="BG3228" s="42"/>
    </row>
    <row r="3229" spans="50:59" x14ac:dyDescent="0.2">
      <c r="AX3229" s="315"/>
      <c r="AY3229" s="326"/>
      <c r="AZ3229" s="175"/>
      <c r="BA3229" s="42"/>
      <c r="BB3229" s="426"/>
      <c r="BF3229" s="315"/>
      <c r="BG3229" s="42"/>
    </row>
    <row r="3230" spans="50:59" x14ac:dyDescent="0.2">
      <c r="AX3230" s="315"/>
      <c r="AY3230" s="326"/>
      <c r="AZ3230" s="175"/>
      <c r="BA3230" s="42"/>
      <c r="BB3230" s="426"/>
      <c r="BF3230" s="315"/>
      <c r="BG3230" s="42"/>
    </row>
    <row r="3231" spans="50:59" x14ac:dyDescent="0.2">
      <c r="AX3231" s="315"/>
      <c r="AY3231" s="326"/>
      <c r="AZ3231" s="175"/>
      <c r="BA3231" s="42"/>
      <c r="BB3231" s="426"/>
      <c r="BF3231" s="315"/>
      <c r="BG3231" s="42"/>
    </row>
    <row r="3232" spans="50:59" x14ac:dyDescent="0.2">
      <c r="AX3232" s="315"/>
      <c r="AY3232" s="326"/>
      <c r="AZ3232" s="175"/>
      <c r="BA3232" s="42"/>
      <c r="BB3232" s="426"/>
      <c r="BF3232" s="315"/>
      <c r="BG3232" s="42"/>
    </row>
    <row r="3233" spans="50:59" x14ac:dyDescent="0.2">
      <c r="AX3233" s="315"/>
      <c r="AY3233" s="326"/>
      <c r="AZ3233" s="175"/>
      <c r="BA3233" s="42"/>
      <c r="BB3233" s="426"/>
      <c r="BF3233" s="315"/>
      <c r="BG3233" s="42"/>
    </row>
    <row r="3234" spans="50:59" x14ac:dyDescent="0.2">
      <c r="AX3234" s="315"/>
      <c r="AY3234" s="326"/>
      <c r="AZ3234" s="175"/>
      <c r="BA3234" s="42"/>
      <c r="BB3234" s="426"/>
      <c r="BF3234" s="315"/>
      <c r="BG3234" s="42"/>
    </row>
    <row r="3235" spans="50:59" x14ac:dyDescent="0.2">
      <c r="AX3235" s="315"/>
      <c r="AY3235" s="326"/>
      <c r="AZ3235" s="175"/>
      <c r="BA3235" s="42"/>
      <c r="BB3235" s="426"/>
      <c r="BF3235" s="315"/>
      <c r="BG3235" s="42"/>
    </row>
    <row r="3236" spans="50:59" x14ac:dyDescent="0.2">
      <c r="AX3236" s="315"/>
      <c r="AY3236" s="326"/>
      <c r="AZ3236" s="175"/>
      <c r="BA3236" s="42"/>
      <c r="BB3236" s="426"/>
      <c r="BF3236" s="315"/>
      <c r="BG3236" s="42"/>
    </row>
    <row r="3237" spans="50:59" x14ac:dyDescent="0.2">
      <c r="AX3237" s="315"/>
      <c r="AY3237" s="326"/>
      <c r="AZ3237" s="175"/>
      <c r="BA3237" s="42"/>
      <c r="BB3237" s="426"/>
      <c r="BF3237" s="315"/>
      <c r="BG3237" s="42"/>
    </row>
    <row r="3238" spans="50:59" x14ac:dyDescent="0.2">
      <c r="AX3238" s="315"/>
      <c r="AY3238" s="326"/>
      <c r="AZ3238" s="175"/>
      <c r="BA3238" s="42"/>
      <c r="BB3238" s="426"/>
      <c r="BF3238" s="315"/>
      <c r="BG3238" s="42"/>
    </row>
    <row r="3239" spans="50:59" x14ac:dyDescent="0.2">
      <c r="AX3239" s="315"/>
      <c r="AY3239" s="326"/>
      <c r="AZ3239" s="175"/>
      <c r="BA3239" s="42"/>
      <c r="BB3239" s="426"/>
      <c r="BF3239" s="315"/>
      <c r="BG3239" s="42"/>
    </row>
    <row r="3240" spans="50:59" x14ac:dyDescent="0.2">
      <c r="AX3240" s="315"/>
      <c r="AY3240" s="326"/>
      <c r="AZ3240" s="175"/>
      <c r="BA3240" s="42"/>
      <c r="BB3240" s="426"/>
      <c r="BF3240" s="315"/>
      <c r="BG3240" s="42"/>
    </row>
    <row r="3241" spans="50:59" x14ac:dyDescent="0.2">
      <c r="AX3241" s="315"/>
      <c r="AY3241" s="326"/>
      <c r="AZ3241" s="175"/>
      <c r="BA3241" s="42"/>
      <c r="BB3241" s="426"/>
      <c r="BF3241" s="315"/>
      <c r="BG3241" s="42"/>
    </row>
    <row r="3242" spans="50:59" x14ac:dyDescent="0.2">
      <c r="AX3242" s="315"/>
      <c r="AY3242" s="326"/>
      <c r="AZ3242" s="175"/>
      <c r="BA3242" s="42"/>
      <c r="BB3242" s="426"/>
      <c r="BF3242" s="315"/>
      <c r="BG3242" s="42"/>
    </row>
    <row r="3243" spans="50:59" x14ac:dyDescent="0.2">
      <c r="AX3243" s="315"/>
      <c r="AY3243" s="326"/>
      <c r="AZ3243" s="175"/>
      <c r="BA3243" s="42"/>
      <c r="BB3243" s="426"/>
      <c r="BF3243" s="315"/>
      <c r="BG3243" s="42"/>
    </row>
    <row r="3244" spans="50:59" x14ac:dyDescent="0.2">
      <c r="AX3244" s="315"/>
      <c r="AY3244" s="326"/>
      <c r="AZ3244" s="175"/>
      <c r="BA3244" s="42"/>
      <c r="BB3244" s="426"/>
      <c r="BF3244" s="315"/>
      <c r="BG3244" s="42"/>
    </row>
    <row r="3245" spans="50:59" x14ac:dyDescent="0.2">
      <c r="AX3245" s="315"/>
      <c r="AY3245" s="326"/>
      <c r="AZ3245" s="175"/>
      <c r="BA3245" s="42"/>
      <c r="BB3245" s="426"/>
      <c r="BF3245" s="315"/>
      <c r="BG3245" s="42"/>
    </row>
    <row r="3246" spans="50:59" x14ac:dyDescent="0.2">
      <c r="AX3246" s="315"/>
      <c r="AY3246" s="326"/>
      <c r="AZ3246" s="175"/>
      <c r="BA3246" s="42"/>
      <c r="BB3246" s="426"/>
      <c r="BF3246" s="315"/>
      <c r="BG3246" s="42"/>
    </row>
    <row r="3247" spans="50:59" x14ac:dyDescent="0.2">
      <c r="AX3247" s="315"/>
      <c r="AY3247" s="326"/>
      <c r="AZ3247" s="175"/>
      <c r="BA3247" s="42"/>
      <c r="BB3247" s="426"/>
      <c r="BF3247" s="315"/>
      <c r="BG3247" s="42"/>
    </row>
    <row r="3248" spans="50:59" x14ac:dyDescent="0.2">
      <c r="AX3248" s="315"/>
      <c r="AY3248" s="326"/>
      <c r="AZ3248" s="175"/>
      <c r="BA3248" s="42"/>
      <c r="BB3248" s="426"/>
      <c r="BF3248" s="315"/>
      <c r="BG3248" s="42"/>
    </row>
    <row r="3249" spans="50:59" x14ac:dyDescent="0.2">
      <c r="AX3249" s="315"/>
      <c r="AY3249" s="326"/>
      <c r="AZ3249" s="175"/>
      <c r="BA3249" s="42"/>
      <c r="BB3249" s="426"/>
      <c r="BF3249" s="315"/>
      <c r="BG3249" s="42"/>
    </row>
    <row r="3250" spans="50:59" x14ac:dyDescent="0.2">
      <c r="AX3250" s="315"/>
      <c r="AY3250" s="326"/>
      <c r="AZ3250" s="175"/>
      <c r="BA3250" s="42"/>
      <c r="BB3250" s="426"/>
      <c r="BF3250" s="315"/>
      <c r="BG3250" s="42"/>
    </row>
    <row r="3251" spans="50:59" x14ac:dyDescent="0.2">
      <c r="AX3251" s="315"/>
      <c r="AY3251" s="326"/>
      <c r="AZ3251" s="175"/>
      <c r="BA3251" s="42"/>
      <c r="BB3251" s="426"/>
      <c r="BF3251" s="315"/>
      <c r="BG3251" s="42"/>
    </row>
    <row r="3252" spans="50:59" x14ac:dyDescent="0.2">
      <c r="AX3252" s="315"/>
      <c r="AY3252" s="326"/>
      <c r="AZ3252" s="175"/>
      <c r="BA3252" s="42"/>
      <c r="BB3252" s="426"/>
      <c r="BF3252" s="315"/>
      <c r="BG3252" s="42"/>
    </row>
    <row r="3253" spans="50:59" x14ac:dyDescent="0.2">
      <c r="AX3253" s="315"/>
      <c r="AY3253" s="326"/>
      <c r="AZ3253" s="175"/>
      <c r="BA3253" s="42"/>
      <c r="BB3253" s="426"/>
      <c r="BF3253" s="315"/>
      <c r="BG3253" s="42"/>
    </row>
    <row r="3254" spans="50:59" x14ac:dyDescent="0.2">
      <c r="AX3254" s="315"/>
      <c r="AY3254" s="326"/>
      <c r="AZ3254" s="175"/>
      <c r="BA3254" s="42"/>
      <c r="BB3254" s="426"/>
      <c r="BF3254" s="315"/>
      <c r="BG3254" s="42"/>
    </row>
    <row r="3255" spans="50:59" x14ac:dyDescent="0.2">
      <c r="AX3255" s="315"/>
      <c r="AY3255" s="326"/>
      <c r="AZ3255" s="175"/>
      <c r="BA3255" s="42"/>
      <c r="BB3255" s="426"/>
      <c r="BF3255" s="315"/>
      <c r="BG3255" s="42"/>
    </row>
    <row r="3256" spans="50:59" x14ac:dyDescent="0.2">
      <c r="AX3256" s="315"/>
      <c r="AY3256" s="326"/>
      <c r="AZ3256" s="175"/>
      <c r="BA3256" s="42"/>
      <c r="BB3256" s="426"/>
      <c r="BF3256" s="315"/>
      <c r="BG3256" s="42"/>
    </row>
    <row r="3257" spans="50:59" x14ac:dyDescent="0.2">
      <c r="AX3257" s="315"/>
      <c r="AY3257" s="326"/>
      <c r="AZ3257" s="175"/>
      <c r="BA3257" s="42"/>
      <c r="BB3257" s="426"/>
      <c r="BF3257" s="315"/>
      <c r="BG3257" s="42"/>
    </row>
    <row r="3258" spans="50:59" x14ac:dyDescent="0.2">
      <c r="AX3258" s="315"/>
      <c r="AY3258" s="326"/>
      <c r="AZ3258" s="175"/>
      <c r="BA3258" s="42"/>
      <c r="BB3258" s="426"/>
      <c r="BF3258" s="315"/>
      <c r="BG3258" s="42"/>
    </row>
    <row r="3259" spans="50:59" x14ac:dyDescent="0.2">
      <c r="AX3259" s="315"/>
      <c r="AY3259" s="326"/>
      <c r="AZ3259" s="175"/>
      <c r="BA3259" s="42"/>
      <c r="BB3259" s="426"/>
      <c r="BF3259" s="315"/>
      <c r="BG3259" s="42"/>
    </row>
    <row r="3260" spans="50:59" x14ac:dyDescent="0.2">
      <c r="AX3260" s="315"/>
      <c r="AY3260" s="326"/>
      <c r="AZ3260" s="175"/>
      <c r="BA3260" s="42"/>
      <c r="BB3260" s="426"/>
      <c r="BF3260" s="315"/>
      <c r="BG3260" s="42"/>
    </row>
    <row r="3261" spans="50:59" x14ac:dyDescent="0.2">
      <c r="AX3261" s="315"/>
      <c r="AY3261" s="326"/>
      <c r="AZ3261" s="175"/>
      <c r="BA3261" s="42"/>
      <c r="BB3261" s="426"/>
      <c r="BF3261" s="315"/>
      <c r="BG3261" s="42"/>
    </row>
    <row r="3262" spans="50:59" x14ac:dyDescent="0.2">
      <c r="AX3262" s="315"/>
      <c r="AY3262" s="326"/>
      <c r="AZ3262" s="175"/>
      <c r="BA3262" s="42"/>
      <c r="BB3262" s="426"/>
      <c r="BF3262" s="315"/>
      <c r="BG3262" s="42"/>
    </row>
    <row r="3263" spans="50:59" x14ac:dyDescent="0.2">
      <c r="AX3263" s="315"/>
      <c r="AY3263" s="326"/>
      <c r="AZ3263" s="175"/>
      <c r="BA3263" s="42"/>
      <c r="BB3263" s="426"/>
      <c r="BF3263" s="315"/>
      <c r="BG3263" s="42"/>
    </row>
    <row r="3264" spans="50:59" x14ac:dyDescent="0.2">
      <c r="AX3264" s="315"/>
      <c r="AY3264" s="326"/>
      <c r="AZ3264" s="175"/>
      <c r="BA3264" s="42"/>
      <c r="BB3264" s="426"/>
      <c r="BF3264" s="315"/>
      <c r="BG3264" s="42"/>
    </row>
    <row r="3265" spans="50:59" x14ac:dyDescent="0.2">
      <c r="AX3265" s="315"/>
      <c r="AY3265" s="326"/>
      <c r="AZ3265" s="175"/>
      <c r="BA3265" s="42"/>
      <c r="BB3265" s="426"/>
      <c r="BF3265" s="315"/>
      <c r="BG3265" s="42"/>
    </row>
    <row r="3266" spans="50:59" x14ac:dyDescent="0.2">
      <c r="AX3266" s="315"/>
      <c r="AY3266" s="326"/>
      <c r="AZ3266" s="175"/>
      <c r="BA3266" s="42"/>
      <c r="BB3266" s="426"/>
      <c r="BF3266" s="315"/>
      <c r="BG3266" s="42"/>
    </row>
    <row r="3267" spans="50:59" x14ac:dyDescent="0.2">
      <c r="AX3267" s="315"/>
      <c r="AY3267" s="326"/>
      <c r="AZ3267" s="175"/>
      <c r="BA3267" s="42"/>
      <c r="BB3267" s="426"/>
      <c r="BF3267" s="315"/>
      <c r="BG3267" s="42"/>
    </row>
    <row r="3268" spans="50:59" x14ac:dyDescent="0.2">
      <c r="AX3268" s="315"/>
      <c r="AY3268" s="326"/>
      <c r="AZ3268" s="175"/>
      <c r="BA3268" s="42"/>
      <c r="BB3268" s="426"/>
      <c r="BF3268" s="315"/>
      <c r="BG3268" s="42"/>
    </row>
    <row r="3269" spans="50:59" x14ac:dyDescent="0.2">
      <c r="AX3269" s="315"/>
      <c r="AY3269" s="326"/>
      <c r="AZ3269" s="175"/>
      <c r="BA3269" s="42"/>
      <c r="BB3269" s="426"/>
      <c r="BF3269" s="315"/>
      <c r="BG3269" s="42"/>
    </row>
    <row r="3270" spans="50:59" x14ac:dyDescent="0.2">
      <c r="AX3270" s="315"/>
      <c r="AY3270" s="326"/>
      <c r="AZ3270" s="175"/>
      <c r="BA3270" s="42"/>
      <c r="BB3270" s="426"/>
      <c r="BF3270" s="315"/>
      <c r="BG3270" s="42"/>
    </row>
    <row r="3271" spans="50:59" x14ac:dyDescent="0.2">
      <c r="AX3271" s="315"/>
      <c r="AY3271" s="326"/>
      <c r="AZ3271" s="175"/>
      <c r="BA3271" s="42"/>
      <c r="BB3271" s="426"/>
      <c r="BF3271" s="315"/>
      <c r="BG3271" s="42"/>
    </row>
    <row r="3272" spans="50:59" x14ac:dyDescent="0.2">
      <c r="AX3272" s="315"/>
      <c r="AY3272" s="326"/>
      <c r="AZ3272" s="175"/>
      <c r="BA3272" s="42"/>
      <c r="BB3272" s="426"/>
      <c r="BF3272" s="315"/>
      <c r="BG3272" s="42"/>
    </row>
    <row r="3273" spans="50:59" x14ac:dyDescent="0.2">
      <c r="AX3273" s="315"/>
      <c r="AY3273" s="326"/>
      <c r="AZ3273" s="175"/>
      <c r="BA3273" s="42"/>
      <c r="BB3273" s="426"/>
      <c r="BF3273" s="315"/>
      <c r="BG3273" s="42"/>
    </row>
    <row r="3274" spans="50:59" x14ac:dyDescent="0.2">
      <c r="AX3274" s="315"/>
      <c r="AY3274" s="326"/>
      <c r="AZ3274" s="175"/>
      <c r="BA3274" s="42"/>
      <c r="BB3274" s="426"/>
      <c r="BF3274" s="315"/>
      <c r="BG3274" s="42"/>
    </row>
    <row r="3275" spans="50:59" x14ac:dyDescent="0.2">
      <c r="AX3275" s="315"/>
      <c r="AY3275" s="326"/>
      <c r="AZ3275" s="175"/>
      <c r="BA3275" s="42"/>
      <c r="BB3275" s="426"/>
      <c r="BF3275" s="315"/>
      <c r="BG3275" s="42"/>
    </row>
    <row r="3276" spans="50:59" x14ac:dyDescent="0.2">
      <c r="AX3276" s="315"/>
      <c r="AY3276" s="326"/>
      <c r="AZ3276" s="175"/>
      <c r="BA3276" s="42"/>
      <c r="BB3276" s="426"/>
      <c r="BF3276" s="315"/>
      <c r="BG3276" s="42"/>
    </row>
    <row r="3277" spans="50:59" x14ac:dyDescent="0.2">
      <c r="AX3277" s="315"/>
      <c r="AY3277" s="326"/>
      <c r="AZ3277" s="175"/>
      <c r="BA3277" s="42"/>
      <c r="BB3277" s="426"/>
      <c r="BF3277" s="315"/>
      <c r="BG3277" s="42"/>
    </row>
    <row r="3278" spans="50:59" x14ac:dyDescent="0.2">
      <c r="AX3278" s="315"/>
      <c r="AY3278" s="326"/>
      <c r="AZ3278" s="175"/>
      <c r="BA3278" s="42"/>
      <c r="BB3278" s="426"/>
      <c r="BF3278" s="315"/>
      <c r="BG3278" s="42"/>
    </row>
    <row r="3279" spans="50:59" x14ac:dyDescent="0.2">
      <c r="AX3279" s="315"/>
      <c r="AY3279" s="326"/>
      <c r="AZ3279" s="175"/>
      <c r="BA3279" s="42"/>
      <c r="BB3279" s="426"/>
      <c r="BF3279" s="315"/>
      <c r="BG3279" s="42"/>
    </row>
    <row r="3280" spans="50:59" x14ac:dyDescent="0.2">
      <c r="AX3280" s="315"/>
      <c r="AY3280" s="326"/>
      <c r="AZ3280" s="175"/>
      <c r="BA3280" s="42"/>
      <c r="BB3280" s="426"/>
      <c r="BF3280" s="315"/>
      <c r="BG3280" s="42"/>
    </row>
    <row r="3281" spans="50:59" x14ac:dyDescent="0.2">
      <c r="AX3281" s="315"/>
      <c r="AY3281" s="326"/>
      <c r="AZ3281" s="175"/>
      <c r="BA3281" s="42"/>
      <c r="BB3281" s="426"/>
      <c r="BF3281" s="315"/>
      <c r="BG3281" s="42"/>
    </row>
    <row r="3282" spans="50:59" x14ac:dyDescent="0.2">
      <c r="AX3282" s="315"/>
      <c r="AY3282" s="326"/>
      <c r="AZ3282" s="175"/>
      <c r="BA3282" s="42"/>
      <c r="BB3282" s="426"/>
      <c r="BF3282" s="315"/>
      <c r="BG3282" s="42"/>
    </row>
    <row r="3283" spans="50:59" x14ac:dyDescent="0.2">
      <c r="AX3283" s="315"/>
      <c r="AY3283" s="326"/>
      <c r="AZ3283" s="175"/>
      <c r="BA3283" s="42"/>
      <c r="BB3283" s="426"/>
      <c r="BF3283" s="315"/>
      <c r="BG3283" s="42"/>
    </row>
    <row r="3284" spans="50:59" x14ac:dyDescent="0.2">
      <c r="AX3284" s="315"/>
      <c r="AY3284" s="326"/>
      <c r="AZ3284" s="175"/>
      <c r="BA3284" s="42"/>
      <c r="BB3284" s="426"/>
      <c r="BF3284" s="315"/>
      <c r="BG3284" s="42"/>
    </row>
    <row r="3285" spans="50:59" x14ac:dyDescent="0.2">
      <c r="AX3285" s="315"/>
      <c r="AY3285" s="326"/>
      <c r="AZ3285" s="175"/>
      <c r="BA3285" s="42"/>
      <c r="BB3285" s="426"/>
      <c r="BF3285" s="315"/>
      <c r="BG3285" s="42"/>
    </row>
    <row r="3286" spans="50:59" x14ac:dyDescent="0.2">
      <c r="AX3286" s="315"/>
      <c r="AY3286" s="326"/>
      <c r="AZ3286" s="175"/>
      <c r="BA3286" s="42"/>
      <c r="BB3286" s="426"/>
      <c r="BF3286" s="315"/>
      <c r="BG3286" s="42"/>
    </row>
    <row r="3287" spans="50:59" x14ac:dyDescent="0.2">
      <c r="AX3287" s="315"/>
      <c r="AY3287" s="326"/>
      <c r="AZ3287" s="175"/>
      <c r="BA3287" s="42"/>
      <c r="BB3287" s="426"/>
      <c r="BF3287" s="315"/>
      <c r="BG3287" s="42"/>
    </row>
    <row r="3288" spans="50:59" x14ac:dyDescent="0.2">
      <c r="AX3288" s="315"/>
      <c r="AY3288" s="326"/>
      <c r="AZ3288" s="175"/>
      <c r="BA3288" s="42"/>
      <c r="BB3288" s="426"/>
      <c r="BF3288" s="315"/>
      <c r="BG3288" s="42"/>
    </row>
    <row r="3289" spans="50:59" x14ac:dyDescent="0.2">
      <c r="AX3289" s="315"/>
      <c r="AY3289" s="326"/>
      <c r="AZ3289" s="175"/>
      <c r="BA3289" s="42"/>
      <c r="BB3289" s="426"/>
      <c r="BF3289" s="315"/>
      <c r="BG3289" s="42"/>
    </row>
    <row r="3290" spans="50:59" x14ac:dyDescent="0.2">
      <c r="AX3290" s="315"/>
      <c r="AY3290" s="326"/>
      <c r="AZ3290" s="175"/>
      <c r="BA3290" s="42"/>
      <c r="BB3290" s="426"/>
      <c r="BF3290" s="315"/>
      <c r="BG3290" s="42"/>
    </row>
    <row r="3291" spans="50:59" x14ac:dyDescent="0.2">
      <c r="AX3291" s="315"/>
      <c r="AY3291" s="326"/>
      <c r="AZ3291" s="175"/>
      <c r="BA3291" s="42"/>
      <c r="BB3291" s="426"/>
      <c r="BF3291" s="315"/>
      <c r="BG3291" s="42"/>
    </row>
    <row r="3292" spans="50:59" x14ac:dyDescent="0.2">
      <c r="AX3292" s="315"/>
      <c r="AY3292" s="326"/>
      <c r="AZ3292" s="175"/>
      <c r="BA3292" s="42"/>
      <c r="BB3292" s="426"/>
      <c r="BF3292" s="315"/>
      <c r="BG3292" s="42"/>
    </row>
    <row r="3293" spans="50:59" x14ac:dyDescent="0.2">
      <c r="AX3293" s="315"/>
      <c r="AY3293" s="326"/>
      <c r="AZ3293" s="175"/>
      <c r="BA3293" s="42"/>
      <c r="BB3293" s="426"/>
      <c r="BF3293" s="315"/>
      <c r="BG3293" s="42"/>
    </row>
    <row r="3294" spans="50:59" x14ac:dyDescent="0.2">
      <c r="AX3294" s="315"/>
      <c r="AY3294" s="326"/>
      <c r="AZ3294" s="175"/>
      <c r="BA3294" s="42"/>
      <c r="BB3294" s="426"/>
      <c r="BF3294" s="315"/>
      <c r="BG3294" s="42"/>
    </row>
    <row r="3295" spans="50:59" x14ac:dyDescent="0.2">
      <c r="AX3295" s="315"/>
      <c r="AY3295" s="326"/>
      <c r="AZ3295" s="175"/>
      <c r="BA3295" s="42"/>
      <c r="BB3295" s="426"/>
      <c r="BF3295" s="315"/>
      <c r="BG3295" s="42"/>
    </row>
    <row r="3296" spans="50:59" x14ac:dyDescent="0.2">
      <c r="AX3296" s="315"/>
      <c r="AY3296" s="326"/>
      <c r="AZ3296" s="175"/>
      <c r="BA3296" s="42"/>
      <c r="BB3296" s="426"/>
      <c r="BF3296" s="315"/>
      <c r="BG3296" s="42"/>
    </row>
    <row r="3297" spans="50:59" x14ac:dyDescent="0.2">
      <c r="AX3297" s="315"/>
      <c r="AY3297" s="326"/>
      <c r="AZ3297" s="175"/>
      <c r="BA3297" s="42"/>
      <c r="BB3297" s="426"/>
      <c r="BF3297" s="315"/>
      <c r="BG3297" s="42"/>
    </row>
    <row r="3298" spans="50:59" x14ac:dyDescent="0.2">
      <c r="AX3298" s="315"/>
      <c r="AY3298" s="326"/>
      <c r="AZ3298" s="175"/>
      <c r="BA3298" s="42"/>
      <c r="BB3298" s="426"/>
      <c r="BF3298" s="315"/>
      <c r="BG3298" s="42"/>
    </row>
    <row r="3299" spans="50:59" x14ac:dyDescent="0.2">
      <c r="AX3299" s="315"/>
      <c r="AY3299" s="326"/>
      <c r="AZ3299" s="175"/>
      <c r="BA3299" s="42"/>
      <c r="BB3299" s="426"/>
      <c r="BF3299" s="315"/>
      <c r="BG3299" s="42"/>
    </row>
    <row r="3300" spans="50:59" x14ac:dyDescent="0.2">
      <c r="AX3300" s="315"/>
      <c r="AY3300" s="326"/>
      <c r="AZ3300" s="175"/>
      <c r="BA3300" s="42"/>
      <c r="BB3300" s="426"/>
      <c r="BF3300" s="315"/>
      <c r="BG3300" s="42"/>
    </row>
    <row r="3301" spans="50:59" x14ac:dyDescent="0.2">
      <c r="AX3301" s="315"/>
      <c r="AY3301" s="326"/>
      <c r="AZ3301" s="175"/>
      <c r="BA3301" s="42"/>
      <c r="BB3301" s="426"/>
      <c r="BF3301" s="315"/>
      <c r="BG3301" s="42"/>
    </row>
    <row r="3302" spans="50:59" x14ac:dyDescent="0.2">
      <c r="AX3302" s="315"/>
      <c r="AY3302" s="326"/>
      <c r="AZ3302" s="175"/>
      <c r="BA3302" s="42"/>
      <c r="BB3302" s="426"/>
      <c r="BF3302" s="315"/>
      <c r="BG3302" s="42"/>
    </row>
    <row r="3303" spans="50:59" x14ac:dyDescent="0.2">
      <c r="AX3303" s="315"/>
      <c r="AY3303" s="326"/>
      <c r="AZ3303" s="175"/>
      <c r="BA3303" s="42"/>
      <c r="BB3303" s="426"/>
      <c r="BF3303" s="315"/>
      <c r="BG3303" s="42"/>
    </row>
    <row r="3304" spans="50:59" x14ac:dyDescent="0.2">
      <c r="AX3304" s="315"/>
      <c r="AY3304" s="326"/>
      <c r="AZ3304" s="175"/>
      <c r="BA3304" s="42"/>
      <c r="BB3304" s="426"/>
      <c r="BF3304" s="315"/>
      <c r="BG3304" s="42"/>
    </row>
    <row r="3305" spans="50:59" x14ac:dyDescent="0.2">
      <c r="AX3305" s="315"/>
      <c r="AY3305" s="326"/>
      <c r="AZ3305" s="175"/>
      <c r="BA3305" s="42"/>
      <c r="BB3305" s="426"/>
      <c r="BF3305" s="315"/>
      <c r="BG3305" s="42"/>
    </row>
    <row r="3306" spans="50:59" x14ac:dyDescent="0.2">
      <c r="AX3306" s="315"/>
      <c r="AY3306" s="326"/>
      <c r="AZ3306" s="175"/>
      <c r="BA3306" s="42"/>
      <c r="BB3306" s="426"/>
      <c r="BF3306" s="315"/>
      <c r="BG3306" s="42"/>
    </row>
    <row r="3307" spans="50:59" x14ac:dyDescent="0.2">
      <c r="AX3307" s="315"/>
      <c r="AY3307" s="326"/>
      <c r="AZ3307" s="175"/>
      <c r="BA3307" s="42"/>
      <c r="BB3307" s="426"/>
      <c r="BF3307" s="315"/>
      <c r="BG3307" s="42"/>
    </row>
    <row r="3308" spans="50:59" x14ac:dyDescent="0.2">
      <c r="AX3308" s="315"/>
      <c r="AY3308" s="326"/>
      <c r="AZ3308" s="175"/>
      <c r="BA3308" s="42"/>
      <c r="BB3308" s="426"/>
      <c r="BF3308" s="315"/>
      <c r="BG3308" s="42"/>
    </row>
    <row r="3309" spans="50:59" x14ac:dyDescent="0.2">
      <c r="AX3309" s="315"/>
      <c r="AY3309" s="326"/>
      <c r="AZ3309" s="175"/>
      <c r="BA3309" s="42"/>
      <c r="BB3309" s="426"/>
      <c r="BF3309" s="315"/>
      <c r="BG3309" s="42"/>
    </row>
    <row r="3310" spans="50:59" x14ac:dyDescent="0.2">
      <c r="AX3310" s="315"/>
      <c r="AY3310" s="326"/>
      <c r="AZ3310" s="175"/>
      <c r="BA3310" s="42"/>
      <c r="BB3310" s="426"/>
      <c r="BF3310" s="315"/>
      <c r="BG3310" s="42"/>
    </row>
    <row r="3311" spans="50:59" x14ac:dyDescent="0.2">
      <c r="AX3311" s="315"/>
      <c r="AY3311" s="326"/>
      <c r="AZ3311" s="175"/>
      <c r="BA3311" s="42"/>
      <c r="BB3311" s="426"/>
      <c r="BF3311" s="315"/>
      <c r="BG3311" s="42"/>
    </row>
    <row r="3312" spans="50:59" x14ac:dyDescent="0.2">
      <c r="AX3312" s="315"/>
      <c r="AY3312" s="326"/>
      <c r="AZ3312" s="175"/>
      <c r="BA3312" s="42"/>
      <c r="BB3312" s="426"/>
      <c r="BF3312" s="315"/>
      <c r="BG3312" s="42"/>
    </row>
    <row r="3313" spans="50:59" x14ac:dyDescent="0.2">
      <c r="AX3313" s="315"/>
      <c r="AY3313" s="326"/>
      <c r="AZ3313" s="175"/>
      <c r="BA3313" s="42"/>
      <c r="BB3313" s="426"/>
      <c r="BF3313" s="315"/>
      <c r="BG3313" s="42"/>
    </row>
    <row r="3314" spans="50:59" x14ac:dyDescent="0.2">
      <c r="AX3314" s="315"/>
      <c r="AY3314" s="326"/>
      <c r="AZ3314" s="175"/>
      <c r="BA3314" s="42"/>
      <c r="BB3314" s="426"/>
      <c r="BF3314" s="315"/>
      <c r="BG3314" s="42"/>
    </row>
    <row r="3315" spans="50:59" x14ac:dyDescent="0.2">
      <c r="AX3315" s="315"/>
      <c r="AY3315" s="326"/>
      <c r="AZ3315" s="175"/>
      <c r="BA3315" s="42"/>
      <c r="BB3315" s="426"/>
      <c r="BF3315" s="315"/>
      <c r="BG3315" s="42"/>
    </row>
    <row r="3316" spans="50:59" x14ac:dyDescent="0.2">
      <c r="AX3316" s="315"/>
      <c r="AY3316" s="326"/>
      <c r="AZ3316" s="175"/>
      <c r="BA3316" s="42"/>
      <c r="BB3316" s="426"/>
      <c r="BF3316" s="315"/>
      <c r="BG3316" s="42"/>
    </row>
    <row r="3317" spans="50:59" x14ac:dyDescent="0.2">
      <c r="AX3317" s="315"/>
      <c r="AY3317" s="326"/>
      <c r="AZ3317" s="175"/>
      <c r="BA3317" s="42"/>
      <c r="BB3317" s="426"/>
      <c r="BF3317" s="315"/>
      <c r="BG3317" s="42"/>
    </row>
    <row r="3318" spans="50:59" x14ac:dyDescent="0.2">
      <c r="AX3318" s="315"/>
      <c r="AY3318" s="326"/>
      <c r="AZ3318" s="175"/>
      <c r="BA3318" s="42"/>
      <c r="BB3318" s="426"/>
      <c r="BF3318" s="315"/>
      <c r="BG3318" s="42"/>
    </row>
    <row r="3319" spans="50:59" x14ac:dyDescent="0.2">
      <c r="AX3319" s="315"/>
      <c r="AY3319" s="326"/>
      <c r="AZ3319" s="175"/>
      <c r="BA3319" s="42"/>
      <c r="BB3319" s="426"/>
      <c r="BF3319" s="315"/>
      <c r="BG3319" s="42"/>
    </row>
    <row r="3320" spans="50:59" x14ac:dyDescent="0.2">
      <c r="AX3320" s="315"/>
      <c r="AY3320" s="326"/>
      <c r="AZ3320" s="175"/>
      <c r="BA3320" s="42"/>
      <c r="BB3320" s="426"/>
      <c r="BF3320" s="315"/>
      <c r="BG3320" s="42"/>
    </row>
    <row r="3321" spans="50:59" x14ac:dyDescent="0.2">
      <c r="AX3321" s="315"/>
      <c r="AY3321" s="326"/>
      <c r="AZ3321" s="175"/>
      <c r="BA3321" s="42"/>
      <c r="BB3321" s="426"/>
      <c r="BF3321" s="315"/>
      <c r="BG3321" s="42"/>
    </row>
    <row r="3322" spans="50:59" x14ac:dyDescent="0.2">
      <c r="AX3322" s="315"/>
      <c r="AY3322" s="326"/>
      <c r="AZ3322" s="175"/>
      <c r="BA3322" s="42"/>
      <c r="BB3322" s="426"/>
      <c r="BF3322" s="315"/>
      <c r="BG3322" s="42"/>
    </row>
    <row r="3323" spans="50:59" x14ac:dyDescent="0.2">
      <c r="AX3323" s="315"/>
      <c r="AY3323" s="326"/>
      <c r="AZ3323" s="175"/>
      <c r="BA3323" s="42"/>
      <c r="BB3323" s="426"/>
      <c r="BF3323" s="315"/>
      <c r="BG3323" s="42"/>
    </row>
    <row r="3324" spans="50:59" x14ac:dyDescent="0.2">
      <c r="AX3324" s="315"/>
      <c r="AY3324" s="326"/>
      <c r="AZ3324" s="175"/>
      <c r="BA3324" s="42"/>
      <c r="BB3324" s="426"/>
      <c r="BF3324" s="315"/>
      <c r="BG3324" s="42"/>
    </row>
    <row r="3325" spans="50:59" x14ac:dyDescent="0.2">
      <c r="AX3325" s="315"/>
      <c r="AY3325" s="326"/>
      <c r="AZ3325" s="175"/>
      <c r="BA3325" s="42"/>
      <c r="BB3325" s="426"/>
      <c r="BF3325" s="315"/>
      <c r="BG3325" s="42"/>
    </row>
    <row r="3326" spans="50:59" x14ac:dyDescent="0.2">
      <c r="AX3326" s="315"/>
      <c r="AY3326" s="326"/>
      <c r="AZ3326" s="175"/>
      <c r="BA3326" s="42"/>
      <c r="BB3326" s="426"/>
      <c r="BF3326" s="315"/>
      <c r="BG3326" s="42"/>
    </row>
    <row r="3327" spans="50:59" x14ac:dyDescent="0.2">
      <c r="AX3327" s="315"/>
      <c r="AY3327" s="326"/>
      <c r="AZ3327" s="175"/>
      <c r="BA3327" s="42"/>
      <c r="BB3327" s="426"/>
      <c r="BF3327" s="315"/>
      <c r="BG3327" s="42"/>
    </row>
    <row r="3328" spans="50:59" x14ac:dyDescent="0.2">
      <c r="AX3328" s="315"/>
      <c r="AY3328" s="326"/>
      <c r="AZ3328" s="175"/>
      <c r="BA3328" s="42"/>
      <c r="BB3328" s="426"/>
      <c r="BF3328" s="315"/>
      <c r="BG3328" s="42"/>
    </row>
    <row r="3329" spans="50:59" x14ac:dyDescent="0.2">
      <c r="AX3329" s="315"/>
      <c r="AY3329" s="326"/>
      <c r="AZ3329" s="175"/>
      <c r="BA3329" s="42"/>
      <c r="BB3329" s="426"/>
      <c r="BF3329" s="315"/>
      <c r="BG3329" s="42"/>
    </row>
    <row r="3330" spans="50:59" x14ac:dyDescent="0.2">
      <c r="AX3330" s="315"/>
      <c r="AY3330" s="326"/>
      <c r="AZ3330" s="175"/>
      <c r="BA3330" s="42"/>
      <c r="BB3330" s="426"/>
      <c r="BF3330" s="315"/>
      <c r="BG3330" s="42"/>
    </row>
    <row r="3331" spans="50:59" x14ac:dyDescent="0.2">
      <c r="AX3331" s="315"/>
      <c r="AY3331" s="326"/>
      <c r="AZ3331" s="175"/>
      <c r="BA3331" s="42"/>
      <c r="BB3331" s="426"/>
      <c r="BF3331" s="315"/>
      <c r="BG3331" s="42"/>
    </row>
    <row r="3332" spans="50:59" x14ac:dyDescent="0.2">
      <c r="AX3332" s="315"/>
      <c r="AY3332" s="326"/>
      <c r="AZ3332" s="175"/>
      <c r="BA3332" s="42"/>
      <c r="BB3332" s="426"/>
      <c r="BF3332" s="315"/>
      <c r="BG3332" s="42"/>
    </row>
    <row r="3333" spans="50:59" x14ac:dyDescent="0.2">
      <c r="AX3333" s="315"/>
      <c r="AY3333" s="326"/>
      <c r="AZ3333" s="175"/>
      <c r="BA3333" s="42"/>
      <c r="BB3333" s="426"/>
      <c r="BF3333" s="315"/>
      <c r="BG3333" s="42"/>
    </row>
    <row r="3334" spans="50:59" x14ac:dyDescent="0.2">
      <c r="AX3334" s="315"/>
      <c r="AY3334" s="326"/>
      <c r="AZ3334" s="175"/>
      <c r="BA3334" s="42"/>
      <c r="BB3334" s="426"/>
      <c r="BF3334" s="315"/>
      <c r="BG3334" s="42"/>
    </row>
    <row r="3335" spans="50:59" x14ac:dyDescent="0.2">
      <c r="AX3335" s="315"/>
      <c r="AY3335" s="326"/>
      <c r="AZ3335" s="175"/>
      <c r="BA3335" s="42"/>
      <c r="BB3335" s="426"/>
      <c r="BF3335" s="315"/>
      <c r="BG3335" s="42"/>
    </row>
    <row r="3336" spans="50:59" x14ac:dyDescent="0.2">
      <c r="AX3336" s="315"/>
      <c r="AY3336" s="326"/>
      <c r="AZ3336" s="175"/>
      <c r="BA3336" s="42"/>
      <c r="BB3336" s="426"/>
      <c r="BF3336" s="315"/>
      <c r="BG3336" s="42"/>
    </row>
    <row r="3337" spans="50:59" x14ac:dyDescent="0.2">
      <c r="AX3337" s="315"/>
      <c r="AY3337" s="326"/>
      <c r="AZ3337" s="175"/>
      <c r="BA3337" s="42"/>
      <c r="BB3337" s="426"/>
      <c r="BF3337" s="315"/>
      <c r="BG3337" s="42"/>
    </row>
    <row r="3338" spans="50:59" x14ac:dyDescent="0.2">
      <c r="AX3338" s="315"/>
      <c r="AY3338" s="326"/>
      <c r="AZ3338" s="175"/>
      <c r="BA3338" s="42"/>
      <c r="BB3338" s="426"/>
      <c r="BF3338" s="315"/>
      <c r="BG3338" s="42"/>
    </row>
    <row r="3339" spans="50:59" x14ac:dyDescent="0.2">
      <c r="AX3339" s="315"/>
      <c r="AY3339" s="326"/>
      <c r="AZ3339" s="175"/>
      <c r="BA3339" s="42"/>
      <c r="BB3339" s="426"/>
      <c r="BF3339" s="315"/>
      <c r="BG3339" s="42"/>
    </row>
    <row r="3340" spans="50:59" x14ac:dyDescent="0.2">
      <c r="AX3340" s="315"/>
      <c r="AY3340" s="326"/>
      <c r="AZ3340" s="175"/>
      <c r="BA3340" s="42"/>
      <c r="BB3340" s="426"/>
      <c r="BF3340" s="315"/>
      <c r="BG3340" s="42"/>
    </row>
    <row r="3341" spans="50:59" x14ac:dyDescent="0.2">
      <c r="AX3341" s="315"/>
      <c r="AY3341" s="326"/>
      <c r="AZ3341" s="175"/>
      <c r="BA3341" s="42"/>
      <c r="BB3341" s="426"/>
      <c r="BF3341" s="315"/>
      <c r="BG3341" s="42"/>
    </row>
    <row r="3342" spans="50:59" x14ac:dyDescent="0.2">
      <c r="AX3342" s="315"/>
      <c r="AY3342" s="326"/>
      <c r="AZ3342" s="175"/>
      <c r="BA3342" s="42"/>
      <c r="BB3342" s="426"/>
      <c r="BF3342" s="315"/>
      <c r="BG3342" s="42"/>
    </row>
    <row r="3343" spans="50:59" x14ac:dyDescent="0.2">
      <c r="AX3343" s="315"/>
      <c r="AY3343" s="326"/>
      <c r="AZ3343" s="175"/>
      <c r="BA3343" s="42"/>
      <c r="BB3343" s="426"/>
      <c r="BF3343" s="315"/>
      <c r="BG3343" s="42"/>
    </row>
    <row r="3344" spans="50:59" x14ac:dyDescent="0.2">
      <c r="AX3344" s="315"/>
      <c r="AY3344" s="326"/>
      <c r="AZ3344" s="175"/>
      <c r="BA3344" s="42"/>
      <c r="BB3344" s="426"/>
      <c r="BF3344" s="315"/>
      <c r="BG3344" s="42"/>
    </row>
    <row r="3345" spans="50:59" x14ac:dyDescent="0.2">
      <c r="AX3345" s="315"/>
      <c r="AY3345" s="326"/>
      <c r="AZ3345" s="175"/>
      <c r="BA3345" s="42"/>
      <c r="BB3345" s="426"/>
      <c r="BF3345" s="315"/>
      <c r="BG3345" s="42"/>
    </row>
    <row r="3346" spans="50:59" x14ac:dyDescent="0.2">
      <c r="AX3346" s="315"/>
      <c r="AY3346" s="326"/>
      <c r="AZ3346" s="175"/>
      <c r="BA3346" s="42"/>
      <c r="BB3346" s="426"/>
      <c r="BF3346" s="315"/>
      <c r="BG3346" s="42"/>
    </row>
    <row r="3347" spans="50:59" x14ac:dyDescent="0.2">
      <c r="AX3347" s="315"/>
      <c r="AY3347" s="326"/>
      <c r="AZ3347" s="175"/>
      <c r="BA3347" s="42"/>
      <c r="BB3347" s="426"/>
      <c r="BF3347" s="315"/>
      <c r="BG3347" s="42"/>
    </row>
    <row r="3348" spans="50:59" x14ac:dyDescent="0.2">
      <c r="AX3348" s="315"/>
      <c r="AY3348" s="326"/>
      <c r="AZ3348" s="175"/>
      <c r="BA3348" s="42"/>
      <c r="BB3348" s="426"/>
      <c r="BF3348" s="315"/>
      <c r="BG3348" s="42"/>
    </row>
    <row r="3349" spans="50:59" x14ac:dyDescent="0.2">
      <c r="AX3349" s="315"/>
      <c r="AY3349" s="326"/>
      <c r="AZ3349" s="175"/>
      <c r="BA3349" s="42"/>
      <c r="BB3349" s="426"/>
      <c r="BF3349" s="315"/>
      <c r="BG3349" s="42"/>
    </row>
    <row r="3350" spans="50:59" x14ac:dyDescent="0.2">
      <c r="AX3350" s="315"/>
      <c r="AY3350" s="326"/>
      <c r="AZ3350" s="175"/>
      <c r="BA3350" s="42"/>
      <c r="BB3350" s="426"/>
      <c r="BF3350" s="315"/>
      <c r="BG3350" s="42"/>
    </row>
    <row r="3351" spans="50:59" x14ac:dyDescent="0.2">
      <c r="AX3351" s="315"/>
      <c r="AY3351" s="326"/>
      <c r="AZ3351" s="175"/>
      <c r="BA3351" s="42"/>
      <c r="BB3351" s="426"/>
      <c r="BF3351" s="315"/>
      <c r="BG3351" s="42"/>
    </row>
    <row r="3352" spans="50:59" x14ac:dyDescent="0.2">
      <c r="AX3352" s="315"/>
      <c r="AY3352" s="326"/>
      <c r="AZ3352" s="175"/>
      <c r="BA3352" s="42"/>
      <c r="BB3352" s="426"/>
      <c r="BF3352" s="315"/>
      <c r="BG3352" s="42"/>
    </row>
    <row r="3353" spans="50:59" x14ac:dyDescent="0.2">
      <c r="AX3353" s="315"/>
      <c r="AY3353" s="326"/>
      <c r="AZ3353" s="175"/>
      <c r="BA3353" s="42"/>
      <c r="BB3353" s="426"/>
      <c r="BF3353" s="315"/>
      <c r="BG3353" s="42"/>
    </row>
    <row r="3354" spans="50:59" x14ac:dyDescent="0.2">
      <c r="AX3354" s="315"/>
      <c r="AY3354" s="326"/>
      <c r="AZ3354" s="175"/>
      <c r="BA3354" s="42"/>
      <c r="BB3354" s="426"/>
      <c r="BF3354" s="315"/>
      <c r="BG3354" s="42"/>
    </row>
    <row r="3355" spans="50:59" x14ac:dyDescent="0.2">
      <c r="AX3355" s="315"/>
      <c r="AY3355" s="326"/>
      <c r="AZ3355" s="175"/>
      <c r="BA3355" s="42"/>
      <c r="BB3355" s="426"/>
      <c r="BF3355" s="315"/>
      <c r="BG3355" s="42"/>
    </row>
    <row r="3356" spans="50:59" x14ac:dyDescent="0.2">
      <c r="AX3356" s="315"/>
      <c r="AY3356" s="326"/>
      <c r="AZ3356" s="175"/>
      <c r="BA3356" s="42"/>
      <c r="BB3356" s="426"/>
      <c r="BF3356" s="315"/>
      <c r="BG3356" s="42"/>
    </row>
    <row r="3357" spans="50:59" x14ac:dyDescent="0.2">
      <c r="AX3357" s="315"/>
      <c r="AY3357" s="326"/>
      <c r="AZ3357" s="175"/>
      <c r="BA3357" s="42"/>
      <c r="BB3357" s="426"/>
      <c r="BF3357" s="315"/>
      <c r="BG3357" s="42"/>
    </row>
    <row r="3358" spans="50:59" x14ac:dyDescent="0.2">
      <c r="AX3358" s="315"/>
      <c r="AY3358" s="326"/>
      <c r="AZ3358" s="175"/>
      <c r="BA3358" s="42"/>
      <c r="BB3358" s="426"/>
      <c r="BF3358" s="315"/>
      <c r="BG3358" s="42"/>
    </row>
    <row r="3359" spans="50:59" x14ac:dyDescent="0.2">
      <c r="AX3359" s="315"/>
      <c r="AY3359" s="326"/>
      <c r="AZ3359" s="175"/>
      <c r="BA3359" s="42"/>
      <c r="BB3359" s="426"/>
      <c r="BF3359" s="315"/>
      <c r="BG3359" s="42"/>
    </row>
    <row r="3360" spans="50:59" x14ac:dyDescent="0.2">
      <c r="AX3360" s="315"/>
      <c r="AY3360" s="326"/>
      <c r="AZ3360" s="175"/>
      <c r="BA3360" s="42"/>
      <c r="BB3360" s="426"/>
      <c r="BF3360" s="315"/>
      <c r="BG3360" s="42"/>
    </row>
    <row r="3361" spans="50:59" x14ac:dyDescent="0.2">
      <c r="AX3361" s="315"/>
      <c r="AY3361" s="326"/>
      <c r="AZ3361" s="175"/>
      <c r="BA3361" s="42"/>
      <c r="BB3361" s="426"/>
      <c r="BF3361" s="315"/>
      <c r="BG3361" s="42"/>
    </row>
    <row r="3362" spans="50:59" x14ac:dyDescent="0.2">
      <c r="AX3362" s="315"/>
      <c r="AY3362" s="326"/>
      <c r="AZ3362" s="175"/>
      <c r="BA3362" s="42"/>
      <c r="BB3362" s="426"/>
      <c r="BF3362" s="315"/>
      <c r="BG3362" s="42"/>
    </row>
    <row r="3363" spans="50:59" x14ac:dyDescent="0.2">
      <c r="AX3363" s="315"/>
      <c r="AY3363" s="326"/>
      <c r="AZ3363" s="175"/>
      <c r="BA3363" s="42"/>
      <c r="BB3363" s="426"/>
      <c r="BF3363" s="315"/>
      <c r="BG3363" s="42"/>
    </row>
    <row r="3364" spans="50:59" x14ac:dyDescent="0.2">
      <c r="AX3364" s="315"/>
      <c r="AY3364" s="326"/>
      <c r="AZ3364" s="175"/>
      <c r="BA3364" s="42"/>
      <c r="BB3364" s="426"/>
      <c r="BF3364" s="315"/>
      <c r="BG3364" s="42"/>
    </row>
    <row r="3365" spans="50:59" x14ac:dyDescent="0.2">
      <c r="AX3365" s="315"/>
      <c r="AY3365" s="326"/>
      <c r="AZ3365" s="175"/>
      <c r="BA3365" s="42"/>
      <c r="BB3365" s="426"/>
      <c r="BF3365" s="315"/>
      <c r="BG3365" s="42"/>
    </row>
    <row r="3366" spans="50:59" x14ac:dyDescent="0.2">
      <c r="AX3366" s="315"/>
      <c r="AY3366" s="326"/>
      <c r="AZ3366" s="175"/>
      <c r="BA3366" s="42"/>
      <c r="BB3366" s="426"/>
      <c r="BF3366" s="315"/>
      <c r="BG3366" s="42"/>
    </row>
    <row r="3367" spans="50:59" x14ac:dyDescent="0.2">
      <c r="AX3367" s="315"/>
      <c r="AY3367" s="326"/>
      <c r="AZ3367" s="175"/>
      <c r="BA3367" s="42"/>
      <c r="BB3367" s="426"/>
      <c r="BF3367" s="315"/>
      <c r="BG3367" s="42"/>
    </row>
    <row r="3368" spans="50:59" x14ac:dyDescent="0.2">
      <c r="AX3368" s="315"/>
      <c r="AY3368" s="326"/>
      <c r="AZ3368" s="175"/>
      <c r="BA3368" s="42"/>
      <c r="BB3368" s="426"/>
      <c r="BF3368" s="315"/>
      <c r="BG3368" s="42"/>
    </row>
    <row r="3369" spans="50:59" x14ac:dyDescent="0.2">
      <c r="AX3369" s="315"/>
      <c r="AY3369" s="326"/>
      <c r="AZ3369" s="175"/>
      <c r="BA3369" s="42"/>
      <c r="BB3369" s="426"/>
      <c r="BF3369" s="315"/>
      <c r="BG3369" s="42"/>
    </row>
    <row r="3370" spans="50:59" x14ac:dyDescent="0.2">
      <c r="AX3370" s="315"/>
      <c r="AY3370" s="326"/>
      <c r="AZ3370" s="175"/>
      <c r="BA3370" s="42"/>
      <c r="BB3370" s="426"/>
      <c r="BF3370" s="315"/>
      <c r="BG3370" s="42"/>
    </row>
    <row r="3371" spans="50:59" x14ac:dyDescent="0.2">
      <c r="AX3371" s="315"/>
      <c r="AY3371" s="326"/>
      <c r="AZ3371" s="175"/>
      <c r="BA3371" s="42"/>
      <c r="BB3371" s="426"/>
      <c r="BF3371" s="315"/>
      <c r="BG3371" s="42"/>
    </row>
    <row r="3372" spans="50:59" x14ac:dyDescent="0.2">
      <c r="AX3372" s="315"/>
      <c r="AY3372" s="326"/>
      <c r="AZ3372" s="175"/>
      <c r="BA3372" s="42"/>
      <c r="BB3372" s="426"/>
      <c r="BF3372" s="315"/>
      <c r="BG3372" s="42"/>
    </row>
    <row r="3373" spans="50:59" x14ac:dyDescent="0.2">
      <c r="AX3373" s="315"/>
      <c r="AY3373" s="326"/>
      <c r="AZ3373" s="175"/>
      <c r="BA3373" s="42"/>
      <c r="BB3373" s="426"/>
      <c r="BF3373" s="315"/>
      <c r="BG3373" s="42"/>
    </row>
    <row r="3374" spans="50:59" x14ac:dyDescent="0.2">
      <c r="AX3374" s="315"/>
      <c r="AY3374" s="326"/>
      <c r="AZ3374" s="175"/>
      <c r="BA3374" s="42"/>
      <c r="BB3374" s="426"/>
      <c r="BF3374" s="315"/>
      <c r="BG3374" s="42"/>
    </row>
    <row r="3375" spans="50:59" x14ac:dyDescent="0.2">
      <c r="AX3375" s="315"/>
      <c r="AY3375" s="326"/>
      <c r="AZ3375" s="175"/>
      <c r="BA3375" s="42"/>
      <c r="BB3375" s="426"/>
      <c r="BF3375" s="315"/>
      <c r="BG3375" s="42"/>
    </row>
    <row r="3376" spans="50:59" x14ac:dyDescent="0.2">
      <c r="AX3376" s="315"/>
      <c r="AY3376" s="326"/>
      <c r="AZ3376" s="175"/>
      <c r="BA3376" s="42"/>
      <c r="BB3376" s="426"/>
      <c r="BF3376" s="315"/>
      <c r="BG3376" s="42"/>
    </row>
    <row r="3377" spans="50:59" x14ac:dyDescent="0.2">
      <c r="AX3377" s="315"/>
      <c r="AY3377" s="326"/>
      <c r="AZ3377" s="175"/>
      <c r="BA3377" s="42"/>
      <c r="BB3377" s="426"/>
      <c r="BF3377" s="315"/>
      <c r="BG3377" s="42"/>
    </row>
    <row r="3378" spans="50:59" x14ac:dyDescent="0.2">
      <c r="AX3378" s="315"/>
      <c r="AY3378" s="326"/>
      <c r="AZ3378" s="175"/>
      <c r="BA3378" s="42"/>
      <c r="BB3378" s="426"/>
      <c r="BF3378" s="315"/>
      <c r="BG3378" s="42"/>
    </row>
    <row r="3379" spans="50:59" x14ac:dyDescent="0.2">
      <c r="AX3379" s="315"/>
      <c r="AY3379" s="326"/>
      <c r="AZ3379" s="175"/>
      <c r="BA3379" s="42"/>
      <c r="BB3379" s="426"/>
      <c r="BF3379" s="315"/>
      <c r="BG3379" s="42"/>
    </row>
    <row r="3380" spans="50:59" x14ac:dyDescent="0.2">
      <c r="AX3380" s="315"/>
      <c r="AY3380" s="326"/>
      <c r="AZ3380" s="175"/>
      <c r="BA3380" s="42"/>
      <c r="BB3380" s="426"/>
      <c r="BF3380" s="315"/>
      <c r="BG3380" s="42"/>
    </row>
    <row r="3381" spans="50:59" x14ac:dyDescent="0.2">
      <c r="AX3381" s="315"/>
      <c r="AY3381" s="326"/>
      <c r="AZ3381" s="175"/>
      <c r="BA3381" s="42"/>
      <c r="BB3381" s="426"/>
      <c r="BF3381" s="315"/>
      <c r="BG3381" s="42"/>
    </row>
    <row r="3382" spans="50:59" x14ac:dyDescent="0.2">
      <c r="AX3382" s="315"/>
      <c r="AY3382" s="326"/>
      <c r="AZ3382" s="175"/>
      <c r="BA3382" s="42"/>
      <c r="BB3382" s="426"/>
      <c r="BF3382" s="315"/>
      <c r="BG3382" s="42"/>
    </row>
    <row r="3383" spans="50:59" x14ac:dyDescent="0.2">
      <c r="AX3383" s="315"/>
      <c r="AY3383" s="326"/>
      <c r="AZ3383" s="175"/>
      <c r="BA3383" s="42"/>
      <c r="BB3383" s="426"/>
      <c r="BF3383" s="315"/>
      <c r="BG3383" s="42"/>
    </row>
    <row r="3384" spans="50:59" x14ac:dyDescent="0.2">
      <c r="AX3384" s="315"/>
      <c r="AY3384" s="326"/>
      <c r="AZ3384" s="175"/>
      <c r="BA3384" s="42"/>
      <c r="BB3384" s="426"/>
      <c r="BF3384" s="315"/>
      <c r="BG3384" s="42"/>
    </row>
    <row r="3385" spans="50:59" x14ac:dyDescent="0.2">
      <c r="AX3385" s="315"/>
      <c r="AY3385" s="326"/>
      <c r="AZ3385" s="175"/>
      <c r="BA3385" s="42"/>
      <c r="BB3385" s="426"/>
      <c r="BF3385" s="315"/>
      <c r="BG3385" s="42"/>
    </row>
    <row r="3386" spans="50:59" x14ac:dyDescent="0.2">
      <c r="AX3386" s="315"/>
      <c r="AY3386" s="326"/>
      <c r="AZ3386" s="175"/>
      <c r="BA3386" s="42"/>
      <c r="BB3386" s="426"/>
      <c r="BF3386" s="315"/>
      <c r="BG3386" s="42"/>
    </row>
    <row r="3387" spans="50:59" x14ac:dyDescent="0.2">
      <c r="AX3387" s="315"/>
      <c r="AY3387" s="326"/>
      <c r="AZ3387" s="175"/>
      <c r="BA3387" s="42"/>
      <c r="BB3387" s="426"/>
      <c r="BF3387" s="315"/>
      <c r="BG3387" s="42"/>
    </row>
    <row r="3388" spans="50:59" x14ac:dyDescent="0.2">
      <c r="AX3388" s="315"/>
      <c r="AY3388" s="326"/>
      <c r="AZ3388" s="175"/>
      <c r="BA3388" s="42"/>
      <c r="BB3388" s="426"/>
      <c r="BF3388" s="315"/>
      <c r="BG3388" s="42"/>
    </row>
    <row r="3389" spans="50:59" x14ac:dyDescent="0.2">
      <c r="AX3389" s="315"/>
      <c r="AY3389" s="326"/>
      <c r="AZ3389" s="175"/>
      <c r="BA3389" s="42"/>
      <c r="BB3389" s="426"/>
      <c r="BF3389" s="315"/>
      <c r="BG3389" s="42"/>
    </row>
    <row r="3390" spans="50:59" x14ac:dyDescent="0.2">
      <c r="AX3390" s="315"/>
      <c r="AY3390" s="326"/>
      <c r="AZ3390" s="175"/>
      <c r="BA3390" s="42"/>
      <c r="BB3390" s="426"/>
      <c r="BF3390" s="315"/>
      <c r="BG3390" s="42"/>
    </row>
    <row r="3391" spans="50:59" x14ac:dyDescent="0.2">
      <c r="AX3391" s="315"/>
      <c r="AY3391" s="326"/>
      <c r="AZ3391" s="175"/>
      <c r="BA3391" s="42"/>
      <c r="BB3391" s="426"/>
      <c r="BF3391" s="315"/>
      <c r="BG3391" s="42"/>
    </row>
    <row r="3392" spans="50:59" x14ac:dyDescent="0.2">
      <c r="AX3392" s="315"/>
      <c r="AY3392" s="326"/>
      <c r="AZ3392" s="175"/>
      <c r="BA3392" s="42"/>
      <c r="BB3392" s="426"/>
      <c r="BF3392" s="315"/>
      <c r="BG3392" s="42"/>
    </row>
    <row r="3393" spans="50:59" x14ac:dyDescent="0.2">
      <c r="AX3393" s="315"/>
      <c r="AY3393" s="326"/>
      <c r="AZ3393" s="175"/>
      <c r="BA3393" s="42"/>
      <c r="BB3393" s="426"/>
      <c r="BF3393" s="315"/>
      <c r="BG3393" s="42"/>
    </row>
    <row r="3394" spans="50:59" x14ac:dyDescent="0.2">
      <c r="AX3394" s="315"/>
      <c r="AY3394" s="326"/>
      <c r="AZ3394" s="175"/>
      <c r="BA3394" s="42"/>
      <c r="BB3394" s="426"/>
      <c r="BF3394" s="315"/>
      <c r="BG3394" s="42"/>
    </row>
    <row r="3395" spans="50:59" x14ac:dyDescent="0.2">
      <c r="AX3395" s="315"/>
      <c r="AY3395" s="326"/>
      <c r="AZ3395" s="175"/>
      <c r="BA3395" s="42"/>
      <c r="BB3395" s="426"/>
      <c r="BF3395" s="315"/>
      <c r="BG3395" s="42"/>
    </row>
    <row r="3396" spans="50:59" x14ac:dyDescent="0.2">
      <c r="AX3396" s="315"/>
      <c r="AY3396" s="326"/>
      <c r="AZ3396" s="175"/>
      <c r="BA3396" s="42"/>
      <c r="BB3396" s="426"/>
      <c r="BF3396" s="315"/>
      <c r="BG3396" s="42"/>
    </row>
    <row r="3397" spans="50:59" x14ac:dyDescent="0.2">
      <c r="AX3397" s="315"/>
      <c r="AY3397" s="326"/>
      <c r="AZ3397" s="175"/>
      <c r="BA3397" s="42"/>
      <c r="BB3397" s="426"/>
      <c r="BF3397" s="315"/>
      <c r="BG3397" s="42"/>
    </row>
    <row r="3398" spans="50:59" x14ac:dyDescent="0.2">
      <c r="AX3398" s="315"/>
      <c r="AY3398" s="326"/>
      <c r="AZ3398" s="175"/>
      <c r="BA3398" s="42"/>
      <c r="BB3398" s="426"/>
      <c r="BF3398" s="315"/>
      <c r="BG3398" s="42"/>
    </row>
    <row r="3399" spans="50:59" x14ac:dyDescent="0.2">
      <c r="AX3399" s="315"/>
      <c r="AY3399" s="326"/>
      <c r="AZ3399" s="175"/>
      <c r="BA3399" s="42"/>
      <c r="BB3399" s="426"/>
      <c r="BF3399" s="315"/>
      <c r="BG3399" s="42"/>
    </row>
    <row r="3400" spans="50:59" x14ac:dyDescent="0.2">
      <c r="AX3400" s="315"/>
      <c r="AY3400" s="326"/>
      <c r="AZ3400" s="175"/>
      <c r="BA3400" s="42"/>
      <c r="BB3400" s="426"/>
      <c r="BF3400" s="315"/>
      <c r="BG3400" s="42"/>
    </row>
    <row r="3401" spans="50:59" x14ac:dyDescent="0.2">
      <c r="AX3401" s="315"/>
      <c r="AY3401" s="326"/>
      <c r="AZ3401" s="175"/>
      <c r="BA3401" s="42"/>
      <c r="BB3401" s="426"/>
      <c r="BF3401" s="315"/>
      <c r="BG3401" s="42"/>
    </row>
    <row r="3402" spans="50:59" x14ac:dyDescent="0.2">
      <c r="AX3402" s="315"/>
      <c r="AY3402" s="326"/>
      <c r="AZ3402" s="175"/>
      <c r="BA3402" s="42"/>
      <c r="BB3402" s="426"/>
      <c r="BF3402" s="315"/>
      <c r="BG3402" s="42"/>
    </row>
    <row r="3403" spans="50:59" x14ac:dyDescent="0.2">
      <c r="AX3403" s="315"/>
      <c r="AY3403" s="326"/>
      <c r="AZ3403" s="175"/>
      <c r="BA3403" s="42"/>
      <c r="BB3403" s="426"/>
      <c r="BF3403" s="315"/>
      <c r="BG3403" s="42"/>
    </row>
    <row r="3404" spans="50:59" x14ac:dyDescent="0.2">
      <c r="AX3404" s="315"/>
      <c r="AY3404" s="326"/>
      <c r="AZ3404" s="175"/>
      <c r="BA3404" s="42"/>
      <c r="BB3404" s="426"/>
      <c r="BF3404" s="315"/>
      <c r="BG3404" s="42"/>
    </row>
    <row r="3405" spans="50:59" x14ac:dyDescent="0.2">
      <c r="AX3405" s="315"/>
      <c r="AY3405" s="326"/>
      <c r="AZ3405" s="175"/>
      <c r="BA3405" s="42"/>
      <c r="BB3405" s="426"/>
      <c r="BF3405" s="315"/>
      <c r="BG3405" s="42"/>
    </row>
    <row r="3406" spans="50:59" x14ac:dyDescent="0.2">
      <c r="AX3406" s="315"/>
      <c r="AY3406" s="326"/>
      <c r="AZ3406" s="175"/>
      <c r="BA3406" s="42"/>
      <c r="BB3406" s="426"/>
      <c r="BF3406" s="315"/>
      <c r="BG3406" s="42"/>
    </row>
    <row r="3407" spans="50:59" x14ac:dyDescent="0.2">
      <c r="AX3407" s="315"/>
      <c r="AY3407" s="326"/>
      <c r="AZ3407" s="175"/>
      <c r="BA3407" s="42"/>
      <c r="BB3407" s="426"/>
      <c r="BF3407" s="315"/>
      <c r="BG3407" s="42"/>
    </row>
    <row r="3408" spans="50:59" x14ac:dyDescent="0.2">
      <c r="AX3408" s="315"/>
      <c r="AY3408" s="326"/>
      <c r="AZ3408" s="175"/>
      <c r="BA3408" s="42"/>
      <c r="BB3408" s="426"/>
      <c r="BF3408" s="315"/>
      <c r="BG3408" s="42"/>
    </row>
    <row r="3409" spans="50:59" x14ac:dyDescent="0.2">
      <c r="AX3409" s="315"/>
      <c r="AY3409" s="326"/>
      <c r="AZ3409" s="175"/>
      <c r="BA3409" s="42"/>
      <c r="BB3409" s="426"/>
      <c r="BF3409" s="315"/>
      <c r="BG3409" s="42"/>
    </row>
    <row r="3410" spans="50:59" x14ac:dyDescent="0.2">
      <c r="AX3410" s="315"/>
      <c r="AY3410" s="326"/>
      <c r="AZ3410" s="175"/>
      <c r="BA3410" s="42"/>
      <c r="BB3410" s="426"/>
      <c r="BF3410" s="315"/>
      <c r="BG3410" s="42"/>
    </row>
    <row r="3411" spans="50:59" x14ac:dyDescent="0.2">
      <c r="AX3411" s="315"/>
      <c r="AY3411" s="326"/>
      <c r="AZ3411" s="175"/>
      <c r="BA3411" s="42"/>
      <c r="BB3411" s="426"/>
      <c r="BF3411" s="315"/>
      <c r="BG3411" s="42"/>
    </row>
    <row r="3412" spans="50:59" x14ac:dyDescent="0.2">
      <c r="AX3412" s="315"/>
      <c r="AY3412" s="326"/>
      <c r="AZ3412" s="175"/>
      <c r="BA3412" s="42"/>
      <c r="BB3412" s="426"/>
      <c r="BF3412" s="315"/>
      <c r="BG3412" s="42"/>
    </row>
    <row r="3413" spans="50:59" x14ac:dyDescent="0.2">
      <c r="AX3413" s="315"/>
      <c r="AY3413" s="326"/>
      <c r="AZ3413" s="175"/>
      <c r="BA3413" s="42"/>
      <c r="BB3413" s="426"/>
      <c r="BF3413" s="315"/>
      <c r="BG3413" s="42"/>
    </row>
    <row r="3414" spans="50:59" x14ac:dyDescent="0.2">
      <c r="AX3414" s="315"/>
      <c r="AY3414" s="326"/>
      <c r="AZ3414" s="175"/>
      <c r="BA3414" s="42"/>
      <c r="BB3414" s="426"/>
      <c r="BF3414" s="315"/>
      <c r="BG3414" s="42"/>
    </row>
    <row r="3415" spans="50:59" x14ac:dyDescent="0.2">
      <c r="AX3415" s="315"/>
      <c r="AY3415" s="326"/>
      <c r="AZ3415" s="175"/>
      <c r="BA3415" s="42"/>
      <c r="BB3415" s="426"/>
      <c r="BF3415" s="315"/>
      <c r="BG3415" s="42"/>
    </row>
    <row r="3416" spans="50:59" x14ac:dyDescent="0.2">
      <c r="AX3416" s="315"/>
      <c r="AY3416" s="326"/>
      <c r="AZ3416" s="175"/>
      <c r="BA3416" s="42"/>
      <c r="BB3416" s="426"/>
      <c r="BF3416" s="315"/>
      <c r="BG3416" s="42"/>
    </row>
    <row r="3417" spans="50:59" x14ac:dyDescent="0.2">
      <c r="AX3417" s="315"/>
      <c r="AY3417" s="326"/>
      <c r="AZ3417" s="175"/>
      <c r="BA3417" s="42"/>
      <c r="BB3417" s="426"/>
      <c r="BF3417" s="315"/>
      <c r="BG3417" s="42"/>
    </row>
    <row r="3418" spans="50:59" x14ac:dyDescent="0.2">
      <c r="AX3418" s="315"/>
      <c r="AY3418" s="326"/>
      <c r="AZ3418" s="175"/>
      <c r="BA3418" s="42"/>
      <c r="BB3418" s="426"/>
      <c r="BF3418" s="315"/>
      <c r="BG3418" s="42"/>
    </row>
    <row r="3419" spans="50:59" x14ac:dyDescent="0.2">
      <c r="AX3419" s="315"/>
      <c r="AY3419" s="326"/>
      <c r="AZ3419" s="175"/>
      <c r="BA3419" s="42"/>
      <c r="BB3419" s="426"/>
      <c r="BF3419" s="315"/>
      <c r="BG3419" s="42"/>
    </row>
    <row r="3420" spans="50:59" x14ac:dyDescent="0.2">
      <c r="AX3420" s="315"/>
      <c r="AY3420" s="326"/>
      <c r="AZ3420" s="175"/>
      <c r="BA3420" s="42"/>
      <c r="BB3420" s="426"/>
      <c r="BF3420" s="315"/>
      <c r="BG3420" s="42"/>
    </row>
    <row r="3421" spans="50:59" x14ac:dyDescent="0.2">
      <c r="AX3421" s="315"/>
      <c r="AY3421" s="326"/>
      <c r="AZ3421" s="175"/>
      <c r="BA3421" s="42"/>
      <c r="BB3421" s="426"/>
      <c r="BF3421" s="315"/>
      <c r="BG3421" s="42"/>
    </row>
    <row r="3422" spans="50:59" x14ac:dyDescent="0.2">
      <c r="AX3422" s="315"/>
      <c r="AY3422" s="326"/>
      <c r="AZ3422" s="175"/>
      <c r="BA3422" s="42"/>
      <c r="BB3422" s="426"/>
      <c r="BF3422" s="315"/>
      <c r="BG3422" s="42"/>
    </row>
    <row r="3423" spans="50:59" x14ac:dyDescent="0.2">
      <c r="AX3423" s="315"/>
      <c r="AY3423" s="326"/>
      <c r="AZ3423" s="175"/>
      <c r="BA3423" s="42"/>
      <c r="BB3423" s="426"/>
      <c r="BF3423" s="315"/>
      <c r="BG3423" s="42"/>
    </row>
    <row r="3424" spans="50:59" x14ac:dyDescent="0.2">
      <c r="AX3424" s="315"/>
      <c r="AY3424" s="326"/>
      <c r="AZ3424" s="175"/>
      <c r="BA3424" s="42"/>
      <c r="BB3424" s="426"/>
      <c r="BF3424" s="315"/>
      <c r="BG3424" s="42"/>
    </row>
    <row r="3425" spans="50:59" x14ac:dyDescent="0.2">
      <c r="AX3425" s="315"/>
      <c r="AY3425" s="326"/>
      <c r="AZ3425" s="175"/>
      <c r="BA3425" s="42"/>
      <c r="BB3425" s="426"/>
      <c r="BF3425" s="315"/>
      <c r="BG3425" s="42"/>
    </row>
    <row r="3426" spans="50:59" x14ac:dyDescent="0.2">
      <c r="AX3426" s="315"/>
      <c r="AY3426" s="326"/>
      <c r="AZ3426" s="175"/>
      <c r="BA3426" s="42"/>
      <c r="BB3426" s="426"/>
      <c r="BF3426" s="315"/>
      <c r="BG3426" s="42"/>
    </row>
    <row r="3427" spans="50:59" x14ac:dyDescent="0.2">
      <c r="AX3427" s="315"/>
      <c r="AY3427" s="326"/>
      <c r="AZ3427" s="175"/>
      <c r="BA3427" s="42"/>
      <c r="BB3427" s="426"/>
      <c r="BF3427" s="315"/>
      <c r="BG3427" s="42"/>
    </row>
    <row r="3428" spans="50:59" x14ac:dyDescent="0.2">
      <c r="AX3428" s="315"/>
      <c r="AY3428" s="326"/>
      <c r="AZ3428" s="175"/>
      <c r="BA3428" s="42"/>
      <c r="BB3428" s="426"/>
      <c r="BF3428" s="315"/>
      <c r="BG3428" s="42"/>
    </row>
    <row r="3429" spans="50:59" x14ac:dyDescent="0.2">
      <c r="AX3429" s="315"/>
      <c r="AY3429" s="326"/>
      <c r="AZ3429" s="175"/>
      <c r="BA3429" s="42"/>
      <c r="BB3429" s="426"/>
      <c r="BF3429" s="315"/>
      <c r="BG3429" s="42"/>
    </row>
    <row r="3430" spans="50:59" x14ac:dyDescent="0.2">
      <c r="AX3430" s="315"/>
      <c r="AY3430" s="326"/>
      <c r="AZ3430" s="175"/>
      <c r="BA3430" s="42"/>
      <c r="BB3430" s="426"/>
      <c r="BF3430" s="315"/>
      <c r="BG3430" s="42"/>
    </row>
    <row r="3431" spans="50:59" x14ac:dyDescent="0.2">
      <c r="AX3431" s="315"/>
      <c r="AY3431" s="326"/>
      <c r="AZ3431" s="175"/>
      <c r="BA3431" s="42"/>
      <c r="BB3431" s="426"/>
      <c r="BF3431" s="315"/>
      <c r="BG3431" s="42"/>
    </row>
    <row r="3432" spans="50:59" x14ac:dyDescent="0.2">
      <c r="AX3432" s="315"/>
      <c r="AY3432" s="326"/>
      <c r="AZ3432" s="175"/>
      <c r="BA3432" s="42"/>
      <c r="BB3432" s="426"/>
      <c r="BF3432" s="315"/>
      <c r="BG3432" s="42"/>
    </row>
    <row r="3433" spans="50:59" x14ac:dyDescent="0.2">
      <c r="AX3433" s="315"/>
      <c r="AY3433" s="326"/>
      <c r="AZ3433" s="175"/>
      <c r="BA3433" s="42"/>
      <c r="BB3433" s="426"/>
      <c r="BF3433" s="315"/>
      <c r="BG3433" s="42"/>
    </row>
    <row r="3434" spans="50:59" x14ac:dyDescent="0.2">
      <c r="AX3434" s="315"/>
      <c r="AY3434" s="326"/>
      <c r="AZ3434" s="175"/>
      <c r="BA3434" s="42"/>
      <c r="BB3434" s="426"/>
      <c r="BF3434" s="315"/>
      <c r="BG3434" s="42"/>
    </row>
    <row r="3435" spans="50:59" x14ac:dyDescent="0.2">
      <c r="AX3435" s="315"/>
      <c r="AY3435" s="326"/>
      <c r="AZ3435" s="175"/>
      <c r="BA3435" s="42"/>
      <c r="BB3435" s="426"/>
      <c r="BF3435" s="315"/>
      <c r="BG3435" s="42"/>
    </row>
    <row r="3436" spans="50:59" x14ac:dyDescent="0.2">
      <c r="AX3436" s="315"/>
      <c r="AY3436" s="326"/>
      <c r="AZ3436" s="175"/>
      <c r="BA3436" s="42"/>
      <c r="BB3436" s="426"/>
      <c r="BF3436" s="315"/>
      <c r="BG3436" s="42"/>
    </row>
    <row r="3437" spans="50:59" x14ac:dyDescent="0.2">
      <c r="AX3437" s="315"/>
      <c r="AY3437" s="326"/>
      <c r="AZ3437" s="175"/>
      <c r="BA3437" s="42"/>
      <c r="BB3437" s="426"/>
      <c r="BF3437" s="315"/>
      <c r="BG3437" s="42"/>
    </row>
    <row r="3438" spans="50:59" x14ac:dyDescent="0.2">
      <c r="AX3438" s="315"/>
      <c r="AY3438" s="326"/>
      <c r="AZ3438" s="175"/>
      <c r="BA3438" s="42"/>
      <c r="BB3438" s="426"/>
      <c r="BF3438" s="315"/>
      <c r="BG3438" s="42"/>
    </row>
    <row r="3439" spans="50:59" x14ac:dyDescent="0.2">
      <c r="AX3439" s="315"/>
      <c r="AY3439" s="326"/>
      <c r="AZ3439" s="175"/>
      <c r="BA3439" s="42"/>
      <c r="BB3439" s="426"/>
      <c r="BF3439" s="315"/>
      <c r="BG3439" s="42"/>
    </row>
    <row r="3440" spans="50:59" x14ac:dyDescent="0.2">
      <c r="AX3440" s="315"/>
      <c r="AY3440" s="326"/>
      <c r="AZ3440" s="175"/>
      <c r="BA3440" s="42"/>
      <c r="BB3440" s="426"/>
      <c r="BF3440" s="315"/>
      <c r="BG3440" s="42"/>
    </row>
    <row r="3441" spans="50:59" x14ac:dyDescent="0.2">
      <c r="AX3441" s="315"/>
      <c r="AY3441" s="326"/>
      <c r="AZ3441" s="175"/>
      <c r="BA3441" s="42"/>
      <c r="BB3441" s="426"/>
      <c r="BF3441" s="315"/>
      <c r="BG3441" s="42"/>
    </row>
    <row r="3442" spans="50:59" x14ac:dyDescent="0.2">
      <c r="AX3442" s="315"/>
      <c r="AY3442" s="326"/>
      <c r="AZ3442" s="175"/>
      <c r="BA3442" s="42"/>
      <c r="BB3442" s="426"/>
      <c r="BF3442" s="315"/>
      <c r="BG3442" s="42"/>
    </row>
    <row r="3443" spans="50:59" x14ac:dyDescent="0.2">
      <c r="AX3443" s="315"/>
      <c r="AY3443" s="326"/>
      <c r="AZ3443" s="175"/>
      <c r="BA3443" s="42"/>
      <c r="BB3443" s="426"/>
      <c r="BF3443" s="315"/>
      <c r="BG3443" s="42"/>
    </row>
    <row r="3444" spans="50:59" x14ac:dyDescent="0.2">
      <c r="AX3444" s="315"/>
      <c r="AY3444" s="326"/>
      <c r="AZ3444" s="175"/>
      <c r="BA3444" s="42"/>
      <c r="BB3444" s="426"/>
      <c r="BF3444" s="315"/>
      <c r="BG3444" s="42"/>
    </row>
    <row r="3445" spans="50:59" x14ac:dyDescent="0.2">
      <c r="AX3445" s="315"/>
      <c r="AY3445" s="326"/>
      <c r="AZ3445" s="175"/>
      <c r="BA3445" s="42"/>
      <c r="BB3445" s="426"/>
      <c r="BF3445" s="315"/>
      <c r="BG3445" s="42"/>
    </row>
    <row r="3446" spans="50:59" x14ac:dyDescent="0.2">
      <c r="AX3446" s="315"/>
      <c r="AY3446" s="326"/>
      <c r="AZ3446" s="175"/>
      <c r="BA3446" s="42"/>
      <c r="BB3446" s="426"/>
      <c r="BF3446" s="315"/>
      <c r="BG3446" s="42"/>
    </row>
    <row r="3447" spans="50:59" x14ac:dyDescent="0.2">
      <c r="AX3447" s="315"/>
      <c r="AY3447" s="326"/>
      <c r="AZ3447" s="175"/>
      <c r="BA3447" s="42"/>
      <c r="BB3447" s="426"/>
      <c r="BF3447" s="315"/>
      <c r="BG3447" s="42"/>
    </row>
    <row r="3448" spans="50:59" x14ac:dyDescent="0.2">
      <c r="AX3448" s="315"/>
      <c r="AY3448" s="326"/>
      <c r="AZ3448" s="175"/>
      <c r="BA3448" s="42"/>
      <c r="BB3448" s="426"/>
      <c r="BF3448" s="315"/>
      <c r="BG3448" s="42"/>
    </row>
    <row r="3449" spans="50:59" x14ac:dyDescent="0.2">
      <c r="AX3449" s="315"/>
      <c r="AY3449" s="326"/>
      <c r="AZ3449" s="175"/>
      <c r="BA3449" s="42"/>
      <c r="BB3449" s="426"/>
      <c r="BF3449" s="315"/>
      <c r="BG3449" s="42"/>
    </row>
    <row r="3450" spans="50:59" x14ac:dyDescent="0.2">
      <c r="AX3450" s="315"/>
      <c r="AY3450" s="326"/>
      <c r="AZ3450" s="175"/>
      <c r="BA3450" s="42"/>
      <c r="BB3450" s="426"/>
      <c r="BF3450" s="315"/>
      <c r="BG3450" s="42"/>
    </row>
    <row r="3451" spans="50:59" x14ac:dyDescent="0.2">
      <c r="AX3451" s="315"/>
      <c r="AY3451" s="326"/>
      <c r="AZ3451" s="175"/>
      <c r="BA3451" s="42"/>
      <c r="BB3451" s="426"/>
      <c r="BF3451" s="315"/>
      <c r="BG3451" s="42"/>
    </row>
    <row r="3452" spans="50:59" x14ac:dyDescent="0.2">
      <c r="AX3452" s="315"/>
      <c r="AY3452" s="326"/>
      <c r="AZ3452" s="175"/>
      <c r="BA3452" s="42"/>
      <c r="BB3452" s="426"/>
      <c r="BF3452" s="315"/>
      <c r="BG3452" s="42"/>
    </row>
    <row r="3453" spans="50:59" x14ac:dyDescent="0.2">
      <c r="AX3453" s="315"/>
      <c r="AY3453" s="326"/>
      <c r="AZ3453" s="175"/>
      <c r="BA3453" s="42"/>
      <c r="BB3453" s="426"/>
      <c r="BF3453" s="315"/>
      <c r="BG3453" s="42"/>
    </row>
    <row r="3454" spans="50:59" x14ac:dyDescent="0.2">
      <c r="AX3454" s="315"/>
      <c r="AY3454" s="326"/>
      <c r="AZ3454" s="175"/>
      <c r="BA3454" s="42"/>
      <c r="BB3454" s="426"/>
      <c r="BF3454" s="315"/>
      <c r="BG3454" s="42"/>
    </row>
    <row r="3455" spans="50:59" x14ac:dyDescent="0.2">
      <c r="AX3455" s="315"/>
      <c r="AY3455" s="326"/>
      <c r="AZ3455" s="175"/>
      <c r="BA3455" s="42"/>
      <c r="BB3455" s="426"/>
      <c r="BF3455" s="315"/>
      <c r="BG3455" s="42"/>
    </row>
    <row r="3456" spans="50:59" x14ac:dyDescent="0.2">
      <c r="AX3456" s="315"/>
      <c r="AY3456" s="326"/>
      <c r="AZ3456" s="175"/>
      <c r="BA3456" s="42"/>
      <c r="BB3456" s="426"/>
      <c r="BF3456" s="315"/>
      <c r="BG3456" s="42"/>
    </row>
    <row r="3457" spans="50:59" x14ac:dyDescent="0.2">
      <c r="AX3457" s="315"/>
      <c r="AY3457" s="326"/>
      <c r="AZ3457" s="175"/>
      <c r="BA3457" s="42"/>
      <c r="BB3457" s="426"/>
      <c r="BF3457" s="315"/>
      <c r="BG3457" s="42"/>
    </row>
    <row r="3458" spans="50:59" x14ac:dyDescent="0.2">
      <c r="AX3458" s="315"/>
      <c r="AY3458" s="326"/>
      <c r="AZ3458" s="175"/>
      <c r="BA3458" s="42"/>
      <c r="BB3458" s="426"/>
      <c r="BF3458" s="315"/>
      <c r="BG3458" s="42"/>
    </row>
    <row r="3459" spans="50:59" x14ac:dyDescent="0.2">
      <c r="AX3459" s="315"/>
      <c r="AY3459" s="326"/>
      <c r="AZ3459" s="175"/>
      <c r="BA3459" s="42"/>
      <c r="BB3459" s="426"/>
      <c r="BF3459" s="315"/>
      <c r="BG3459" s="42"/>
    </row>
    <row r="3460" spans="50:59" x14ac:dyDescent="0.2">
      <c r="AX3460" s="315"/>
      <c r="AY3460" s="326"/>
      <c r="AZ3460" s="175"/>
      <c r="BA3460" s="42"/>
      <c r="BB3460" s="426"/>
      <c r="BF3460" s="315"/>
      <c r="BG3460" s="42"/>
    </row>
    <row r="3461" spans="50:59" x14ac:dyDescent="0.2">
      <c r="AX3461" s="315"/>
      <c r="AY3461" s="326"/>
      <c r="AZ3461" s="175"/>
      <c r="BA3461" s="42"/>
      <c r="BB3461" s="426"/>
      <c r="BF3461" s="315"/>
      <c r="BG3461" s="42"/>
    </row>
    <row r="3462" spans="50:59" x14ac:dyDescent="0.2">
      <c r="AX3462" s="315"/>
      <c r="AY3462" s="326"/>
      <c r="AZ3462" s="175"/>
      <c r="BA3462" s="42"/>
      <c r="BB3462" s="426"/>
      <c r="BF3462" s="315"/>
      <c r="BG3462" s="42"/>
    </row>
    <row r="3463" spans="50:59" x14ac:dyDescent="0.2">
      <c r="AX3463" s="315"/>
      <c r="AY3463" s="326"/>
      <c r="AZ3463" s="175"/>
      <c r="BA3463" s="42"/>
      <c r="BB3463" s="426"/>
      <c r="BF3463" s="315"/>
      <c r="BG3463" s="42"/>
    </row>
    <row r="3464" spans="50:59" x14ac:dyDescent="0.2">
      <c r="AX3464" s="315"/>
      <c r="AY3464" s="326"/>
      <c r="AZ3464" s="175"/>
      <c r="BA3464" s="42"/>
      <c r="BB3464" s="426"/>
      <c r="BF3464" s="315"/>
      <c r="BG3464" s="42"/>
    </row>
    <row r="3465" spans="50:59" x14ac:dyDescent="0.2">
      <c r="AX3465" s="315"/>
      <c r="AY3465" s="326"/>
      <c r="AZ3465" s="175"/>
      <c r="BA3465" s="42"/>
      <c r="BB3465" s="426"/>
      <c r="BF3465" s="315"/>
      <c r="BG3465" s="42"/>
    </row>
    <row r="3466" spans="50:59" x14ac:dyDescent="0.2">
      <c r="AX3466" s="315"/>
      <c r="AY3466" s="326"/>
      <c r="AZ3466" s="175"/>
      <c r="BA3466" s="42"/>
      <c r="BB3466" s="426"/>
      <c r="BF3466" s="315"/>
      <c r="BG3466" s="42"/>
    </row>
    <row r="3467" spans="50:59" x14ac:dyDescent="0.2">
      <c r="AX3467" s="315"/>
      <c r="AY3467" s="326"/>
      <c r="AZ3467" s="175"/>
      <c r="BA3467" s="42"/>
      <c r="BB3467" s="426"/>
      <c r="BF3467" s="315"/>
      <c r="BG3467" s="42"/>
    </row>
    <row r="3468" spans="50:59" x14ac:dyDescent="0.2">
      <c r="AX3468" s="315"/>
      <c r="AY3468" s="326"/>
      <c r="AZ3468" s="175"/>
      <c r="BA3468" s="42"/>
      <c r="BB3468" s="426"/>
      <c r="BF3468" s="315"/>
      <c r="BG3468" s="42"/>
    </row>
    <row r="3469" spans="50:59" x14ac:dyDescent="0.2">
      <c r="AX3469" s="315"/>
      <c r="AY3469" s="326"/>
      <c r="AZ3469" s="175"/>
      <c r="BA3469" s="42"/>
      <c r="BB3469" s="426"/>
      <c r="BF3469" s="315"/>
      <c r="BG3469" s="42"/>
    </row>
    <row r="3470" spans="50:59" x14ac:dyDescent="0.2">
      <c r="AX3470" s="315"/>
      <c r="AY3470" s="326"/>
      <c r="AZ3470" s="175"/>
      <c r="BA3470" s="42"/>
      <c r="BB3470" s="426"/>
      <c r="BF3470" s="315"/>
      <c r="BG3470" s="42"/>
    </row>
    <row r="3471" spans="50:59" x14ac:dyDescent="0.2">
      <c r="AX3471" s="315"/>
      <c r="AY3471" s="326"/>
      <c r="AZ3471" s="175"/>
      <c r="BA3471" s="42"/>
      <c r="BB3471" s="426"/>
      <c r="BF3471" s="315"/>
      <c r="BG3471" s="42"/>
    </row>
    <row r="3472" spans="50:59" x14ac:dyDescent="0.2">
      <c r="AX3472" s="315"/>
      <c r="AY3472" s="326"/>
      <c r="AZ3472" s="175"/>
      <c r="BA3472" s="42"/>
      <c r="BB3472" s="426"/>
      <c r="BF3472" s="315"/>
      <c r="BG3472" s="42"/>
    </row>
    <row r="3473" spans="50:59" x14ac:dyDescent="0.2">
      <c r="AX3473" s="315"/>
      <c r="AY3473" s="326"/>
      <c r="AZ3473" s="175"/>
      <c r="BA3473" s="42"/>
      <c r="BB3473" s="426"/>
      <c r="BF3473" s="315"/>
      <c r="BG3473" s="42"/>
    </row>
    <row r="3474" spans="50:59" x14ac:dyDescent="0.2">
      <c r="AX3474" s="315"/>
      <c r="AY3474" s="326"/>
      <c r="AZ3474" s="175"/>
      <c r="BA3474" s="42"/>
      <c r="BB3474" s="426"/>
      <c r="BF3474" s="315"/>
      <c r="BG3474" s="42"/>
    </row>
    <row r="3475" spans="50:59" x14ac:dyDescent="0.2">
      <c r="AX3475" s="315"/>
      <c r="AY3475" s="326"/>
      <c r="AZ3475" s="175"/>
      <c r="BA3475" s="42"/>
      <c r="BB3475" s="426"/>
      <c r="BF3475" s="315"/>
      <c r="BG3475" s="42"/>
    </row>
    <row r="3476" spans="50:59" x14ac:dyDescent="0.2">
      <c r="AX3476" s="315"/>
      <c r="AY3476" s="326"/>
      <c r="AZ3476" s="175"/>
      <c r="BA3476" s="42"/>
      <c r="BB3476" s="426"/>
      <c r="BF3476" s="315"/>
      <c r="BG3476" s="42"/>
    </row>
    <row r="3477" spans="50:59" x14ac:dyDescent="0.2">
      <c r="AX3477" s="315"/>
      <c r="AY3477" s="326"/>
      <c r="AZ3477" s="175"/>
      <c r="BA3477" s="42"/>
      <c r="BB3477" s="426"/>
      <c r="BF3477" s="315"/>
      <c r="BG3477" s="42"/>
    </row>
    <row r="3478" spans="50:59" x14ac:dyDescent="0.2">
      <c r="AX3478" s="315"/>
      <c r="AY3478" s="326"/>
      <c r="AZ3478" s="175"/>
      <c r="BA3478" s="42"/>
      <c r="BB3478" s="426"/>
      <c r="BF3478" s="315"/>
      <c r="BG3478" s="42"/>
    </row>
    <row r="3479" spans="50:59" x14ac:dyDescent="0.2">
      <c r="AX3479" s="315"/>
      <c r="AY3479" s="326"/>
      <c r="AZ3479" s="175"/>
      <c r="BA3479" s="42"/>
      <c r="BB3479" s="426"/>
      <c r="BF3479" s="315"/>
      <c r="BG3479" s="42"/>
    </row>
    <row r="3480" spans="50:59" x14ac:dyDescent="0.2">
      <c r="AX3480" s="315"/>
      <c r="AY3480" s="326"/>
      <c r="AZ3480" s="175"/>
      <c r="BA3480" s="42"/>
      <c r="BB3480" s="426"/>
      <c r="BF3480" s="315"/>
      <c r="BG3480" s="42"/>
    </row>
    <row r="3481" spans="50:59" x14ac:dyDescent="0.2">
      <c r="AX3481" s="315"/>
      <c r="AY3481" s="326"/>
      <c r="AZ3481" s="175"/>
      <c r="BA3481" s="42"/>
      <c r="BB3481" s="426"/>
      <c r="BF3481" s="315"/>
      <c r="BG3481" s="42"/>
    </row>
    <row r="3482" spans="50:59" x14ac:dyDescent="0.2">
      <c r="AX3482" s="315"/>
      <c r="AY3482" s="326"/>
      <c r="AZ3482" s="175"/>
      <c r="BA3482" s="42"/>
      <c r="BB3482" s="426"/>
      <c r="BF3482" s="315"/>
      <c r="BG3482" s="42"/>
    </row>
    <row r="3483" spans="50:59" x14ac:dyDescent="0.2">
      <c r="AX3483" s="315"/>
      <c r="AY3483" s="326"/>
      <c r="AZ3483" s="175"/>
      <c r="BA3483" s="42"/>
      <c r="BB3483" s="426"/>
      <c r="BF3483" s="315"/>
      <c r="BG3483" s="42"/>
    </row>
    <row r="3484" spans="50:59" x14ac:dyDescent="0.2">
      <c r="AX3484" s="315"/>
      <c r="AY3484" s="326"/>
      <c r="AZ3484" s="175"/>
      <c r="BA3484" s="42"/>
      <c r="BB3484" s="426"/>
      <c r="BF3484" s="315"/>
      <c r="BG3484" s="42"/>
    </row>
    <row r="3485" spans="50:59" x14ac:dyDescent="0.2">
      <c r="AX3485" s="315"/>
      <c r="AY3485" s="326"/>
      <c r="AZ3485" s="175"/>
      <c r="BA3485" s="42"/>
      <c r="BB3485" s="426"/>
      <c r="BF3485" s="315"/>
      <c r="BG3485" s="42"/>
    </row>
    <row r="3486" spans="50:59" x14ac:dyDescent="0.2">
      <c r="AX3486" s="315"/>
      <c r="AY3486" s="326"/>
      <c r="AZ3486" s="175"/>
      <c r="BA3486" s="42"/>
      <c r="BB3486" s="426"/>
      <c r="BF3486" s="315"/>
      <c r="BG3486" s="42"/>
    </row>
    <row r="3487" spans="50:59" x14ac:dyDescent="0.2">
      <c r="AX3487" s="315"/>
      <c r="AY3487" s="326"/>
      <c r="AZ3487" s="175"/>
      <c r="BA3487" s="42"/>
      <c r="BB3487" s="426"/>
      <c r="BF3487" s="315"/>
      <c r="BG3487" s="42"/>
    </row>
    <row r="3488" spans="50:59" x14ac:dyDescent="0.2">
      <c r="AX3488" s="315"/>
      <c r="AY3488" s="326"/>
      <c r="AZ3488" s="175"/>
      <c r="BA3488" s="42"/>
      <c r="BB3488" s="426"/>
      <c r="BF3488" s="315"/>
      <c r="BG3488" s="42"/>
    </row>
    <row r="3489" spans="50:59" x14ac:dyDescent="0.2">
      <c r="AX3489" s="315"/>
      <c r="AY3489" s="326"/>
      <c r="AZ3489" s="175"/>
      <c r="BA3489" s="42"/>
      <c r="BB3489" s="426"/>
      <c r="BF3489" s="315"/>
      <c r="BG3489" s="42"/>
    </row>
    <row r="3490" spans="50:59" x14ac:dyDescent="0.2">
      <c r="AX3490" s="315"/>
      <c r="AY3490" s="326"/>
      <c r="AZ3490" s="175"/>
      <c r="BA3490" s="42"/>
      <c r="BB3490" s="426"/>
      <c r="BF3490" s="315"/>
      <c r="BG3490" s="42"/>
    </row>
    <row r="3491" spans="50:59" x14ac:dyDescent="0.2">
      <c r="AX3491" s="315"/>
      <c r="AY3491" s="326"/>
      <c r="AZ3491" s="175"/>
      <c r="BA3491" s="42"/>
      <c r="BB3491" s="426"/>
      <c r="BF3491" s="315"/>
      <c r="BG3491" s="42"/>
    </row>
    <row r="3492" spans="50:59" x14ac:dyDescent="0.2">
      <c r="AX3492" s="315"/>
      <c r="AY3492" s="326"/>
      <c r="AZ3492" s="175"/>
      <c r="BA3492" s="42"/>
      <c r="BB3492" s="426"/>
      <c r="BF3492" s="315"/>
      <c r="BG3492" s="42"/>
    </row>
    <row r="3493" spans="50:59" x14ac:dyDescent="0.2">
      <c r="AX3493" s="315"/>
      <c r="AY3493" s="326"/>
      <c r="AZ3493" s="175"/>
      <c r="BA3493" s="42"/>
      <c r="BB3493" s="426"/>
      <c r="BF3493" s="315"/>
      <c r="BG3493" s="42"/>
    </row>
    <row r="3494" spans="50:59" x14ac:dyDescent="0.2">
      <c r="AX3494" s="315"/>
      <c r="AY3494" s="326"/>
      <c r="AZ3494" s="175"/>
      <c r="BA3494" s="42"/>
      <c r="BB3494" s="426"/>
      <c r="BF3494" s="315"/>
      <c r="BG3494" s="42"/>
    </row>
    <row r="3495" spans="50:59" x14ac:dyDescent="0.2">
      <c r="AX3495" s="315"/>
      <c r="AY3495" s="326"/>
      <c r="AZ3495" s="175"/>
      <c r="BA3495" s="42"/>
      <c r="BB3495" s="426"/>
      <c r="BF3495" s="315"/>
      <c r="BG3495" s="42"/>
    </row>
    <row r="3496" spans="50:59" x14ac:dyDescent="0.2">
      <c r="AX3496" s="315"/>
      <c r="AY3496" s="326"/>
      <c r="AZ3496" s="175"/>
      <c r="BA3496" s="42"/>
      <c r="BB3496" s="426"/>
      <c r="BF3496" s="315"/>
      <c r="BG3496" s="42"/>
    </row>
    <row r="3497" spans="50:59" x14ac:dyDescent="0.2">
      <c r="AX3497" s="315"/>
      <c r="AY3497" s="326"/>
      <c r="AZ3497" s="175"/>
      <c r="BA3497" s="42"/>
      <c r="BB3497" s="426"/>
      <c r="BF3497" s="315"/>
      <c r="BG3497" s="42"/>
    </row>
    <row r="3498" spans="50:59" x14ac:dyDescent="0.2">
      <c r="AX3498" s="315"/>
      <c r="AY3498" s="326"/>
      <c r="AZ3498" s="175"/>
      <c r="BA3498" s="42"/>
      <c r="BB3498" s="426"/>
      <c r="BF3498" s="315"/>
      <c r="BG3498" s="42"/>
    </row>
    <row r="3499" spans="50:59" x14ac:dyDescent="0.2">
      <c r="AX3499" s="315"/>
      <c r="AY3499" s="326"/>
      <c r="AZ3499" s="175"/>
      <c r="BA3499" s="42"/>
      <c r="BB3499" s="426"/>
      <c r="BF3499" s="315"/>
      <c r="BG3499" s="42"/>
    </row>
    <row r="3500" spans="50:59" x14ac:dyDescent="0.2">
      <c r="AX3500" s="315"/>
      <c r="AY3500" s="326"/>
      <c r="AZ3500" s="175"/>
      <c r="BA3500" s="42"/>
      <c r="BB3500" s="426"/>
      <c r="BF3500" s="315"/>
      <c r="BG3500" s="42"/>
    </row>
    <row r="3501" spans="50:59" x14ac:dyDescent="0.2">
      <c r="AX3501" s="315"/>
      <c r="AY3501" s="326"/>
      <c r="AZ3501" s="175"/>
      <c r="BA3501" s="42"/>
      <c r="BB3501" s="426"/>
      <c r="BF3501" s="315"/>
      <c r="BG3501" s="42"/>
    </row>
    <row r="3502" spans="50:59" x14ac:dyDescent="0.2">
      <c r="AX3502" s="315"/>
      <c r="AY3502" s="326"/>
      <c r="AZ3502" s="175"/>
      <c r="BA3502" s="42"/>
      <c r="BB3502" s="426"/>
      <c r="BF3502" s="315"/>
      <c r="BG3502" s="42"/>
    </row>
    <row r="3503" spans="50:59" x14ac:dyDescent="0.2">
      <c r="AX3503" s="315"/>
      <c r="AY3503" s="326"/>
      <c r="AZ3503" s="175"/>
      <c r="BA3503" s="42"/>
      <c r="BB3503" s="426"/>
      <c r="BF3503" s="315"/>
      <c r="BG3503" s="42"/>
    </row>
    <row r="3504" spans="50:59" x14ac:dyDescent="0.2">
      <c r="AX3504" s="315"/>
      <c r="AY3504" s="326"/>
      <c r="AZ3504" s="175"/>
      <c r="BA3504" s="42"/>
      <c r="BB3504" s="426"/>
      <c r="BF3504" s="315"/>
      <c r="BG3504" s="42"/>
    </row>
    <row r="3505" spans="50:59" x14ac:dyDescent="0.2">
      <c r="AX3505" s="315"/>
      <c r="AY3505" s="326"/>
      <c r="AZ3505" s="175"/>
      <c r="BA3505" s="42"/>
      <c r="BB3505" s="426"/>
      <c r="BF3505" s="315"/>
      <c r="BG3505" s="42"/>
    </row>
    <row r="3506" spans="50:59" x14ac:dyDescent="0.2">
      <c r="AX3506" s="315"/>
      <c r="AY3506" s="326"/>
      <c r="AZ3506" s="175"/>
      <c r="BA3506" s="42"/>
      <c r="BB3506" s="426"/>
      <c r="BF3506" s="315"/>
      <c r="BG3506" s="42"/>
    </row>
    <row r="3507" spans="50:59" x14ac:dyDescent="0.2">
      <c r="AX3507" s="315"/>
      <c r="AY3507" s="326"/>
      <c r="AZ3507" s="175"/>
      <c r="BA3507" s="42"/>
      <c r="BB3507" s="426"/>
      <c r="BF3507" s="315"/>
      <c r="BG3507" s="42"/>
    </row>
    <row r="3508" spans="50:59" x14ac:dyDescent="0.2">
      <c r="AX3508" s="315"/>
      <c r="AY3508" s="326"/>
      <c r="AZ3508" s="175"/>
      <c r="BA3508" s="42"/>
      <c r="BB3508" s="426"/>
      <c r="BF3508" s="315"/>
      <c r="BG3508" s="42"/>
    </row>
    <row r="3509" spans="50:59" x14ac:dyDescent="0.2">
      <c r="AX3509" s="315"/>
      <c r="AY3509" s="326"/>
      <c r="AZ3509" s="175"/>
      <c r="BA3509" s="42"/>
      <c r="BB3509" s="426"/>
      <c r="BF3509" s="315"/>
      <c r="BG3509" s="42"/>
    </row>
    <row r="3510" spans="50:59" x14ac:dyDescent="0.2">
      <c r="AX3510" s="315"/>
      <c r="AY3510" s="326"/>
      <c r="AZ3510" s="175"/>
      <c r="BA3510" s="42"/>
      <c r="BB3510" s="426"/>
      <c r="BF3510" s="315"/>
      <c r="BG3510" s="42"/>
    </row>
    <row r="3511" spans="50:59" x14ac:dyDescent="0.2">
      <c r="AX3511" s="315"/>
      <c r="AY3511" s="326"/>
      <c r="AZ3511" s="175"/>
      <c r="BA3511" s="42"/>
      <c r="BB3511" s="426"/>
      <c r="BF3511" s="315"/>
      <c r="BG3511" s="42"/>
    </row>
    <row r="3512" spans="50:59" x14ac:dyDescent="0.2">
      <c r="AX3512" s="315"/>
      <c r="AY3512" s="326"/>
      <c r="AZ3512" s="175"/>
      <c r="BA3512" s="42"/>
      <c r="BB3512" s="426"/>
      <c r="BF3512" s="315"/>
      <c r="BG3512" s="42"/>
    </row>
    <row r="3513" spans="50:59" x14ac:dyDescent="0.2">
      <c r="AX3513" s="315"/>
      <c r="AY3513" s="326"/>
      <c r="AZ3513" s="175"/>
      <c r="BA3513" s="42"/>
      <c r="BB3513" s="426"/>
      <c r="BF3513" s="315"/>
      <c r="BG3513" s="42"/>
    </row>
    <row r="3514" spans="50:59" x14ac:dyDescent="0.2">
      <c r="AX3514" s="315"/>
      <c r="AY3514" s="326"/>
      <c r="AZ3514" s="175"/>
      <c r="BA3514" s="42"/>
      <c r="BB3514" s="426"/>
      <c r="BF3514" s="315"/>
      <c r="BG3514" s="42"/>
    </row>
    <row r="3515" spans="50:59" x14ac:dyDescent="0.2">
      <c r="AX3515" s="315"/>
      <c r="AY3515" s="326"/>
      <c r="AZ3515" s="175"/>
      <c r="BA3515" s="42"/>
      <c r="BB3515" s="426"/>
      <c r="BF3515" s="315"/>
      <c r="BG3515" s="42"/>
    </row>
    <row r="3516" spans="50:59" x14ac:dyDescent="0.2">
      <c r="AX3516" s="315"/>
      <c r="AY3516" s="326"/>
      <c r="AZ3516" s="175"/>
      <c r="BA3516" s="42"/>
      <c r="BB3516" s="426"/>
      <c r="BF3516" s="315"/>
      <c r="BG3516" s="42"/>
    </row>
    <row r="3517" spans="50:59" x14ac:dyDescent="0.2">
      <c r="AX3517" s="315"/>
      <c r="AY3517" s="326"/>
      <c r="AZ3517" s="175"/>
      <c r="BA3517" s="42"/>
      <c r="BB3517" s="426"/>
      <c r="BF3517" s="315"/>
      <c r="BG3517" s="42"/>
    </row>
    <row r="3518" spans="50:59" x14ac:dyDescent="0.2">
      <c r="AX3518" s="315"/>
      <c r="AY3518" s="326"/>
      <c r="AZ3518" s="175"/>
      <c r="BA3518" s="42"/>
      <c r="BB3518" s="426"/>
      <c r="BF3518" s="315"/>
      <c r="BG3518" s="42"/>
    </row>
    <row r="3519" spans="50:59" x14ac:dyDescent="0.2">
      <c r="AX3519" s="315"/>
      <c r="AY3519" s="326"/>
      <c r="AZ3519" s="175"/>
      <c r="BA3519" s="42"/>
      <c r="BB3519" s="426"/>
      <c r="BF3519" s="315"/>
      <c r="BG3519" s="42"/>
    </row>
    <row r="3520" spans="50:59" x14ac:dyDescent="0.2">
      <c r="AX3520" s="315"/>
      <c r="AY3520" s="326"/>
      <c r="AZ3520" s="175"/>
      <c r="BA3520" s="42"/>
      <c r="BB3520" s="426"/>
      <c r="BF3520" s="315"/>
      <c r="BG3520" s="42"/>
    </row>
    <row r="3521" spans="50:59" x14ac:dyDescent="0.2">
      <c r="AX3521" s="315"/>
      <c r="AY3521" s="326"/>
      <c r="AZ3521" s="175"/>
      <c r="BA3521" s="42"/>
      <c r="BB3521" s="426"/>
      <c r="BF3521" s="315"/>
      <c r="BG3521" s="42"/>
    </row>
    <row r="3522" spans="50:59" x14ac:dyDescent="0.2">
      <c r="AX3522" s="315"/>
      <c r="AY3522" s="326"/>
      <c r="AZ3522" s="175"/>
      <c r="BA3522" s="42"/>
      <c r="BB3522" s="426"/>
      <c r="BF3522" s="315"/>
      <c r="BG3522" s="42"/>
    </row>
    <row r="3523" spans="50:59" x14ac:dyDescent="0.2">
      <c r="AX3523" s="315"/>
      <c r="AY3523" s="326"/>
      <c r="AZ3523" s="175"/>
      <c r="BA3523" s="42"/>
      <c r="BB3523" s="426"/>
      <c r="BF3523" s="315"/>
      <c r="BG3523" s="42"/>
    </row>
    <row r="3524" spans="50:59" x14ac:dyDescent="0.2">
      <c r="AX3524" s="315"/>
      <c r="AY3524" s="326"/>
      <c r="AZ3524" s="175"/>
      <c r="BA3524" s="42"/>
      <c r="BB3524" s="426"/>
      <c r="BF3524" s="315"/>
      <c r="BG3524" s="42"/>
    </row>
    <row r="3525" spans="50:59" x14ac:dyDescent="0.2">
      <c r="AX3525" s="315"/>
      <c r="AY3525" s="326"/>
      <c r="AZ3525" s="175"/>
      <c r="BA3525" s="42"/>
      <c r="BB3525" s="426"/>
      <c r="BF3525" s="315"/>
      <c r="BG3525" s="42"/>
    </row>
    <row r="3526" spans="50:59" x14ac:dyDescent="0.2">
      <c r="AX3526" s="315"/>
      <c r="AY3526" s="326"/>
      <c r="AZ3526" s="175"/>
      <c r="BA3526" s="42"/>
      <c r="BB3526" s="426"/>
      <c r="BF3526" s="315"/>
      <c r="BG3526" s="42"/>
    </row>
    <row r="3527" spans="50:59" x14ac:dyDescent="0.2">
      <c r="AX3527" s="315"/>
      <c r="AY3527" s="326"/>
      <c r="AZ3527" s="175"/>
      <c r="BA3527" s="42"/>
      <c r="BB3527" s="426"/>
      <c r="BF3527" s="315"/>
      <c r="BG3527" s="42"/>
    </row>
    <row r="3528" spans="50:59" x14ac:dyDescent="0.2">
      <c r="AX3528" s="315"/>
      <c r="AY3528" s="326"/>
      <c r="AZ3528" s="175"/>
      <c r="BA3528" s="42"/>
      <c r="BB3528" s="426"/>
      <c r="BF3528" s="315"/>
      <c r="BG3528" s="42"/>
    </row>
    <row r="3529" spans="50:59" x14ac:dyDescent="0.2">
      <c r="AX3529" s="315"/>
      <c r="AY3529" s="326"/>
      <c r="AZ3529" s="175"/>
      <c r="BA3529" s="42"/>
      <c r="BB3529" s="426"/>
      <c r="BF3529" s="315"/>
      <c r="BG3529" s="42"/>
    </row>
    <row r="3530" spans="50:59" x14ac:dyDescent="0.2">
      <c r="AX3530" s="315"/>
      <c r="AY3530" s="326"/>
      <c r="AZ3530" s="175"/>
      <c r="BA3530" s="42"/>
      <c r="BB3530" s="426"/>
      <c r="BF3530" s="315"/>
      <c r="BG3530" s="42"/>
    </row>
    <row r="3531" spans="50:59" x14ac:dyDescent="0.2">
      <c r="AX3531" s="315"/>
      <c r="AY3531" s="326"/>
      <c r="AZ3531" s="175"/>
      <c r="BA3531" s="42"/>
      <c r="BB3531" s="426"/>
      <c r="BF3531" s="315"/>
      <c r="BG3531" s="42"/>
    </row>
    <row r="3532" spans="50:59" x14ac:dyDescent="0.2">
      <c r="AX3532" s="315"/>
      <c r="AY3532" s="326"/>
      <c r="AZ3532" s="175"/>
      <c r="BA3532" s="42"/>
      <c r="BB3532" s="426"/>
      <c r="BF3532" s="315"/>
      <c r="BG3532" s="42"/>
    </row>
    <row r="3533" spans="50:59" x14ac:dyDescent="0.2">
      <c r="AX3533" s="315"/>
      <c r="AY3533" s="326"/>
      <c r="AZ3533" s="175"/>
      <c r="BA3533" s="42"/>
      <c r="BB3533" s="426"/>
      <c r="BF3533" s="315"/>
      <c r="BG3533" s="42"/>
    </row>
    <row r="3534" spans="50:59" x14ac:dyDescent="0.2">
      <c r="AX3534" s="315"/>
      <c r="AY3534" s="326"/>
      <c r="AZ3534" s="175"/>
      <c r="BA3534" s="42"/>
      <c r="BB3534" s="426"/>
      <c r="BF3534" s="315"/>
      <c r="BG3534" s="42"/>
    </row>
    <row r="3535" spans="50:59" x14ac:dyDescent="0.2">
      <c r="AX3535" s="315"/>
      <c r="AY3535" s="326"/>
      <c r="AZ3535" s="175"/>
      <c r="BA3535" s="42"/>
      <c r="BB3535" s="426"/>
      <c r="BF3535" s="315"/>
      <c r="BG3535" s="42"/>
    </row>
    <row r="3536" spans="50:59" x14ac:dyDescent="0.2">
      <c r="AX3536" s="315"/>
      <c r="AY3536" s="326"/>
      <c r="AZ3536" s="175"/>
      <c r="BA3536" s="42"/>
      <c r="BB3536" s="426"/>
      <c r="BF3536" s="315"/>
      <c r="BG3536" s="42"/>
    </row>
    <row r="3537" spans="50:59" x14ac:dyDescent="0.2">
      <c r="AX3537" s="315"/>
      <c r="AY3537" s="326"/>
      <c r="AZ3537" s="175"/>
      <c r="BA3537" s="42"/>
      <c r="BB3537" s="426"/>
      <c r="BF3537" s="315"/>
      <c r="BG3537" s="42"/>
    </row>
    <row r="3538" spans="50:59" x14ac:dyDescent="0.2">
      <c r="AX3538" s="315"/>
      <c r="AY3538" s="326"/>
      <c r="AZ3538" s="175"/>
      <c r="BA3538" s="42"/>
      <c r="BB3538" s="426"/>
      <c r="BF3538" s="315"/>
      <c r="BG3538" s="42"/>
    </row>
    <row r="3539" spans="50:59" x14ac:dyDescent="0.2">
      <c r="AX3539" s="315"/>
      <c r="AY3539" s="326"/>
      <c r="AZ3539" s="175"/>
      <c r="BA3539" s="42"/>
      <c r="BB3539" s="426"/>
      <c r="BF3539" s="315"/>
      <c r="BG3539" s="42"/>
    </row>
    <row r="3540" spans="50:59" x14ac:dyDescent="0.2">
      <c r="AX3540" s="315"/>
      <c r="AY3540" s="326"/>
      <c r="AZ3540" s="175"/>
      <c r="BA3540" s="42"/>
      <c r="BB3540" s="426"/>
      <c r="BF3540" s="315"/>
      <c r="BG3540" s="42"/>
    </row>
    <row r="3541" spans="50:59" x14ac:dyDescent="0.2">
      <c r="AX3541" s="315"/>
      <c r="AY3541" s="326"/>
      <c r="AZ3541" s="175"/>
      <c r="BA3541" s="42"/>
      <c r="BB3541" s="426"/>
      <c r="BF3541" s="315"/>
      <c r="BG3541" s="42"/>
    </row>
    <row r="3542" spans="50:59" x14ac:dyDescent="0.2">
      <c r="AX3542" s="315"/>
      <c r="AY3542" s="326"/>
      <c r="AZ3542" s="175"/>
      <c r="BA3542" s="42"/>
      <c r="BB3542" s="426"/>
      <c r="BF3542" s="315"/>
      <c r="BG3542" s="42"/>
    </row>
    <row r="3543" spans="50:59" x14ac:dyDescent="0.2">
      <c r="AX3543" s="315"/>
      <c r="AY3543" s="326"/>
      <c r="AZ3543" s="175"/>
      <c r="BA3543" s="42"/>
      <c r="BB3543" s="426"/>
      <c r="BF3543" s="315"/>
      <c r="BG3543" s="42"/>
    </row>
    <row r="3544" spans="50:59" x14ac:dyDescent="0.2">
      <c r="AX3544" s="315"/>
      <c r="AY3544" s="326"/>
      <c r="AZ3544" s="175"/>
      <c r="BA3544" s="42"/>
      <c r="BB3544" s="426"/>
      <c r="BF3544" s="315"/>
      <c r="BG3544" s="42"/>
    </row>
    <row r="3545" spans="50:59" x14ac:dyDescent="0.2">
      <c r="AX3545" s="315"/>
      <c r="AY3545" s="326"/>
      <c r="AZ3545" s="175"/>
      <c r="BA3545" s="42"/>
      <c r="BB3545" s="426"/>
      <c r="BF3545" s="315"/>
      <c r="BG3545" s="42"/>
    </row>
    <row r="3546" spans="50:59" x14ac:dyDescent="0.2">
      <c r="AX3546" s="315"/>
      <c r="AY3546" s="326"/>
      <c r="AZ3546" s="175"/>
      <c r="BA3546" s="42"/>
      <c r="BB3546" s="426"/>
      <c r="BF3546" s="315"/>
      <c r="BG3546" s="42"/>
    </row>
    <row r="3547" spans="50:59" x14ac:dyDescent="0.2">
      <c r="AX3547" s="315"/>
      <c r="AY3547" s="326"/>
      <c r="AZ3547" s="175"/>
      <c r="BA3547" s="42"/>
      <c r="BB3547" s="426"/>
      <c r="BF3547" s="315"/>
      <c r="BG3547" s="42"/>
    </row>
    <row r="3548" spans="50:59" x14ac:dyDescent="0.2">
      <c r="AX3548" s="315"/>
      <c r="AY3548" s="326"/>
      <c r="AZ3548" s="175"/>
      <c r="BA3548" s="42"/>
      <c r="BB3548" s="426"/>
      <c r="BF3548" s="315"/>
      <c r="BG3548" s="42"/>
    </row>
    <row r="3549" spans="50:59" x14ac:dyDescent="0.2">
      <c r="AX3549" s="315"/>
      <c r="AY3549" s="326"/>
      <c r="AZ3549" s="175"/>
      <c r="BA3549" s="42"/>
      <c r="BB3549" s="426"/>
      <c r="BF3549" s="315"/>
      <c r="BG3549" s="42"/>
    </row>
    <row r="3550" spans="50:59" x14ac:dyDescent="0.2">
      <c r="AX3550" s="315"/>
      <c r="AY3550" s="326"/>
      <c r="AZ3550" s="175"/>
      <c r="BA3550" s="42"/>
      <c r="BB3550" s="426"/>
      <c r="BF3550" s="315"/>
      <c r="BG3550" s="42"/>
    </row>
    <row r="3551" spans="50:59" x14ac:dyDescent="0.2">
      <c r="AX3551" s="315"/>
      <c r="AY3551" s="326"/>
      <c r="AZ3551" s="175"/>
      <c r="BA3551" s="42"/>
      <c r="BB3551" s="426"/>
      <c r="BF3551" s="315"/>
      <c r="BG3551" s="42"/>
    </row>
    <row r="3552" spans="50:59" x14ac:dyDescent="0.2">
      <c r="AX3552" s="315"/>
      <c r="AY3552" s="326"/>
      <c r="AZ3552" s="175"/>
      <c r="BA3552" s="42"/>
      <c r="BB3552" s="426"/>
      <c r="BF3552" s="315"/>
      <c r="BG3552" s="42"/>
    </row>
    <row r="3553" spans="50:59" x14ac:dyDescent="0.2">
      <c r="AX3553" s="315"/>
      <c r="AY3553" s="326"/>
      <c r="AZ3553" s="175"/>
      <c r="BA3553" s="42"/>
      <c r="BB3553" s="426"/>
      <c r="BF3553" s="315"/>
      <c r="BG3553" s="42"/>
    </row>
    <row r="3554" spans="50:59" x14ac:dyDescent="0.2">
      <c r="AX3554" s="315"/>
      <c r="AY3554" s="326"/>
      <c r="AZ3554" s="175"/>
      <c r="BA3554" s="42"/>
      <c r="BB3554" s="426"/>
      <c r="BF3554" s="315"/>
      <c r="BG3554" s="42"/>
    </row>
    <row r="3555" spans="50:59" x14ac:dyDescent="0.2">
      <c r="AX3555" s="315"/>
      <c r="AY3555" s="326"/>
      <c r="AZ3555" s="175"/>
      <c r="BA3555" s="42"/>
      <c r="BB3555" s="426"/>
      <c r="BF3555" s="315"/>
      <c r="BG3555" s="42"/>
    </row>
    <row r="3556" spans="50:59" x14ac:dyDescent="0.2">
      <c r="AX3556" s="315"/>
      <c r="AY3556" s="326"/>
      <c r="AZ3556" s="175"/>
      <c r="BA3556" s="42"/>
      <c r="BB3556" s="426"/>
      <c r="BF3556" s="315"/>
      <c r="BG3556" s="42"/>
    </row>
    <row r="3557" spans="50:59" x14ac:dyDescent="0.2">
      <c r="AX3557" s="315"/>
      <c r="AY3557" s="326"/>
      <c r="AZ3557" s="175"/>
      <c r="BA3557" s="42"/>
      <c r="BB3557" s="426"/>
      <c r="BF3557" s="315"/>
      <c r="BG3557" s="42"/>
    </row>
    <row r="3558" spans="50:59" x14ac:dyDescent="0.2">
      <c r="AX3558" s="315"/>
      <c r="AY3558" s="326"/>
      <c r="AZ3558" s="175"/>
      <c r="BA3558" s="42"/>
      <c r="BB3558" s="426"/>
      <c r="BF3558" s="315"/>
      <c r="BG3558" s="42"/>
    </row>
    <row r="3559" spans="50:59" x14ac:dyDescent="0.2">
      <c r="AX3559" s="315"/>
      <c r="AY3559" s="326"/>
      <c r="AZ3559" s="175"/>
      <c r="BA3559" s="42"/>
      <c r="BB3559" s="426"/>
      <c r="BF3559" s="315"/>
      <c r="BG3559" s="42"/>
    </row>
    <row r="3560" spans="50:59" x14ac:dyDescent="0.2">
      <c r="AX3560" s="315"/>
      <c r="AY3560" s="326"/>
      <c r="AZ3560" s="175"/>
      <c r="BA3560" s="42"/>
      <c r="BB3560" s="426"/>
      <c r="BF3560" s="315"/>
      <c r="BG3560" s="42"/>
    </row>
    <row r="3561" spans="50:59" x14ac:dyDescent="0.2">
      <c r="AX3561" s="315"/>
      <c r="AY3561" s="326"/>
      <c r="AZ3561" s="175"/>
      <c r="BA3561" s="42"/>
      <c r="BB3561" s="426"/>
      <c r="BF3561" s="315"/>
      <c r="BG3561" s="42"/>
    </row>
    <row r="3562" spans="50:59" x14ac:dyDescent="0.2">
      <c r="AX3562" s="315"/>
      <c r="AY3562" s="326"/>
      <c r="AZ3562" s="175"/>
      <c r="BA3562" s="42"/>
      <c r="BB3562" s="426"/>
      <c r="BF3562" s="315"/>
      <c r="BG3562" s="42"/>
    </row>
    <row r="3563" spans="50:59" x14ac:dyDescent="0.2">
      <c r="AX3563" s="315"/>
      <c r="AY3563" s="326"/>
      <c r="AZ3563" s="175"/>
      <c r="BA3563" s="42"/>
      <c r="BB3563" s="426"/>
      <c r="BF3563" s="315"/>
      <c r="BG3563" s="42"/>
    </row>
    <row r="3564" spans="50:59" x14ac:dyDescent="0.2">
      <c r="AX3564" s="315"/>
      <c r="AY3564" s="326"/>
      <c r="AZ3564" s="175"/>
      <c r="BA3564" s="42"/>
      <c r="BB3564" s="426"/>
      <c r="BF3564" s="315"/>
      <c r="BG3564" s="42"/>
    </row>
    <row r="3565" spans="50:59" x14ac:dyDescent="0.2">
      <c r="AX3565" s="315"/>
      <c r="AY3565" s="326"/>
      <c r="AZ3565" s="175"/>
      <c r="BA3565" s="42"/>
      <c r="BB3565" s="426"/>
      <c r="BF3565" s="315"/>
      <c r="BG3565" s="42"/>
    </row>
    <row r="3566" spans="50:59" x14ac:dyDescent="0.2">
      <c r="AX3566" s="315"/>
      <c r="AY3566" s="326"/>
      <c r="AZ3566" s="175"/>
      <c r="BA3566" s="42"/>
      <c r="BB3566" s="426"/>
      <c r="BF3566" s="315"/>
      <c r="BG3566" s="42"/>
    </row>
    <row r="3567" spans="50:59" x14ac:dyDescent="0.2">
      <c r="AX3567" s="315"/>
      <c r="AY3567" s="326"/>
      <c r="AZ3567" s="175"/>
      <c r="BA3567" s="42"/>
      <c r="BB3567" s="426"/>
      <c r="BF3567" s="315"/>
      <c r="BG3567" s="42"/>
    </row>
    <row r="3568" spans="50:59" x14ac:dyDescent="0.2">
      <c r="AX3568" s="315"/>
      <c r="AY3568" s="326"/>
      <c r="AZ3568" s="175"/>
      <c r="BA3568" s="42"/>
      <c r="BB3568" s="426"/>
      <c r="BF3568" s="315"/>
      <c r="BG3568" s="42"/>
    </row>
    <row r="3569" spans="50:59" x14ac:dyDescent="0.2">
      <c r="AX3569" s="315"/>
      <c r="AY3569" s="326"/>
      <c r="AZ3569" s="175"/>
      <c r="BA3569" s="42"/>
      <c r="BB3569" s="426"/>
      <c r="BF3569" s="315"/>
      <c r="BG3569" s="42"/>
    </row>
    <row r="3570" spans="50:59" x14ac:dyDescent="0.2">
      <c r="AX3570" s="315"/>
      <c r="AY3570" s="326"/>
      <c r="AZ3570" s="175"/>
      <c r="BA3570" s="42"/>
      <c r="BB3570" s="426"/>
      <c r="BF3570" s="315"/>
      <c r="BG3570" s="42"/>
    </row>
    <row r="3571" spans="50:59" x14ac:dyDescent="0.2">
      <c r="AX3571" s="315"/>
      <c r="AY3571" s="326"/>
      <c r="AZ3571" s="175"/>
      <c r="BA3571" s="42"/>
      <c r="BB3571" s="426"/>
      <c r="BF3571" s="315"/>
      <c r="BG3571" s="42"/>
    </row>
    <row r="3572" spans="50:59" x14ac:dyDescent="0.2">
      <c r="AX3572" s="315"/>
      <c r="AY3572" s="326"/>
      <c r="AZ3572" s="175"/>
      <c r="BA3572" s="42"/>
      <c r="BB3572" s="426"/>
      <c r="BF3572" s="315"/>
      <c r="BG3572" s="42"/>
    </row>
    <row r="3573" spans="50:59" x14ac:dyDescent="0.2">
      <c r="AX3573" s="315"/>
      <c r="AY3573" s="326"/>
      <c r="AZ3573" s="175"/>
      <c r="BA3573" s="42"/>
      <c r="BB3573" s="426"/>
      <c r="BF3573" s="315"/>
      <c r="BG3573" s="42"/>
    </row>
    <row r="3574" spans="50:59" x14ac:dyDescent="0.2">
      <c r="AX3574" s="315"/>
      <c r="AY3574" s="326"/>
      <c r="AZ3574" s="175"/>
      <c r="BA3574" s="42"/>
      <c r="BB3574" s="426"/>
      <c r="BF3574" s="315"/>
      <c r="BG3574" s="42"/>
    </row>
    <row r="3575" spans="50:59" x14ac:dyDescent="0.2">
      <c r="AX3575" s="315"/>
      <c r="AY3575" s="326"/>
      <c r="AZ3575" s="175"/>
      <c r="BA3575" s="42"/>
      <c r="BB3575" s="426"/>
      <c r="BF3575" s="315"/>
      <c r="BG3575" s="42"/>
    </row>
    <row r="3576" spans="50:59" x14ac:dyDescent="0.2">
      <c r="AX3576" s="315"/>
      <c r="AY3576" s="326"/>
      <c r="AZ3576" s="175"/>
      <c r="BA3576" s="42"/>
      <c r="BB3576" s="426"/>
      <c r="BF3576" s="315"/>
      <c r="BG3576" s="42"/>
    </row>
    <row r="3577" spans="50:59" x14ac:dyDescent="0.2">
      <c r="AX3577" s="315"/>
      <c r="AY3577" s="326"/>
      <c r="AZ3577" s="175"/>
      <c r="BA3577" s="42"/>
      <c r="BB3577" s="426"/>
      <c r="BF3577" s="315"/>
      <c r="BG3577" s="42"/>
    </row>
    <row r="3578" spans="50:59" x14ac:dyDescent="0.2">
      <c r="AX3578" s="315"/>
      <c r="AY3578" s="326"/>
      <c r="AZ3578" s="175"/>
      <c r="BA3578" s="42"/>
      <c r="BB3578" s="426"/>
      <c r="BF3578" s="315"/>
      <c r="BG3578" s="42"/>
    </row>
    <row r="3579" spans="50:59" x14ac:dyDescent="0.2">
      <c r="AX3579" s="315"/>
      <c r="AY3579" s="326"/>
      <c r="AZ3579" s="175"/>
      <c r="BA3579" s="42"/>
      <c r="BB3579" s="426"/>
      <c r="BF3579" s="315"/>
      <c r="BG3579" s="42"/>
    </row>
    <row r="3580" spans="50:59" x14ac:dyDescent="0.2">
      <c r="AX3580" s="315"/>
      <c r="AY3580" s="326"/>
      <c r="AZ3580" s="175"/>
      <c r="BA3580" s="42"/>
      <c r="BB3580" s="426"/>
      <c r="BF3580" s="315"/>
      <c r="BG3580" s="42"/>
    </row>
    <row r="3581" spans="50:59" x14ac:dyDescent="0.2">
      <c r="AX3581" s="315"/>
      <c r="AY3581" s="326"/>
      <c r="AZ3581" s="175"/>
      <c r="BA3581" s="42"/>
      <c r="BB3581" s="426"/>
      <c r="BF3581" s="315"/>
      <c r="BG3581" s="42"/>
    </row>
    <row r="3582" spans="50:59" x14ac:dyDescent="0.2">
      <c r="AX3582" s="315"/>
      <c r="AY3582" s="326"/>
      <c r="AZ3582" s="175"/>
      <c r="BA3582" s="42"/>
      <c r="BB3582" s="426"/>
      <c r="BF3582" s="315"/>
      <c r="BG3582" s="42"/>
    </row>
    <row r="3583" spans="50:59" x14ac:dyDescent="0.2">
      <c r="AX3583" s="315"/>
      <c r="AY3583" s="326"/>
      <c r="AZ3583" s="175"/>
      <c r="BA3583" s="42"/>
      <c r="BB3583" s="426"/>
      <c r="BF3583" s="315"/>
      <c r="BG3583" s="42"/>
    </row>
    <row r="3584" spans="50:59" x14ac:dyDescent="0.2">
      <c r="AX3584" s="315"/>
      <c r="AY3584" s="326"/>
      <c r="AZ3584" s="175"/>
      <c r="BA3584" s="42"/>
      <c r="BB3584" s="426"/>
      <c r="BF3584" s="315"/>
      <c r="BG3584" s="42"/>
    </row>
    <row r="3585" spans="50:59" x14ac:dyDescent="0.2">
      <c r="AX3585" s="315"/>
      <c r="AY3585" s="326"/>
      <c r="AZ3585" s="175"/>
      <c r="BA3585" s="42"/>
      <c r="BB3585" s="426"/>
      <c r="BF3585" s="315"/>
      <c r="BG3585" s="42"/>
    </row>
    <row r="3586" spans="50:59" x14ac:dyDescent="0.2">
      <c r="AX3586" s="315"/>
      <c r="AY3586" s="326"/>
      <c r="AZ3586" s="175"/>
      <c r="BA3586" s="42"/>
      <c r="BB3586" s="426"/>
      <c r="BF3586" s="315"/>
      <c r="BG3586" s="42"/>
    </row>
    <row r="3587" spans="50:59" x14ac:dyDescent="0.2">
      <c r="AX3587" s="315"/>
      <c r="AY3587" s="326"/>
      <c r="AZ3587" s="175"/>
      <c r="BA3587" s="42"/>
      <c r="BB3587" s="426"/>
      <c r="BF3587" s="315"/>
      <c r="BG3587" s="42"/>
    </row>
    <row r="3588" spans="50:59" x14ac:dyDescent="0.2">
      <c r="AX3588" s="315"/>
      <c r="AY3588" s="326"/>
      <c r="AZ3588" s="175"/>
      <c r="BA3588" s="42"/>
      <c r="BB3588" s="426"/>
      <c r="BF3588" s="315"/>
      <c r="BG3588" s="42"/>
    </row>
    <row r="3589" spans="50:59" x14ac:dyDescent="0.2">
      <c r="AX3589" s="315"/>
      <c r="AY3589" s="326"/>
      <c r="AZ3589" s="175"/>
      <c r="BA3589" s="42"/>
      <c r="BB3589" s="426"/>
      <c r="BF3589" s="315"/>
      <c r="BG3589" s="42"/>
    </row>
    <row r="3590" spans="50:59" x14ac:dyDescent="0.2">
      <c r="AX3590" s="315"/>
      <c r="AY3590" s="326"/>
      <c r="AZ3590" s="175"/>
      <c r="BA3590" s="42"/>
      <c r="BB3590" s="426"/>
      <c r="BF3590" s="315"/>
      <c r="BG3590" s="42"/>
    </row>
    <row r="3591" spans="50:59" x14ac:dyDescent="0.2">
      <c r="AX3591" s="315"/>
      <c r="AY3591" s="326"/>
      <c r="AZ3591" s="175"/>
      <c r="BA3591" s="42"/>
      <c r="BB3591" s="426"/>
      <c r="BF3591" s="315"/>
      <c r="BG3591" s="42"/>
    </row>
    <row r="3592" spans="50:59" x14ac:dyDescent="0.2">
      <c r="AX3592" s="315"/>
      <c r="AY3592" s="326"/>
      <c r="AZ3592" s="175"/>
      <c r="BA3592" s="42"/>
      <c r="BB3592" s="426"/>
      <c r="BF3592" s="315"/>
      <c r="BG3592" s="42"/>
    </row>
    <row r="3593" spans="50:59" x14ac:dyDescent="0.2">
      <c r="AX3593" s="315"/>
      <c r="AY3593" s="326"/>
      <c r="AZ3593" s="175"/>
      <c r="BA3593" s="42"/>
      <c r="BB3593" s="426"/>
      <c r="BF3593" s="315"/>
      <c r="BG3593" s="42"/>
    </row>
    <row r="3594" spans="50:59" x14ac:dyDescent="0.2">
      <c r="AX3594" s="315"/>
      <c r="AY3594" s="326"/>
      <c r="AZ3594" s="175"/>
      <c r="BA3594" s="42"/>
      <c r="BB3594" s="426"/>
      <c r="BF3594" s="315"/>
      <c r="BG3594" s="42"/>
    </row>
    <row r="3595" spans="50:59" x14ac:dyDescent="0.2">
      <c r="AX3595" s="315"/>
      <c r="AY3595" s="326"/>
      <c r="AZ3595" s="175"/>
      <c r="BA3595" s="42"/>
      <c r="BB3595" s="426"/>
      <c r="BF3595" s="315"/>
      <c r="BG3595" s="42"/>
    </row>
    <row r="3596" spans="50:59" x14ac:dyDescent="0.2">
      <c r="AX3596" s="315"/>
      <c r="AY3596" s="326"/>
      <c r="AZ3596" s="175"/>
      <c r="BA3596" s="42"/>
      <c r="BB3596" s="426"/>
      <c r="BF3596" s="315"/>
      <c r="BG3596" s="42"/>
    </row>
    <row r="3597" spans="50:59" x14ac:dyDescent="0.2">
      <c r="AX3597" s="315"/>
      <c r="AY3597" s="326"/>
      <c r="AZ3597" s="175"/>
      <c r="BA3597" s="42"/>
      <c r="BB3597" s="426"/>
      <c r="BF3597" s="315"/>
      <c r="BG3597" s="42"/>
    </row>
    <row r="3598" spans="50:59" x14ac:dyDescent="0.2">
      <c r="AX3598" s="315"/>
      <c r="AY3598" s="326"/>
      <c r="AZ3598" s="175"/>
      <c r="BA3598" s="42"/>
      <c r="BB3598" s="426"/>
      <c r="BF3598" s="315"/>
      <c r="BG3598" s="42"/>
    </row>
    <row r="3599" spans="50:59" x14ac:dyDescent="0.2">
      <c r="AX3599" s="315"/>
      <c r="AY3599" s="326"/>
      <c r="AZ3599" s="175"/>
      <c r="BA3599" s="42"/>
      <c r="BB3599" s="426"/>
      <c r="BF3599" s="315"/>
      <c r="BG3599" s="42"/>
    </row>
    <row r="3600" spans="50:59" x14ac:dyDescent="0.2">
      <c r="AX3600" s="315"/>
      <c r="AY3600" s="326"/>
      <c r="AZ3600" s="175"/>
      <c r="BA3600" s="42"/>
      <c r="BB3600" s="426"/>
      <c r="BF3600" s="315"/>
      <c r="BG3600" s="42"/>
    </row>
    <row r="3601" spans="50:59" x14ac:dyDescent="0.2">
      <c r="AX3601" s="315"/>
      <c r="AY3601" s="326"/>
      <c r="AZ3601" s="175"/>
      <c r="BA3601" s="42"/>
      <c r="BB3601" s="426"/>
      <c r="BF3601" s="315"/>
      <c r="BG3601" s="42"/>
    </row>
    <row r="3602" spans="50:59" x14ac:dyDescent="0.2">
      <c r="AX3602" s="315"/>
      <c r="AY3602" s="326"/>
      <c r="AZ3602" s="175"/>
      <c r="BA3602" s="42"/>
      <c r="BB3602" s="426"/>
      <c r="BF3602" s="315"/>
      <c r="BG3602" s="42"/>
    </row>
    <row r="3603" spans="50:59" x14ac:dyDescent="0.2">
      <c r="AX3603" s="315"/>
      <c r="AY3603" s="326"/>
      <c r="AZ3603" s="175"/>
      <c r="BA3603" s="42"/>
      <c r="BB3603" s="426"/>
      <c r="BF3603" s="315"/>
      <c r="BG3603" s="42"/>
    </row>
    <row r="3604" spans="50:59" x14ac:dyDescent="0.2">
      <c r="AX3604" s="315"/>
      <c r="AY3604" s="326"/>
      <c r="AZ3604" s="175"/>
      <c r="BA3604" s="42"/>
      <c r="BB3604" s="426"/>
      <c r="BF3604" s="315"/>
      <c r="BG3604" s="42"/>
    </row>
    <row r="3605" spans="50:59" x14ac:dyDescent="0.2">
      <c r="AX3605" s="315"/>
      <c r="AY3605" s="326"/>
      <c r="AZ3605" s="175"/>
      <c r="BA3605" s="42"/>
      <c r="BB3605" s="426"/>
      <c r="BF3605" s="315"/>
      <c r="BG3605" s="42"/>
    </row>
    <row r="3606" spans="50:59" x14ac:dyDescent="0.2">
      <c r="AX3606" s="315"/>
      <c r="AY3606" s="326"/>
      <c r="AZ3606" s="175"/>
      <c r="BA3606" s="42"/>
      <c r="BB3606" s="426"/>
      <c r="BF3606" s="315"/>
      <c r="BG3606" s="42"/>
    </row>
    <row r="3607" spans="50:59" x14ac:dyDescent="0.2">
      <c r="AX3607" s="315"/>
      <c r="AY3607" s="326"/>
      <c r="AZ3607" s="175"/>
      <c r="BA3607" s="42"/>
      <c r="BB3607" s="426"/>
      <c r="BF3607" s="315"/>
      <c r="BG3607" s="42"/>
    </row>
    <row r="3608" spans="50:59" x14ac:dyDescent="0.2">
      <c r="AX3608" s="315"/>
      <c r="AY3608" s="326"/>
      <c r="AZ3608" s="175"/>
      <c r="BA3608" s="42"/>
      <c r="BB3608" s="426"/>
      <c r="BF3608" s="315"/>
      <c r="BG3608" s="42"/>
    </row>
    <row r="3609" spans="50:59" x14ac:dyDescent="0.2">
      <c r="AX3609" s="315"/>
      <c r="AY3609" s="326"/>
      <c r="AZ3609" s="175"/>
      <c r="BA3609" s="42"/>
      <c r="BB3609" s="426"/>
      <c r="BF3609" s="315"/>
      <c r="BG3609" s="42"/>
    </row>
    <row r="3610" spans="50:59" x14ac:dyDescent="0.2">
      <c r="AX3610" s="315"/>
      <c r="AY3610" s="326"/>
      <c r="AZ3610" s="175"/>
      <c r="BA3610" s="42"/>
      <c r="BB3610" s="426"/>
      <c r="BF3610" s="315"/>
      <c r="BG3610" s="42"/>
    </row>
    <row r="3611" spans="50:59" x14ac:dyDescent="0.2">
      <c r="AX3611" s="315"/>
      <c r="AY3611" s="326"/>
      <c r="AZ3611" s="175"/>
      <c r="BA3611" s="42"/>
      <c r="BB3611" s="426"/>
      <c r="BF3611" s="315"/>
      <c r="BG3611" s="42"/>
    </row>
    <row r="3612" spans="50:59" x14ac:dyDescent="0.2">
      <c r="AX3612" s="315"/>
      <c r="AY3612" s="326"/>
      <c r="AZ3612" s="175"/>
      <c r="BA3612" s="42"/>
      <c r="BB3612" s="426"/>
      <c r="BF3612" s="315"/>
      <c r="BG3612" s="42"/>
    </row>
    <row r="3613" spans="50:59" x14ac:dyDescent="0.2">
      <c r="AX3613" s="315"/>
      <c r="AY3613" s="326"/>
      <c r="AZ3613" s="175"/>
      <c r="BA3613" s="42"/>
      <c r="BB3613" s="426"/>
      <c r="BF3613" s="315"/>
      <c r="BG3613" s="42"/>
    </row>
    <row r="3614" spans="50:59" x14ac:dyDescent="0.2">
      <c r="AX3614" s="315"/>
      <c r="AY3614" s="326"/>
      <c r="AZ3614" s="175"/>
      <c r="BA3614" s="42"/>
      <c r="BB3614" s="426"/>
      <c r="BF3614" s="315"/>
      <c r="BG3614" s="42"/>
    </row>
    <row r="3615" spans="50:59" x14ac:dyDescent="0.2">
      <c r="AX3615" s="315"/>
      <c r="AY3615" s="326"/>
      <c r="AZ3615" s="175"/>
      <c r="BA3615" s="42"/>
      <c r="BB3615" s="426"/>
      <c r="BF3615" s="315"/>
      <c r="BG3615" s="42"/>
    </row>
    <row r="3616" spans="50:59" x14ac:dyDescent="0.2">
      <c r="AX3616" s="315"/>
      <c r="AY3616" s="326"/>
      <c r="AZ3616" s="175"/>
      <c r="BA3616" s="42"/>
      <c r="BB3616" s="426"/>
      <c r="BF3616" s="315"/>
      <c r="BG3616" s="42"/>
    </row>
    <row r="3617" spans="50:59" x14ac:dyDescent="0.2">
      <c r="AX3617" s="315"/>
      <c r="AY3617" s="326"/>
      <c r="AZ3617" s="175"/>
      <c r="BA3617" s="42"/>
      <c r="BB3617" s="426"/>
      <c r="BF3617" s="315"/>
      <c r="BG3617" s="42"/>
    </row>
    <row r="3618" spans="50:59" x14ac:dyDescent="0.2">
      <c r="AX3618" s="315"/>
      <c r="AY3618" s="326"/>
      <c r="AZ3618" s="175"/>
      <c r="BA3618" s="42"/>
      <c r="BB3618" s="426"/>
      <c r="BF3618" s="315"/>
      <c r="BG3618" s="42"/>
    </row>
    <row r="3619" spans="50:59" x14ac:dyDescent="0.2">
      <c r="AX3619" s="315"/>
      <c r="AY3619" s="326"/>
      <c r="AZ3619" s="175"/>
      <c r="BA3619" s="42"/>
      <c r="BB3619" s="426"/>
      <c r="BF3619" s="315"/>
      <c r="BG3619" s="42"/>
    </row>
    <row r="3620" spans="50:59" x14ac:dyDescent="0.2">
      <c r="AX3620" s="315"/>
      <c r="AY3620" s="326"/>
      <c r="AZ3620" s="175"/>
      <c r="BA3620" s="42"/>
      <c r="BB3620" s="426"/>
      <c r="BF3620" s="315"/>
      <c r="BG3620" s="42"/>
    </row>
    <row r="3621" spans="50:59" x14ac:dyDescent="0.2">
      <c r="AX3621" s="315"/>
      <c r="AY3621" s="326"/>
      <c r="AZ3621" s="175"/>
      <c r="BA3621" s="42"/>
      <c r="BB3621" s="426"/>
      <c r="BF3621" s="315"/>
      <c r="BG3621" s="42"/>
    </row>
    <row r="3622" spans="50:59" x14ac:dyDescent="0.2">
      <c r="AX3622" s="315"/>
      <c r="AY3622" s="326"/>
      <c r="AZ3622" s="175"/>
      <c r="BA3622" s="42"/>
      <c r="BB3622" s="426"/>
      <c r="BF3622" s="315"/>
      <c r="BG3622" s="42"/>
    </row>
    <row r="3623" spans="50:59" x14ac:dyDescent="0.2">
      <c r="AX3623" s="315"/>
      <c r="AY3623" s="326"/>
      <c r="AZ3623" s="175"/>
      <c r="BA3623" s="42"/>
      <c r="BB3623" s="426"/>
      <c r="BF3623" s="315"/>
      <c r="BG3623" s="42"/>
    </row>
    <row r="3624" spans="50:59" x14ac:dyDescent="0.2">
      <c r="AX3624" s="315"/>
      <c r="AY3624" s="326"/>
      <c r="AZ3624" s="175"/>
      <c r="BA3624" s="42"/>
      <c r="BB3624" s="426"/>
      <c r="BF3624" s="315"/>
      <c r="BG3624" s="42"/>
    </row>
    <row r="3625" spans="50:59" x14ac:dyDescent="0.2">
      <c r="AX3625" s="315"/>
      <c r="AY3625" s="326"/>
      <c r="AZ3625" s="175"/>
      <c r="BA3625" s="42"/>
      <c r="BB3625" s="426"/>
      <c r="BF3625" s="315"/>
      <c r="BG3625" s="42"/>
    </row>
    <row r="3626" spans="50:59" x14ac:dyDescent="0.2">
      <c r="AX3626" s="315"/>
      <c r="AY3626" s="326"/>
      <c r="AZ3626" s="175"/>
      <c r="BA3626" s="42"/>
      <c r="BB3626" s="426"/>
      <c r="BF3626" s="315"/>
      <c r="BG3626" s="42"/>
    </row>
    <row r="3627" spans="50:59" x14ac:dyDescent="0.2">
      <c r="AX3627" s="315"/>
      <c r="AY3627" s="326"/>
      <c r="AZ3627" s="175"/>
      <c r="BA3627" s="42"/>
      <c r="BB3627" s="426"/>
      <c r="BF3627" s="315"/>
      <c r="BG3627" s="42"/>
    </row>
    <row r="3628" spans="50:59" x14ac:dyDescent="0.2">
      <c r="AX3628" s="315"/>
      <c r="AY3628" s="326"/>
      <c r="AZ3628" s="175"/>
      <c r="BA3628" s="42"/>
      <c r="BB3628" s="426"/>
      <c r="BF3628" s="315"/>
      <c r="BG3628" s="42"/>
    </row>
    <row r="3629" spans="50:59" x14ac:dyDescent="0.2">
      <c r="AX3629" s="315"/>
      <c r="AY3629" s="326"/>
      <c r="AZ3629" s="175"/>
      <c r="BA3629" s="42"/>
      <c r="BB3629" s="426"/>
      <c r="BF3629" s="315"/>
      <c r="BG3629" s="42"/>
    </row>
    <row r="3630" spans="50:59" x14ac:dyDescent="0.2">
      <c r="AX3630" s="315"/>
      <c r="AY3630" s="326"/>
      <c r="AZ3630" s="175"/>
      <c r="BA3630" s="42"/>
      <c r="BB3630" s="426"/>
      <c r="BF3630" s="315"/>
      <c r="BG3630" s="42"/>
    </row>
    <row r="3631" spans="50:59" x14ac:dyDescent="0.2">
      <c r="AX3631" s="315"/>
      <c r="AY3631" s="326"/>
      <c r="AZ3631" s="175"/>
      <c r="BA3631" s="42"/>
      <c r="BB3631" s="426"/>
      <c r="BF3631" s="315"/>
      <c r="BG3631" s="42"/>
    </row>
    <row r="3632" spans="50:59" x14ac:dyDescent="0.2">
      <c r="AX3632" s="315"/>
      <c r="AY3632" s="326"/>
      <c r="AZ3632" s="175"/>
      <c r="BA3632" s="42"/>
      <c r="BB3632" s="426"/>
      <c r="BF3632" s="315"/>
      <c r="BG3632" s="42"/>
    </row>
    <row r="3633" spans="50:59" x14ac:dyDescent="0.2">
      <c r="AX3633" s="315"/>
      <c r="AY3633" s="326"/>
      <c r="AZ3633" s="175"/>
      <c r="BA3633" s="42"/>
      <c r="BB3633" s="426"/>
      <c r="BF3633" s="315"/>
      <c r="BG3633" s="42"/>
    </row>
    <row r="3634" spans="50:59" x14ac:dyDescent="0.2">
      <c r="AX3634" s="315"/>
      <c r="AY3634" s="326"/>
      <c r="AZ3634" s="175"/>
      <c r="BA3634" s="42"/>
      <c r="BB3634" s="426"/>
      <c r="BF3634" s="315"/>
      <c r="BG3634" s="42"/>
    </row>
    <row r="3635" spans="50:59" x14ac:dyDescent="0.2">
      <c r="AX3635" s="315"/>
      <c r="AY3635" s="326"/>
      <c r="AZ3635" s="175"/>
      <c r="BA3635" s="42"/>
      <c r="BB3635" s="426"/>
      <c r="BF3635" s="315"/>
      <c r="BG3635" s="42"/>
    </row>
    <row r="3636" spans="50:59" x14ac:dyDescent="0.2">
      <c r="AX3636" s="315"/>
      <c r="AY3636" s="326"/>
      <c r="AZ3636" s="175"/>
      <c r="BA3636" s="42"/>
      <c r="BB3636" s="426"/>
      <c r="BF3636" s="315"/>
      <c r="BG3636" s="42"/>
    </row>
    <row r="3637" spans="50:59" x14ac:dyDescent="0.2">
      <c r="AX3637" s="315"/>
      <c r="AY3637" s="326"/>
      <c r="AZ3637" s="175"/>
      <c r="BA3637" s="42"/>
      <c r="BB3637" s="426"/>
      <c r="BF3637" s="315"/>
      <c r="BG3637" s="42"/>
    </row>
    <row r="3638" spans="50:59" x14ac:dyDescent="0.2">
      <c r="AX3638" s="315"/>
      <c r="AY3638" s="326"/>
      <c r="AZ3638" s="175"/>
      <c r="BA3638" s="42"/>
      <c r="BB3638" s="426"/>
      <c r="BF3638" s="315"/>
      <c r="BG3638" s="42"/>
    </row>
    <row r="3639" spans="50:59" x14ac:dyDescent="0.2">
      <c r="AX3639" s="315"/>
      <c r="AY3639" s="326"/>
      <c r="AZ3639" s="175"/>
      <c r="BA3639" s="42"/>
      <c r="BB3639" s="426"/>
      <c r="BF3639" s="315"/>
      <c r="BG3639" s="42"/>
    </row>
    <row r="3640" spans="50:59" x14ac:dyDescent="0.2">
      <c r="AX3640" s="315"/>
      <c r="AY3640" s="326"/>
      <c r="AZ3640" s="175"/>
      <c r="BA3640" s="42"/>
      <c r="BB3640" s="426"/>
      <c r="BF3640" s="315"/>
      <c r="BG3640" s="42"/>
    </row>
    <row r="3641" spans="50:59" x14ac:dyDescent="0.2">
      <c r="AX3641" s="315"/>
      <c r="AY3641" s="326"/>
      <c r="AZ3641" s="175"/>
      <c r="BA3641" s="42"/>
      <c r="BB3641" s="426"/>
      <c r="BF3641" s="315"/>
      <c r="BG3641" s="42"/>
    </row>
    <row r="3642" spans="50:59" x14ac:dyDescent="0.2">
      <c r="AX3642" s="315"/>
      <c r="AY3642" s="326"/>
      <c r="AZ3642" s="175"/>
      <c r="BA3642" s="42"/>
      <c r="BB3642" s="426"/>
      <c r="BF3642" s="315"/>
      <c r="BG3642" s="42"/>
    </row>
    <row r="3643" spans="50:59" x14ac:dyDescent="0.2">
      <c r="AX3643" s="315"/>
      <c r="AY3643" s="326"/>
      <c r="AZ3643" s="175"/>
      <c r="BA3643" s="42"/>
      <c r="BB3643" s="426"/>
      <c r="BF3643" s="315"/>
      <c r="BG3643" s="42"/>
    </row>
    <row r="3644" spans="50:59" x14ac:dyDescent="0.2">
      <c r="AX3644" s="315"/>
      <c r="AY3644" s="326"/>
      <c r="AZ3644" s="175"/>
      <c r="BA3644" s="42"/>
      <c r="BB3644" s="426"/>
      <c r="BF3644" s="315"/>
      <c r="BG3644" s="42"/>
    </row>
    <row r="3645" spans="50:59" x14ac:dyDescent="0.2">
      <c r="AX3645" s="315"/>
      <c r="AY3645" s="326"/>
      <c r="AZ3645" s="175"/>
      <c r="BA3645" s="42"/>
      <c r="BB3645" s="426"/>
      <c r="BF3645" s="315"/>
      <c r="BG3645" s="42"/>
    </row>
    <row r="3646" spans="50:59" x14ac:dyDescent="0.2">
      <c r="AX3646" s="315"/>
      <c r="AY3646" s="326"/>
      <c r="AZ3646" s="175"/>
      <c r="BA3646" s="42"/>
      <c r="BB3646" s="426"/>
      <c r="BF3646" s="315"/>
      <c r="BG3646" s="42"/>
    </row>
    <row r="3647" spans="50:59" x14ac:dyDescent="0.2">
      <c r="AX3647" s="315"/>
      <c r="AY3647" s="326"/>
      <c r="AZ3647" s="175"/>
      <c r="BA3647" s="42"/>
      <c r="BB3647" s="426"/>
      <c r="BF3647" s="315"/>
      <c r="BG3647" s="42"/>
    </row>
    <row r="3648" spans="50:59" x14ac:dyDescent="0.2">
      <c r="AX3648" s="315"/>
      <c r="AY3648" s="326"/>
      <c r="AZ3648" s="175"/>
      <c r="BA3648" s="42"/>
      <c r="BB3648" s="426"/>
      <c r="BF3648" s="315"/>
      <c r="BG3648" s="42"/>
    </row>
    <row r="3649" spans="50:59" x14ac:dyDescent="0.2">
      <c r="AX3649" s="315"/>
      <c r="AY3649" s="326"/>
      <c r="AZ3649" s="175"/>
      <c r="BA3649" s="42"/>
      <c r="BB3649" s="426"/>
      <c r="BF3649" s="315"/>
      <c r="BG3649" s="42"/>
    </row>
    <row r="3650" spans="50:59" x14ac:dyDescent="0.2">
      <c r="AX3650" s="315"/>
      <c r="AY3650" s="326"/>
      <c r="AZ3650" s="175"/>
      <c r="BA3650" s="42"/>
      <c r="BB3650" s="426"/>
      <c r="BF3650" s="315"/>
      <c r="BG3650" s="42"/>
    </row>
    <row r="3651" spans="50:59" x14ac:dyDescent="0.2">
      <c r="AX3651" s="315"/>
      <c r="AY3651" s="326"/>
      <c r="AZ3651" s="175"/>
      <c r="BA3651" s="42"/>
      <c r="BB3651" s="426"/>
      <c r="BF3651" s="315"/>
      <c r="BG3651" s="42"/>
    </row>
    <row r="3652" spans="50:59" x14ac:dyDescent="0.2">
      <c r="AX3652" s="315"/>
      <c r="AY3652" s="326"/>
      <c r="AZ3652" s="175"/>
      <c r="BA3652" s="42"/>
      <c r="BB3652" s="426"/>
      <c r="BF3652" s="315"/>
      <c r="BG3652" s="42"/>
    </row>
    <row r="3653" spans="50:59" x14ac:dyDescent="0.2">
      <c r="AX3653" s="315"/>
      <c r="AY3653" s="326"/>
      <c r="AZ3653" s="175"/>
      <c r="BA3653" s="42"/>
      <c r="BB3653" s="426"/>
      <c r="BF3653" s="315"/>
      <c r="BG3653" s="42"/>
    </row>
    <row r="3654" spans="50:59" x14ac:dyDescent="0.2">
      <c r="AX3654" s="315"/>
      <c r="AY3654" s="326"/>
      <c r="AZ3654" s="175"/>
      <c r="BA3654" s="42"/>
      <c r="BB3654" s="426"/>
      <c r="BF3654" s="315"/>
      <c r="BG3654" s="42"/>
    </row>
    <row r="3655" spans="50:59" x14ac:dyDescent="0.2">
      <c r="AX3655" s="315"/>
      <c r="AY3655" s="326"/>
      <c r="AZ3655" s="175"/>
      <c r="BA3655" s="42"/>
      <c r="BB3655" s="426"/>
      <c r="BF3655" s="315"/>
      <c r="BG3655" s="42"/>
    </row>
    <row r="3656" spans="50:59" x14ac:dyDescent="0.2">
      <c r="AX3656" s="315"/>
      <c r="AY3656" s="326"/>
      <c r="AZ3656" s="175"/>
      <c r="BA3656" s="42"/>
      <c r="BB3656" s="426"/>
      <c r="BF3656" s="315"/>
      <c r="BG3656" s="42"/>
    </row>
    <row r="3657" spans="50:59" x14ac:dyDescent="0.2">
      <c r="AX3657" s="315"/>
      <c r="AY3657" s="326"/>
      <c r="AZ3657" s="175"/>
      <c r="BA3657" s="42"/>
      <c r="BB3657" s="426"/>
      <c r="BF3657" s="315"/>
      <c r="BG3657" s="42"/>
    </row>
    <row r="3658" spans="50:59" x14ac:dyDescent="0.2">
      <c r="AX3658" s="315"/>
      <c r="AY3658" s="326"/>
      <c r="AZ3658" s="175"/>
      <c r="BA3658" s="42"/>
      <c r="BB3658" s="426"/>
      <c r="BF3658" s="315"/>
      <c r="BG3658" s="42"/>
    </row>
    <row r="3659" spans="50:59" x14ac:dyDescent="0.2">
      <c r="AX3659" s="315"/>
      <c r="AY3659" s="326"/>
      <c r="AZ3659" s="175"/>
      <c r="BA3659" s="42"/>
      <c r="BB3659" s="426"/>
      <c r="BF3659" s="315"/>
      <c r="BG3659" s="42"/>
    </row>
    <row r="3660" spans="50:59" x14ac:dyDescent="0.2">
      <c r="AX3660" s="315"/>
      <c r="AY3660" s="326"/>
      <c r="AZ3660" s="175"/>
      <c r="BA3660" s="42"/>
      <c r="BB3660" s="426"/>
      <c r="BF3660" s="315"/>
      <c r="BG3660" s="42"/>
    </row>
    <row r="3661" spans="50:59" x14ac:dyDescent="0.2">
      <c r="AX3661" s="315"/>
      <c r="AY3661" s="326"/>
      <c r="AZ3661" s="175"/>
      <c r="BA3661" s="42"/>
      <c r="BB3661" s="426"/>
      <c r="BF3661" s="315"/>
      <c r="BG3661" s="42"/>
    </row>
    <row r="3662" spans="50:59" x14ac:dyDescent="0.2">
      <c r="AX3662" s="315"/>
      <c r="AY3662" s="326"/>
      <c r="AZ3662" s="175"/>
      <c r="BA3662" s="42"/>
      <c r="BB3662" s="426"/>
      <c r="BF3662" s="315"/>
      <c r="BG3662" s="42"/>
    </row>
    <row r="3663" spans="50:59" x14ac:dyDescent="0.2">
      <c r="AX3663" s="315"/>
      <c r="AY3663" s="326"/>
      <c r="AZ3663" s="175"/>
      <c r="BA3663" s="42"/>
      <c r="BB3663" s="426"/>
      <c r="BF3663" s="315"/>
      <c r="BG3663" s="42"/>
    </row>
    <row r="3664" spans="50:59" x14ac:dyDescent="0.2">
      <c r="AX3664" s="315"/>
      <c r="AY3664" s="326"/>
      <c r="AZ3664" s="175"/>
      <c r="BA3664" s="42"/>
      <c r="BB3664" s="426"/>
      <c r="BF3664" s="315"/>
      <c r="BG3664" s="42"/>
    </row>
    <row r="3665" spans="50:59" x14ac:dyDescent="0.2">
      <c r="AX3665" s="315"/>
      <c r="AY3665" s="326"/>
      <c r="AZ3665" s="175"/>
      <c r="BA3665" s="42"/>
      <c r="BB3665" s="426"/>
      <c r="BF3665" s="315"/>
      <c r="BG3665" s="42"/>
    </row>
    <row r="3666" spans="50:59" x14ac:dyDescent="0.2">
      <c r="AX3666" s="315"/>
      <c r="AY3666" s="326"/>
      <c r="AZ3666" s="175"/>
      <c r="BA3666" s="42"/>
      <c r="BB3666" s="426"/>
      <c r="BF3666" s="315"/>
      <c r="BG3666" s="42"/>
    </row>
    <row r="3667" spans="50:59" x14ac:dyDescent="0.2">
      <c r="AX3667" s="315"/>
      <c r="AY3667" s="326"/>
      <c r="AZ3667" s="175"/>
      <c r="BA3667" s="42"/>
      <c r="BB3667" s="426"/>
      <c r="BF3667" s="315"/>
      <c r="BG3667" s="42"/>
    </row>
    <row r="3668" spans="50:59" x14ac:dyDescent="0.2">
      <c r="AX3668" s="315"/>
      <c r="AY3668" s="326"/>
      <c r="AZ3668" s="175"/>
      <c r="BA3668" s="42"/>
      <c r="BB3668" s="426"/>
      <c r="BF3668" s="315"/>
      <c r="BG3668" s="42"/>
    </row>
    <row r="3669" spans="50:59" x14ac:dyDescent="0.2">
      <c r="AX3669" s="315"/>
      <c r="AY3669" s="326"/>
      <c r="AZ3669" s="175"/>
      <c r="BA3669" s="42"/>
      <c r="BB3669" s="426"/>
      <c r="BF3669" s="315"/>
      <c r="BG3669" s="42"/>
    </row>
    <row r="3670" spans="50:59" x14ac:dyDescent="0.2">
      <c r="AX3670" s="315"/>
      <c r="AY3670" s="326"/>
      <c r="AZ3670" s="175"/>
      <c r="BA3670" s="42"/>
      <c r="BB3670" s="426"/>
      <c r="BF3670" s="315"/>
      <c r="BG3670" s="42"/>
    </row>
    <row r="3671" spans="50:59" x14ac:dyDescent="0.2">
      <c r="AX3671" s="315"/>
      <c r="AY3671" s="326"/>
      <c r="AZ3671" s="175"/>
      <c r="BA3671" s="42"/>
      <c r="BB3671" s="426"/>
      <c r="BF3671" s="315"/>
      <c r="BG3671" s="42"/>
    </row>
    <row r="3672" spans="50:59" x14ac:dyDescent="0.2">
      <c r="AX3672" s="315"/>
      <c r="AY3672" s="326"/>
      <c r="AZ3672" s="175"/>
      <c r="BA3672" s="42"/>
      <c r="BB3672" s="426"/>
      <c r="BF3672" s="315"/>
      <c r="BG3672" s="42"/>
    </row>
    <row r="3673" spans="50:59" x14ac:dyDescent="0.2">
      <c r="AX3673" s="315"/>
      <c r="AY3673" s="326"/>
      <c r="AZ3673" s="175"/>
      <c r="BA3673" s="42"/>
      <c r="BB3673" s="426"/>
      <c r="BF3673" s="315"/>
      <c r="BG3673" s="42"/>
    </row>
    <row r="3674" spans="50:59" x14ac:dyDescent="0.2">
      <c r="AX3674" s="315"/>
      <c r="AY3674" s="326"/>
      <c r="AZ3674" s="175"/>
      <c r="BA3674" s="42"/>
      <c r="BB3674" s="426"/>
      <c r="BF3674" s="315"/>
      <c r="BG3674" s="42"/>
    </row>
    <row r="3675" spans="50:59" x14ac:dyDescent="0.2">
      <c r="AX3675" s="315"/>
      <c r="AY3675" s="326"/>
      <c r="AZ3675" s="175"/>
      <c r="BA3675" s="42"/>
      <c r="BB3675" s="426"/>
      <c r="BF3675" s="315"/>
      <c r="BG3675" s="42"/>
    </row>
    <row r="3676" spans="50:59" x14ac:dyDescent="0.2">
      <c r="AX3676" s="315"/>
      <c r="AY3676" s="326"/>
      <c r="AZ3676" s="175"/>
      <c r="BA3676" s="42"/>
      <c r="BB3676" s="426"/>
      <c r="BF3676" s="315"/>
      <c r="BG3676" s="42"/>
    </row>
    <row r="3677" spans="50:59" x14ac:dyDescent="0.2">
      <c r="AX3677" s="315"/>
      <c r="AY3677" s="326"/>
      <c r="AZ3677" s="175"/>
      <c r="BA3677" s="42"/>
      <c r="BB3677" s="426"/>
      <c r="BF3677" s="315"/>
      <c r="BG3677" s="42"/>
    </row>
    <row r="3678" spans="50:59" x14ac:dyDescent="0.2">
      <c r="AX3678" s="315"/>
      <c r="AY3678" s="326"/>
      <c r="AZ3678" s="175"/>
      <c r="BA3678" s="42"/>
      <c r="BB3678" s="426"/>
      <c r="BF3678" s="315"/>
      <c r="BG3678" s="42"/>
    </row>
    <row r="3679" spans="50:59" x14ac:dyDescent="0.2">
      <c r="AX3679" s="315"/>
      <c r="AY3679" s="326"/>
      <c r="AZ3679" s="175"/>
      <c r="BA3679" s="42"/>
      <c r="BB3679" s="426"/>
      <c r="BF3679" s="315"/>
      <c r="BG3679" s="42"/>
    </row>
    <row r="3680" spans="50:59" x14ac:dyDescent="0.2">
      <c r="AX3680" s="315"/>
      <c r="AY3680" s="326"/>
      <c r="AZ3680" s="175"/>
      <c r="BA3680" s="42"/>
      <c r="BB3680" s="426"/>
      <c r="BF3680" s="315"/>
      <c r="BG3680" s="42"/>
    </row>
    <row r="3681" spans="50:59" x14ac:dyDescent="0.2">
      <c r="AX3681" s="315"/>
      <c r="AY3681" s="326"/>
      <c r="AZ3681" s="175"/>
      <c r="BA3681" s="42"/>
      <c r="BB3681" s="426"/>
      <c r="BF3681" s="315"/>
      <c r="BG3681" s="42"/>
    </row>
    <row r="3682" spans="50:59" x14ac:dyDescent="0.2">
      <c r="AX3682" s="315"/>
      <c r="AY3682" s="326"/>
      <c r="AZ3682" s="175"/>
      <c r="BA3682" s="42"/>
      <c r="BB3682" s="426"/>
      <c r="BF3682" s="315"/>
      <c r="BG3682" s="42"/>
    </row>
    <row r="3683" spans="50:59" x14ac:dyDescent="0.2">
      <c r="AX3683" s="315"/>
      <c r="AY3683" s="326"/>
      <c r="AZ3683" s="175"/>
      <c r="BA3683" s="42"/>
      <c r="BB3683" s="426"/>
      <c r="BF3683" s="315"/>
      <c r="BG3683" s="42"/>
    </row>
    <row r="3684" spans="50:59" x14ac:dyDescent="0.2">
      <c r="AX3684" s="315"/>
      <c r="AY3684" s="326"/>
      <c r="AZ3684" s="175"/>
      <c r="BA3684" s="42"/>
      <c r="BB3684" s="426"/>
      <c r="BF3684" s="315"/>
      <c r="BG3684" s="42"/>
    </row>
    <row r="3685" spans="50:59" x14ac:dyDescent="0.2">
      <c r="AX3685" s="315"/>
      <c r="AY3685" s="326"/>
      <c r="AZ3685" s="175"/>
      <c r="BA3685" s="42"/>
      <c r="BB3685" s="426"/>
      <c r="BF3685" s="315"/>
      <c r="BG3685" s="42"/>
    </row>
    <row r="3686" spans="50:59" x14ac:dyDescent="0.2">
      <c r="AX3686" s="315"/>
      <c r="AY3686" s="326"/>
      <c r="AZ3686" s="175"/>
      <c r="BA3686" s="42"/>
      <c r="BB3686" s="426"/>
      <c r="BF3686" s="315"/>
      <c r="BG3686" s="42"/>
    </row>
    <row r="3687" spans="50:59" x14ac:dyDescent="0.2">
      <c r="AX3687" s="315"/>
      <c r="AY3687" s="326"/>
      <c r="AZ3687" s="175"/>
      <c r="BA3687" s="42"/>
      <c r="BB3687" s="426"/>
      <c r="BF3687" s="315"/>
      <c r="BG3687" s="42"/>
    </row>
    <row r="3688" spans="50:59" x14ac:dyDescent="0.2">
      <c r="AX3688" s="315"/>
      <c r="AY3688" s="326"/>
      <c r="AZ3688" s="175"/>
      <c r="BA3688" s="42"/>
      <c r="BB3688" s="426"/>
      <c r="BF3688" s="315"/>
      <c r="BG3688" s="42"/>
    </row>
    <row r="3689" spans="50:59" x14ac:dyDescent="0.2">
      <c r="AX3689" s="315"/>
      <c r="AY3689" s="326"/>
      <c r="AZ3689" s="175"/>
      <c r="BA3689" s="42"/>
      <c r="BB3689" s="426"/>
      <c r="BF3689" s="315"/>
      <c r="BG3689" s="42"/>
    </row>
    <row r="3690" spans="50:59" x14ac:dyDescent="0.2">
      <c r="AX3690" s="315"/>
      <c r="AY3690" s="326"/>
      <c r="AZ3690" s="175"/>
      <c r="BA3690" s="42"/>
      <c r="BB3690" s="426"/>
      <c r="BF3690" s="315"/>
      <c r="BG3690" s="42"/>
    </row>
    <row r="3691" spans="50:59" x14ac:dyDescent="0.2">
      <c r="AX3691" s="315"/>
      <c r="AY3691" s="326"/>
      <c r="AZ3691" s="175"/>
      <c r="BA3691" s="42"/>
      <c r="BB3691" s="426"/>
      <c r="BF3691" s="315"/>
      <c r="BG3691" s="42"/>
    </row>
    <row r="3692" spans="50:59" x14ac:dyDescent="0.2">
      <c r="AX3692" s="315"/>
      <c r="AY3692" s="326"/>
      <c r="AZ3692" s="175"/>
      <c r="BA3692" s="42"/>
      <c r="BB3692" s="426"/>
      <c r="BF3692" s="315"/>
      <c r="BG3692" s="42"/>
    </row>
    <row r="3693" spans="50:59" x14ac:dyDescent="0.2">
      <c r="AX3693" s="315"/>
      <c r="AY3693" s="326"/>
      <c r="AZ3693" s="175"/>
      <c r="BA3693" s="42"/>
      <c r="BB3693" s="426"/>
      <c r="BF3693" s="315"/>
      <c r="BG3693" s="42"/>
    </row>
    <row r="3694" spans="50:59" x14ac:dyDescent="0.2">
      <c r="AX3694" s="315"/>
      <c r="AY3694" s="326"/>
      <c r="AZ3694" s="175"/>
      <c r="BA3694" s="42"/>
      <c r="BB3694" s="426"/>
      <c r="BF3694" s="315"/>
      <c r="BG3694" s="42"/>
    </row>
    <row r="3695" spans="50:59" x14ac:dyDescent="0.2">
      <c r="AX3695" s="315"/>
      <c r="AY3695" s="326"/>
      <c r="AZ3695" s="175"/>
      <c r="BA3695" s="42"/>
      <c r="BB3695" s="426"/>
      <c r="BF3695" s="315"/>
      <c r="BG3695" s="42"/>
    </row>
    <row r="3696" spans="50:59" x14ac:dyDescent="0.2">
      <c r="AX3696" s="315"/>
      <c r="AY3696" s="326"/>
      <c r="AZ3696" s="175"/>
      <c r="BA3696" s="42"/>
      <c r="BB3696" s="426"/>
      <c r="BF3696" s="315"/>
      <c r="BG3696" s="42"/>
    </row>
    <row r="3697" spans="50:59" x14ac:dyDescent="0.2">
      <c r="AX3697" s="315"/>
      <c r="AY3697" s="326"/>
      <c r="AZ3697" s="175"/>
      <c r="BA3697" s="42"/>
      <c r="BB3697" s="426"/>
      <c r="BF3697" s="315"/>
      <c r="BG3697" s="42"/>
    </row>
    <row r="3698" spans="50:59" x14ac:dyDescent="0.2">
      <c r="AX3698" s="315"/>
      <c r="AY3698" s="326"/>
      <c r="AZ3698" s="175"/>
      <c r="BA3698" s="42"/>
      <c r="BB3698" s="426"/>
      <c r="BF3698" s="315"/>
      <c r="BG3698" s="42"/>
    </row>
    <row r="3699" spans="50:59" x14ac:dyDescent="0.2">
      <c r="AX3699" s="315"/>
      <c r="AY3699" s="326"/>
      <c r="AZ3699" s="175"/>
      <c r="BA3699" s="42"/>
      <c r="BB3699" s="426"/>
      <c r="BF3699" s="315"/>
      <c r="BG3699" s="42"/>
    </row>
    <row r="3700" spans="50:59" x14ac:dyDescent="0.2">
      <c r="AX3700" s="315"/>
      <c r="AY3700" s="326"/>
      <c r="AZ3700" s="175"/>
      <c r="BA3700" s="42"/>
      <c r="BB3700" s="426"/>
      <c r="BF3700" s="315"/>
      <c r="BG3700" s="42"/>
    </row>
    <row r="3701" spans="50:59" x14ac:dyDescent="0.2">
      <c r="AX3701" s="315"/>
      <c r="AY3701" s="326"/>
      <c r="AZ3701" s="175"/>
      <c r="BA3701" s="42"/>
      <c r="BB3701" s="426"/>
      <c r="BF3701" s="315"/>
      <c r="BG3701" s="42"/>
    </row>
    <row r="3702" spans="50:59" x14ac:dyDescent="0.2">
      <c r="AX3702" s="315"/>
      <c r="AY3702" s="326"/>
      <c r="AZ3702" s="175"/>
      <c r="BA3702" s="42"/>
      <c r="BB3702" s="426"/>
      <c r="BF3702" s="315"/>
      <c r="BG3702" s="42"/>
    </row>
    <row r="3703" spans="50:59" x14ac:dyDescent="0.2">
      <c r="AX3703" s="315"/>
      <c r="AY3703" s="326"/>
      <c r="AZ3703" s="175"/>
      <c r="BA3703" s="42"/>
      <c r="BB3703" s="426"/>
      <c r="BF3703" s="315"/>
      <c r="BG3703" s="42"/>
    </row>
    <row r="3704" spans="50:59" x14ac:dyDescent="0.2">
      <c r="AX3704" s="315"/>
      <c r="AY3704" s="326"/>
      <c r="AZ3704" s="175"/>
      <c r="BA3704" s="42"/>
      <c r="BB3704" s="426"/>
      <c r="BF3704" s="315"/>
      <c r="BG3704" s="42"/>
    </row>
    <row r="3705" spans="50:59" x14ac:dyDescent="0.2">
      <c r="AX3705" s="315"/>
      <c r="AY3705" s="326"/>
      <c r="AZ3705" s="175"/>
      <c r="BA3705" s="42"/>
      <c r="BB3705" s="426"/>
      <c r="BF3705" s="315"/>
      <c r="BG3705" s="42"/>
    </row>
    <row r="3706" spans="50:59" x14ac:dyDescent="0.2">
      <c r="AX3706" s="315"/>
      <c r="AY3706" s="326"/>
      <c r="AZ3706" s="175"/>
      <c r="BA3706" s="42"/>
      <c r="BB3706" s="426"/>
      <c r="BF3706" s="315"/>
      <c r="BG3706" s="42"/>
    </row>
    <row r="3707" spans="50:59" x14ac:dyDescent="0.2">
      <c r="AX3707" s="315"/>
      <c r="AY3707" s="326"/>
      <c r="AZ3707" s="175"/>
      <c r="BA3707" s="42"/>
      <c r="BB3707" s="426"/>
      <c r="BF3707" s="315"/>
      <c r="BG3707" s="42"/>
    </row>
    <row r="3708" spans="50:59" x14ac:dyDescent="0.2">
      <c r="AX3708" s="315"/>
      <c r="AY3708" s="326"/>
      <c r="AZ3708" s="175"/>
      <c r="BA3708" s="42"/>
      <c r="BB3708" s="426"/>
      <c r="BF3708" s="315"/>
      <c r="BG3708" s="42"/>
    </row>
    <row r="3709" spans="50:59" x14ac:dyDescent="0.2">
      <c r="AX3709" s="315"/>
      <c r="AY3709" s="326"/>
      <c r="AZ3709" s="175"/>
      <c r="BA3709" s="42"/>
      <c r="BB3709" s="426"/>
      <c r="BF3709" s="315"/>
      <c r="BG3709" s="42"/>
    </row>
    <row r="3710" spans="50:59" x14ac:dyDescent="0.2">
      <c r="AX3710" s="315"/>
      <c r="AY3710" s="326"/>
      <c r="AZ3710" s="175"/>
      <c r="BA3710" s="42"/>
      <c r="BB3710" s="426"/>
      <c r="BF3710" s="315"/>
      <c r="BG3710" s="42"/>
    </row>
    <row r="3711" spans="50:59" x14ac:dyDescent="0.2">
      <c r="AX3711" s="315"/>
      <c r="AY3711" s="326"/>
      <c r="AZ3711" s="175"/>
      <c r="BA3711" s="42"/>
      <c r="BB3711" s="426"/>
      <c r="BF3711" s="315"/>
      <c r="BG3711" s="42"/>
    </row>
    <row r="3712" spans="50:59" x14ac:dyDescent="0.2">
      <c r="AX3712" s="315"/>
      <c r="AY3712" s="326"/>
      <c r="AZ3712" s="175"/>
      <c r="BA3712" s="42"/>
      <c r="BB3712" s="426"/>
      <c r="BF3712" s="315"/>
      <c r="BG3712" s="42"/>
    </row>
    <row r="3713" spans="50:59" x14ac:dyDescent="0.2">
      <c r="AX3713" s="315"/>
      <c r="AY3713" s="326"/>
      <c r="AZ3713" s="175"/>
      <c r="BA3713" s="42"/>
      <c r="BB3713" s="426"/>
      <c r="BF3713" s="315"/>
      <c r="BG3713" s="42"/>
    </row>
    <row r="3714" spans="50:59" x14ac:dyDescent="0.2">
      <c r="AX3714" s="315"/>
      <c r="AY3714" s="326"/>
      <c r="AZ3714" s="175"/>
      <c r="BA3714" s="42"/>
      <c r="BB3714" s="426"/>
      <c r="BF3714" s="315"/>
      <c r="BG3714" s="42"/>
    </row>
    <row r="3715" spans="50:59" x14ac:dyDescent="0.2">
      <c r="AX3715" s="315"/>
      <c r="AY3715" s="326"/>
      <c r="AZ3715" s="175"/>
      <c r="BA3715" s="42"/>
      <c r="BB3715" s="426"/>
      <c r="BF3715" s="315"/>
      <c r="BG3715" s="42"/>
    </row>
    <row r="3716" spans="50:59" x14ac:dyDescent="0.2">
      <c r="AX3716" s="315"/>
      <c r="AY3716" s="326"/>
      <c r="AZ3716" s="175"/>
      <c r="BA3716" s="42"/>
      <c r="BB3716" s="426"/>
      <c r="BF3716" s="315"/>
      <c r="BG3716" s="42"/>
    </row>
    <row r="3717" spans="50:59" x14ac:dyDescent="0.2">
      <c r="AX3717" s="315"/>
      <c r="AY3717" s="326"/>
      <c r="AZ3717" s="175"/>
      <c r="BA3717" s="42"/>
      <c r="BB3717" s="426"/>
      <c r="BF3717" s="315"/>
      <c r="BG3717" s="42"/>
    </row>
    <row r="3718" spans="50:59" x14ac:dyDescent="0.2">
      <c r="AX3718" s="315"/>
      <c r="AY3718" s="326"/>
      <c r="AZ3718" s="175"/>
      <c r="BA3718" s="42"/>
      <c r="BB3718" s="426"/>
      <c r="BF3718" s="315"/>
      <c r="BG3718" s="42"/>
    </row>
    <row r="3719" spans="50:59" x14ac:dyDescent="0.2">
      <c r="AX3719" s="315"/>
      <c r="AY3719" s="326"/>
      <c r="AZ3719" s="175"/>
      <c r="BA3719" s="42"/>
      <c r="BB3719" s="426"/>
      <c r="BF3719" s="315"/>
      <c r="BG3719" s="42"/>
    </row>
    <row r="3720" spans="50:59" x14ac:dyDescent="0.2">
      <c r="AX3720" s="315"/>
      <c r="AY3720" s="326"/>
      <c r="AZ3720" s="175"/>
      <c r="BA3720" s="42"/>
      <c r="BB3720" s="426"/>
      <c r="BF3720" s="315"/>
      <c r="BG3720" s="42"/>
    </row>
    <row r="3721" spans="50:59" x14ac:dyDescent="0.2">
      <c r="AX3721" s="315"/>
      <c r="AY3721" s="326"/>
      <c r="AZ3721" s="175"/>
      <c r="BA3721" s="42"/>
      <c r="BB3721" s="426"/>
      <c r="BF3721" s="315"/>
      <c r="BG3721" s="42"/>
    </row>
    <row r="3722" spans="50:59" x14ac:dyDescent="0.2">
      <c r="AX3722" s="315"/>
      <c r="AY3722" s="326"/>
      <c r="AZ3722" s="175"/>
      <c r="BA3722" s="42"/>
      <c r="BB3722" s="426"/>
      <c r="BF3722" s="315"/>
      <c r="BG3722" s="42"/>
    </row>
    <row r="3723" spans="50:59" x14ac:dyDescent="0.2">
      <c r="AX3723" s="315"/>
      <c r="AY3723" s="326"/>
      <c r="AZ3723" s="175"/>
      <c r="BA3723" s="42"/>
      <c r="BB3723" s="426"/>
      <c r="BF3723" s="315"/>
      <c r="BG3723" s="42"/>
    </row>
    <row r="3724" spans="50:59" x14ac:dyDescent="0.2">
      <c r="AX3724" s="315"/>
      <c r="AY3724" s="326"/>
      <c r="AZ3724" s="175"/>
      <c r="BA3724" s="42"/>
      <c r="BB3724" s="426"/>
      <c r="BF3724" s="315"/>
      <c r="BG3724" s="42"/>
    </row>
    <row r="3725" spans="50:59" x14ac:dyDescent="0.2">
      <c r="AX3725" s="315"/>
      <c r="AY3725" s="326"/>
      <c r="AZ3725" s="175"/>
      <c r="BA3725" s="42"/>
      <c r="BB3725" s="426"/>
      <c r="BF3725" s="315"/>
      <c r="BG3725" s="42"/>
    </row>
    <row r="3726" spans="50:59" x14ac:dyDescent="0.2">
      <c r="AX3726" s="315"/>
      <c r="AY3726" s="326"/>
      <c r="AZ3726" s="175"/>
      <c r="BA3726" s="42"/>
      <c r="BB3726" s="426"/>
      <c r="BF3726" s="315"/>
      <c r="BG3726" s="42"/>
    </row>
    <row r="3727" spans="50:59" x14ac:dyDescent="0.2">
      <c r="AX3727" s="315"/>
      <c r="AY3727" s="326"/>
      <c r="AZ3727" s="175"/>
      <c r="BA3727" s="42"/>
      <c r="BB3727" s="426"/>
      <c r="BF3727" s="315"/>
      <c r="BG3727" s="42"/>
    </row>
    <row r="3728" spans="50:59" x14ac:dyDescent="0.2">
      <c r="AX3728" s="315"/>
      <c r="AY3728" s="326"/>
      <c r="AZ3728" s="175"/>
      <c r="BA3728" s="42"/>
      <c r="BB3728" s="426"/>
      <c r="BF3728" s="315"/>
      <c r="BG3728" s="42"/>
    </row>
    <row r="3729" spans="50:59" x14ac:dyDescent="0.2">
      <c r="AX3729" s="315"/>
      <c r="AY3729" s="326"/>
      <c r="AZ3729" s="175"/>
      <c r="BA3729" s="42"/>
      <c r="BB3729" s="426"/>
      <c r="BF3729" s="315"/>
      <c r="BG3729" s="42"/>
    </row>
    <row r="3730" spans="50:59" x14ac:dyDescent="0.2">
      <c r="AX3730" s="315"/>
      <c r="AY3730" s="326"/>
      <c r="AZ3730" s="175"/>
      <c r="BA3730" s="42"/>
      <c r="BB3730" s="426"/>
      <c r="BF3730" s="315"/>
      <c r="BG3730" s="42"/>
    </row>
    <row r="3731" spans="50:59" x14ac:dyDescent="0.2">
      <c r="AX3731" s="315"/>
      <c r="AY3731" s="326"/>
      <c r="AZ3731" s="175"/>
      <c r="BA3731" s="42"/>
      <c r="BB3731" s="426"/>
      <c r="BF3731" s="315"/>
      <c r="BG3731" s="42"/>
    </row>
    <row r="3732" spans="50:59" x14ac:dyDescent="0.2">
      <c r="AX3732" s="315"/>
      <c r="AY3732" s="326"/>
      <c r="AZ3732" s="175"/>
      <c r="BA3732" s="42"/>
      <c r="BB3732" s="426"/>
      <c r="BF3732" s="315"/>
      <c r="BG3732" s="42"/>
    </row>
    <row r="3733" spans="50:59" x14ac:dyDescent="0.2">
      <c r="AX3733" s="315"/>
      <c r="AY3733" s="326"/>
      <c r="AZ3733" s="175"/>
      <c r="BA3733" s="42"/>
      <c r="BB3733" s="426"/>
      <c r="BF3733" s="315"/>
      <c r="BG3733" s="42"/>
    </row>
    <row r="3734" spans="50:59" x14ac:dyDescent="0.2">
      <c r="AX3734" s="315"/>
      <c r="AY3734" s="326"/>
      <c r="AZ3734" s="175"/>
      <c r="BA3734" s="42"/>
      <c r="BB3734" s="426"/>
      <c r="BF3734" s="315"/>
      <c r="BG3734" s="42"/>
    </row>
    <row r="3735" spans="50:59" x14ac:dyDescent="0.2">
      <c r="AX3735" s="315"/>
      <c r="AY3735" s="326"/>
      <c r="AZ3735" s="175"/>
      <c r="BA3735" s="42"/>
      <c r="BB3735" s="426"/>
      <c r="BF3735" s="315"/>
      <c r="BG3735" s="42"/>
    </row>
    <row r="3736" spans="50:59" x14ac:dyDescent="0.2">
      <c r="AX3736" s="315"/>
      <c r="AY3736" s="326"/>
      <c r="AZ3736" s="175"/>
      <c r="BA3736" s="42"/>
      <c r="BB3736" s="426"/>
      <c r="BF3736" s="315"/>
      <c r="BG3736" s="42"/>
    </row>
    <row r="3737" spans="50:59" x14ac:dyDescent="0.2">
      <c r="AX3737" s="315"/>
      <c r="AY3737" s="326"/>
      <c r="AZ3737" s="175"/>
      <c r="BA3737" s="42"/>
      <c r="BB3737" s="426"/>
      <c r="BF3737" s="315"/>
      <c r="BG3737" s="42"/>
    </row>
    <row r="3738" spans="50:59" x14ac:dyDescent="0.2">
      <c r="AX3738" s="315"/>
      <c r="AY3738" s="326"/>
      <c r="AZ3738" s="175"/>
      <c r="BA3738" s="42"/>
      <c r="BB3738" s="426"/>
      <c r="BF3738" s="315"/>
      <c r="BG3738" s="42"/>
    </row>
    <row r="3739" spans="50:59" x14ac:dyDescent="0.2">
      <c r="AX3739" s="315"/>
      <c r="AY3739" s="326"/>
      <c r="AZ3739" s="175"/>
      <c r="BA3739" s="42"/>
      <c r="BB3739" s="426"/>
      <c r="BF3739" s="315"/>
      <c r="BG3739" s="42"/>
    </row>
    <row r="3740" spans="50:59" x14ac:dyDescent="0.2">
      <c r="AX3740" s="315"/>
      <c r="AY3740" s="326"/>
      <c r="AZ3740" s="175"/>
      <c r="BA3740" s="42"/>
      <c r="BB3740" s="426"/>
      <c r="BF3740" s="315"/>
      <c r="BG3740" s="42"/>
    </row>
    <row r="3741" spans="50:59" x14ac:dyDescent="0.2">
      <c r="AX3741" s="315"/>
      <c r="AY3741" s="326"/>
      <c r="AZ3741" s="175"/>
      <c r="BA3741" s="42"/>
      <c r="BB3741" s="426"/>
      <c r="BF3741" s="315"/>
      <c r="BG3741" s="42"/>
    </row>
    <row r="3742" spans="50:59" x14ac:dyDescent="0.2">
      <c r="AX3742" s="315"/>
      <c r="AY3742" s="326"/>
      <c r="AZ3742" s="175"/>
      <c r="BA3742" s="42"/>
      <c r="BB3742" s="426"/>
      <c r="BF3742" s="315"/>
      <c r="BG3742" s="42"/>
    </row>
    <row r="3743" spans="50:59" x14ac:dyDescent="0.2">
      <c r="AX3743" s="315"/>
      <c r="AY3743" s="326"/>
      <c r="AZ3743" s="175"/>
      <c r="BA3743" s="42"/>
      <c r="BB3743" s="426"/>
      <c r="BF3743" s="315"/>
      <c r="BG3743" s="42"/>
    </row>
    <row r="3744" spans="50:59" x14ac:dyDescent="0.2">
      <c r="AX3744" s="315"/>
      <c r="AY3744" s="326"/>
      <c r="AZ3744" s="175"/>
      <c r="BA3744" s="42"/>
      <c r="BB3744" s="426"/>
      <c r="BF3744" s="315"/>
      <c r="BG3744" s="42"/>
    </row>
    <row r="3745" spans="50:59" x14ac:dyDescent="0.2">
      <c r="AX3745" s="315"/>
      <c r="AY3745" s="326"/>
      <c r="AZ3745" s="175"/>
      <c r="BA3745" s="42"/>
      <c r="BB3745" s="426"/>
      <c r="BF3745" s="315"/>
      <c r="BG3745" s="42"/>
    </row>
    <row r="3746" spans="50:59" x14ac:dyDescent="0.2">
      <c r="AX3746" s="315"/>
      <c r="AY3746" s="326"/>
      <c r="AZ3746" s="175"/>
      <c r="BA3746" s="42"/>
      <c r="BB3746" s="426"/>
      <c r="BF3746" s="315"/>
      <c r="BG3746" s="42"/>
    </row>
    <row r="3747" spans="50:59" x14ac:dyDescent="0.2">
      <c r="AX3747" s="315"/>
      <c r="AY3747" s="326"/>
      <c r="AZ3747" s="175"/>
      <c r="BA3747" s="42"/>
      <c r="BB3747" s="426"/>
      <c r="BF3747" s="315"/>
      <c r="BG3747" s="42"/>
    </row>
    <row r="3748" spans="50:59" x14ac:dyDescent="0.2">
      <c r="AX3748" s="315"/>
      <c r="AY3748" s="326"/>
      <c r="AZ3748" s="175"/>
      <c r="BA3748" s="42"/>
      <c r="BB3748" s="426"/>
      <c r="BF3748" s="315"/>
      <c r="BG3748" s="42"/>
    </row>
    <row r="3749" spans="50:59" x14ac:dyDescent="0.2">
      <c r="AX3749" s="315"/>
      <c r="AY3749" s="326"/>
      <c r="AZ3749" s="175"/>
      <c r="BA3749" s="42"/>
      <c r="BB3749" s="426"/>
      <c r="BF3749" s="315"/>
      <c r="BG3749" s="42"/>
    </row>
    <row r="3750" spans="50:59" x14ac:dyDescent="0.2">
      <c r="AX3750" s="315"/>
      <c r="AY3750" s="326"/>
      <c r="AZ3750" s="175"/>
      <c r="BA3750" s="42"/>
      <c r="BB3750" s="426"/>
      <c r="BF3750" s="315"/>
      <c r="BG3750" s="42"/>
    </row>
    <row r="3751" spans="50:59" x14ac:dyDescent="0.2">
      <c r="AX3751" s="315"/>
      <c r="AY3751" s="326"/>
      <c r="AZ3751" s="175"/>
      <c r="BA3751" s="42"/>
      <c r="BB3751" s="426"/>
      <c r="BF3751" s="315"/>
      <c r="BG3751" s="42"/>
    </row>
    <row r="3752" spans="50:59" x14ac:dyDescent="0.2">
      <c r="AX3752" s="315"/>
      <c r="AY3752" s="326"/>
      <c r="AZ3752" s="175"/>
      <c r="BA3752" s="42"/>
      <c r="BB3752" s="426"/>
      <c r="BF3752" s="315"/>
      <c r="BG3752" s="42"/>
    </row>
    <row r="3753" spans="50:59" x14ac:dyDescent="0.2">
      <c r="AX3753" s="315"/>
      <c r="AY3753" s="326"/>
      <c r="AZ3753" s="175"/>
      <c r="BA3753" s="42"/>
      <c r="BB3753" s="426"/>
      <c r="BF3753" s="315"/>
      <c r="BG3753" s="42"/>
    </row>
    <row r="3754" spans="50:59" x14ac:dyDescent="0.2">
      <c r="AX3754" s="315"/>
      <c r="AY3754" s="326"/>
      <c r="AZ3754" s="175"/>
      <c r="BA3754" s="42"/>
      <c r="BB3754" s="426"/>
      <c r="BF3754" s="315"/>
      <c r="BG3754" s="42"/>
    </row>
    <row r="3755" spans="50:59" x14ac:dyDescent="0.2">
      <c r="AX3755" s="315"/>
      <c r="AY3755" s="326"/>
      <c r="AZ3755" s="175"/>
      <c r="BA3755" s="42"/>
      <c r="BB3755" s="426"/>
      <c r="BF3755" s="315"/>
      <c r="BG3755" s="42"/>
    </row>
    <row r="3756" spans="50:59" x14ac:dyDescent="0.2">
      <c r="AX3756" s="315"/>
      <c r="AY3756" s="326"/>
      <c r="AZ3756" s="175"/>
      <c r="BA3756" s="42"/>
      <c r="BB3756" s="426"/>
      <c r="BF3756" s="315"/>
      <c r="BG3756" s="42"/>
    </row>
    <row r="3757" spans="50:59" x14ac:dyDescent="0.2">
      <c r="AX3757" s="315"/>
      <c r="AY3757" s="326"/>
      <c r="AZ3757" s="175"/>
      <c r="BA3757" s="42"/>
      <c r="BB3757" s="426"/>
      <c r="BF3757" s="315"/>
      <c r="BG3757" s="42"/>
    </row>
    <row r="3758" spans="50:59" x14ac:dyDescent="0.2">
      <c r="AX3758" s="315"/>
      <c r="AY3758" s="326"/>
      <c r="AZ3758" s="175"/>
      <c r="BA3758" s="42"/>
      <c r="BB3758" s="426"/>
      <c r="BF3758" s="315"/>
      <c r="BG3758" s="42"/>
    </row>
    <row r="3759" spans="50:59" x14ac:dyDescent="0.2">
      <c r="AX3759" s="315"/>
      <c r="AY3759" s="326"/>
      <c r="AZ3759" s="175"/>
      <c r="BA3759" s="42"/>
      <c r="BB3759" s="426"/>
      <c r="BF3759" s="315"/>
      <c r="BG3759" s="42"/>
    </row>
    <row r="3760" spans="50:59" x14ac:dyDescent="0.2">
      <c r="AX3760" s="315"/>
      <c r="AY3760" s="326"/>
      <c r="AZ3760" s="175"/>
      <c r="BA3760" s="42"/>
      <c r="BB3760" s="426"/>
      <c r="BF3760" s="315"/>
      <c r="BG3760" s="42"/>
    </row>
    <row r="3761" spans="50:59" x14ac:dyDescent="0.2">
      <c r="AX3761" s="315"/>
      <c r="AY3761" s="326"/>
      <c r="AZ3761" s="175"/>
      <c r="BA3761" s="42"/>
      <c r="BB3761" s="426"/>
      <c r="BF3761" s="315"/>
      <c r="BG3761" s="42"/>
    </row>
    <row r="3762" spans="50:59" x14ac:dyDescent="0.2">
      <c r="AX3762" s="315"/>
      <c r="AY3762" s="326"/>
      <c r="AZ3762" s="175"/>
      <c r="BA3762" s="42"/>
      <c r="BB3762" s="426"/>
      <c r="BF3762" s="315"/>
      <c r="BG3762" s="42"/>
    </row>
    <row r="3763" spans="50:59" x14ac:dyDescent="0.2">
      <c r="AX3763" s="315"/>
      <c r="AY3763" s="326"/>
      <c r="AZ3763" s="175"/>
      <c r="BA3763" s="42"/>
      <c r="BB3763" s="426"/>
      <c r="BF3763" s="315"/>
      <c r="BG3763" s="42"/>
    </row>
    <row r="3764" spans="50:59" x14ac:dyDescent="0.2">
      <c r="AX3764" s="315"/>
      <c r="AY3764" s="326"/>
      <c r="AZ3764" s="175"/>
      <c r="BA3764" s="42"/>
      <c r="BB3764" s="426"/>
      <c r="BF3764" s="315"/>
      <c r="BG3764" s="42"/>
    </row>
    <row r="3765" spans="50:59" x14ac:dyDescent="0.2">
      <c r="AX3765" s="315"/>
      <c r="AY3765" s="326"/>
      <c r="AZ3765" s="175"/>
      <c r="BA3765" s="42"/>
      <c r="BB3765" s="426"/>
      <c r="BF3765" s="315"/>
      <c r="BG3765" s="42"/>
    </row>
    <row r="3766" spans="50:59" x14ac:dyDescent="0.2">
      <c r="AX3766" s="315"/>
      <c r="AY3766" s="326"/>
      <c r="AZ3766" s="175"/>
      <c r="BA3766" s="42"/>
      <c r="BB3766" s="426"/>
      <c r="BF3766" s="315"/>
      <c r="BG3766" s="42"/>
    </row>
    <row r="3767" spans="50:59" x14ac:dyDescent="0.2">
      <c r="AX3767" s="315"/>
      <c r="AY3767" s="326"/>
      <c r="AZ3767" s="175"/>
      <c r="BA3767" s="42"/>
      <c r="BB3767" s="426"/>
      <c r="BF3767" s="315"/>
      <c r="BG3767" s="42"/>
    </row>
    <row r="3768" spans="50:59" x14ac:dyDescent="0.2">
      <c r="AX3768" s="315"/>
      <c r="AY3768" s="326"/>
      <c r="AZ3768" s="175"/>
      <c r="BA3768" s="42"/>
      <c r="BB3768" s="426"/>
      <c r="BF3768" s="315"/>
      <c r="BG3768" s="42"/>
    </row>
    <row r="3769" spans="50:59" x14ac:dyDescent="0.2">
      <c r="AX3769" s="315"/>
      <c r="AY3769" s="326"/>
      <c r="AZ3769" s="175"/>
      <c r="BA3769" s="42"/>
      <c r="BB3769" s="426"/>
      <c r="BF3769" s="315"/>
      <c r="BG3769" s="42"/>
    </row>
    <row r="3770" spans="50:59" x14ac:dyDescent="0.2">
      <c r="AX3770" s="315"/>
      <c r="AY3770" s="326"/>
      <c r="AZ3770" s="175"/>
      <c r="BA3770" s="42"/>
      <c r="BB3770" s="426"/>
      <c r="BF3770" s="315"/>
      <c r="BG3770" s="42"/>
    </row>
    <row r="3771" spans="50:59" x14ac:dyDescent="0.2">
      <c r="AX3771" s="315"/>
      <c r="AY3771" s="326"/>
      <c r="AZ3771" s="175"/>
      <c r="BA3771" s="42"/>
      <c r="BB3771" s="426"/>
      <c r="BF3771" s="315"/>
      <c r="BG3771" s="42"/>
    </row>
    <row r="3772" spans="50:59" x14ac:dyDescent="0.2">
      <c r="AX3772" s="315"/>
      <c r="AY3772" s="326"/>
      <c r="AZ3772" s="175"/>
      <c r="BA3772" s="42"/>
      <c r="BB3772" s="426"/>
      <c r="BF3772" s="315"/>
      <c r="BG3772" s="42"/>
    </row>
    <row r="3773" spans="50:59" x14ac:dyDescent="0.2">
      <c r="AX3773" s="315"/>
      <c r="AY3773" s="326"/>
      <c r="AZ3773" s="175"/>
      <c r="BA3773" s="42"/>
      <c r="BB3773" s="426"/>
      <c r="BF3773" s="315"/>
      <c r="BG3773" s="42"/>
    </row>
    <row r="3774" spans="50:59" x14ac:dyDescent="0.2">
      <c r="AX3774" s="315"/>
      <c r="AY3774" s="326"/>
      <c r="AZ3774" s="175"/>
      <c r="BA3774" s="42"/>
      <c r="BB3774" s="426"/>
      <c r="BF3774" s="315"/>
      <c r="BG3774" s="42"/>
    </row>
    <row r="3775" spans="50:59" x14ac:dyDescent="0.2">
      <c r="AX3775" s="315"/>
      <c r="AY3775" s="326"/>
      <c r="AZ3775" s="175"/>
      <c r="BA3775" s="42"/>
      <c r="BB3775" s="426"/>
      <c r="BF3775" s="315"/>
      <c r="BG3775" s="42"/>
    </row>
    <row r="3776" spans="50:59" x14ac:dyDescent="0.2">
      <c r="AX3776" s="315"/>
      <c r="AY3776" s="326"/>
      <c r="AZ3776" s="175"/>
      <c r="BA3776" s="42"/>
      <c r="BB3776" s="426"/>
      <c r="BF3776" s="315"/>
      <c r="BG3776" s="42"/>
    </row>
    <row r="3777" spans="50:59" x14ac:dyDescent="0.2">
      <c r="AX3777" s="315"/>
      <c r="AY3777" s="326"/>
      <c r="AZ3777" s="175"/>
      <c r="BA3777" s="42"/>
      <c r="BB3777" s="426"/>
      <c r="BF3777" s="315"/>
      <c r="BG3777" s="42"/>
    </row>
    <row r="3778" spans="50:59" x14ac:dyDescent="0.2">
      <c r="AX3778" s="315"/>
      <c r="AY3778" s="326"/>
      <c r="AZ3778" s="175"/>
      <c r="BA3778" s="42"/>
      <c r="BB3778" s="426"/>
      <c r="BF3778" s="315"/>
      <c r="BG3778" s="42"/>
    </row>
    <row r="3779" spans="50:59" x14ac:dyDescent="0.2">
      <c r="AX3779" s="315"/>
      <c r="AY3779" s="326"/>
      <c r="AZ3779" s="175"/>
      <c r="BA3779" s="42"/>
      <c r="BB3779" s="426"/>
      <c r="BF3779" s="315"/>
      <c r="BG3779" s="42"/>
    </row>
    <row r="3780" spans="50:59" x14ac:dyDescent="0.2">
      <c r="AX3780" s="315"/>
      <c r="AY3780" s="326"/>
      <c r="AZ3780" s="175"/>
      <c r="BA3780" s="42"/>
      <c r="BB3780" s="426"/>
      <c r="BF3780" s="315"/>
      <c r="BG3780" s="42"/>
    </row>
    <row r="3781" spans="50:59" x14ac:dyDescent="0.2">
      <c r="AX3781" s="315"/>
      <c r="AY3781" s="326"/>
      <c r="AZ3781" s="175"/>
      <c r="BA3781" s="42"/>
      <c r="BB3781" s="426"/>
      <c r="BF3781" s="315"/>
      <c r="BG3781" s="42"/>
    </row>
    <row r="3782" spans="50:59" x14ac:dyDescent="0.2">
      <c r="AX3782" s="315"/>
      <c r="AY3782" s="326"/>
      <c r="AZ3782" s="175"/>
      <c r="BA3782" s="42"/>
      <c r="BB3782" s="426"/>
      <c r="BF3782" s="315"/>
      <c r="BG3782" s="42"/>
    </row>
    <row r="3783" spans="50:59" x14ac:dyDescent="0.2">
      <c r="AX3783" s="315"/>
      <c r="AY3783" s="326"/>
      <c r="AZ3783" s="175"/>
      <c r="BA3783" s="42"/>
      <c r="BB3783" s="426"/>
      <c r="BF3783" s="315"/>
      <c r="BG3783" s="42"/>
    </row>
    <row r="3784" spans="50:59" x14ac:dyDescent="0.2">
      <c r="AX3784" s="315"/>
      <c r="AY3784" s="326"/>
      <c r="AZ3784" s="175"/>
      <c r="BA3784" s="42"/>
      <c r="BB3784" s="426"/>
      <c r="BF3784" s="315"/>
      <c r="BG3784" s="42"/>
    </row>
    <row r="3785" spans="50:59" x14ac:dyDescent="0.2">
      <c r="AX3785" s="315"/>
      <c r="AY3785" s="326"/>
      <c r="AZ3785" s="175"/>
      <c r="BA3785" s="42"/>
      <c r="BB3785" s="426"/>
      <c r="BF3785" s="315"/>
      <c r="BG3785" s="42"/>
    </row>
    <row r="3786" spans="50:59" x14ac:dyDescent="0.2">
      <c r="AX3786" s="315"/>
      <c r="AY3786" s="326"/>
      <c r="AZ3786" s="175"/>
      <c r="BA3786" s="42"/>
      <c r="BB3786" s="426"/>
      <c r="BF3786" s="315"/>
      <c r="BG3786" s="42"/>
    </row>
    <row r="3787" spans="50:59" x14ac:dyDescent="0.2">
      <c r="AX3787" s="315"/>
      <c r="AY3787" s="326"/>
      <c r="AZ3787" s="175"/>
      <c r="BA3787" s="42"/>
      <c r="BB3787" s="426"/>
      <c r="BF3787" s="315"/>
      <c r="BG3787" s="42"/>
    </row>
    <row r="3788" spans="50:59" x14ac:dyDescent="0.2">
      <c r="AX3788" s="315"/>
      <c r="AY3788" s="326"/>
      <c r="AZ3788" s="175"/>
      <c r="BA3788" s="42"/>
      <c r="BB3788" s="426"/>
      <c r="BF3788" s="315"/>
      <c r="BG3788" s="42"/>
    </row>
    <row r="3789" spans="50:59" x14ac:dyDescent="0.2">
      <c r="AX3789" s="315"/>
      <c r="AY3789" s="326"/>
      <c r="AZ3789" s="175"/>
      <c r="BA3789" s="42"/>
      <c r="BB3789" s="426"/>
      <c r="BF3789" s="315"/>
      <c r="BG3789" s="42"/>
    </row>
    <row r="3790" spans="50:59" x14ac:dyDescent="0.2">
      <c r="AX3790" s="315"/>
      <c r="AY3790" s="326"/>
      <c r="AZ3790" s="175"/>
      <c r="BA3790" s="42"/>
      <c r="BB3790" s="426"/>
      <c r="BF3790" s="315"/>
      <c r="BG3790" s="42"/>
    </row>
    <row r="3791" spans="50:59" x14ac:dyDescent="0.2">
      <c r="AX3791" s="315"/>
      <c r="AY3791" s="326"/>
      <c r="AZ3791" s="175"/>
      <c r="BA3791" s="42"/>
      <c r="BB3791" s="426"/>
      <c r="BF3791" s="315"/>
      <c r="BG3791" s="42"/>
    </row>
    <row r="3792" spans="50:59" x14ac:dyDescent="0.2">
      <c r="AX3792" s="315"/>
      <c r="AY3792" s="326"/>
      <c r="AZ3792" s="175"/>
      <c r="BA3792" s="42"/>
      <c r="BB3792" s="426"/>
      <c r="BF3792" s="315"/>
      <c r="BG3792" s="42"/>
    </row>
    <row r="3793" spans="50:59" x14ac:dyDescent="0.2">
      <c r="AX3793" s="315"/>
      <c r="AY3793" s="326"/>
      <c r="AZ3793" s="175"/>
      <c r="BA3793" s="42"/>
      <c r="BB3793" s="426"/>
      <c r="BF3793" s="315"/>
      <c r="BG3793" s="42"/>
    </row>
    <row r="3794" spans="50:59" x14ac:dyDescent="0.2">
      <c r="AX3794" s="315"/>
      <c r="AY3794" s="326"/>
      <c r="AZ3794" s="175"/>
      <c r="BA3794" s="42"/>
      <c r="BB3794" s="426"/>
      <c r="BF3794" s="315"/>
      <c r="BG3794" s="42"/>
    </row>
    <row r="3795" spans="50:59" x14ac:dyDescent="0.2">
      <c r="AX3795" s="315"/>
      <c r="AY3795" s="326"/>
      <c r="AZ3795" s="175"/>
      <c r="BA3795" s="42"/>
      <c r="BB3795" s="426"/>
      <c r="BF3795" s="315"/>
      <c r="BG3795" s="42"/>
    </row>
    <row r="3796" spans="50:59" x14ac:dyDescent="0.2">
      <c r="AX3796" s="315"/>
      <c r="AY3796" s="326"/>
      <c r="AZ3796" s="175"/>
      <c r="BA3796" s="42"/>
      <c r="BB3796" s="426"/>
      <c r="BF3796" s="315"/>
      <c r="BG3796" s="42"/>
    </row>
    <row r="3797" spans="50:59" x14ac:dyDescent="0.2">
      <c r="AX3797" s="315"/>
      <c r="AY3797" s="326"/>
      <c r="AZ3797" s="175"/>
      <c r="BA3797" s="42"/>
      <c r="BB3797" s="426"/>
      <c r="BF3797" s="315"/>
      <c r="BG3797" s="42"/>
    </row>
    <row r="3798" spans="50:59" x14ac:dyDescent="0.2">
      <c r="AX3798" s="315"/>
      <c r="AY3798" s="326"/>
      <c r="AZ3798" s="175"/>
      <c r="BA3798" s="42"/>
      <c r="BB3798" s="426"/>
      <c r="BF3798" s="315"/>
      <c r="BG3798" s="42"/>
    </row>
    <row r="3799" spans="50:59" x14ac:dyDescent="0.2">
      <c r="AX3799" s="315"/>
      <c r="AY3799" s="326"/>
      <c r="AZ3799" s="175"/>
      <c r="BA3799" s="42"/>
      <c r="BB3799" s="426"/>
      <c r="BF3799" s="315"/>
      <c r="BG3799" s="42"/>
    </row>
    <row r="3800" spans="50:59" x14ac:dyDescent="0.2">
      <c r="AX3800" s="315"/>
      <c r="AY3800" s="326"/>
      <c r="AZ3800" s="175"/>
      <c r="BA3800" s="42"/>
      <c r="BB3800" s="426"/>
      <c r="BF3800" s="315"/>
      <c r="BG3800" s="42"/>
    </row>
    <row r="3801" spans="50:59" x14ac:dyDescent="0.2">
      <c r="AX3801" s="315"/>
      <c r="AY3801" s="326"/>
      <c r="AZ3801" s="175"/>
      <c r="BA3801" s="42"/>
      <c r="BB3801" s="426"/>
      <c r="BF3801" s="315"/>
      <c r="BG3801" s="42"/>
    </row>
    <row r="3802" spans="50:59" x14ac:dyDescent="0.2">
      <c r="AX3802" s="315"/>
      <c r="AY3802" s="326"/>
      <c r="AZ3802" s="175"/>
      <c r="BA3802" s="42"/>
      <c r="BB3802" s="426"/>
      <c r="BF3802" s="315"/>
      <c r="BG3802" s="42"/>
    </row>
    <row r="3803" spans="50:59" x14ac:dyDescent="0.2">
      <c r="AX3803" s="315"/>
      <c r="AY3803" s="326"/>
      <c r="AZ3803" s="175"/>
      <c r="BA3803" s="42"/>
      <c r="BB3803" s="426"/>
      <c r="BF3803" s="315"/>
      <c r="BG3803" s="42"/>
    </row>
    <row r="3804" spans="50:59" x14ac:dyDescent="0.2">
      <c r="AX3804" s="315"/>
      <c r="AY3804" s="326"/>
      <c r="AZ3804" s="175"/>
      <c r="BA3804" s="42"/>
      <c r="BB3804" s="426"/>
      <c r="BF3804" s="315"/>
      <c r="BG3804" s="42"/>
    </row>
    <row r="3805" spans="50:59" x14ac:dyDescent="0.2">
      <c r="AX3805" s="315"/>
      <c r="AY3805" s="326"/>
      <c r="AZ3805" s="175"/>
      <c r="BA3805" s="42"/>
      <c r="BB3805" s="426"/>
      <c r="BF3805" s="315"/>
      <c r="BG3805" s="42"/>
    </row>
    <row r="3806" spans="50:59" x14ac:dyDescent="0.2">
      <c r="AX3806" s="315"/>
      <c r="AY3806" s="326"/>
      <c r="AZ3806" s="175"/>
      <c r="BA3806" s="42"/>
      <c r="BB3806" s="426"/>
      <c r="BF3806" s="315"/>
      <c r="BG3806" s="42"/>
    </row>
    <row r="3807" spans="50:59" x14ac:dyDescent="0.2">
      <c r="AX3807" s="315"/>
      <c r="AY3807" s="326"/>
      <c r="AZ3807" s="175"/>
      <c r="BA3807" s="42"/>
      <c r="BB3807" s="426"/>
      <c r="BF3807" s="315"/>
      <c r="BG3807" s="42"/>
    </row>
    <row r="3808" spans="50:59" x14ac:dyDescent="0.2">
      <c r="AX3808" s="315"/>
      <c r="AY3808" s="326"/>
      <c r="AZ3808" s="175"/>
      <c r="BA3808" s="42"/>
      <c r="BB3808" s="426"/>
      <c r="BF3808" s="315"/>
      <c r="BG3808" s="42"/>
    </row>
    <row r="3809" spans="50:59" x14ac:dyDescent="0.2">
      <c r="AX3809" s="315"/>
      <c r="AY3809" s="326"/>
      <c r="AZ3809" s="175"/>
      <c r="BA3809" s="42"/>
      <c r="BB3809" s="426"/>
      <c r="BF3809" s="315"/>
      <c r="BG3809" s="42"/>
    </row>
    <row r="3810" spans="50:59" x14ac:dyDescent="0.2">
      <c r="AX3810" s="315"/>
      <c r="AY3810" s="326"/>
      <c r="AZ3810" s="175"/>
      <c r="BA3810" s="42"/>
      <c r="BB3810" s="426"/>
      <c r="BF3810" s="315"/>
      <c r="BG3810" s="42"/>
    </row>
    <row r="3811" spans="50:59" x14ac:dyDescent="0.2">
      <c r="AX3811" s="315"/>
      <c r="AY3811" s="326"/>
      <c r="AZ3811" s="175"/>
      <c r="BA3811" s="42"/>
      <c r="BB3811" s="426"/>
      <c r="BF3811" s="315"/>
      <c r="BG3811" s="42"/>
    </row>
    <row r="3812" spans="50:59" x14ac:dyDescent="0.2">
      <c r="AX3812" s="315"/>
      <c r="AY3812" s="326"/>
      <c r="AZ3812" s="175"/>
      <c r="BA3812" s="42"/>
      <c r="BB3812" s="426"/>
      <c r="BF3812" s="315"/>
      <c r="BG3812" s="42"/>
    </row>
    <row r="3813" spans="50:59" x14ac:dyDescent="0.2">
      <c r="AX3813" s="315"/>
      <c r="AY3813" s="326"/>
      <c r="AZ3813" s="175"/>
      <c r="BA3813" s="42"/>
      <c r="BB3813" s="426"/>
      <c r="BF3813" s="315"/>
      <c r="BG3813" s="42"/>
    </row>
    <row r="3814" spans="50:59" x14ac:dyDescent="0.2">
      <c r="AX3814" s="315"/>
      <c r="AY3814" s="326"/>
      <c r="AZ3814" s="175"/>
      <c r="BA3814" s="42"/>
      <c r="BB3814" s="426"/>
      <c r="BF3814" s="315"/>
      <c r="BG3814" s="42"/>
    </row>
    <row r="3815" spans="50:59" x14ac:dyDescent="0.2">
      <c r="AX3815" s="315"/>
      <c r="AY3815" s="326"/>
      <c r="AZ3815" s="175"/>
      <c r="BA3815" s="42"/>
      <c r="BB3815" s="426"/>
      <c r="BF3815" s="315"/>
      <c r="BG3815" s="42"/>
    </row>
    <row r="3816" spans="50:59" x14ac:dyDescent="0.2">
      <c r="AX3816" s="315"/>
      <c r="AY3816" s="326"/>
      <c r="AZ3816" s="175"/>
      <c r="BA3816" s="42"/>
      <c r="BB3816" s="426"/>
      <c r="BF3816" s="315"/>
      <c r="BG3816" s="42"/>
    </row>
    <row r="3817" spans="50:59" x14ac:dyDescent="0.2">
      <c r="AX3817" s="315"/>
      <c r="AY3817" s="326"/>
      <c r="AZ3817" s="175"/>
      <c r="BA3817" s="42"/>
      <c r="BB3817" s="426"/>
      <c r="BF3817" s="315"/>
      <c r="BG3817" s="42"/>
    </row>
    <row r="3818" spans="50:59" x14ac:dyDescent="0.2">
      <c r="AX3818" s="315"/>
      <c r="AY3818" s="326"/>
      <c r="AZ3818" s="175"/>
      <c r="BA3818" s="42"/>
      <c r="BB3818" s="426"/>
      <c r="BF3818" s="315"/>
      <c r="BG3818" s="42"/>
    </row>
    <row r="3819" spans="50:59" x14ac:dyDescent="0.2">
      <c r="AX3819" s="315"/>
      <c r="AY3819" s="326"/>
      <c r="AZ3819" s="175"/>
      <c r="BA3819" s="42"/>
      <c r="BB3819" s="426"/>
      <c r="BF3819" s="315"/>
      <c r="BG3819" s="42"/>
    </row>
    <row r="3820" spans="50:59" x14ac:dyDescent="0.2">
      <c r="AX3820" s="315"/>
      <c r="AY3820" s="326"/>
      <c r="AZ3820" s="175"/>
      <c r="BA3820" s="42"/>
      <c r="BB3820" s="426"/>
      <c r="BF3820" s="315"/>
      <c r="BG3820" s="42"/>
    </row>
    <row r="3821" spans="50:59" x14ac:dyDescent="0.2">
      <c r="AX3821" s="315"/>
      <c r="AY3821" s="326"/>
      <c r="AZ3821" s="175"/>
      <c r="BA3821" s="42"/>
      <c r="BB3821" s="426"/>
      <c r="BF3821" s="315"/>
      <c r="BG3821" s="42"/>
    </row>
    <row r="3822" spans="50:59" x14ac:dyDescent="0.2">
      <c r="AX3822" s="315"/>
      <c r="AY3822" s="326"/>
      <c r="AZ3822" s="175"/>
      <c r="BA3822" s="42"/>
      <c r="BB3822" s="426"/>
      <c r="BF3822" s="315"/>
      <c r="BG3822" s="42"/>
    </row>
    <row r="3823" spans="50:59" x14ac:dyDescent="0.2">
      <c r="AX3823" s="315"/>
      <c r="AY3823" s="326"/>
      <c r="AZ3823" s="175"/>
      <c r="BA3823" s="42"/>
      <c r="BB3823" s="426"/>
      <c r="BF3823" s="315"/>
      <c r="BG3823" s="42"/>
    </row>
    <row r="3824" spans="50:59" x14ac:dyDescent="0.2">
      <c r="AX3824" s="315"/>
      <c r="AY3824" s="326"/>
      <c r="AZ3824" s="175"/>
      <c r="BA3824" s="42"/>
      <c r="BB3824" s="426"/>
      <c r="BF3824" s="315"/>
      <c r="BG3824" s="42"/>
    </row>
    <row r="3825" spans="50:59" x14ac:dyDescent="0.2">
      <c r="AX3825" s="315"/>
      <c r="AY3825" s="326"/>
      <c r="AZ3825" s="175"/>
      <c r="BA3825" s="42"/>
      <c r="BB3825" s="426"/>
      <c r="BF3825" s="315"/>
      <c r="BG3825" s="42"/>
    </row>
    <row r="3826" spans="50:59" x14ac:dyDescent="0.2">
      <c r="AX3826" s="315"/>
      <c r="AY3826" s="326"/>
      <c r="AZ3826" s="175"/>
      <c r="BA3826" s="42"/>
      <c r="BB3826" s="426"/>
      <c r="BF3826" s="315"/>
      <c r="BG3826" s="42"/>
    </row>
    <row r="3827" spans="50:59" x14ac:dyDescent="0.2">
      <c r="AX3827" s="315"/>
      <c r="AY3827" s="326"/>
      <c r="AZ3827" s="175"/>
      <c r="BA3827" s="42"/>
      <c r="BB3827" s="426"/>
      <c r="BF3827" s="315"/>
      <c r="BG3827" s="42"/>
    </row>
    <row r="3828" spans="50:59" x14ac:dyDescent="0.2">
      <c r="AX3828" s="315"/>
      <c r="AY3828" s="326"/>
      <c r="AZ3828" s="175"/>
      <c r="BA3828" s="42"/>
      <c r="BB3828" s="426"/>
      <c r="BF3828" s="315"/>
      <c r="BG3828" s="42"/>
    </row>
    <row r="3829" spans="50:59" x14ac:dyDescent="0.2">
      <c r="AX3829" s="315"/>
      <c r="AY3829" s="326"/>
      <c r="AZ3829" s="175"/>
      <c r="BA3829" s="42"/>
      <c r="BB3829" s="426"/>
      <c r="BF3829" s="315"/>
      <c r="BG3829" s="42"/>
    </row>
    <row r="3830" spans="50:59" x14ac:dyDescent="0.2">
      <c r="AX3830" s="315"/>
      <c r="AY3830" s="326"/>
      <c r="AZ3830" s="175"/>
      <c r="BA3830" s="42"/>
      <c r="BB3830" s="426"/>
      <c r="BF3830" s="315"/>
      <c r="BG3830" s="42"/>
    </row>
    <row r="3831" spans="50:59" x14ac:dyDescent="0.2">
      <c r="AX3831" s="315"/>
      <c r="AY3831" s="326"/>
      <c r="AZ3831" s="175"/>
      <c r="BA3831" s="42"/>
      <c r="BB3831" s="426"/>
      <c r="BF3831" s="315"/>
      <c r="BG3831" s="42"/>
    </row>
    <row r="3832" spans="50:59" x14ac:dyDescent="0.2">
      <c r="AX3832" s="315"/>
      <c r="AY3832" s="326"/>
      <c r="AZ3832" s="175"/>
      <c r="BA3832" s="42"/>
      <c r="BB3832" s="426"/>
      <c r="BF3832" s="315"/>
      <c r="BG3832" s="42"/>
    </row>
    <row r="3833" spans="50:59" x14ac:dyDescent="0.2">
      <c r="AX3833" s="315"/>
      <c r="AY3833" s="326"/>
      <c r="AZ3833" s="175"/>
      <c r="BA3833" s="42"/>
      <c r="BB3833" s="426"/>
      <c r="BF3833" s="315"/>
      <c r="BG3833" s="42"/>
    </row>
    <row r="3834" spans="50:59" x14ac:dyDescent="0.2">
      <c r="AX3834" s="315"/>
      <c r="AY3834" s="326"/>
      <c r="AZ3834" s="175"/>
      <c r="BA3834" s="42"/>
      <c r="BB3834" s="426"/>
      <c r="BF3834" s="315"/>
      <c r="BG3834" s="42"/>
    </row>
    <row r="3835" spans="50:59" x14ac:dyDescent="0.2">
      <c r="AX3835" s="315"/>
      <c r="AY3835" s="326"/>
      <c r="AZ3835" s="175"/>
      <c r="BA3835" s="42"/>
      <c r="BB3835" s="426"/>
      <c r="BF3835" s="315"/>
      <c r="BG3835" s="42"/>
    </row>
    <row r="3836" spans="50:59" x14ac:dyDescent="0.2">
      <c r="AX3836" s="315"/>
      <c r="AY3836" s="326"/>
      <c r="AZ3836" s="175"/>
      <c r="BA3836" s="42"/>
      <c r="BB3836" s="426"/>
      <c r="BF3836" s="315"/>
      <c r="BG3836" s="42"/>
    </row>
    <row r="3837" spans="50:59" x14ac:dyDescent="0.2">
      <c r="AX3837" s="315"/>
      <c r="AY3837" s="326"/>
      <c r="AZ3837" s="175"/>
      <c r="BA3837" s="42"/>
      <c r="BB3837" s="426"/>
      <c r="BF3837" s="315"/>
      <c r="BG3837" s="42"/>
    </row>
    <row r="3838" spans="50:59" x14ac:dyDescent="0.2">
      <c r="AX3838" s="315"/>
      <c r="AY3838" s="326"/>
      <c r="AZ3838" s="175"/>
      <c r="BA3838" s="42"/>
      <c r="BB3838" s="426"/>
      <c r="BF3838" s="315"/>
      <c r="BG3838" s="42"/>
    </row>
    <row r="3839" spans="50:59" x14ac:dyDescent="0.2">
      <c r="AX3839" s="315"/>
      <c r="AY3839" s="326"/>
      <c r="AZ3839" s="175"/>
      <c r="BA3839" s="42"/>
      <c r="BB3839" s="426"/>
      <c r="BF3839" s="315"/>
      <c r="BG3839" s="42"/>
    </row>
    <row r="3840" spans="50:59" x14ac:dyDescent="0.2">
      <c r="AX3840" s="315"/>
      <c r="AY3840" s="326"/>
      <c r="AZ3840" s="175"/>
      <c r="BA3840" s="42"/>
      <c r="BB3840" s="426"/>
      <c r="BF3840" s="315"/>
      <c r="BG3840" s="42"/>
    </row>
    <row r="3841" spans="50:59" x14ac:dyDescent="0.2">
      <c r="AX3841" s="315"/>
      <c r="AY3841" s="326"/>
      <c r="AZ3841" s="175"/>
      <c r="BA3841" s="42"/>
      <c r="BB3841" s="426"/>
      <c r="BF3841" s="315"/>
      <c r="BG3841" s="42"/>
    </row>
    <row r="3842" spans="50:59" x14ac:dyDescent="0.2">
      <c r="AX3842" s="315"/>
      <c r="AY3842" s="326"/>
      <c r="AZ3842" s="175"/>
      <c r="BA3842" s="42"/>
      <c r="BB3842" s="426"/>
      <c r="BF3842" s="315"/>
      <c r="BG3842" s="42"/>
    </row>
    <row r="3843" spans="50:59" x14ac:dyDescent="0.2">
      <c r="AX3843" s="315"/>
      <c r="AY3843" s="326"/>
      <c r="AZ3843" s="175"/>
      <c r="BA3843" s="42"/>
      <c r="BB3843" s="426"/>
      <c r="BF3843" s="315"/>
      <c r="BG3843" s="42"/>
    </row>
    <row r="3844" spans="50:59" x14ac:dyDescent="0.2">
      <c r="AX3844" s="315"/>
      <c r="AY3844" s="326"/>
      <c r="AZ3844" s="175"/>
      <c r="BA3844" s="42"/>
      <c r="BB3844" s="426"/>
      <c r="BF3844" s="315"/>
      <c r="BG3844" s="42"/>
    </row>
    <row r="3845" spans="50:59" x14ac:dyDescent="0.2">
      <c r="AX3845" s="315"/>
      <c r="AY3845" s="326"/>
      <c r="AZ3845" s="175"/>
      <c r="BA3845" s="42"/>
      <c r="BB3845" s="426"/>
      <c r="BF3845" s="315"/>
      <c r="BG3845" s="42"/>
    </row>
    <row r="3846" spans="50:59" x14ac:dyDescent="0.2">
      <c r="AX3846" s="315"/>
      <c r="AY3846" s="326"/>
      <c r="AZ3846" s="175"/>
      <c r="BA3846" s="42"/>
      <c r="BB3846" s="426"/>
      <c r="BF3846" s="315"/>
      <c r="BG3846" s="42"/>
    </row>
    <row r="3847" spans="50:59" x14ac:dyDescent="0.2">
      <c r="AX3847" s="315"/>
      <c r="AY3847" s="326"/>
      <c r="AZ3847" s="175"/>
      <c r="BA3847" s="42"/>
      <c r="BB3847" s="426"/>
      <c r="BF3847" s="315"/>
      <c r="BG3847" s="42"/>
    </row>
    <row r="3848" spans="50:59" x14ac:dyDescent="0.2">
      <c r="AX3848" s="315"/>
      <c r="AY3848" s="326"/>
      <c r="AZ3848" s="175"/>
      <c r="BA3848" s="42"/>
      <c r="BB3848" s="426"/>
      <c r="BF3848" s="315"/>
      <c r="BG3848" s="42"/>
    </row>
    <row r="3849" spans="50:59" x14ac:dyDescent="0.2">
      <c r="AX3849" s="315"/>
      <c r="AY3849" s="326"/>
      <c r="AZ3849" s="175"/>
      <c r="BA3849" s="42"/>
      <c r="BB3849" s="426"/>
      <c r="BF3849" s="315"/>
      <c r="BG3849" s="42"/>
    </row>
    <row r="3850" spans="50:59" x14ac:dyDescent="0.2">
      <c r="AX3850" s="315"/>
      <c r="AY3850" s="326"/>
      <c r="AZ3850" s="175"/>
      <c r="BA3850" s="42"/>
      <c r="BB3850" s="426"/>
      <c r="BF3850" s="315"/>
      <c r="BG3850" s="42"/>
    </row>
    <row r="3851" spans="50:59" x14ac:dyDescent="0.2">
      <c r="AX3851" s="315"/>
      <c r="AY3851" s="326"/>
      <c r="AZ3851" s="175"/>
      <c r="BA3851" s="42"/>
      <c r="BB3851" s="426"/>
      <c r="BF3851" s="315"/>
      <c r="BG3851" s="42"/>
    </row>
    <row r="3852" spans="50:59" x14ac:dyDescent="0.2">
      <c r="AX3852" s="315"/>
      <c r="AY3852" s="326"/>
      <c r="AZ3852" s="175"/>
      <c r="BA3852" s="42"/>
      <c r="BB3852" s="426"/>
      <c r="BF3852" s="315"/>
      <c r="BG3852" s="42"/>
    </row>
    <row r="3853" spans="50:59" x14ac:dyDescent="0.2">
      <c r="AX3853" s="315"/>
      <c r="AY3853" s="326"/>
      <c r="AZ3853" s="175"/>
      <c r="BA3853" s="42"/>
      <c r="BB3853" s="426"/>
      <c r="BF3853" s="315"/>
      <c r="BG3853" s="42"/>
    </row>
    <row r="3854" spans="50:59" x14ac:dyDescent="0.2">
      <c r="AX3854" s="315"/>
      <c r="AY3854" s="326"/>
      <c r="AZ3854" s="175"/>
      <c r="BA3854" s="42"/>
      <c r="BB3854" s="426"/>
      <c r="BF3854" s="315"/>
      <c r="BG3854" s="42"/>
    </row>
    <row r="3855" spans="50:59" x14ac:dyDescent="0.2">
      <c r="AX3855" s="315"/>
      <c r="AY3855" s="326"/>
      <c r="AZ3855" s="175"/>
      <c r="BA3855" s="42"/>
      <c r="BB3855" s="426"/>
      <c r="BF3855" s="315"/>
      <c r="BG3855" s="42"/>
    </row>
    <row r="3856" spans="50:59" x14ac:dyDescent="0.2">
      <c r="AX3856" s="315"/>
      <c r="AY3856" s="326"/>
      <c r="AZ3856" s="175"/>
      <c r="BA3856" s="42"/>
      <c r="BB3856" s="426"/>
      <c r="BF3856" s="315"/>
      <c r="BG3856" s="42"/>
    </row>
    <row r="3857" spans="50:59" x14ac:dyDescent="0.2">
      <c r="AX3857" s="315"/>
      <c r="AY3857" s="326"/>
      <c r="AZ3857" s="175"/>
      <c r="BA3857" s="42"/>
      <c r="BB3857" s="426"/>
      <c r="BF3857" s="315"/>
      <c r="BG3857" s="42"/>
    </row>
    <row r="3858" spans="50:59" x14ac:dyDescent="0.2">
      <c r="AX3858" s="315"/>
      <c r="AY3858" s="326"/>
      <c r="AZ3858" s="175"/>
      <c r="BA3858" s="42"/>
      <c r="BB3858" s="426"/>
      <c r="BF3858" s="315"/>
      <c r="BG3858" s="42"/>
    </row>
    <row r="3859" spans="50:59" x14ac:dyDescent="0.2">
      <c r="AX3859" s="315"/>
      <c r="AY3859" s="326"/>
      <c r="AZ3859" s="175"/>
      <c r="BA3859" s="42"/>
      <c r="BB3859" s="426"/>
      <c r="BF3859" s="315"/>
      <c r="BG3859" s="42"/>
    </row>
    <row r="3860" spans="50:59" x14ac:dyDescent="0.2">
      <c r="AX3860" s="315"/>
      <c r="AY3860" s="326"/>
      <c r="AZ3860" s="175"/>
      <c r="BA3860" s="42"/>
      <c r="BB3860" s="426"/>
      <c r="BF3860" s="315"/>
      <c r="BG3860" s="42"/>
    </row>
    <row r="3861" spans="50:59" x14ac:dyDescent="0.2">
      <c r="AX3861" s="315"/>
      <c r="AY3861" s="326"/>
      <c r="AZ3861" s="175"/>
      <c r="BA3861" s="42"/>
      <c r="BB3861" s="426"/>
      <c r="BF3861" s="315"/>
      <c r="BG3861" s="42"/>
    </row>
    <row r="3862" spans="50:59" x14ac:dyDescent="0.2">
      <c r="AX3862" s="315"/>
      <c r="AY3862" s="326"/>
      <c r="AZ3862" s="175"/>
      <c r="BA3862" s="42"/>
      <c r="BB3862" s="426"/>
      <c r="BF3862" s="315"/>
      <c r="BG3862" s="42"/>
    </row>
    <row r="3863" spans="50:59" x14ac:dyDescent="0.2">
      <c r="AX3863" s="315"/>
      <c r="AY3863" s="326"/>
      <c r="AZ3863" s="175"/>
      <c r="BA3863" s="42"/>
      <c r="BB3863" s="426"/>
      <c r="BF3863" s="315"/>
      <c r="BG3863" s="42"/>
    </row>
    <row r="3864" spans="50:59" x14ac:dyDescent="0.2">
      <c r="AX3864" s="315"/>
      <c r="AY3864" s="326"/>
      <c r="AZ3864" s="175"/>
      <c r="BA3864" s="42"/>
      <c r="BB3864" s="426"/>
      <c r="BF3864" s="315"/>
      <c r="BG3864" s="42"/>
    </row>
    <row r="3865" spans="50:59" x14ac:dyDescent="0.2">
      <c r="AX3865" s="315"/>
      <c r="AY3865" s="326"/>
      <c r="AZ3865" s="175"/>
      <c r="BA3865" s="42"/>
      <c r="BB3865" s="426"/>
      <c r="BF3865" s="315"/>
      <c r="BG3865" s="42"/>
    </row>
    <row r="3866" spans="50:59" x14ac:dyDescent="0.2">
      <c r="AX3866" s="315"/>
      <c r="AY3866" s="326"/>
      <c r="AZ3866" s="175"/>
      <c r="BA3866" s="42"/>
      <c r="BB3866" s="426"/>
      <c r="BF3866" s="315"/>
      <c r="BG3866" s="42"/>
    </row>
    <row r="3867" spans="50:59" x14ac:dyDescent="0.2">
      <c r="AX3867" s="315"/>
      <c r="AY3867" s="326"/>
      <c r="AZ3867" s="175"/>
      <c r="BA3867" s="42"/>
      <c r="BB3867" s="426"/>
      <c r="BF3867" s="315"/>
      <c r="BG3867" s="42"/>
    </row>
    <row r="3868" spans="50:59" x14ac:dyDescent="0.2">
      <c r="AX3868" s="315"/>
      <c r="AY3868" s="326"/>
      <c r="AZ3868" s="175"/>
      <c r="BA3868" s="42"/>
      <c r="BB3868" s="426"/>
      <c r="BF3868" s="315"/>
      <c r="BG3868" s="42"/>
    </row>
    <row r="3869" spans="50:59" x14ac:dyDescent="0.2">
      <c r="AX3869" s="315"/>
      <c r="AY3869" s="326"/>
      <c r="AZ3869" s="175"/>
      <c r="BA3869" s="42"/>
      <c r="BB3869" s="426"/>
      <c r="BF3869" s="315"/>
      <c r="BG3869" s="42"/>
    </row>
    <row r="3870" spans="50:59" x14ac:dyDescent="0.2">
      <c r="AX3870" s="315"/>
      <c r="AY3870" s="326"/>
      <c r="AZ3870" s="175"/>
      <c r="BA3870" s="42"/>
      <c r="BB3870" s="426"/>
      <c r="BF3870" s="315"/>
      <c r="BG3870" s="42"/>
    </row>
    <row r="3871" spans="50:59" x14ac:dyDescent="0.2">
      <c r="AX3871" s="315"/>
      <c r="AY3871" s="326"/>
      <c r="AZ3871" s="175"/>
      <c r="BA3871" s="42"/>
      <c r="BB3871" s="426"/>
      <c r="BF3871" s="315"/>
      <c r="BG3871" s="42"/>
    </row>
    <row r="3872" spans="50:59" x14ac:dyDescent="0.2">
      <c r="AX3872" s="315"/>
      <c r="AY3872" s="326"/>
      <c r="AZ3872" s="175"/>
      <c r="BA3872" s="42"/>
      <c r="BB3872" s="426"/>
      <c r="BF3872" s="315"/>
      <c r="BG3872" s="42"/>
    </row>
    <row r="3873" spans="50:59" x14ac:dyDescent="0.2">
      <c r="AX3873" s="315"/>
      <c r="AY3873" s="326"/>
      <c r="AZ3873" s="175"/>
      <c r="BA3873" s="42"/>
      <c r="BB3873" s="426"/>
      <c r="BF3873" s="315"/>
      <c r="BG3873" s="42"/>
    </row>
    <row r="3874" spans="50:59" x14ac:dyDescent="0.2">
      <c r="AX3874" s="315"/>
      <c r="AY3874" s="326"/>
      <c r="AZ3874" s="175"/>
      <c r="BA3874" s="42"/>
      <c r="BB3874" s="426"/>
      <c r="BF3874" s="315"/>
      <c r="BG3874" s="42"/>
    </row>
    <row r="3875" spans="50:59" x14ac:dyDescent="0.2">
      <c r="AX3875" s="315"/>
      <c r="AY3875" s="326"/>
      <c r="AZ3875" s="175"/>
      <c r="BA3875" s="42"/>
      <c r="BB3875" s="426"/>
      <c r="BF3875" s="315"/>
      <c r="BG3875" s="42"/>
    </row>
    <row r="3876" spans="50:59" x14ac:dyDescent="0.2">
      <c r="AX3876" s="315"/>
      <c r="AY3876" s="326"/>
      <c r="AZ3876" s="175"/>
      <c r="BA3876" s="42"/>
      <c r="BB3876" s="426"/>
      <c r="BF3876" s="315"/>
      <c r="BG3876" s="42"/>
    </row>
  </sheetData>
  <mergeCells count="1">
    <mergeCell ref="A2:B3"/>
  </mergeCells>
  <conditionalFormatting sqref="O1:O1048576">
    <cfRule type="expression" dxfId="147" priority="11">
      <formula>AND($N1&lt;&gt;$O1,ISNUMBER($O1))</formula>
    </cfRule>
  </conditionalFormatting>
  <conditionalFormatting sqref="F1:BG1048576">
    <cfRule type="expression" dxfId="146" priority="2">
      <formula>AND(ISNUMBER(F1),F1&lt;0)</formula>
    </cfRule>
  </conditionalFormatting>
  <conditionalFormatting sqref="F1:F1048576 AK1:AL1048576 AR1:AS1048576 AV1:AV1048576 AX1:AX1048576 AZ1:AZ1048576 BC1:BC1048576 BF1:BF1048576">
    <cfRule type="expression" dxfId="145" priority="1">
      <formula>$C1="&lt;01"</formula>
    </cfRule>
  </conditionalFormatting>
  <conditionalFormatting sqref="AP1:AQ1048576 BB1:BB1048576 BE1:BE1048576 S1:AL1048576">
    <cfRule type="expression" dxfId="144" priority="4">
      <formula>AND(ROW($S1)&gt;14,$E1&lt;&gt;"",LEFT($B1,4)="_Mil")</formula>
    </cfRule>
  </conditionalFormatting>
  <conditionalFormatting sqref="AM1:AM1048576">
    <cfRule type="expression" dxfId="143" priority="7">
      <formula>AND(ROW($AM1)&gt;14,$E1&lt;&gt;"",$C1&lt;&gt;"&lt;01")</formula>
    </cfRule>
  </conditionalFormatting>
  <conditionalFormatting sqref="W1:W1048576 Y1:Y1048576 AB1:AB1048576 AE1:AE1048576 AG1:AH1048576 AR1:AS1048576 AV1:AV1048576 AX1:AX1048576 AZ1:AZ1048576 BC1:BC1048576 BF1:BF1048576">
    <cfRule type="expression" dxfId="142" priority="3">
      <formula>AND(ISNUMBER(W1),W1&gt;1)</formula>
    </cfRule>
  </conditionalFormatting>
  <conditionalFormatting sqref="AA1:AA1048576 AK1:AK1048576 AQ1:AQ1048576">
    <cfRule type="expression" dxfId="141" priority="9">
      <formula>AND(ISNUMBER(AA1),AA1&gt;1)</formula>
    </cfRule>
    <cfRule type="expression" dxfId="140" priority="12">
      <formula>AND(ISNUMBER(AA1),AA1&lt;0.9)</formula>
    </cfRule>
  </conditionalFormatting>
  <conditionalFormatting sqref="Y1:Y1048576 AB1:AB1048576 AE1:AE1048576 AG1:AG1048576 AZ1:AZ1048576 BC1:BC1048576 BF1:BF1048576">
    <cfRule type="expression" dxfId="139" priority="10">
      <formula>AND(ISNUMBER(Y1),Y1&lt;0.95)</formula>
    </cfRule>
  </conditionalFormatting>
  <conditionalFormatting sqref="AR1:AS1048576">
    <cfRule type="expression" dxfId="138" priority="8">
      <formula>AND(ISNUMBER(AR1),AR1&lt;0.98)</formula>
    </cfRule>
  </conditionalFormatting>
  <conditionalFormatting sqref="AV1:AV1048576">
    <cfRule type="expression" dxfId="137" priority="6">
      <formula>AND(ISNUMBER(AV1),AV1&lt;1)</formula>
    </cfRule>
  </conditionalFormatting>
  <conditionalFormatting sqref="AX1:AX1048576">
    <cfRule type="expression" dxfId="136" priority="5">
      <formula>AND(ISNUMBER(AX1),AX1&lt;0.7)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activeCell="E1" sqref="E1"/>
      <selection pane="bottomLeft" activeCell="A15" sqref="A15"/>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300" t="s">
        <v>288</v>
      </c>
      <c r="B1" s="4"/>
      <c r="C1" s="1"/>
      <c r="D1" s="1"/>
      <c r="E1" s="215" t="s">
        <v>29</v>
      </c>
      <c r="F1" s="181"/>
      <c r="G1" s="230"/>
      <c r="H1" s="215" t="s">
        <v>531</v>
      </c>
      <c r="I1" s="181"/>
      <c r="J1" s="215" t="s">
        <v>21</v>
      </c>
      <c r="K1" s="181"/>
      <c r="L1" s="215" t="s">
        <v>19</v>
      </c>
      <c r="M1" s="187"/>
      <c r="N1" s="215" t="s">
        <v>0</v>
      </c>
      <c r="O1" s="183"/>
      <c r="P1" s="183"/>
      <c r="Q1" s="181"/>
      <c r="R1" s="180"/>
      <c r="S1" s="180"/>
      <c r="T1" s="215" t="s">
        <v>1</v>
      </c>
      <c r="U1" s="185"/>
      <c r="V1" s="185"/>
      <c r="W1" s="180"/>
      <c r="X1" s="180"/>
      <c r="Y1" s="229"/>
      <c r="Z1" s="181"/>
      <c r="AA1" s="214" t="s">
        <v>36</v>
      </c>
      <c r="AB1" s="179"/>
      <c r="AC1" s="185"/>
      <c r="AD1" s="181"/>
      <c r="AE1" s="214" t="s">
        <v>35</v>
      </c>
      <c r="AF1" s="181"/>
      <c r="AG1" s="215" t="s">
        <v>147</v>
      </c>
      <c r="AH1" s="180"/>
      <c r="AI1" s="184"/>
      <c r="AJ1" s="184"/>
      <c r="AK1" s="181"/>
      <c r="AL1" s="181"/>
      <c r="AM1" s="214" t="s">
        <v>139</v>
      </c>
      <c r="AN1" s="181"/>
      <c r="AO1" s="215" t="s">
        <v>145</v>
      </c>
      <c r="AP1" s="181"/>
    </row>
    <row r="2" spans="1:42" s="21" customFormat="1" ht="19" x14ac:dyDescent="0.25">
      <c r="A2" s="13"/>
      <c r="B2" s="2"/>
      <c r="C2" s="2"/>
      <c r="D2" s="2"/>
      <c r="E2" s="265" t="s">
        <v>774</v>
      </c>
      <c r="F2" s="264" t="s">
        <v>774</v>
      </c>
      <c r="G2" s="274" t="s">
        <v>774</v>
      </c>
      <c r="H2" s="50"/>
      <c r="I2" s="264" t="s">
        <v>774</v>
      </c>
      <c r="J2" s="52"/>
      <c r="K2" s="264" t="s">
        <v>774</v>
      </c>
      <c r="L2" s="52"/>
      <c r="M2" s="258" t="s">
        <v>774</v>
      </c>
      <c r="N2" s="52"/>
      <c r="O2" s="46"/>
      <c r="P2" s="46"/>
      <c r="Q2" s="264" t="s">
        <v>774</v>
      </c>
      <c r="R2" s="408"/>
      <c r="S2" s="408"/>
      <c r="T2" s="52"/>
      <c r="U2" s="3"/>
      <c r="V2" s="3"/>
      <c r="W2" s="259"/>
      <c r="X2" s="259"/>
      <c r="Y2" s="121"/>
      <c r="Z2" s="264" t="s">
        <v>774</v>
      </c>
      <c r="AA2" s="120"/>
      <c r="AB2" s="55"/>
      <c r="AC2" s="3"/>
      <c r="AD2" s="264" t="s">
        <v>774</v>
      </c>
      <c r="AE2" s="120"/>
      <c r="AF2" s="264" t="s">
        <v>774</v>
      </c>
      <c r="AG2" s="50"/>
      <c r="AH2" s="34"/>
      <c r="AI2" s="3"/>
      <c r="AJ2" s="3"/>
      <c r="AK2" s="264" t="s">
        <v>774</v>
      </c>
      <c r="AL2" s="264" t="s">
        <v>774</v>
      </c>
      <c r="AM2" s="120"/>
      <c r="AN2" s="264" t="s">
        <v>774</v>
      </c>
      <c r="AO2" s="50"/>
      <c r="AP2" s="264" t="s">
        <v>774</v>
      </c>
    </row>
    <row r="3" spans="1:42" s="25" customFormat="1" ht="117" customHeight="1" x14ac:dyDescent="0.2">
      <c r="A3"/>
      <c r="B3"/>
      <c r="C3"/>
      <c r="D3" s="26"/>
      <c r="E3" s="266" t="s">
        <v>1145</v>
      </c>
      <c r="F3" s="257" t="s">
        <v>1146</v>
      </c>
      <c r="G3" s="275" t="s">
        <v>1147</v>
      </c>
      <c r="H3" s="72" t="s">
        <v>866</v>
      </c>
      <c r="I3" s="257" t="s">
        <v>675</v>
      </c>
      <c r="J3" s="112" t="s">
        <v>688</v>
      </c>
      <c r="K3" s="257" t="s">
        <v>676</v>
      </c>
      <c r="L3" s="105" t="s">
        <v>689</v>
      </c>
      <c r="M3" s="261" t="s">
        <v>677</v>
      </c>
      <c r="N3" s="105" t="s">
        <v>693</v>
      </c>
      <c r="O3" s="74" t="s">
        <v>690</v>
      </c>
      <c r="P3" s="201" t="s">
        <v>863</v>
      </c>
      <c r="Q3" s="257" t="s">
        <v>678</v>
      </c>
      <c r="R3" s="244" t="s">
        <v>1198</v>
      </c>
      <c r="S3" s="68" t="s">
        <v>1197</v>
      </c>
      <c r="T3" s="105" t="s">
        <v>691</v>
      </c>
      <c r="U3" s="202" t="s">
        <v>623</v>
      </c>
      <c r="V3" s="202" t="s">
        <v>622</v>
      </c>
      <c r="W3" s="74" t="s">
        <v>679</v>
      </c>
      <c r="X3" s="74" t="s">
        <v>621</v>
      </c>
      <c r="Y3" s="333" t="s">
        <v>620</v>
      </c>
      <c r="Z3" s="30" t="s">
        <v>680</v>
      </c>
      <c r="AA3" s="363" t="s">
        <v>624</v>
      </c>
      <c r="AB3" s="361" t="s">
        <v>625</v>
      </c>
      <c r="AC3" s="364" t="s">
        <v>626</v>
      </c>
      <c r="AD3" s="30" t="s">
        <v>681</v>
      </c>
      <c r="AE3" s="363" t="s">
        <v>589</v>
      </c>
      <c r="AF3" s="30" t="s">
        <v>682</v>
      </c>
      <c r="AG3" s="72" t="s">
        <v>861</v>
      </c>
      <c r="AH3" s="68" t="s">
        <v>862</v>
      </c>
      <c r="AI3" s="202" t="s">
        <v>655</v>
      </c>
      <c r="AJ3" s="202" t="s">
        <v>683</v>
      </c>
      <c r="AK3" s="30" t="s">
        <v>684</v>
      </c>
      <c r="AL3" s="257" t="s">
        <v>685</v>
      </c>
      <c r="AM3" s="247" t="s">
        <v>864</v>
      </c>
      <c r="AN3" s="30" t="s">
        <v>686</v>
      </c>
      <c r="AO3" s="72" t="s">
        <v>692</v>
      </c>
      <c r="AP3" s="257" t="s">
        <v>687</v>
      </c>
    </row>
    <row r="4" spans="1:42" s="25" customFormat="1" x14ac:dyDescent="0.2">
      <c r="A4" s="304"/>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5" t="str">
        <f>IF($X$4=0,"",$Z$4/$X$4)</f>
        <v/>
      </c>
      <c r="Z4" s="32">
        <f>SUBTOTAL(109,Z$15:INDEX(Z:Z,COUNTA($B:$B)+14-COUNTA($B$1:$B$14)))</f>
        <v>0</v>
      </c>
      <c r="AA4" s="162" t="str">
        <f>IF($X$4=0,"",$AB$4/$X$4)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90" t="s">
        <v>117</v>
      </c>
      <c r="F8" s="273" t="s">
        <v>175</v>
      </c>
      <c r="G8" s="291" t="s">
        <v>176</v>
      </c>
      <c r="H8" s="279" t="s">
        <v>568</v>
      </c>
      <c r="I8" s="273" t="s">
        <v>568</v>
      </c>
      <c r="J8" s="280" t="s">
        <v>127</v>
      </c>
      <c r="K8" s="273" t="s">
        <v>127</v>
      </c>
      <c r="L8" s="280" t="s">
        <v>118</v>
      </c>
      <c r="M8" s="281" t="s">
        <v>118</v>
      </c>
      <c r="N8" s="293" t="s">
        <v>516</v>
      </c>
      <c r="O8" s="282" t="s">
        <v>153</v>
      </c>
      <c r="P8" s="104"/>
      <c r="Q8" s="273" t="s">
        <v>153</v>
      </c>
      <c r="R8" s="36"/>
      <c r="S8" s="36"/>
      <c r="T8" s="280" t="s">
        <v>125</v>
      </c>
      <c r="U8" s="166"/>
      <c r="V8" s="166"/>
      <c r="W8" s="36"/>
      <c r="X8" s="36"/>
      <c r="Y8" s="366"/>
      <c r="Z8" s="273" t="s">
        <v>125</v>
      </c>
      <c r="AA8" s="362"/>
      <c r="AB8" s="137"/>
      <c r="AC8" s="166"/>
      <c r="AD8" s="273" t="s">
        <v>150</v>
      </c>
      <c r="AE8" s="362"/>
      <c r="AF8" s="273" t="s">
        <v>149</v>
      </c>
      <c r="AG8" s="279" t="s">
        <v>123</v>
      </c>
      <c r="AH8" s="277" t="s">
        <v>123</v>
      </c>
      <c r="AI8" s="166"/>
      <c r="AJ8" s="166"/>
      <c r="AK8" s="273" t="s">
        <v>123</v>
      </c>
      <c r="AL8" s="273" t="s">
        <v>123</v>
      </c>
      <c r="AM8" s="362"/>
      <c r="AN8" s="273" t="s">
        <v>146</v>
      </c>
      <c r="AO8" s="283" t="s">
        <v>164</v>
      </c>
      <c r="AP8" s="273" t="s">
        <v>164</v>
      </c>
    </row>
    <row r="9" spans="1:42" s="25" customFormat="1" x14ac:dyDescent="0.2">
      <c r="B9" s="28"/>
      <c r="C9" s="28"/>
      <c r="D9" s="28"/>
      <c r="E9" s="290"/>
      <c r="F9" s="273"/>
      <c r="G9" s="291"/>
      <c r="H9" s="279" t="s">
        <v>569</v>
      </c>
      <c r="I9" s="273" t="s">
        <v>569</v>
      </c>
      <c r="J9" s="280" t="s">
        <v>128</v>
      </c>
      <c r="K9" s="273" t="s">
        <v>128</v>
      </c>
      <c r="L9" s="280" t="s">
        <v>119</v>
      </c>
      <c r="M9" s="281" t="s">
        <v>119</v>
      </c>
      <c r="N9" s="293" t="s">
        <v>517</v>
      </c>
      <c r="O9" s="282" t="s">
        <v>154</v>
      </c>
      <c r="P9" s="104"/>
      <c r="Q9" s="273" t="s">
        <v>154</v>
      </c>
      <c r="R9" s="36"/>
      <c r="S9" s="36"/>
      <c r="T9" s="280" t="s">
        <v>126</v>
      </c>
      <c r="U9" s="166"/>
      <c r="V9" s="166"/>
      <c r="W9" s="36"/>
      <c r="X9" s="36"/>
      <c r="Y9" s="366"/>
      <c r="Z9" s="273" t="s">
        <v>126</v>
      </c>
      <c r="AA9" s="362"/>
      <c r="AB9" s="137"/>
      <c r="AC9" s="166"/>
      <c r="AD9" s="273" t="s">
        <v>151</v>
      </c>
      <c r="AE9" s="362"/>
      <c r="AF9" s="273" t="s">
        <v>148</v>
      </c>
      <c r="AG9" s="279" t="s">
        <v>124</v>
      </c>
      <c r="AH9" s="277" t="s">
        <v>124</v>
      </c>
      <c r="AI9" s="166"/>
      <c r="AJ9" s="166"/>
      <c r="AK9" s="273" t="s">
        <v>124</v>
      </c>
      <c r="AL9" s="273" t="s">
        <v>124</v>
      </c>
      <c r="AM9" s="362"/>
      <c r="AN9" s="273" t="s">
        <v>178</v>
      </c>
      <c r="AO9" s="283" t="s">
        <v>163</v>
      </c>
      <c r="AP9" s="273" t="s">
        <v>163</v>
      </c>
    </row>
    <row r="10" spans="1:42" s="25" customFormat="1" x14ac:dyDescent="0.2">
      <c r="B10" s="28"/>
      <c r="C10" s="28"/>
      <c r="D10" s="28"/>
      <c r="E10" s="290"/>
      <c r="F10" s="273" t="s">
        <v>65</v>
      </c>
      <c r="G10" s="291" t="s">
        <v>65</v>
      </c>
      <c r="H10" s="279"/>
      <c r="I10" s="273"/>
      <c r="J10" s="280"/>
      <c r="K10" s="273"/>
      <c r="L10" s="280"/>
      <c r="M10" s="281"/>
      <c r="N10" s="293" t="s">
        <v>65</v>
      </c>
      <c r="O10" s="282" t="s">
        <v>65</v>
      </c>
      <c r="P10" s="104"/>
      <c r="Q10" s="273" t="s">
        <v>65</v>
      </c>
      <c r="R10" s="36"/>
      <c r="S10" s="36"/>
      <c r="T10" s="280" t="s">
        <v>65</v>
      </c>
      <c r="U10" s="166"/>
      <c r="V10" s="166"/>
      <c r="W10" s="36"/>
      <c r="X10" s="36"/>
      <c r="Y10" s="366"/>
      <c r="Z10" s="273" t="s">
        <v>65</v>
      </c>
      <c r="AA10" s="362"/>
      <c r="AB10" s="137"/>
      <c r="AC10" s="166"/>
      <c r="AD10" s="273" t="s">
        <v>65</v>
      </c>
      <c r="AE10" s="362"/>
      <c r="AF10" s="273" t="s">
        <v>65</v>
      </c>
      <c r="AG10" s="279" t="s">
        <v>65</v>
      </c>
      <c r="AH10" s="277" t="s">
        <v>82</v>
      </c>
      <c r="AI10" s="166"/>
      <c r="AJ10" s="166"/>
      <c r="AK10" s="273" t="s">
        <v>65</v>
      </c>
      <c r="AL10" s="273" t="s">
        <v>82</v>
      </c>
      <c r="AM10" s="362"/>
      <c r="AN10" s="273" t="s">
        <v>65</v>
      </c>
      <c r="AO10" s="283"/>
      <c r="AP10" s="273"/>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9" t="s">
        <v>44</v>
      </c>
      <c r="B14" s="207" t="s">
        <v>3</v>
      </c>
      <c r="C14" s="207" t="s">
        <v>45</v>
      </c>
      <c r="D14" s="207" t="s">
        <v>47</v>
      </c>
      <c r="E14" s="238" t="s">
        <v>1064</v>
      </c>
      <c r="F14" s="217" t="s">
        <v>1065</v>
      </c>
      <c r="G14" s="239" t="s">
        <v>1066</v>
      </c>
      <c r="H14" s="218" t="s">
        <v>865</v>
      </c>
      <c r="I14" s="217" t="s">
        <v>533</v>
      </c>
      <c r="J14" s="218" t="s">
        <v>273</v>
      </c>
      <c r="K14" s="217" t="s">
        <v>274</v>
      </c>
      <c r="L14" s="218" t="s">
        <v>259</v>
      </c>
      <c r="M14" s="217" t="s">
        <v>260</v>
      </c>
      <c r="N14" s="218" t="s">
        <v>390</v>
      </c>
      <c r="O14" s="194" t="s">
        <v>391</v>
      </c>
      <c r="P14" s="194" t="s">
        <v>867</v>
      </c>
      <c r="Q14" s="217" t="s">
        <v>269</v>
      </c>
      <c r="R14" s="194" t="s">
        <v>1195</v>
      </c>
      <c r="S14" s="194" t="s">
        <v>1196</v>
      </c>
      <c r="T14" s="218" t="s">
        <v>267</v>
      </c>
      <c r="U14" s="195" t="s">
        <v>394</v>
      </c>
      <c r="V14" s="195" t="s">
        <v>393</v>
      </c>
      <c r="W14" s="194" t="s">
        <v>392</v>
      </c>
      <c r="X14" s="194" t="s">
        <v>868</v>
      </c>
      <c r="Y14" s="196" t="s">
        <v>869</v>
      </c>
      <c r="Z14" s="217" t="s">
        <v>268</v>
      </c>
      <c r="AA14" s="223" t="s">
        <v>645</v>
      </c>
      <c r="AB14" s="191" t="s">
        <v>646</v>
      </c>
      <c r="AC14" s="195" t="s">
        <v>870</v>
      </c>
      <c r="AD14" s="217" t="s">
        <v>270</v>
      </c>
      <c r="AE14" s="223" t="s">
        <v>271</v>
      </c>
      <c r="AF14" s="217" t="s">
        <v>272</v>
      </c>
      <c r="AG14" s="218" t="s">
        <v>498</v>
      </c>
      <c r="AH14" s="194" t="s">
        <v>499</v>
      </c>
      <c r="AI14" s="195" t="s">
        <v>395</v>
      </c>
      <c r="AJ14" s="195" t="s">
        <v>396</v>
      </c>
      <c r="AK14" s="217" t="s">
        <v>263</v>
      </c>
      <c r="AL14" s="217" t="s">
        <v>264</v>
      </c>
      <c r="AM14" s="223" t="s">
        <v>871</v>
      </c>
      <c r="AN14" s="217" t="s">
        <v>265</v>
      </c>
      <c r="AO14" s="218" t="s">
        <v>389</v>
      </c>
      <c r="AP14" s="217" t="s">
        <v>266</v>
      </c>
    </row>
    <row r="15" spans="1:42" x14ac:dyDescent="0.2">
      <c r="A15" s="302"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8">
        <v>0.7</v>
      </c>
      <c r="AB15" s="146" t="str">
        <f>IFERROR(1/(1/ROUND($P15+(SUM($X15)*$AA15),0)),"")</f>
        <v/>
      </c>
      <c r="AC15" s="336">
        <v>0.95</v>
      </c>
      <c r="AD15" s="33" t="str">
        <f>IF(SUM($AB15)=0,"",ROUND($AB15*$AC15,0))</f>
        <v/>
      </c>
      <c r="AE15" s="338">
        <v>0.95</v>
      </c>
      <c r="AF15" s="33" t="str">
        <f>IF(SUM($AD15)=0,"",ROUND($AD15*$AE15,0))</f>
        <v/>
      </c>
      <c r="AI15" s="11">
        <v>0.95</v>
      </c>
      <c r="AJ15" s="11"/>
      <c r="AK15" s="33" t="str">
        <f>IF(SUM($Z15)=0,"",IF(AND(SUM($Z15)&gt;0,$AI15=""),"ENTER LINKAGE RATE",ROUND($Z15/$AI15,0)))</f>
        <v/>
      </c>
      <c r="AL15" s="33" t="str">
        <f>IF(SUM($AK15)=0,"",IF(AND($AK15&gt;0,$AJ15=""),"ENTER YIELD RATE",ROUND($AK15/$AJ15-$AK15,0)))</f>
        <v/>
      </c>
      <c r="AM15" s="81">
        <v>1</v>
      </c>
      <c r="AN15" s="33" t="str">
        <f>IF(SUM($AK15)=0,"",ROUND($AK15*$AM15,0))</f>
        <v/>
      </c>
    </row>
  </sheetData>
  <conditionalFormatting sqref="AC1:AC1048576 AE1:AE1048576 AI1:AI1048576">
    <cfRule type="expression" dxfId="135" priority="3836">
      <formula>AND(ISNUMBER(AC1),SUM(AC1)&lt;95%)</formula>
    </cfRule>
  </conditionalFormatting>
  <conditionalFormatting sqref="E1:G1048576">
    <cfRule type="expression" dxfId="134" priority="2">
      <formula>LEFT($B1,4)="_Mil"</formula>
    </cfRule>
  </conditionalFormatting>
  <conditionalFormatting sqref="AA1:AA1048576">
    <cfRule type="expression" dxfId="133" priority="34">
      <formula>AND(ISNUMBER($AA1),ROUND(SUM($X1),0)&gt;0,ROUND(SUM($AA1),2)&lt;70%)</formula>
    </cfRule>
  </conditionalFormatting>
  <conditionalFormatting sqref="V1:V1048576">
    <cfRule type="expression" dxfId="132" priority="19">
      <formula>AND(ISNUMBER($V1),SUM($V1)&lt;98%)</formula>
    </cfRule>
  </conditionalFormatting>
  <conditionalFormatting sqref="E1:AP1048576">
    <cfRule type="expression" dxfId="131" priority="3">
      <formula>AND(ISNUMBER(E1),E1&lt;0)</formula>
    </cfRule>
  </conditionalFormatting>
  <conditionalFormatting sqref="G1:G1048576 U1:V1048576 Y1:Y1048576 AA1:AA1048576 AC1:AC1048576 AE1:AE1048576 AI1:AJ1048576 AM1:AM1048576">
    <cfRule type="expression" dxfId="130" priority="4">
      <formula>AND(ISNUMBER(G1),G1&gt;1)</formula>
    </cfRule>
  </conditionalFormatting>
  <conditionalFormatting sqref="Y1:Y1048576 AM1:AM1048576">
    <cfRule type="expression" dxfId="129" priority="32">
      <formula>AND(ISNUMBER(Y1),SUM(Y1)&lt;100%)</formula>
    </cfRule>
  </conditionalFormatting>
  <conditionalFormatting sqref="U1:U1048576">
    <cfRule type="expression" dxfId="128" priority="13">
      <formula>AND(ISNUMBER($U1),SUM($U1)&lt;98%)</formula>
    </cfRule>
  </conditionalFormatting>
  <conditionalFormatting sqref="AI1:AI1048576">
    <cfRule type="expression" dxfId="127" priority="10">
      <formula>AND(ROW($AI1)&gt;14,$AK1="ENTER LINKAGE RATE")</formula>
    </cfRule>
  </conditionalFormatting>
  <conditionalFormatting sqref="AJ1:AJ1048576">
    <cfRule type="expression" dxfId="126"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DX58"/>
  <sheetViews>
    <sheetView zoomScaleNormal="100" workbookViewId="0">
      <pane xSplit="4" ySplit="14" topLeftCell="E15" activePane="bottomRight" state="frozen"/>
      <selection pane="topRight" activeCell="E1" sqref="E1"/>
      <selection pane="bottomLeft" activeCell="A15" sqref="A15"/>
      <selection pane="bottomRight"/>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4" width="11.83203125" style="33" customWidth="1"/>
    <col min="15" max="15" width="11.83203125" style="19" customWidth="1"/>
    <col min="16" max="16" width="11.83203125" style="36" customWidth="1"/>
    <col min="17" max="17" width="11.83203125" style="19" customWidth="1"/>
    <col min="18" max="18" width="11.83203125" style="60" customWidth="1"/>
    <col min="19" max="19" width="11.83203125" style="33" customWidth="1"/>
    <col min="20" max="20" width="11.83203125" style="19" customWidth="1"/>
    <col min="21" max="21" width="11.83203125" style="149" customWidth="1"/>
    <col min="22" max="22" width="11.83203125" style="19" customWidth="1"/>
    <col min="23" max="23" width="11.83203125" style="36" customWidth="1"/>
    <col min="24" max="24" width="11.83203125" style="19" customWidth="1"/>
    <col min="25" max="25" width="11.83203125" style="33" customWidth="1"/>
    <col min="26" max="26" width="11.83203125" style="149" customWidth="1"/>
    <col min="27" max="27" width="11.83203125" style="36" customWidth="1"/>
    <col min="28" max="28" width="11.83203125" style="19" customWidth="1"/>
    <col min="29" max="29" width="11.83203125" style="33" customWidth="1"/>
    <col min="30" max="30" width="11.83203125" style="149" customWidth="1"/>
    <col min="31" max="31" width="11.83203125" style="33" customWidth="1"/>
    <col min="32" max="32" width="11.83203125" style="149" customWidth="1"/>
    <col min="33" max="33" width="11.83203125" style="33" customWidth="1"/>
    <col min="34" max="34" width="11.83203125" style="149" customWidth="1"/>
    <col min="35" max="35" width="11.83203125" style="429" customWidth="1"/>
    <col min="36" max="42" width="11.83203125" style="19" customWidth="1"/>
    <col min="43" max="43" width="11.83203125" style="388" customWidth="1"/>
    <col min="44" max="51" width="11.83203125" style="389" customWidth="1"/>
    <col min="52" max="52" width="11.83203125" style="19" customWidth="1"/>
    <col min="53" max="53" width="11.83203125" style="47" customWidth="1"/>
    <col min="54" max="55" width="11.83203125" style="11" customWidth="1"/>
    <col min="56" max="56" width="11.83203125" style="33" customWidth="1"/>
    <col min="57" max="57" width="11.83203125" style="47" customWidth="1"/>
    <col min="58" max="58" width="11.83203125" style="33" customWidth="1"/>
    <col min="59" max="59" width="11.83203125" style="19" customWidth="1"/>
    <col min="60" max="60" width="11.83203125" style="161" customWidth="1"/>
    <col min="61" max="62" width="11.83203125" style="33" customWidth="1"/>
    <col min="63" max="63" width="11.83203125" style="81" customWidth="1"/>
    <col min="64" max="65" width="11.83203125" style="33" customWidth="1"/>
    <col min="66" max="66" width="11.83203125" style="47" customWidth="1"/>
    <col min="67" max="67" width="11.83203125" style="36" customWidth="1"/>
    <col min="68" max="69" width="11.83203125" style="33" customWidth="1"/>
    <col min="70" max="71" width="11.83203125" style="19" customWidth="1"/>
    <col min="72" max="72" width="11.83203125" style="47" customWidth="1"/>
    <col min="73" max="73" width="11.83203125" style="33" customWidth="1"/>
    <col min="74" max="74" width="11.83203125" style="19" customWidth="1"/>
    <col min="75" max="75" width="11.83203125" style="47" customWidth="1"/>
    <col min="76" max="76" width="11.83203125" style="33" customWidth="1"/>
    <col min="77" max="77" width="11.83203125" style="19" customWidth="1"/>
    <col min="78" max="78" width="11.83203125" style="47" customWidth="1"/>
    <col min="79" max="79" width="11.83203125" style="36" customWidth="1"/>
    <col min="80" max="81" width="11.83203125" style="19" customWidth="1"/>
    <col min="82" max="82" width="11.83203125" style="33" customWidth="1"/>
    <col min="83" max="83" width="11.83203125" style="19" customWidth="1"/>
    <col min="84" max="84" width="11.83203125" style="149" customWidth="1"/>
    <col min="85" max="89" width="11.83203125" style="19" customWidth="1"/>
    <col min="90" max="93" width="11.83203125" style="33" customWidth="1"/>
    <col min="94" max="94" width="11.83203125" style="47" customWidth="1"/>
    <col min="95" max="97" width="11.83203125" style="11" customWidth="1"/>
    <col min="98" max="99" width="11.83203125" style="33" customWidth="1"/>
    <col min="100" max="100" width="11.83203125" style="81" customWidth="1"/>
    <col min="101" max="102" width="11.83203125" style="33" customWidth="1"/>
    <col min="103" max="103" width="11.83203125" style="47" customWidth="1"/>
    <col min="104" max="106" width="11.83203125" style="36" customWidth="1"/>
    <col min="107" max="110" width="11.83203125" style="33" customWidth="1"/>
    <col min="111" max="114" width="11.83203125" style="11" customWidth="1"/>
    <col min="115" max="115" width="11.83203125" style="81" customWidth="1"/>
    <col min="116" max="116" width="11.83203125" style="152" customWidth="1"/>
    <col min="117" max="117" width="11.83203125" style="47" customWidth="1"/>
    <col min="118" max="118" width="11.83203125" style="36" customWidth="1"/>
    <col min="119" max="120" width="11.83203125" style="33" customWidth="1"/>
    <col min="121" max="122" width="11.83203125" style="11" customWidth="1"/>
    <col min="123" max="123" width="11.83203125" style="47" customWidth="1"/>
    <col min="124" max="124" width="11.83203125" style="33" customWidth="1"/>
    <col min="125" max="125" width="11.83203125" style="11" customWidth="1"/>
    <col min="126" max="126" width="11.83203125" style="47" customWidth="1"/>
    <col min="127" max="127" width="11.83203125" style="33" customWidth="1"/>
    <col min="128" max="128" width="11.83203125" style="98" customWidth="1"/>
    <col min="129" max="129" width="10.83203125" customWidth="1"/>
  </cols>
  <sheetData>
    <row r="1" spans="1:128" ht="31" customHeight="1" x14ac:dyDescent="0.2">
      <c r="A1" s="4" t="s">
        <v>590</v>
      </c>
      <c r="B1" s="4"/>
      <c r="C1" s="1"/>
      <c r="D1" s="1"/>
      <c r="E1" s="212" t="s">
        <v>187</v>
      </c>
      <c r="F1" s="182"/>
      <c r="G1" s="179"/>
      <c r="H1" s="182"/>
      <c r="I1" s="182"/>
      <c r="J1" s="179"/>
      <c r="K1" s="179"/>
      <c r="L1" s="186"/>
      <c r="M1" s="182"/>
      <c r="N1" s="179"/>
      <c r="O1" s="186"/>
      <c r="P1" s="182"/>
      <c r="Q1" s="186"/>
      <c r="R1" s="179"/>
      <c r="S1" s="179"/>
      <c r="T1" s="186"/>
      <c r="U1" s="186"/>
      <c r="V1" s="186"/>
      <c r="W1" s="179"/>
      <c r="X1" s="186"/>
      <c r="Y1" s="179"/>
      <c r="Z1" s="186"/>
      <c r="AA1" s="179"/>
      <c r="AB1" s="186"/>
      <c r="AC1" s="179"/>
      <c r="AD1" s="186"/>
      <c r="AE1" s="179"/>
      <c r="AF1" s="186"/>
      <c r="AG1" s="179"/>
      <c r="AH1" s="214" t="s">
        <v>973</v>
      </c>
      <c r="AI1" s="332"/>
      <c r="AJ1" s="332"/>
      <c r="AK1" s="332"/>
      <c r="AL1" s="332"/>
      <c r="AM1" s="332"/>
      <c r="AN1" s="332"/>
      <c r="AO1" s="332"/>
      <c r="AP1" s="332"/>
      <c r="AQ1" s="186"/>
      <c r="AR1" s="186"/>
      <c r="AS1" s="186"/>
      <c r="AT1" s="186"/>
      <c r="AU1" s="186"/>
      <c r="AV1" s="186"/>
      <c r="AW1" s="186"/>
      <c r="AX1" s="186"/>
      <c r="AY1" s="186"/>
      <c r="AZ1" s="332"/>
      <c r="BA1" s="212" t="s">
        <v>994</v>
      </c>
      <c r="BB1" s="332"/>
      <c r="BC1" s="332"/>
      <c r="BD1" s="179"/>
      <c r="BE1" s="396"/>
      <c r="BF1" s="179"/>
      <c r="BG1" s="332"/>
      <c r="BH1" s="397"/>
      <c r="BI1" s="179"/>
      <c r="BJ1" s="179"/>
      <c r="BK1" s="397"/>
      <c r="BL1" s="179"/>
      <c r="BM1" s="179"/>
      <c r="BN1" s="212"/>
      <c r="BO1" s="182"/>
      <c r="BP1" s="179"/>
      <c r="BQ1" s="179"/>
      <c r="BR1" s="332"/>
      <c r="BS1" s="332"/>
      <c r="BT1" s="396"/>
      <c r="BU1" s="179"/>
      <c r="BV1" s="332"/>
      <c r="BW1" s="396"/>
      <c r="BX1" s="179"/>
      <c r="BY1" s="332"/>
      <c r="BZ1" s="396"/>
      <c r="CA1" s="182"/>
      <c r="CB1" s="332"/>
      <c r="CC1" s="332"/>
      <c r="CD1" s="179"/>
      <c r="CE1" s="332"/>
      <c r="CF1" s="397"/>
      <c r="CG1" s="332"/>
      <c r="CH1" s="332"/>
      <c r="CI1" s="332"/>
      <c r="CJ1" s="332"/>
      <c r="CK1" s="332"/>
      <c r="CL1" s="179"/>
      <c r="CM1" s="179"/>
      <c r="CN1" s="179"/>
      <c r="CO1" s="179"/>
      <c r="CP1" s="396"/>
      <c r="CQ1" s="332"/>
      <c r="CR1" s="332"/>
      <c r="CS1" s="332"/>
      <c r="CT1" s="179"/>
      <c r="CU1" s="179"/>
      <c r="CV1" s="397"/>
      <c r="CW1" s="179"/>
      <c r="CX1" s="179"/>
      <c r="CY1" s="396"/>
      <c r="CZ1" s="182"/>
      <c r="DA1" s="182"/>
      <c r="DB1" s="182"/>
      <c r="DC1" s="179"/>
      <c r="DD1" s="179"/>
      <c r="DE1" s="179"/>
      <c r="DF1" s="179"/>
      <c r="DG1" s="332"/>
      <c r="DH1" s="332"/>
      <c r="DI1" s="332"/>
      <c r="DJ1" s="332"/>
      <c r="DK1" s="397"/>
      <c r="DL1" s="186"/>
      <c r="DM1" s="396"/>
      <c r="DN1" s="182"/>
      <c r="DO1" s="179"/>
      <c r="DP1" s="179"/>
      <c r="DQ1" s="332"/>
      <c r="DR1" s="332"/>
      <c r="DS1" s="396"/>
      <c r="DT1" s="179"/>
      <c r="DU1" s="332"/>
      <c r="DV1" s="396"/>
      <c r="DW1" s="179"/>
      <c r="DX1" s="332"/>
    </row>
    <row r="2" spans="1:128" s="21" customFormat="1" ht="19" customHeight="1" x14ac:dyDescent="0.25">
      <c r="A2" s="418" t="s">
        <v>971</v>
      </c>
      <c r="B2" s="418"/>
      <c r="C2" s="418"/>
      <c r="D2" s="380"/>
      <c r="E2" s="374" t="s">
        <v>946</v>
      </c>
      <c r="F2" s="29"/>
      <c r="G2" s="29"/>
      <c r="H2" s="29"/>
      <c r="I2" s="29"/>
      <c r="J2" s="29"/>
      <c r="K2" s="29"/>
      <c r="L2" s="377"/>
      <c r="M2" s="374" t="s">
        <v>947</v>
      </c>
      <c r="N2" s="29"/>
      <c r="O2" s="377"/>
      <c r="P2" s="383"/>
      <c r="Q2" s="377"/>
      <c r="R2" s="374" t="s">
        <v>629</v>
      </c>
      <c r="S2" s="29"/>
      <c r="T2" s="377"/>
      <c r="U2" s="375" t="s">
        <v>630</v>
      </c>
      <c r="V2" s="377"/>
      <c r="W2" s="29"/>
      <c r="X2" s="377"/>
      <c r="Y2" s="29"/>
      <c r="Z2" s="375" t="s">
        <v>628</v>
      </c>
      <c r="AA2" s="29"/>
      <c r="AB2" s="377"/>
      <c r="AC2" s="29"/>
      <c r="AD2" s="375" t="s">
        <v>940</v>
      </c>
      <c r="AE2" s="29"/>
      <c r="AF2" s="375" t="s">
        <v>582</v>
      </c>
      <c r="AG2" s="29"/>
      <c r="AH2" s="375" t="s">
        <v>974</v>
      </c>
      <c r="AI2" s="427"/>
      <c r="AJ2" s="377"/>
      <c r="AK2" s="377"/>
      <c r="AL2" s="377"/>
      <c r="AM2" s="377"/>
      <c r="AN2" s="377"/>
      <c r="AO2" s="377"/>
      <c r="AP2" s="377"/>
      <c r="AQ2" s="375" t="s">
        <v>984</v>
      </c>
      <c r="AR2" s="377"/>
      <c r="AS2" s="377"/>
      <c r="AT2" s="377"/>
      <c r="AU2" s="377"/>
      <c r="AV2" s="377"/>
      <c r="AW2" s="377"/>
      <c r="AX2" s="377"/>
      <c r="AY2" s="377"/>
      <c r="AZ2" s="377"/>
      <c r="BA2" s="374" t="s">
        <v>139</v>
      </c>
      <c r="BB2" s="399"/>
      <c r="BC2" s="399"/>
      <c r="BD2" s="29"/>
      <c r="BE2" s="374" t="s">
        <v>145</v>
      </c>
      <c r="BF2" s="29"/>
      <c r="BG2" s="382"/>
      <c r="BH2" s="398" t="s">
        <v>1199</v>
      </c>
      <c r="BI2" s="29"/>
      <c r="BJ2" s="34"/>
      <c r="BK2" s="398" t="s">
        <v>15</v>
      </c>
      <c r="BL2" s="29"/>
      <c r="BM2" s="29"/>
      <c r="BN2" s="374" t="s">
        <v>10</v>
      </c>
      <c r="BO2" s="29"/>
      <c r="BP2" s="29"/>
      <c r="BQ2" s="29"/>
      <c r="BR2" s="382"/>
      <c r="BS2" s="382"/>
      <c r="BT2" s="374" t="s">
        <v>32</v>
      </c>
      <c r="BU2" s="29"/>
      <c r="BV2" s="382"/>
      <c r="BW2" s="374" t="s">
        <v>19</v>
      </c>
      <c r="BX2" s="29"/>
      <c r="BY2" s="382"/>
      <c r="BZ2" s="374" t="s">
        <v>12</v>
      </c>
      <c r="CA2" s="29"/>
      <c r="CB2" s="377"/>
      <c r="CC2" s="377"/>
      <c r="CD2" s="29"/>
      <c r="CE2" s="382"/>
      <c r="CF2" s="374" t="s">
        <v>1120</v>
      </c>
      <c r="CG2" s="29"/>
      <c r="CH2" s="29"/>
      <c r="CI2" s="377"/>
      <c r="CJ2" s="377"/>
      <c r="CK2" s="377"/>
      <c r="CL2" s="29"/>
      <c r="CM2" s="29"/>
      <c r="CN2" s="29"/>
      <c r="CO2" s="29"/>
      <c r="CP2" s="374" t="s">
        <v>17</v>
      </c>
      <c r="CQ2" s="399"/>
      <c r="CR2" s="399"/>
      <c r="CS2" s="399"/>
      <c r="CT2" s="29"/>
      <c r="CU2" s="29"/>
      <c r="CV2" s="398" t="s">
        <v>28</v>
      </c>
      <c r="CW2" s="29"/>
      <c r="CX2" s="29"/>
      <c r="CY2" s="374" t="s">
        <v>31</v>
      </c>
      <c r="CZ2" s="29"/>
      <c r="DA2" s="29"/>
      <c r="DB2" s="29"/>
      <c r="DC2" s="29"/>
      <c r="DD2" s="29"/>
      <c r="DE2" s="29"/>
      <c r="DF2" s="29"/>
      <c r="DG2" s="3"/>
      <c r="DH2" s="3"/>
      <c r="DI2" s="3"/>
      <c r="DJ2" s="3"/>
      <c r="DK2" s="398" t="s">
        <v>33</v>
      </c>
      <c r="DL2" s="399"/>
      <c r="DM2" s="374" t="s">
        <v>292</v>
      </c>
      <c r="DN2" s="29"/>
      <c r="DO2" s="29"/>
      <c r="DP2" s="29"/>
      <c r="DQ2" s="3"/>
      <c r="DR2" s="3"/>
      <c r="DS2" s="374" t="s">
        <v>20</v>
      </c>
      <c r="DT2" s="29"/>
      <c r="DU2" s="3"/>
      <c r="DV2" s="374" t="s">
        <v>22</v>
      </c>
      <c r="DW2" s="29"/>
      <c r="DX2" s="3"/>
    </row>
    <row r="3" spans="1:128" ht="134" customHeight="1" x14ac:dyDescent="0.2">
      <c r="A3" s="418"/>
      <c r="B3" s="418"/>
      <c r="C3" s="418"/>
      <c r="D3" s="380"/>
      <c r="E3" s="127" t="s">
        <v>972</v>
      </c>
      <c r="F3" s="128" t="s">
        <v>585</v>
      </c>
      <c r="G3" s="131" t="s">
        <v>584</v>
      </c>
      <c r="H3" s="128" t="s">
        <v>586</v>
      </c>
      <c r="I3" s="128" t="s">
        <v>775</v>
      </c>
      <c r="J3" s="128" t="s">
        <v>930</v>
      </c>
      <c r="K3" s="128" t="s">
        <v>1148</v>
      </c>
      <c r="L3" s="130" t="s">
        <v>1149</v>
      </c>
      <c r="M3" s="393" t="s">
        <v>928</v>
      </c>
      <c r="N3" s="385" t="s">
        <v>929</v>
      </c>
      <c r="O3" s="378" t="s">
        <v>1150</v>
      </c>
      <c r="P3" s="371" t="s">
        <v>1151</v>
      </c>
      <c r="Q3" s="378" t="s">
        <v>1152</v>
      </c>
      <c r="R3" s="372" t="s">
        <v>591</v>
      </c>
      <c r="S3" s="385" t="s">
        <v>1153</v>
      </c>
      <c r="T3" s="379" t="s">
        <v>1154</v>
      </c>
      <c r="U3" s="376" t="s">
        <v>933</v>
      </c>
      <c r="V3" s="378" t="s">
        <v>932</v>
      </c>
      <c r="W3" s="371" t="s">
        <v>931</v>
      </c>
      <c r="X3" s="378" t="s">
        <v>942</v>
      </c>
      <c r="Y3" s="48" t="s">
        <v>934</v>
      </c>
      <c r="Z3" s="376" t="s">
        <v>935</v>
      </c>
      <c r="AA3" s="371" t="s">
        <v>936</v>
      </c>
      <c r="AB3" s="378" t="s">
        <v>937</v>
      </c>
      <c r="AC3" s="48" t="s">
        <v>592</v>
      </c>
      <c r="AD3" s="376" t="s">
        <v>938</v>
      </c>
      <c r="AE3" s="48" t="s">
        <v>939</v>
      </c>
      <c r="AF3" s="376" t="s">
        <v>941</v>
      </c>
      <c r="AG3" s="48" t="s">
        <v>969</v>
      </c>
      <c r="AH3" s="381" t="s">
        <v>496</v>
      </c>
      <c r="AI3" s="428" t="s">
        <v>648</v>
      </c>
      <c r="AJ3" s="379" t="s">
        <v>495</v>
      </c>
      <c r="AK3" s="379" t="s">
        <v>842</v>
      </c>
      <c r="AL3" s="379" t="s">
        <v>1080</v>
      </c>
      <c r="AM3" s="379" t="s">
        <v>1079</v>
      </c>
      <c r="AN3" s="379" t="s">
        <v>1081</v>
      </c>
      <c r="AO3" s="379" t="s">
        <v>1082</v>
      </c>
      <c r="AP3" s="379" t="s">
        <v>1083</v>
      </c>
      <c r="AQ3" s="386" t="s">
        <v>496</v>
      </c>
      <c r="AR3" s="387" t="s">
        <v>648</v>
      </c>
      <c r="AS3" s="387" t="s">
        <v>495</v>
      </c>
      <c r="AT3" s="387" t="s">
        <v>842</v>
      </c>
      <c r="AU3" s="387" t="s">
        <v>1080</v>
      </c>
      <c r="AV3" s="387" t="s">
        <v>1079</v>
      </c>
      <c r="AW3" s="387" t="s">
        <v>1081</v>
      </c>
      <c r="AX3" s="387" t="s">
        <v>1082</v>
      </c>
      <c r="AY3" s="387" t="s">
        <v>1083</v>
      </c>
      <c r="AZ3" s="379" t="s">
        <v>51</v>
      </c>
      <c r="BA3" s="384" t="s">
        <v>1002</v>
      </c>
      <c r="BB3" s="392" t="s">
        <v>1021</v>
      </c>
      <c r="BC3" s="364" t="s">
        <v>1022</v>
      </c>
      <c r="BD3" s="48" t="s">
        <v>1003</v>
      </c>
      <c r="BE3" s="384" t="s">
        <v>710</v>
      </c>
      <c r="BF3" s="385" t="s">
        <v>1001</v>
      </c>
      <c r="BG3" s="379" t="s">
        <v>1027</v>
      </c>
      <c r="BH3" s="409" t="s">
        <v>655</v>
      </c>
      <c r="BI3" s="385" t="s">
        <v>595</v>
      </c>
      <c r="BJ3" s="385" t="s">
        <v>596</v>
      </c>
      <c r="BK3" s="409" t="s">
        <v>655</v>
      </c>
      <c r="BL3" s="385" t="s">
        <v>595</v>
      </c>
      <c r="BM3" s="385" t="s">
        <v>596</v>
      </c>
      <c r="BN3" s="384" t="s">
        <v>697</v>
      </c>
      <c r="BO3" s="371" t="s">
        <v>996</v>
      </c>
      <c r="BP3" s="385" t="s">
        <v>997</v>
      </c>
      <c r="BQ3" s="385" t="s">
        <v>998</v>
      </c>
      <c r="BR3" s="379" t="s">
        <v>1024</v>
      </c>
      <c r="BS3" s="379" t="s">
        <v>1025</v>
      </c>
      <c r="BT3" s="384" t="s">
        <v>723</v>
      </c>
      <c r="BU3" s="385" t="s">
        <v>1005</v>
      </c>
      <c r="BV3" s="379" t="s">
        <v>1028</v>
      </c>
      <c r="BW3" s="384" t="s">
        <v>677</v>
      </c>
      <c r="BX3" s="385" t="s">
        <v>1014</v>
      </c>
      <c r="BY3" s="379" t="s">
        <v>1026</v>
      </c>
      <c r="BZ3" s="384" t="s">
        <v>713</v>
      </c>
      <c r="CA3" s="371" t="s">
        <v>1030</v>
      </c>
      <c r="CB3" s="378" t="s">
        <v>1031</v>
      </c>
      <c r="CC3" s="378" t="s">
        <v>1032</v>
      </c>
      <c r="CD3" s="48" t="s">
        <v>1004</v>
      </c>
      <c r="CE3" s="379" t="s">
        <v>1029</v>
      </c>
      <c r="CF3" s="381" t="s">
        <v>1084</v>
      </c>
      <c r="CG3" s="379" t="s">
        <v>1085</v>
      </c>
      <c r="CH3" s="378" t="s">
        <v>1047</v>
      </c>
      <c r="CI3" s="378" t="s">
        <v>1046</v>
      </c>
      <c r="CJ3" s="378" t="s">
        <v>1095</v>
      </c>
      <c r="CK3" s="378" t="s">
        <v>1094</v>
      </c>
      <c r="CL3" s="48" t="s">
        <v>1098</v>
      </c>
      <c r="CM3" s="48" t="s">
        <v>1099</v>
      </c>
      <c r="CN3" s="48" t="s">
        <v>1100</v>
      </c>
      <c r="CO3" s="48" t="s">
        <v>1101</v>
      </c>
      <c r="CP3" s="393" t="s">
        <v>1118</v>
      </c>
      <c r="CQ3" s="364" t="s">
        <v>1119</v>
      </c>
      <c r="CR3" s="364" t="s">
        <v>1114</v>
      </c>
      <c r="CS3" s="364" t="s">
        <v>1115</v>
      </c>
      <c r="CT3" s="48" t="s">
        <v>1102</v>
      </c>
      <c r="CU3" s="48" t="s">
        <v>1103</v>
      </c>
      <c r="CV3" s="363" t="s">
        <v>1110</v>
      </c>
      <c r="CW3" s="48" t="s">
        <v>1106</v>
      </c>
      <c r="CX3" s="48" t="s">
        <v>1107</v>
      </c>
      <c r="CY3" s="384" t="s">
        <v>920</v>
      </c>
      <c r="CZ3" s="371" t="s">
        <v>921</v>
      </c>
      <c r="DA3" s="371" t="s">
        <v>922</v>
      </c>
      <c r="DB3" s="371" t="s">
        <v>923</v>
      </c>
      <c r="DC3" s="385" t="s">
        <v>1121</v>
      </c>
      <c r="DD3" s="385" t="s">
        <v>1122</v>
      </c>
      <c r="DE3" s="385" t="s">
        <v>1123</v>
      </c>
      <c r="DF3" s="385" t="s">
        <v>1124</v>
      </c>
      <c r="DG3" s="392" t="s">
        <v>1125</v>
      </c>
      <c r="DH3" s="392" t="s">
        <v>1128</v>
      </c>
      <c r="DI3" s="392" t="s">
        <v>1126</v>
      </c>
      <c r="DJ3" s="392" t="s">
        <v>1127</v>
      </c>
      <c r="DK3" s="363" t="s">
        <v>727</v>
      </c>
      <c r="DL3" s="410" t="s">
        <v>729</v>
      </c>
      <c r="DM3" s="384" t="s">
        <v>695</v>
      </c>
      <c r="DN3" s="371" t="s">
        <v>696</v>
      </c>
      <c r="DO3" s="385" t="s">
        <v>1008</v>
      </c>
      <c r="DP3" s="385" t="s">
        <v>1009</v>
      </c>
      <c r="DQ3" s="392" t="s">
        <v>1034</v>
      </c>
      <c r="DR3" s="392" t="s">
        <v>1035</v>
      </c>
      <c r="DS3" s="384" t="s">
        <v>745</v>
      </c>
      <c r="DT3" s="385" t="s">
        <v>1010</v>
      </c>
      <c r="DU3" s="392" t="s">
        <v>1033</v>
      </c>
      <c r="DV3" s="384" t="s">
        <v>1006</v>
      </c>
      <c r="DW3" s="385" t="s">
        <v>1007</v>
      </c>
      <c r="DX3" s="392" t="s">
        <v>1036</v>
      </c>
    </row>
    <row r="4" spans="1:128" x14ac:dyDescent="0.2">
      <c r="B4" s="15"/>
      <c r="D4" s="15" t="s">
        <v>2</v>
      </c>
    </row>
    <row r="5" spans="1:128"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19" t="s">
        <v>59</v>
      </c>
      <c r="P5" s="36" t="s">
        <v>59</v>
      </c>
      <c r="Q5" s="19" t="s">
        <v>59</v>
      </c>
      <c r="R5" s="60" t="s">
        <v>70</v>
      </c>
      <c r="S5" s="33" t="s">
        <v>68</v>
      </c>
      <c r="T5" s="19" t="s">
        <v>59</v>
      </c>
      <c r="U5" s="149" t="s">
        <v>59</v>
      </c>
      <c r="V5" s="19" t="s">
        <v>59</v>
      </c>
      <c r="W5" s="36" t="s">
        <v>59</v>
      </c>
      <c r="X5" s="19" t="s">
        <v>59</v>
      </c>
      <c r="Y5" s="33" t="s">
        <v>70</v>
      </c>
      <c r="Z5" s="149" t="s">
        <v>59</v>
      </c>
      <c r="AA5" s="36" t="s">
        <v>59</v>
      </c>
      <c r="AB5" s="19" t="s">
        <v>59</v>
      </c>
      <c r="AC5" s="33" t="s">
        <v>70</v>
      </c>
      <c r="AD5" s="149" t="s">
        <v>59</v>
      </c>
      <c r="AE5" s="33" t="s">
        <v>70</v>
      </c>
      <c r="AF5" s="149" t="s">
        <v>59</v>
      </c>
      <c r="AG5" s="33" t="s">
        <v>70</v>
      </c>
      <c r="AH5" s="149" t="s">
        <v>59</v>
      </c>
      <c r="AI5" s="429" t="s">
        <v>59</v>
      </c>
      <c r="AJ5" s="19" t="s">
        <v>59</v>
      </c>
      <c r="AK5" s="19" t="s">
        <v>59</v>
      </c>
      <c r="AL5" s="19" t="s">
        <v>59</v>
      </c>
      <c r="AM5" s="19" t="s">
        <v>59</v>
      </c>
      <c r="AN5" s="19" t="s">
        <v>59</v>
      </c>
      <c r="AO5" s="19" t="s">
        <v>59</v>
      </c>
      <c r="AP5" s="19" t="s">
        <v>59</v>
      </c>
      <c r="AQ5" s="388" t="s">
        <v>70</v>
      </c>
      <c r="AR5" s="389" t="s">
        <v>70</v>
      </c>
      <c r="AS5" s="389" t="s">
        <v>70</v>
      </c>
      <c r="AT5" s="389" t="s">
        <v>70</v>
      </c>
      <c r="AU5" s="389" t="s">
        <v>70</v>
      </c>
      <c r="AV5" s="389" t="s">
        <v>70</v>
      </c>
      <c r="AW5" s="389" t="s">
        <v>70</v>
      </c>
      <c r="AX5" s="389" t="s">
        <v>70</v>
      </c>
      <c r="AY5" s="389" t="s">
        <v>70</v>
      </c>
      <c r="AZ5" s="19" t="s">
        <v>59</v>
      </c>
      <c r="BA5" s="47" t="s">
        <v>59</v>
      </c>
      <c r="BB5" s="11" t="s">
        <v>59</v>
      </c>
      <c r="BC5" s="11" t="s">
        <v>59</v>
      </c>
      <c r="BD5" s="33" t="s">
        <v>70</v>
      </c>
      <c r="BE5" s="47" t="s">
        <v>59</v>
      </c>
      <c r="BF5" s="33" t="s">
        <v>70</v>
      </c>
      <c r="BG5" s="19" t="s">
        <v>59</v>
      </c>
      <c r="BH5" s="161" t="s">
        <v>59</v>
      </c>
      <c r="BI5" s="33" t="s">
        <v>70</v>
      </c>
      <c r="BJ5" s="33" t="s">
        <v>70</v>
      </c>
      <c r="BK5" s="81" t="s">
        <v>59</v>
      </c>
      <c r="BL5" s="33" t="s">
        <v>70</v>
      </c>
      <c r="BM5" s="33" t="s">
        <v>70</v>
      </c>
      <c r="BN5" s="47" t="s">
        <v>59</v>
      </c>
      <c r="BO5" s="36" t="s">
        <v>59</v>
      </c>
      <c r="BP5" s="33" t="s">
        <v>70</v>
      </c>
      <c r="BQ5" s="33" t="s">
        <v>70</v>
      </c>
      <c r="BR5" s="19" t="s">
        <v>59</v>
      </c>
      <c r="BS5" s="19" t="s">
        <v>59</v>
      </c>
      <c r="BT5" s="47" t="s">
        <v>59</v>
      </c>
      <c r="BU5" s="33" t="s">
        <v>70</v>
      </c>
      <c r="BV5" s="19" t="s">
        <v>59</v>
      </c>
      <c r="BW5" s="47" t="s">
        <v>59</v>
      </c>
      <c r="BX5" s="33" t="s">
        <v>70</v>
      </c>
      <c r="BY5" s="19" t="s">
        <v>59</v>
      </c>
      <c r="BZ5" s="47" t="s">
        <v>59</v>
      </c>
      <c r="CA5" s="36" t="s">
        <v>59</v>
      </c>
      <c r="CB5" s="19" t="s">
        <v>59</v>
      </c>
      <c r="CC5" s="19" t="s">
        <v>59</v>
      </c>
      <c r="CD5" s="33" t="s">
        <v>70</v>
      </c>
      <c r="CE5" s="19" t="s">
        <v>59</v>
      </c>
      <c r="CF5" s="149" t="s">
        <v>59</v>
      </c>
      <c r="CG5" s="19" t="s">
        <v>59</v>
      </c>
      <c r="CH5" s="19" t="s">
        <v>59</v>
      </c>
      <c r="CI5" s="19" t="s">
        <v>59</v>
      </c>
      <c r="CJ5" s="19" t="s">
        <v>59</v>
      </c>
      <c r="CK5" s="19" t="s">
        <v>59</v>
      </c>
      <c r="CL5" s="33" t="s">
        <v>70</v>
      </c>
      <c r="CM5" s="33" t="s">
        <v>70</v>
      </c>
      <c r="CN5" s="33" t="s">
        <v>70</v>
      </c>
      <c r="CO5" s="33" t="s">
        <v>70</v>
      </c>
      <c r="CP5" s="47" t="s">
        <v>59</v>
      </c>
      <c r="CQ5" s="11" t="s">
        <v>59</v>
      </c>
      <c r="CR5" s="11" t="s">
        <v>59</v>
      </c>
      <c r="CS5" s="11" t="s">
        <v>59</v>
      </c>
      <c r="CT5" s="33" t="s">
        <v>70</v>
      </c>
      <c r="CU5" s="33" t="s">
        <v>70</v>
      </c>
      <c r="CV5" s="81" t="s">
        <v>59</v>
      </c>
      <c r="CW5" s="33" t="s">
        <v>70</v>
      </c>
      <c r="CX5" s="33" t="s">
        <v>70</v>
      </c>
      <c r="CY5" s="47" t="s">
        <v>59</v>
      </c>
      <c r="CZ5" s="36" t="s">
        <v>59</v>
      </c>
      <c r="DA5" s="36" t="s">
        <v>59</v>
      </c>
      <c r="DB5" s="36" t="s">
        <v>59</v>
      </c>
      <c r="DC5" s="33" t="s">
        <v>70</v>
      </c>
      <c r="DD5" s="33" t="s">
        <v>70</v>
      </c>
      <c r="DE5" s="33" t="s">
        <v>70</v>
      </c>
      <c r="DF5" s="33" t="s">
        <v>70</v>
      </c>
      <c r="DG5" s="11" t="s">
        <v>59</v>
      </c>
      <c r="DH5" s="11" t="s">
        <v>59</v>
      </c>
      <c r="DI5" s="11" t="s">
        <v>59</v>
      </c>
      <c r="DJ5" s="11" t="s">
        <v>59</v>
      </c>
      <c r="DK5" s="81" t="s">
        <v>59</v>
      </c>
      <c r="DL5" s="152" t="s">
        <v>70</v>
      </c>
      <c r="DM5" s="47" t="s">
        <v>59</v>
      </c>
      <c r="DN5" s="36" t="s">
        <v>59</v>
      </c>
      <c r="DO5" s="33" t="s">
        <v>70</v>
      </c>
      <c r="DP5" s="33" t="s">
        <v>70</v>
      </c>
      <c r="DQ5" s="11" t="s">
        <v>59</v>
      </c>
      <c r="DR5" s="11" t="s">
        <v>59</v>
      </c>
      <c r="DS5" s="47" t="s">
        <v>59</v>
      </c>
      <c r="DT5" s="33" t="s">
        <v>70</v>
      </c>
      <c r="DU5" s="11" t="s">
        <v>59</v>
      </c>
      <c r="DV5" s="47" t="s">
        <v>59</v>
      </c>
      <c r="DW5" s="33" t="s">
        <v>70</v>
      </c>
      <c r="DX5" s="98" t="s">
        <v>59</v>
      </c>
    </row>
    <row r="6" spans="1:128"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19" t="s">
        <v>73</v>
      </c>
      <c r="P6" s="36" t="s">
        <v>54</v>
      </c>
      <c r="Q6" s="19" t="s">
        <v>73</v>
      </c>
      <c r="R6" s="60" t="s">
        <v>53</v>
      </c>
      <c r="S6" s="33" t="s">
        <v>53</v>
      </c>
      <c r="T6" s="19" t="s">
        <v>54</v>
      </c>
      <c r="U6" s="149" t="s">
        <v>73</v>
      </c>
      <c r="V6" s="19" t="s">
        <v>73</v>
      </c>
      <c r="W6" s="36" t="s">
        <v>54</v>
      </c>
      <c r="X6" s="19" t="s">
        <v>73</v>
      </c>
      <c r="Y6" s="33" t="s">
        <v>53</v>
      </c>
      <c r="Z6" s="149" t="s">
        <v>73</v>
      </c>
      <c r="AA6" s="36" t="s">
        <v>73</v>
      </c>
      <c r="AB6" s="19" t="s">
        <v>73</v>
      </c>
      <c r="AC6" s="33" t="s">
        <v>53</v>
      </c>
      <c r="AD6" s="149" t="s">
        <v>73</v>
      </c>
      <c r="AE6" s="33" t="s">
        <v>53</v>
      </c>
      <c r="AF6" s="149" t="s">
        <v>73</v>
      </c>
      <c r="AG6" s="33" t="s">
        <v>53</v>
      </c>
      <c r="AH6" s="149" t="s">
        <v>54</v>
      </c>
      <c r="AI6" s="429" t="s">
        <v>54</v>
      </c>
      <c r="AJ6" s="19" t="s">
        <v>54</v>
      </c>
      <c r="AK6" s="19" t="s">
        <v>54</v>
      </c>
      <c r="AL6" s="19" t="s">
        <v>54</v>
      </c>
      <c r="AM6" s="19" t="s">
        <v>54</v>
      </c>
      <c r="AN6" s="19" t="s">
        <v>54</v>
      </c>
      <c r="AO6" s="19" t="s">
        <v>54</v>
      </c>
      <c r="AP6" s="19" t="s">
        <v>54</v>
      </c>
      <c r="AQ6" s="388" t="s">
        <v>53</v>
      </c>
      <c r="AR6" s="389" t="s">
        <v>53</v>
      </c>
      <c r="AS6" s="389" t="s">
        <v>53</v>
      </c>
      <c r="AT6" s="389" t="s">
        <v>53</v>
      </c>
      <c r="AU6" s="389" t="s">
        <v>53</v>
      </c>
      <c r="AV6" s="389" t="s">
        <v>53</v>
      </c>
      <c r="AW6" s="389" t="s">
        <v>53</v>
      </c>
      <c r="AX6" s="389" t="s">
        <v>53</v>
      </c>
      <c r="AY6" s="389" t="s">
        <v>53</v>
      </c>
      <c r="AZ6" s="19" t="s">
        <v>54</v>
      </c>
      <c r="BA6" s="47" t="s">
        <v>54</v>
      </c>
      <c r="BB6" s="11" t="s">
        <v>54</v>
      </c>
      <c r="BC6" s="11" t="s">
        <v>73</v>
      </c>
      <c r="BD6" s="33" t="s">
        <v>53</v>
      </c>
      <c r="BE6" s="47" t="s">
        <v>54</v>
      </c>
      <c r="BF6" s="33" t="s">
        <v>53</v>
      </c>
      <c r="BG6" s="19" t="s">
        <v>54</v>
      </c>
      <c r="BH6" s="161" t="s">
        <v>54</v>
      </c>
      <c r="BI6" s="33" t="s">
        <v>53</v>
      </c>
      <c r="BJ6" s="33" t="s">
        <v>53</v>
      </c>
      <c r="BK6" s="81" t="s">
        <v>54</v>
      </c>
      <c r="BL6" s="33" t="s">
        <v>53</v>
      </c>
      <c r="BM6" s="33" t="s">
        <v>53</v>
      </c>
      <c r="BN6" s="47" t="s">
        <v>54</v>
      </c>
      <c r="BO6" s="36" t="s">
        <v>54</v>
      </c>
      <c r="BP6" s="33" t="s">
        <v>53</v>
      </c>
      <c r="BQ6" s="33" t="s">
        <v>53</v>
      </c>
      <c r="BR6" s="19" t="s">
        <v>54</v>
      </c>
      <c r="BS6" s="19" t="s">
        <v>54</v>
      </c>
      <c r="BT6" s="47" t="s">
        <v>54</v>
      </c>
      <c r="BU6" s="33" t="s">
        <v>53</v>
      </c>
      <c r="BV6" s="19" t="s">
        <v>54</v>
      </c>
      <c r="BW6" s="47" t="s">
        <v>54</v>
      </c>
      <c r="BX6" s="33" t="s">
        <v>53</v>
      </c>
      <c r="BY6" s="19" t="s">
        <v>54</v>
      </c>
      <c r="BZ6" s="47" t="s">
        <v>54</v>
      </c>
      <c r="CA6" s="36" t="s">
        <v>54</v>
      </c>
      <c r="CB6" s="19" t="s">
        <v>73</v>
      </c>
      <c r="CC6" s="19" t="s">
        <v>73</v>
      </c>
      <c r="CD6" s="33" t="s">
        <v>53</v>
      </c>
      <c r="CE6" s="19" t="s">
        <v>54</v>
      </c>
      <c r="CF6" s="149" t="s">
        <v>54</v>
      </c>
      <c r="CG6" s="19" t="s">
        <v>54</v>
      </c>
      <c r="CH6" s="19" t="s">
        <v>73</v>
      </c>
      <c r="CI6" s="19" t="s">
        <v>73</v>
      </c>
      <c r="CJ6" s="19" t="s">
        <v>73</v>
      </c>
      <c r="CK6" s="19" t="s">
        <v>73</v>
      </c>
      <c r="CL6" s="33" t="s">
        <v>53</v>
      </c>
      <c r="CM6" s="33" t="s">
        <v>53</v>
      </c>
      <c r="CN6" s="33" t="s">
        <v>53</v>
      </c>
      <c r="CO6" s="33" t="s">
        <v>53</v>
      </c>
      <c r="CP6" s="47" t="s">
        <v>54</v>
      </c>
      <c r="CQ6" s="11" t="s">
        <v>54</v>
      </c>
      <c r="CR6" s="11" t="s">
        <v>54</v>
      </c>
      <c r="CS6" s="11" t="s">
        <v>54</v>
      </c>
      <c r="CT6" s="33" t="s">
        <v>53</v>
      </c>
      <c r="CU6" s="33" t="s">
        <v>53</v>
      </c>
      <c r="CV6" s="81" t="s">
        <v>54</v>
      </c>
      <c r="CW6" s="33" t="s">
        <v>53</v>
      </c>
      <c r="CX6" s="33" t="s">
        <v>53</v>
      </c>
      <c r="CY6" s="47" t="s">
        <v>54</v>
      </c>
      <c r="CZ6" s="36" t="s">
        <v>54</v>
      </c>
      <c r="DA6" s="36" t="s">
        <v>54</v>
      </c>
      <c r="DB6" s="36" t="s">
        <v>54</v>
      </c>
      <c r="DC6" s="33" t="s">
        <v>53</v>
      </c>
      <c r="DD6" s="33" t="s">
        <v>53</v>
      </c>
      <c r="DE6" s="33" t="s">
        <v>53</v>
      </c>
      <c r="DF6" s="33" t="s">
        <v>53</v>
      </c>
      <c r="DG6" s="11" t="s">
        <v>54</v>
      </c>
      <c r="DH6" s="11" t="s">
        <v>54</v>
      </c>
      <c r="DI6" s="11" t="s">
        <v>54</v>
      </c>
      <c r="DJ6" s="11" t="s">
        <v>54</v>
      </c>
      <c r="DK6" s="81" t="s">
        <v>73</v>
      </c>
      <c r="DL6" s="152" t="s">
        <v>53</v>
      </c>
      <c r="DM6" s="47" t="s">
        <v>54</v>
      </c>
      <c r="DN6" s="36" t="s">
        <v>54</v>
      </c>
      <c r="DO6" s="33" t="s">
        <v>53</v>
      </c>
      <c r="DP6" s="33" t="s">
        <v>53</v>
      </c>
      <c r="DQ6" s="11" t="s">
        <v>54</v>
      </c>
      <c r="DR6" s="11" t="s">
        <v>54</v>
      </c>
      <c r="DS6" s="47" t="s">
        <v>54</v>
      </c>
      <c r="DT6" s="33" t="s">
        <v>53</v>
      </c>
      <c r="DU6" s="11" t="s">
        <v>54</v>
      </c>
      <c r="DV6" s="47" t="s">
        <v>54</v>
      </c>
      <c r="DW6" s="33" t="s">
        <v>53</v>
      </c>
      <c r="DX6" s="98" t="s">
        <v>54</v>
      </c>
    </row>
    <row r="7" spans="1:128"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19" t="s">
        <v>56</v>
      </c>
      <c r="P7" s="36" t="s">
        <v>55</v>
      </c>
      <c r="Q7" s="19" t="s">
        <v>56</v>
      </c>
      <c r="R7" s="60" t="s">
        <v>55</v>
      </c>
      <c r="S7" s="33" t="s">
        <v>55</v>
      </c>
      <c r="T7" s="19" t="s">
        <v>56</v>
      </c>
      <c r="U7" s="149" t="s">
        <v>56</v>
      </c>
      <c r="V7" s="19" t="s">
        <v>56</v>
      </c>
      <c r="W7" s="36" t="s">
        <v>55</v>
      </c>
      <c r="X7" s="19" t="s">
        <v>56</v>
      </c>
      <c r="Y7" s="33" t="s">
        <v>55</v>
      </c>
      <c r="Z7" s="149" t="s">
        <v>56</v>
      </c>
      <c r="AA7" s="36" t="s">
        <v>55</v>
      </c>
      <c r="AB7" s="19" t="s">
        <v>56</v>
      </c>
      <c r="AC7" s="33" t="s">
        <v>55</v>
      </c>
      <c r="AD7" s="149" t="s">
        <v>56</v>
      </c>
      <c r="AE7" s="33" t="s">
        <v>55</v>
      </c>
      <c r="AF7" s="149" t="s">
        <v>56</v>
      </c>
      <c r="AG7" s="33" t="s">
        <v>55</v>
      </c>
      <c r="AH7" s="149" t="s">
        <v>56</v>
      </c>
      <c r="AI7" s="429" t="s">
        <v>56</v>
      </c>
      <c r="AJ7" s="19" t="s">
        <v>56</v>
      </c>
      <c r="AK7" s="19" t="s">
        <v>56</v>
      </c>
      <c r="AL7" s="19" t="s">
        <v>56</v>
      </c>
      <c r="AM7" s="19" t="s">
        <v>56</v>
      </c>
      <c r="AN7" s="19" t="s">
        <v>56</v>
      </c>
      <c r="AO7" s="19" t="s">
        <v>56</v>
      </c>
      <c r="AP7" s="19" t="s">
        <v>56</v>
      </c>
      <c r="AQ7" s="388" t="s">
        <v>56</v>
      </c>
      <c r="AR7" s="389" t="s">
        <v>56</v>
      </c>
      <c r="AS7" s="389" t="s">
        <v>56</v>
      </c>
      <c r="AT7" s="389" t="s">
        <v>56</v>
      </c>
      <c r="AU7" s="389" t="s">
        <v>56</v>
      </c>
      <c r="AV7" s="389" t="s">
        <v>56</v>
      </c>
      <c r="AW7" s="389" t="s">
        <v>56</v>
      </c>
      <c r="AX7" s="389" t="s">
        <v>56</v>
      </c>
      <c r="AY7" s="389" t="s">
        <v>56</v>
      </c>
      <c r="AZ7" s="19" t="s">
        <v>56</v>
      </c>
      <c r="BA7" s="47" t="s">
        <v>55</v>
      </c>
      <c r="BB7" s="11" t="s">
        <v>56</v>
      </c>
      <c r="BC7" s="11" t="s">
        <v>56</v>
      </c>
      <c r="BD7" s="33" t="s">
        <v>55</v>
      </c>
      <c r="BE7" s="47" t="s">
        <v>55</v>
      </c>
      <c r="BF7" s="33" t="s">
        <v>55</v>
      </c>
      <c r="BG7" s="19" t="s">
        <v>56</v>
      </c>
      <c r="BH7" s="161" t="s">
        <v>56</v>
      </c>
      <c r="BI7" s="33" t="s">
        <v>55</v>
      </c>
      <c r="BJ7" s="33" t="s">
        <v>55</v>
      </c>
      <c r="BK7" s="81" t="s">
        <v>56</v>
      </c>
      <c r="BL7" s="33" t="s">
        <v>55</v>
      </c>
      <c r="BM7" s="33" t="s">
        <v>55</v>
      </c>
      <c r="BN7" s="47" t="s">
        <v>55</v>
      </c>
      <c r="BO7" s="36" t="s">
        <v>55</v>
      </c>
      <c r="BP7" s="33" t="s">
        <v>55</v>
      </c>
      <c r="BQ7" s="33" t="s">
        <v>55</v>
      </c>
      <c r="BR7" s="19" t="s">
        <v>56</v>
      </c>
      <c r="BS7" s="19" t="s">
        <v>56</v>
      </c>
      <c r="BT7" s="47" t="s">
        <v>55</v>
      </c>
      <c r="BU7" s="33" t="s">
        <v>55</v>
      </c>
      <c r="BV7" s="19" t="s">
        <v>56</v>
      </c>
      <c r="BW7" s="47" t="s">
        <v>55</v>
      </c>
      <c r="BX7" s="33" t="s">
        <v>55</v>
      </c>
      <c r="BY7" s="19" t="s">
        <v>56</v>
      </c>
      <c r="BZ7" s="47" t="s">
        <v>55</v>
      </c>
      <c r="CA7" s="36" t="s">
        <v>56</v>
      </c>
      <c r="CB7" s="19" t="s">
        <v>56</v>
      </c>
      <c r="CC7" s="19" t="s">
        <v>56</v>
      </c>
      <c r="CD7" s="33" t="s">
        <v>55</v>
      </c>
      <c r="CE7" s="19" t="s">
        <v>56</v>
      </c>
      <c r="CF7" s="149" t="s">
        <v>56</v>
      </c>
      <c r="CG7" s="19" t="s">
        <v>56</v>
      </c>
      <c r="CH7" s="19" t="s">
        <v>56</v>
      </c>
      <c r="CI7" s="19" t="s">
        <v>56</v>
      </c>
      <c r="CJ7" s="19" t="s">
        <v>56</v>
      </c>
      <c r="CK7" s="19" t="s">
        <v>56</v>
      </c>
      <c r="CL7" s="33" t="s">
        <v>55</v>
      </c>
      <c r="CM7" s="33" t="s">
        <v>55</v>
      </c>
      <c r="CN7" s="33" t="s">
        <v>55</v>
      </c>
      <c r="CO7" s="33" t="s">
        <v>55</v>
      </c>
      <c r="CP7" s="47" t="s">
        <v>55</v>
      </c>
      <c r="CQ7" s="11" t="s">
        <v>56</v>
      </c>
      <c r="CR7" s="11" t="s">
        <v>56</v>
      </c>
      <c r="CS7" s="11" t="s">
        <v>56</v>
      </c>
      <c r="CT7" s="33" t="s">
        <v>55</v>
      </c>
      <c r="CU7" s="33" t="s">
        <v>55</v>
      </c>
      <c r="CV7" s="81" t="s">
        <v>56</v>
      </c>
      <c r="CW7" s="33" t="s">
        <v>55</v>
      </c>
      <c r="CX7" s="33" t="s">
        <v>55</v>
      </c>
      <c r="CY7" s="47" t="s">
        <v>55</v>
      </c>
      <c r="CZ7" s="36" t="s">
        <v>55</v>
      </c>
      <c r="DA7" s="36" t="s">
        <v>55</v>
      </c>
      <c r="DB7" s="36" t="s">
        <v>55</v>
      </c>
      <c r="DC7" s="33" t="s">
        <v>55</v>
      </c>
      <c r="DD7" s="33" t="s">
        <v>55</v>
      </c>
      <c r="DE7" s="33" t="s">
        <v>55</v>
      </c>
      <c r="DF7" s="33" t="s">
        <v>55</v>
      </c>
      <c r="DG7" s="11" t="s">
        <v>56</v>
      </c>
      <c r="DH7" s="11" t="s">
        <v>56</v>
      </c>
      <c r="DI7" s="11" t="s">
        <v>56</v>
      </c>
      <c r="DJ7" s="11" t="s">
        <v>56</v>
      </c>
      <c r="DK7" s="81" t="s">
        <v>56</v>
      </c>
      <c r="DL7" s="152" t="s">
        <v>55</v>
      </c>
      <c r="DM7" s="47" t="s">
        <v>55</v>
      </c>
      <c r="DN7" s="36" t="s">
        <v>55</v>
      </c>
      <c r="DO7" s="33" t="s">
        <v>55</v>
      </c>
      <c r="DP7" s="33" t="s">
        <v>55</v>
      </c>
      <c r="DQ7" s="11" t="s">
        <v>56</v>
      </c>
      <c r="DR7" s="11" t="s">
        <v>56</v>
      </c>
      <c r="DS7" s="47" t="s">
        <v>55</v>
      </c>
      <c r="DT7" s="33" t="s">
        <v>55</v>
      </c>
      <c r="DU7" s="11" t="s">
        <v>56</v>
      </c>
      <c r="DV7" s="47" t="s">
        <v>55</v>
      </c>
      <c r="DW7" s="33" t="s">
        <v>55</v>
      </c>
      <c r="DX7" s="98" t="s">
        <v>56</v>
      </c>
    </row>
    <row r="8" spans="1:128" x14ac:dyDescent="0.2">
      <c r="C8" s="5"/>
      <c r="D8" s="5"/>
      <c r="N8" s="273" t="s">
        <v>1058</v>
      </c>
      <c r="R8" s="290" t="s">
        <v>1057</v>
      </c>
      <c r="S8" s="273" t="s">
        <v>181</v>
      </c>
      <c r="Y8" s="273" t="s">
        <v>1056</v>
      </c>
      <c r="AC8" s="273" t="s">
        <v>1055</v>
      </c>
      <c r="AE8" s="273" t="s">
        <v>1054</v>
      </c>
      <c r="AG8" s="273" t="s">
        <v>1053</v>
      </c>
      <c r="AQ8" s="394" t="s">
        <v>76</v>
      </c>
      <c r="AR8" s="395" t="s">
        <v>518</v>
      </c>
      <c r="AS8" s="395" t="s">
        <v>89</v>
      </c>
      <c r="AT8" s="395" t="s">
        <v>93</v>
      </c>
      <c r="AU8" s="395" t="s">
        <v>880</v>
      </c>
      <c r="AV8" s="395" t="s">
        <v>881</v>
      </c>
      <c r="AW8" s="395" t="s">
        <v>882</v>
      </c>
      <c r="AX8" s="395" t="s">
        <v>105</v>
      </c>
      <c r="AY8" s="395" t="s">
        <v>883</v>
      </c>
      <c r="BD8" s="273" t="s">
        <v>1206</v>
      </c>
      <c r="BF8" s="273" t="s">
        <v>1061</v>
      </c>
      <c r="BH8" s="362"/>
      <c r="BI8" s="273" t="s">
        <v>78</v>
      </c>
      <c r="BJ8" s="273" t="s">
        <v>78</v>
      </c>
      <c r="BK8" s="143"/>
      <c r="BL8" s="273" t="s">
        <v>159</v>
      </c>
      <c r="BM8" s="273" t="s">
        <v>159</v>
      </c>
      <c r="BP8" s="273" t="s">
        <v>1059</v>
      </c>
      <c r="BQ8" s="273" t="s">
        <v>1060</v>
      </c>
      <c r="BU8" s="273" t="s">
        <v>129</v>
      </c>
      <c r="BX8" s="273" t="s">
        <v>118</v>
      </c>
      <c r="CD8" s="273" t="s">
        <v>103</v>
      </c>
      <c r="CL8" s="273" t="s">
        <v>107</v>
      </c>
      <c r="CM8" s="273" t="s">
        <v>107</v>
      </c>
      <c r="CN8" s="273" t="s">
        <v>107</v>
      </c>
      <c r="CO8" s="273" t="s">
        <v>107</v>
      </c>
      <c r="CT8" s="273" t="s">
        <v>142</v>
      </c>
      <c r="CU8" s="273" t="s">
        <v>142</v>
      </c>
      <c r="CW8" s="273" t="s">
        <v>143</v>
      </c>
      <c r="CX8" s="273" t="s">
        <v>143</v>
      </c>
      <c r="DC8" s="273" t="s">
        <v>473</v>
      </c>
      <c r="DD8" s="273" t="s">
        <v>471</v>
      </c>
      <c r="DE8" s="273" t="s">
        <v>475</v>
      </c>
      <c r="DF8" s="273" t="s">
        <v>475</v>
      </c>
      <c r="DL8" s="412" t="s">
        <v>115</v>
      </c>
      <c r="DO8" s="273" t="s">
        <v>477</v>
      </c>
      <c r="DP8" s="273" t="s">
        <v>478</v>
      </c>
      <c r="DT8" s="273" t="s">
        <v>121</v>
      </c>
      <c r="DW8" s="273" t="s">
        <v>133</v>
      </c>
    </row>
    <row r="9" spans="1:128" x14ac:dyDescent="0.2">
      <c r="C9" s="5"/>
      <c r="D9" s="5"/>
      <c r="N9" s="273"/>
      <c r="R9" s="290"/>
      <c r="S9" s="273"/>
      <c r="Y9" s="273"/>
      <c r="AC9" s="273"/>
      <c r="AE9" s="273"/>
      <c r="AG9" s="273"/>
      <c r="AQ9" s="394"/>
      <c r="AR9" s="395"/>
      <c r="AS9" s="395"/>
      <c r="AT9" s="395"/>
      <c r="AU9" s="395"/>
      <c r="AV9" s="395"/>
      <c r="AW9" s="395"/>
      <c r="AX9" s="395"/>
      <c r="AY9" s="395"/>
      <c r="BD9" s="273"/>
      <c r="BF9" s="273"/>
      <c r="BH9" s="362"/>
      <c r="BI9" s="273"/>
      <c r="BJ9" s="273"/>
      <c r="BK9" s="143"/>
      <c r="BL9" s="273"/>
      <c r="BM9" s="273"/>
      <c r="BP9" s="273"/>
      <c r="BQ9" s="273"/>
      <c r="BU9" s="273"/>
      <c r="BX9" s="273"/>
      <c r="CD9" s="273"/>
      <c r="CL9" s="273"/>
      <c r="CM9" s="273"/>
      <c r="CN9" s="273"/>
      <c r="CO9" s="273"/>
      <c r="CT9" s="273"/>
      <c r="CU9" s="273"/>
      <c r="CW9" s="273"/>
      <c r="CX9" s="273"/>
      <c r="DC9" s="273"/>
      <c r="DD9" s="273"/>
      <c r="DE9" s="273"/>
      <c r="DF9" s="273"/>
      <c r="DL9" s="412"/>
      <c r="DO9" s="273"/>
      <c r="DP9" s="273"/>
      <c r="DT9" s="273"/>
      <c r="DW9" s="273"/>
    </row>
    <row r="10" spans="1:128" x14ac:dyDescent="0.2">
      <c r="C10" s="5"/>
      <c r="D10" s="5"/>
      <c r="N10" s="273" t="s">
        <v>1207</v>
      </c>
      <c r="R10" s="290" t="s">
        <v>1207</v>
      </c>
      <c r="S10" s="273" t="s">
        <v>65</v>
      </c>
      <c r="Y10" s="273" t="s">
        <v>1207</v>
      </c>
      <c r="AC10" s="273" t="s">
        <v>1208</v>
      </c>
      <c r="AE10" s="273" t="s">
        <v>1208</v>
      </c>
      <c r="AG10" s="273" t="s">
        <v>1209</v>
      </c>
      <c r="AQ10" s="394" t="s">
        <v>63</v>
      </c>
      <c r="AR10" s="395" t="s">
        <v>65</v>
      </c>
      <c r="AS10" s="395" t="s">
        <v>63</v>
      </c>
      <c r="AT10" s="395" t="s">
        <v>65</v>
      </c>
      <c r="AU10" s="395" t="s">
        <v>63</v>
      </c>
      <c r="AV10" s="395" t="s">
        <v>65</v>
      </c>
      <c r="AW10" s="395" t="s">
        <v>65</v>
      </c>
      <c r="AX10" s="395" t="s">
        <v>65</v>
      </c>
      <c r="AY10" s="395" t="s">
        <v>65</v>
      </c>
      <c r="BD10" s="273" t="s">
        <v>1207</v>
      </c>
      <c r="BF10" s="273"/>
      <c r="BH10" s="362"/>
      <c r="BI10" s="273" t="s">
        <v>81</v>
      </c>
      <c r="BJ10" s="273" t="s">
        <v>80</v>
      </c>
      <c r="BK10" s="143"/>
      <c r="BL10" s="273" t="s">
        <v>81</v>
      </c>
      <c r="BM10" s="273" t="s">
        <v>80</v>
      </c>
      <c r="BP10" s="273"/>
      <c r="BQ10" s="273"/>
      <c r="BU10" s="273"/>
      <c r="BX10" s="273"/>
      <c r="CD10" s="273" t="s">
        <v>65</v>
      </c>
      <c r="CL10" s="273" t="s">
        <v>111</v>
      </c>
      <c r="CM10" s="273" t="s">
        <v>112</v>
      </c>
      <c r="CN10" s="273" t="s">
        <v>109</v>
      </c>
      <c r="CO10" s="273" t="s">
        <v>110</v>
      </c>
      <c r="CT10" s="273" t="s">
        <v>81</v>
      </c>
      <c r="CU10" s="273" t="s">
        <v>80</v>
      </c>
      <c r="CW10" s="273" t="s">
        <v>81</v>
      </c>
      <c r="CX10" s="273" t="s">
        <v>80</v>
      </c>
      <c r="DC10" s="273"/>
      <c r="DD10" s="273"/>
      <c r="DE10" s="273" t="s">
        <v>114</v>
      </c>
      <c r="DF10" s="273" t="s">
        <v>113</v>
      </c>
      <c r="DL10" s="412"/>
      <c r="DO10" s="273" t="s">
        <v>486</v>
      </c>
      <c r="DP10" s="273" t="s">
        <v>487</v>
      </c>
      <c r="DT10" s="273"/>
      <c r="DW10" s="273"/>
    </row>
    <row r="11" spans="1:128" x14ac:dyDescent="0.2">
      <c r="C11" s="5"/>
      <c r="D11" s="5"/>
      <c r="E11" s="47" t="s">
        <v>878</v>
      </c>
      <c r="F11" s="36" t="s">
        <v>878</v>
      </c>
      <c r="G11" s="36" t="s">
        <v>878</v>
      </c>
      <c r="H11" s="36" t="s">
        <v>878</v>
      </c>
      <c r="I11" s="36" t="s">
        <v>878</v>
      </c>
      <c r="J11" s="36" t="s">
        <v>878</v>
      </c>
      <c r="K11" s="36" t="s">
        <v>878</v>
      </c>
      <c r="L11" s="19" t="s">
        <v>878</v>
      </c>
      <c r="M11" s="47" t="s">
        <v>878</v>
      </c>
      <c r="N11" s="33" t="s">
        <v>878</v>
      </c>
      <c r="O11" s="19" t="s">
        <v>878</v>
      </c>
      <c r="P11" s="36" t="s">
        <v>878</v>
      </c>
      <c r="Q11" s="19" t="s">
        <v>878</v>
      </c>
      <c r="R11" s="60" t="s">
        <v>878</v>
      </c>
      <c r="S11" s="33" t="s">
        <v>878</v>
      </c>
      <c r="T11" s="19" t="s">
        <v>878</v>
      </c>
      <c r="U11" s="149" t="s">
        <v>878</v>
      </c>
      <c r="V11" s="19" t="s">
        <v>878</v>
      </c>
      <c r="W11" s="36" t="s">
        <v>878</v>
      </c>
      <c r="X11" s="19" t="s">
        <v>878</v>
      </c>
      <c r="Y11" s="33" t="s">
        <v>878</v>
      </c>
      <c r="Z11" s="149" t="s">
        <v>878</v>
      </c>
      <c r="AA11" s="36" t="s">
        <v>878</v>
      </c>
      <c r="AB11" s="19" t="s">
        <v>878</v>
      </c>
      <c r="AC11" s="33" t="s">
        <v>878</v>
      </c>
      <c r="AD11" s="149" t="s">
        <v>878</v>
      </c>
      <c r="AE11" s="33" t="s">
        <v>878</v>
      </c>
      <c r="AF11" s="149" t="s">
        <v>878</v>
      </c>
      <c r="AG11" s="33" t="s">
        <v>878</v>
      </c>
      <c r="AH11" s="149" t="s">
        <v>876</v>
      </c>
      <c r="AI11" s="429" t="s">
        <v>876</v>
      </c>
      <c r="AJ11" s="19" t="s">
        <v>877</v>
      </c>
      <c r="AK11" s="19" t="s">
        <v>875</v>
      </c>
      <c r="AL11" s="19" t="s">
        <v>877</v>
      </c>
      <c r="AM11" s="19" t="s">
        <v>877</v>
      </c>
      <c r="AN11" s="19" t="s">
        <v>877</v>
      </c>
      <c r="AO11" s="19" t="s">
        <v>877</v>
      </c>
      <c r="AP11" s="19" t="s">
        <v>877</v>
      </c>
      <c r="AQ11" s="388" t="s">
        <v>876</v>
      </c>
      <c r="AR11" s="389" t="s">
        <v>876</v>
      </c>
      <c r="AS11" s="389" t="s">
        <v>877</v>
      </c>
      <c r="AT11" s="389" t="s">
        <v>875</v>
      </c>
      <c r="AU11" s="389" t="s">
        <v>877</v>
      </c>
      <c r="AV11" s="389" t="s">
        <v>877</v>
      </c>
      <c r="AW11" s="389" t="s">
        <v>877</v>
      </c>
      <c r="AX11" s="389" t="s">
        <v>877</v>
      </c>
      <c r="AY11" s="389" t="s">
        <v>877</v>
      </c>
      <c r="AZ11" s="19" t="s">
        <v>877</v>
      </c>
      <c r="BA11" s="47" t="s">
        <v>875</v>
      </c>
      <c r="BB11" s="11" t="s">
        <v>875</v>
      </c>
      <c r="BC11" s="11" t="s">
        <v>875</v>
      </c>
      <c r="BD11" s="33" t="s">
        <v>875</v>
      </c>
      <c r="BE11" s="47" t="s">
        <v>876</v>
      </c>
      <c r="BF11" s="33" t="s">
        <v>876</v>
      </c>
      <c r="BG11" s="19" t="s">
        <v>876</v>
      </c>
      <c r="BH11" s="161" t="s">
        <v>876</v>
      </c>
      <c r="BI11" s="33" t="s">
        <v>876</v>
      </c>
      <c r="BJ11" s="33" t="s">
        <v>876</v>
      </c>
      <c r="BK11" s="81" t="s">
        <v>877</v>
      </c>
      <c r="BL11" s="33" t="s">
        <v>877</v>
      </c>
      <c r="BM11" s="33" t="s">
        <v>877</v>
      </c>
      <c r="BN11" s="47" t="s">
        <v>875</v>
      </c>
      <c r="BO11" s="36" t="s">
        <v>875</v>
      </c>
      <c r="BP11" s="33" t="s">
        <v>875</v>
      </c>
      <c r="BQ11" s="33" t="s">
        <v>875</v>
      </c>
      <c r="BR11" s="19" t="s">
        <v>875</v>
      </c>
      <c r="BS11" s="19" t="s">
        <v>875</v>
      </c>
      <c r="BT11" s="47" t="s">
        <v>876</v>
      </c>
      <c r="BU11" s="33" t="s">
        <v>876</v>
      </c>
      <c r="BV11" s="19" t="s">
        <v>876</v>
      </c>
      <c r="BZ11" s="47" t="s">
        <v>874</v>
      </c>
      <c r="CA11" s="36" t="s">
        <v>874</v>
      </c>
      <c r="CB11" s="19" t="s">
        <v>874</v>
      </c>
      <c r="CC11" s="19" t="s">
        <v>874</v>
      </c>
      <c r="CD11" s="33" t="s">
        <v>874</v>
      </c>
      <c r="CE11" s="19" t="s">
        <v>874</v>
      </c>
      <c r="CF11" s="149" t="s">
        <v>462</v>
      </c>
      <c r="CG11" s="19" t="s">
        <v>462</v>
      </c>
      <c r="CH11" s="19" t="s">
        <v>462</v>
      </c>
      <c r="CI11" s="19" t="s">
        <v>462</v>
      </c>
      <c r="CJ11" s="19" t="s">
        <v>462</v>
      </c>
      <c r="CK11" s="19" t="s">
        <v>462</v>
      </c>
      <c r="CL11" s="33" t="s">
        <v>462</v>
      </c>
      <c r="CM11" s="33" t="s">
        <v>462</v>
      </c>
      <c r="CN11" s="33" t="s">
        <v>462</v>
      </c>
      <c r="CO11" s="33" t="s">
        <v>462</v>
      </c>
      <c r="CP11" s="47" t="s">
        <v>462</v>
      </c>
      <c r="CQ11" s="11" t="s">
        <v>462</v>
      </c>
      <c r="CR11" s="11" t="s">
        <v>462</v>
      </c>
      <c r="CS11" s="11" t="s">
        <v>462</v>
      </c>
      <c r="CT11" s="33" t="s">
        <v>462</v>
      </c>
      <c r="CU11" s="33" t="s">
        <v>462</v>
      </c>
      <c r="CV11" s="81" t="s">
        <v>462</v>
      </c>
      <c r="CW11" s="33" t="s">
        <v>462</v>
      </c>
      <c r="CX11" s="33" t="s">
        <v>462</v>
      </c>
      <c r="CY11" s="47" t="s">
        <v>463</v>
      </c>
      <c r="CZ11" s="36" t="s">
        <v>463</v>
      </c>
      <c r="DA11" s="36" t="s">
        <v>463</v>
      </c>
      <c r="DB11" s="36" t="s">
        <v>463</v>
      </c>
      <c r="DC11" s="33" t="s">
        <v>463</v>
      </c>
      <c r="DD11" s="33" t="s">
        <v>463</v>
      </c>
      <c r="DE11" s="33" t="s">
        <v>463</v>
      </c>
      <c r="DF11" s="33" t="s">
        <v>463</v>
      </c>
      <c r="DG11" s="11" t="s">
        <v>463</v>
      </c>
      <c r="DH11" s="11" t="s">
        <v>463</v>
      </c>
      <c r="DI11" s="11" t="s">
        <v>463</v>
      </c>
      <c r="DJ11" s="11" t="s">
        <v>463</v>
      </c>
      <c r="DK11" s="81" t="s">
        <v>466</v>
      </c>
      <c r="DL11" s="152" t="s">
        <v>466</v>
      </c>
      <c r="DM11" s="47" t="s">
        <v>293</v>
      </c>
      <c r="DN11" s="36" t="s">
        <v>293</v>
      </c>
      <c r="DO11" s="33" t="s">
        <v>293</v>
      </c>
      <c r="DP11" s="33" t="s">
        <v>293</v>
      </c>
      <c r="DQ11" s="11" t="s">
        <v>293</v>
      </c>
      <c r="DR11" s="11" t="s">
        <v>293</v>
      </c>
    </row>
    <row r="12" spans="1:128" x14ac:dyDescent="0.2">
      <c r="C12" s="5"/>
      <c r="D12" s="5"/>
      <c r="E12" s="47" t="s">
        <v>138</v>
      </c>
      <c r="F12" s="36" t="s">
        <v>138</v>
      </c>
      <c r="G12" s="36" t="s">
        <v>138</v>
      </c>
      <c r="H12" s="36" t="s">
        <v>138</v>
      </c>
      <c r="I12" s="36" t="s">
        <v>138</v>
      </c>
      <c r="J12" s="36" t="s">
        <v>138</v>
      </c>
      <c r="K12" s="36" t="s">
        <v>138</v>
      </c>
      <c r="L12" s="19" t="s">
        <v>138</v>
      </c>
      <c r="M12" s="47" t="s">
        <v>138</v>
      </c>
      <c r="N12" s="33" t="s">
        <v>138</v>
      </c>
      <c r="O12" s="19" t="s">
        <v>138</v>
      </c>
      <c r="P12" s="36" t="s">
        <v>138</v>
      </c>
      <c r="Q12" s="19" t="s">
        <v>138</v>
      </c>
      <c r="R12" s="60" t="s">
        <v>138</v>
      </c>
      <c r="S12" s="33" t="s">
        <v>138</v>
      </c>
      <c r="T12" s="19" t="s">
        <v>138</v>
      </c>
      <c r="U12" s="149" t="s">
        <v>138</v>
      </c>
      <c r="V12" s="19" t="s">
        <v>138</v>
      </c>
      <c r="W12" s="36" t="s">
        <v>138</v>
      </c>
      <c r="X12" s="19" t="s">
        <v>138</v>
      </c>
      <c r="Y12" s="33" t="s">
        <v>138</v>
      </c>
      <c r="Z12" s="149" t="s">
        <v>138</v>
      </c>
      <c r="AA12" s="36" t="s">
        <v>138</v>
      </c>
      <c r="AB12" s="19" t="s">
        <v>138</v>
      </c>
      <c r="AC12" s="33" t="s">
        <v>138</v>
      </c>
      <c r="AD12" s="149" t="s">
        <v>138</v>
      </c>
      <c r="AE12" s="33" t="s">
        <v>138</v>
      </c>
      <c r="AF12" s="149" t="s">
        <v>138</v>
      </c>
      <c r="AG12" s="33" t="s">
        <v>138</v>
      </c>
      <c r="AH12" s="149" t="s">
        <v>460</v>
      </c>
      <c r="AI12" s="429" t="s">
        <v>460</v>
      </c>
      <c r="AJ12" s="19" t="s">
        <v>138</v>
      </c>
      <c r="AK12" s="19" t="s">
        <v>461</v>
      </c>
      <c r="AL12" s="19" t="s">
        <v>138</v>
      </c>
      <c r="AM12" s="19" t="s">
        <v>138</v>
      </c>
      <c r="AN12" s="19" t="s">
        <v>138</v>
      </c>
      <c r="AO12" s="19" t="s">
        <v>138</v>
      </c>
      <c r="AP12" s="19" t="s">
        <v>138</v>
      </c>
      <c r="AQ12" s="388" t="s">
        <v>460</v>
      </c>
      <c r="AR12" s="389" t="s">
        <v>460</v>
      </c>
      <c r="AS12" s="389" t="s">
        <v>138</v>
      </c>
      <c r="AT12" s="389" t="s">
        <v>461</v>
      </c>
      <c r="AU12" s="389" t="s">
        <v>138</v>
      </c>
      <c r="AV12" s="389" t="s">
        <v>138</v>
      </c>
      <c r="AW12" s="389" t="s">
        <v>138</v>
      </c>
      <c r="AX12" s="389" t="s">
        <v>138</v>
      </c>
      <c r="AY12" s="389" t="s">
        <v>138</v>
      </c>
      <c r="AZ12" s="19" t="s">
        <v>138</v>
      </c>
      <c r="BA12" s="47" t="s">
        <v>138</v>
      </c>
      <c r="BB12" s="11" t="s">
        <v>138</v>
      </c>
      <c r="BC12" s="11" t="s">
        <v>138</v>
      </c>
      <c r="BD12" s="33" t="s">
        <v>138</v>
      </c>
      <c r="BE12" s="47" t="s">
        <v>138</v>
      </c>
      <c r="BF12" s="33" t="s">
        <v>138</v>
      </c>
      <c r="BG12" s="19" t="s">
        <v>138</v>
      </c>
      <c r="BH12" s="161" t="s">
        <v>460</v>
      </c>
      <c r="BI12" s="33" t="s">
        <v>460</v>
      </c>
      <c r="BJ12" s="33" t="s">
        <v>460</v>
      </c>
      <c r="BK12" s="81" t="s">
        <v>138</v>
      </c>
      <c r="BL12" s="33" t="s">
        <v>138</v>
      </c>
      <c r="BM12" s="33" t="s">
        <v>138</v>
      </c>
      <c r="BN12" s="47" t="s">
        <v>138</v>
      </c>
      <c r="BO12" s="36" t="s">
        <v>138</v>
      </c>
      <c r="BP12" s="33" t="s">
        <v>138</v>
      </c>
      <c r="BQ12" s="33" t="s">
        <v>138</v>
      </c>
      <c r="BR12" s="19" t="s">
        <v>138</v>
      </c>
      <c r="BS12" s="19" t="s">
        <v>138</v>
      </c>
      <c r="BT12" s="47" t="s">
        <v>138</v>
      </c>
      <c r="BU12" s="33" t="s">
        <v>138</v>
      </c>
      <c r="BV12" s="19" t="s">
        <v>138</v>
      </c>
      <c r="BZ12" s="47" t="s">
        <v>460</v>
      </c>
      <c r="CA12" s="36" t="s">
        <v>460</v>
      </c>
      <c r="CB12" s="19" t="s">
        <v>460</v>
      </c>
      <c r="CC12" s="19" t="s">
        <v>460</v>
      </c>
      <c r="CD12" s="33" t="s">
        <v>460</v>
      </c>
      <c r="CE12" s="19" t="s">
        <v>460</v>
      </c>
      <c r="CF12" s="149" t="s">
        <v>138</v>
      </c>
      <c r="CG12" s="19" t="s">
        <v>138</v>
      </c>
      <c r="CH12" s="19" t="s">
        <v>138</v>
      </c>
      <c r="CI12" s="19" t="s">
        <v>138</v>
      </c>
      <c r="CJ12" s="19" t="s">
        <v>138</v>
      </c>
      <c r="CK12" s="19" t="s">
        <v>138</v>
      </c>
      <c r="CL12" s="33" t="s">
        <v>138</v>
      </c>
      <c r="CM12" s="33" t="s">
        <v>138</v>
      </c>
      <c r="CN12" s="33" t="s">
        <v>138</v>
      </c>
      <c r="CO12" s="33" t="s">
        <v>138</v>
      </c>
      <c r="CP12" s="47" t="s">
        <v>138</v>
      </c>
      <c r="CQ12" s="11" t="s">
        <v>138</v>
      </c>
      <c r="CR12" s="11" t="s">
        <v>138</v>
      </c>
      <c r="CS12" s="11" t="s">
        <v>138</v>
      </c>
      <c r="CT12" s="33" t="s">
        <v>138</v>
      </c>
      <c r="CU12" s="33" t="s">
        <v>138</v>
      </c>
      <c r="CV12" s="81" t="s">
        <v>138</v>
      </c>
      <c r="CW12" s="33" t="s">
        <v>138</v>
      </c>
      <c r="CX12" s="33" t="s">
        <v>138</v>
      </c>
      <c r="CY12" s="47" t="s">
        <v>138</v>
      </c>
      <c r="CZ12" s="36" t="s">
        <v>138</v>
      </c>
      <c r="DA12" s="36" t="s">
        <v>138</v>
      </c>
      <c r="DB12" s="36" t="s">
        <v>138</v>
      </c>
      <c r="DC12" s="33" t="s">
        <v>138</v>
      </c>
      <c r="DD12" s="33" t="s">
        <v>138</v>
      </c>
      <c r="DE12" s="33" t="s">
        <v>138</v>
      </c>
      <c r="DF12" s="33" t="s">
        <v>138</v>
      </c>
      <c r="DG12" s="11" t="s">
        <v>138</v>
      </c>
      <c r="DH12" s="11" t="s">
        <v>138</v>
      </c>
      <c r="DI12" s="11" t="s">
        <v>138</v>
      </c>
      <c r="DJ12" s="11" t="s">
        <v>138</v>
      </c>
      <c r="DK12" s="81" t="s">
        <v>138</v>
      </c>
      <c r="DL12" s="152" t="s">
        <v>138</v>
      </c>
      <c r="DM12" s="47" t="s">
        <v>460</v>
      </c>
      <c r="DN12" s="36" t="s">
        <v>460</v>
      </c>
      <c r="DO12" s="33" t="s">
        <v>460</v>
      </c>
      <c r="DP12" s="33" t="s">
        <v>460</v>
      </c>
      <c r="DQ12" s="11" t="s">
        <v>460</v>
      </c>
      <c r="DR12" s="11" t="s">
        <v>460</v>
      </c>
      <c r="DS12" s="47" t="s">
        <v>138</v>
      </c>
      <c r="DT12" s="33" t="s">
        <v>138</v>
      </c>
      <c r="DU12" s="11" t="s">
        <v>138</v>
      </c>
    </row>
    <row r="13" spans="1:128" x14ac:dyDescent="0.2">
      <c r="C13" s="5"/>
      <c r="D13" s="5"/>
      <c r="BW13" s="47" t="s">
        <v>467</v>
      </c>
      <c r="BX13" s="33" t="s">
        <v>467</v>
      </c>
      <c r="BY13" s="19" t="s">
        <v>467</v>
      </c>
    </row>
    <row r="14" spans="1:128" x14ac:dyDescent="0.2">
      <c r="A14" s="207" t="s">
        <v>1077</v>
      </c>
      <c r="B14" s="207" t="s">
        <v>25</v>
      </c>
      <c r="C14" s="207" t="s">
        <v>4</v>
      </c>
      <c r="D14" s="207" t="s">
        <v>45</v>
      </c>
      <c r="E14" s="218" t="s">
        <v>360</v>
      </c>
      <c r="F14" s="191" t="s">
        <v>202</v>
      </c>
      <c r="G14" s="191" t="s">
        <v>201</v>
      </c>
      <c r="H14" s="191" t="s">
        <v>204</v>
      </c>
      <c r="I14" s="191" t="s">
        <v>542</v>
      </c>
      <c r="J14" s="191" t="s">
        <v>636</v>
      </c>
      <c r="K14" s="191" t="s">
        <v>551</v>
      </c>
      <c r="L14" s="196" t="s">
        <v>637</v>
      </c>
      <c r="M14" s="218" t="s">
        <v>948</v>
      </c>
      <c r="N14" s="197" t="s">
        <v>949</v>
      </c>
      <c r="O14" s="196" t="s">
        <v>954</v>
      </c>
      <c r="P14" s="191" t="s">
        <v>955</v>
      </c>
      <c r="Q14" s="196" t="s">
        <v>951</v>
      </c>
      <c r="R14" s="238" t="s">
        <v>952</v>
      </c>
      <c r="S14" s="197" t="s">
        <v>953</v>
      </c>
      <c r="T14" s="196" t="s">
        <v>950</v>
      </c>
      <c r="U14" s="223" t="s">
        <v>956</v>
      </c>
      <c r="V14" s="196" t="s">
        <v>957</v>
      </c>
      <c r="W14" s="191" t="s">
        <v>958</v>
      </c>
      <c r="X14" s="196" t="s">
        <v>959</v>
      </c>
      <c r="Y14" s="197" t="s">
        <v>960</v>
      </c>
      <c r="Z14" s="223" t="s">
        <v>961</v>
      </c>
      <c r="AA14" s="191" t="s">
        <v>962</v>
      </c>
      <c r="AB14" s="196" t="s">
        <v>963</v>
      </c>
      <c r="AC14" s="197" t="s">
        <v>964</v>
      </c>
      <c r="AD14" s="223" t="s">
        <v>965</v>
      </c>
      <c r="AE14" s="197" t="s">
        <v>966</v>
      </c>
      <c r="AF14" s="223" t="s">
        <v>967</v>
      </c>
      <c r="AG14" s="197" t="s">
        <v>968</v>
      </c>
      <c r="AH14" s="223" t="s">
        <v>975</v>
      </c>
      <c r="AI14" s="196" t="s">
        <v>976</v>
      </c>
      <c r="AJ14" s="196" t="s">
        <v>977</v>
      </c>
      <c r="AK14" s="196" t="s">
        <v>978</v>
      </c>
      <c r="AL14" s="196" t="s">
        <v>979</v>
      </c>
      <c r="AM14" s="196" t="s">
        <v>980</v>
      </c>
      <c r="AN14" s="196" t="s">
        <v>981</v>
      </c>
      <c r="AO14" s="196" t="s">
        <v>982</v>
      </c>
      <c r="AP14" s="196" t="s">
        <v>983</v>
      </c>
      <c r="AQ14" s="390" t="s">
        <v>985</v>
      </c>
      <c r="AR14" s="391" t="s">
        <v>986</v>
      </c>
      <c r="AS14" s="391" t="s">
        <v>987</v>
      </c>
      <c r="AT14" s="391" t="s">
        <v>988</v>
      </c>
      <c r="AU14" s="391" t="s">
        <v>989</v>
      </c>
      <c r="AV14" s="391" t="s">
        <v>990</v>
      </c>
      <c r="AW14" s="391" t="s">
        <v>991</v>
      </c>
      <c r="AX14" s="391" t="s">
        <v>992</v>
      </c>
      <c r="AY14" s="391" t="s">
        <v>993</v>
      </c>
      <c r="AZ14" s="196" t="s">
        <v>995</v>
      </c>
      <c r="BA14" s="218" t="s">
        <v>943</v>
      </c>
      <c r="BB14" s="196" t="s">
        <v>342</v>
      </c>
      <c r="BC14" s="196" t="s">
        <v>1023</v>
      </c>
      <c r="BD14" s="197" t="s">
        <v>1012</v>
      </c>
      <c r="BE14" s="218" t="s">
        <v>243</v>
      </c>
      <c r="BF14" s="197" t="s">
        <v>1011</v>
      </c>
      <c r="BG14" s="196" t="s">
        <v>1039</v>
      </c>
      <c r="BH14" s="223" t="s">
        <v>1200</v>
      </c>
      <c r="BI14" s="197" t="s">
        <v>1201</v>
      </c>
      <c r="BJ14" s="197" t="s">
        <v>1202</v>
      </c>
      <c r="BK14" s="223" t="s">
        <v>1203</v>
      </c>
      <c r="BL14" s="197" t="s">
        <v>1204</v>
      </c>
      <c r="BM14" s="197" t="s">
        <v>1205</v>
      </c>
      <c r="BN14" s="218" t="s">
        <v>281</v>
      </c>
      <c r="BO14" s="191" t="s">
        <v>532</v>
      </c>
      <c r="BP14" s="197" t="s">
        <v>999</v>
      </c>
      <c r="BQ14" s="197" t="s">
        <v>1000</v>
      </c>
      <c r="BR14" s="196" t="s">
        <v>1037</v>
      </c>
      <c r="BS14" s="196" t="s">
        <v>1038</v>
      </c>
      <c r="BT14" s="218" t="s">
        <v>276</v>
      </c>
      <c r="BU14" s="197" t="s">
        <v>1016</v>
      </c>
      <c r="BV14" s="196" t="s">
        <v>1040</v>
      </c>
      <c r="BW14" s="218" t="s">
        <v>260</v>
      </c>
      <c r="BX14" s="197" t="s">
        <v>1015</v>
      </c>
      <c r="BY14" s="196" t="s">
        <v>1041</v>
      </c>
      <c r="BZ14" s="218" t="s">
        <v>244</v>
      </c>
      <c r="CA14" s="191" t="s">
        <v>1042</v>
      </c>
      <c r="CB14" s="196" t="s">
        <v>1044</v>
      </c>
      <c r="CC14" s="196" t="s">
        <v>1045</v>
      </c>
      <c r="CD14" s="197" t="s">
        <v>1013</v>
      </c>
      <c r="CE14" s="196" t="s">
        <v>1043</v>
      </c>
      <c r="CF14" s="223" t="s">
        <v>1086</v>
      </c>
      <c r="CG14" s="196" t="s">
        <v>1087</v>
      </c>
      <c r="CH14" s="196" t="s">
        <v>1088</v>
      </c>
      <c r="CI14" s="196" t="s">
        <v>1089</v>
      </c>
      <c r="CJ14" s="196" t="s">
        <v>1097</v>
      </c>
      <c r="CK14" s="196" t="s">
        <v>1096</v>
      </c>
      <c r="CL14" s="197" t="s">
        <v>1092</v>
      </c>
      <c r="CM14" s="197" t="s">
        <v>1093</v>
      </c>
      <c r="CN14" s="197" t="s">
        <v>1090</v>
      </c>
      <c r="CO14" s="197" t="s">
        <v>1091</v>
      </c>
      <c r="CP14" s="218" t="s">
        <v>1117</v>
      </c>
      <c r="CQ14" s="196" t="s">
        <v>1116</v>
      </c>
      <c r="CR14" s="196" t="s">
        <v>1112</v>
      </c>
      <c r="CS14" s="196" t="s">
        <v>1113</v>
      </c>
      <c r="CT14" s="197" t="s">
        <v>1105</v>
      </c>
      <c r="CU14" s="197" t="s">
        <v>1104</v>
      </c>
      <c r="CV14" s="223" t="s">
        <v>1111</v>
      </c>
      <c r="CW14" s="197" t="s">
        <v>1108</v>
      </c>
      <c r="CX14" s="197" t="s">
        <v>1109</v>
      </c>
      <c r="CY14" s="218" t="s">
        <v>302</v>
      </c>
      <c r="CZ14" s="191" t="s">
        <v>358</v>
      </c>
      <c r="DA14" s="191" t="s">
        <v>356</v>
      </c>
      <c r="DB14" s="191" t="s">
        <v>278</v>
      </c>
      <c r="DC14" s="197" t="s">
        <v>1129</v>
      </c>
      <c r="DD14" s="197" t="s">
        <v>1130</v>
      </c>
      <c r="DE14" s="197" t="s">
        <v>1131</v>
      </c>
      <c r="DF14" s="197" t="s">
        <v>1132</v>
      </c>
      <c r="DG14" s="196" t="s">
        <v>1212</v>
      </c>
      <c r="DH14" s="196" t="s">
        <v>1133</v>
      </c>
      <c r="DI14" s="196" t="s">
        <v>1134</v>
      </c>
      <c r="DJ14" s="196" t="s">
        <v>1135</v>
      </c>
      <c r="DK14" s="223" t="s">
        <v>1211</v>
      </c>
      <c r="DL14" s="391" t="s">
        <v>1210</v>
      </c>
      <c r="DM14" s="218" t="s">
        <v>304</v>
      </c>
      <c r="DN14" s="191" t="s">
        <v>305</v>
      </c>
      <c r="DO14" s="197" t="s">
        <v>1018</v>
      </c>
      <c r="DP14" s="197" t="s">
        <v>1019</v>
      </c>
      <c r="DQ14" s="196" t="s">
        <v>1048</v>
      </c>
      <c r="DR14" s="196" t="s">
        <v>1049</v>
      </c>
      <c r="DS14" s="218" t="s">
        <v>262</v>
      </c>
      <c r="DT14" s="197" t="s">
        <v>1020</v>
      </c>
      <c r="DU14" s="196" t="s">
        <v>1050</v>
      </c>
      <c r="DV14" s="218" t="s">
        <v>1017</v>
      </c>
      <c r="DW14" s="197" t="s">
        <v>1052</v>
      </c>
      <c r="DX14" s="196" t="s">
        <v>1051</v>
      </c>
    </row>
    <row r="15" spans="1:128" x14ac:dyDescent="0.2">
      <c r="A15" t="s">
        <v>187</v>
      </c>
      <c r="B15" s="5" t="s">
        <v>26</v>
      </c>
      <c r="C15" s="5" t="s">
        <v>581</v>
      </c>
      <c r="D15" s="5"/>
      <c r="E15" s="47" t="str">
        <f>IFERROR(1/(1/IF($B15="&lt;01",ROUND(SUM(EID!$L:$L)/2,0),SUMIFS(HTS!$AM:$AM,HTS!$C:$C,$B15,HTS!$D:$D,$C15))),"")</f>
        <v/>
      </c>
      <c r="F15" s="36" t="str">
        <f>IFERROR(1/(1/IF($B15="&lt;01",ROUND(SUM(EID!$N:$N)/2,0),SUMIFS(Cascade!$AW:$AW,Cascade!$C:$C,$B15,Cascade!$D:$D,$C15))),"")</f>
        <v/>
      </c>
      <c r="G15" s="36" t="str">
        <f>IFERROR(1/(1/IF($B15="&lt;01",ROUND(SUM(EID!$P:$P)/2,0),SUMIFS(Cascade!$AO:$AO,Cascade!$C:$C,$B15,Cascade!$D:$D,$C15))),"")</f>
        <v/>
      </c>
      <c r="H15" s="36" t="str">
        <f>IFERROR(1/(1/IF($B15="&lt;01",ROUND(SUM(EID!$T:$T)/2,0),SUMIFS(Cascade!$BA:$BA,Cascade!$C:$C,$B15,Cascade!$D:$D,$C15))),"")</f>
        <v/>
      </c>
      <c r="I15" s="36" t="str">
        <f>IFERROR(1/(1/IF($B15="&lt;01",ROUND(SUM(EID!$V:$V)/2,0),SUMIFS(Cascade!$BD:$BD,Cascade!$C:$C,$B15,Cascade!$D:$D,$C15))),"")</f>
        <v/>
      </c>
      <c r="J15" s="36" t="str">
        <f>IFERROR(1/(1/SUMIFS(Cascade!$AJ:$AJ,Cascade!$C:$C,$B15,Cascade!$D:$D,$C15)),"")</f>
        <v/>
      </c>
      <c r="K15" s="36" t="str">
        <f>IFERROR(1/(1/SUMIFS(Cascade!$AP:$AP,Cascade!$C:$C,$B15,Cascade!$D:$D,$C15)),"")</f>
        <v/>
      </c>
      <c r="L15" s="19" t="str">
        <f>IF(SUM($J15)=0,"",SUM($K15)/$J15)</f>
        <v/>
      </c>
      <c r="M15" s="47" t="str">
        <f>IFERROR(1/(1/ROUND(SUMIFS(Spectrum!$N:$N,Spectrum!$Q:$Q,"="&amp;$B15,Spectrum!$K:$K,$C15,Spectrum!$G:$G,M$14,Spectrum!$M:$M,"CY2024Q3"),0)),"")</f>
        <v/>
      </c>
      <c r="N15" s="33" t="str">
        <f>IFERROR(1/(1/ROUND(SUMIFS(Spectrum!$N:$N,Spectrum!$Q:$Q,"="&amp;$B15,Spectrum!$K:$K,$C15,Spectrum!$G:$G,N$14,Spectrum!$M:$M,"CY2025Q3"),0)),"")</f>
        <v/>
      </c>
      <c r="O15" s="19">
        <f>MAX(SUM($L15),90%)</f>
        <v>0.9</v>
      </c>
      <c r="P15" s="36" t="str">
        <f>IFERROR(1/(1/ROUND(IF(SUM($N15)=0,IF(SUM($J15)=0,SUM($G15)/SUM($O15),SUM($J15)),SUM($N15))*SUM($O15),0)),"")</f>
        <v/>
      </c>
      <c r="Q15" s="19">
        <f>IF(SUM($K15)=0,1,SUM($G15)/$K15)</f>
        <v>1</v>
      </c>
      <c r="R15" s="60" t="str">
        <f>IFERROR(1/(1/ROUND(SUM($P15)*SUM($Q15),0)),"")</f>
        <v/>
      </c>
      <c r="S15" s="33" t="str">
        <f>IFERROR(1/(1/IF(SUM($R15)=0,IF(SUM($P15)=0,SUM($K15),SUM($P15)),ROUND(SUM($R15)/IF(SUM($Q15)=0,1,SUM($Q15)),0))),"")</f>
        <v/>
      </c>
      <c r="T15" s="19" t="str">
        <f>IF(SUM($N15)=0,"",SUM($S15)/$N15)</f>
        <v/>
      </c>
      <c r="U15" s="149">
        <v>0.98</v>
      </c>
      <c r="V15" s="19">
        <v>0.98</v>
      </c>
      <c r="W15" s="36" t="str">
        <f>IF(OR(SUM($V15)=0,SUM($R15)=0),"",ROUND((SUM($R15)-(SUM($G15)*SUM($U15)))/$V15,0))</f>
        <v/>
      </c>
      <c r="X15" s="19">
        <v>1</v>
      </c>
      <c r="Y15" s="33" t="str">
        <f>IF(SUM($W15)=0,"",ROUND(SUM($W15)*SUM($X15),0))</f>
        <v/>
      </c>
      <c r="Z15" s="149">
        <v>0.7</v>
      </c>
      <c r="AA15" s="36" t="str">
        <f>IF(SUM($G15,$W15)=0,"",ROUND(SUM($G15)+(SUM($W15)*$Z15),0))</f>
        <v/>
      </c>
      <c r="AB15" s="19">
        <v>0.95</v>
      </c>
      <c r="AC15" s="33" t="str">
        <f>IF(SUM($AA15)=0,"",ROUND($AA15*$AB15,0))</f>
        <v/>
      </c>
      <c r="AD15" s="149">
        <v>0.95</v>
      </c>
      <c r="AE15" s="33" t="str">
        <f>IF(SUM($AC15)=0,"",ROUND($AD15*$AC15,0))</f>
        <v/>
      </c>
      <c r="AF15" s="149">
        <v>0.95</v>
      </c>
      <c r="AG15" s="33" t="str">
        <f>IF(SUM($Y15)=0,"",ROUND($Y15/$AF15,0))</f>
        <v/>
      </c>
      <c r="AH15" s="433"/>
      <c r="AI15" s="434"/>
      <c r="AJ15" s="431"/>
      <c r="AK15" s="431"/>
      <c r="AL15" s="431"/>
      <c r="AM15" s="431"/>
      <c r="AN15" s="431"/>
      <c r="AO15" s="431"/>
      <c r="AP15" s="431"/>
      <c r="AQ15" s="435"/>
      <c r="AR15" s="436"/>
      <c r="AS15" s="436"/>
      <c r="AT15" s="436"/>
      <c r="AU15" s="436"/>
      <c r="AV15" s="436"/>
      <c r="AW15" s="436"/>
      <c r="AX15" s="436"/>
      <c r="AY15" s="436"/>
      <c r="AZ15" s="431"/>
      <c r="BA15" s="432"/>
      <c r="BB15" s="437"/>
      <c r="BC15" s="437"/>
      <c r="BD15" s="440"/>
      <c r="BE15" s="432"/>
      <c r="BF15" s="440"/>
      <c r="BG15" s="431"/>
      <c r="BH15" s="438"/>
      <c r="BI15" s="440"/>
      <c r="BJ15" s="440"/>
      <c r="BK15" s="439"/>
      <c r="BL15" s="440"/>
      <c r="BM15" s="440"/>
      <c r="BN15" s="432"/>
      <c r="BO15" s="430"/>
      <c r="BP15" s="440"/>
      <c r="BQ15" s="440"/>
      <c r="BR15" s="431"/>
      <c r="BS15" s="431"/>
      <c r="BT15" s="432"/>
      <c r="BU15" s="440"/>
      <c r="BV15" s="431"/>
      <c r="BW15" s="432"/>
      <c r="BX15" s="440"/>
      <c r="BY15" s="431"/>
      <c r="BZ15" s="432"/>
      <c r="CA15" s="430"/>
      <c r="CB15" s="431"/>
      <c r="CC15" s="431"/>
      <c r="CD15" s="440"/>
      <c r="CE15" s="431"/>
      <c r="CF15" s="433"/>
      <c r="CG15" s="431"/>
      <c r="CH15" s="431"/>
      <c r="CI15" s="431"/>
      <c r="CJ15" s="431"/>
      <c r="CK15" s="431"/>
      <c r="CL15" s="440"/>
      <c r="CM15" s="440"/>
      <c r="CN15" s="440"/>
      <c r="CO15" s="440"/>
      <c r="CP15" s="432"/>
      <c r="CQ15" s="437"/>
      <c r="CR15" s="437"/>
      <c r="CS15" s="437"/>
      <c r="CT15" s="440"/>
      <c r="CU15" s="440"/>
      <c r="CV15" s="439"/>
      <c r="CW15" s="440"/>
      <c r="CX15" s="440"/>
      <c r="CY15" s="432"/>
      <c r="CZ15" s="430"/>
      <c r="DA15" s="430"/>
      <c r="DB15" s="430"/>
      <c r="DC15" s="440"/>
      <c r="DD15" s="440"/>
      <c r="DE15" s="440"/>
      <c r="DF15" s="440"/>
      <c r="DG15" s="437"/>
      <c r="DH15" s="437"/>
      <c r="DI15" s="437"/>
      <c r="DJ15" s="437"/>
      <c r="DK15" s="439"/>
      <c r="DL15" s="442"/>
      <c r="DM15" s="432"/>
      <c r="DN15" s="430"/>
      <c r="DO15" s="440"/>
      <c r="DP15" s="440"/>
      <c r="DQ15" s="437"/>
      <c r="DR15" s="437"/>
      <c r="DS15" s="432"/>
      <c r="DT15" s="440"/>
      <c r="DU15" s="437"/>
      <c r="DV15" s="432"/>
      <c r="DW15" s="440"/>
      <c r="DX15" s="443"/>
    </row>
    <row r="16" spans="1:128" x14ac:dyDescent="0.2">
      <c r="A16" t="s">
        <v>187</v>
      </c>
      <c r="B16" s="5" t="s">
        <v>26</v>
      </c>
      <c r="C16" t="s">
        <v>606</v>
      </c>
      <c r="E16" s="47" t="str">
        <f>IFERROR(1/(1/IF($B16="&lt;01",ROUND(SUM(EID!$L:$L)/2,0),SUMIFS(HTS!$AM:$AM,HTS!$C:$C,$B16,HTS!$D:$D,$C16))),"")</f>
        <v/>
      </c>
      <c r="F16" s="36" t="str">
        <f>IFERROR(1/(1/IF($B16="&lt;01",ROUND(SUM(EID!$N:$N)/2,0),SUMIFS(Cascade!$AW:$AW,Cascade!$C:$C,$B16,Cascade!$D:$D,$C16))),"")</f>
        <v/>
      </c>
      <c r="G16" s="36" t="str">
        <f>IFERROR(1/(1/IF($B16="&lt;01",ROUND(SUM(EID!$P:$P)/2,0),SUMIFS(Cascade!$AO:$AO,Cascade!$C:$C,$B16,Cascade!$D:$D,$C16))),"")</f>
        <v/>
      </c>
      <c r="H16" s="36" t="str">
        <f>IFERROR(1/(1/IF($B16="&lt;01",ROUND(SUM(EID!$T:$T)/2,0),SUMIFS(Cascade!$BA:$BA,Cascade!$C:$C,$B16,Cascade!$D:$D,$C16))),"")</f>
        <v/>
      </c>
      <c r="I16" s="36" t="str">
        <f>IFERROR(1/(1/IF($B16="&lt;01",ROUND(SUM(EID!$V:$V)/2,0),SUMIFS(Cascade!$BD:$BD,Cascade!$C:$C,$B16,Cascade!$D:$D,$C16))),"")</f>
        <v/>
      </c>
      <c r="J16" s="36" t="str">
        <f>IFERROR(1/(1/SUMIFS(Cascade!$AJ:$AJ,Cascade!$C:$C,$B16,Cascade!$D:$D,$C16)),"")</f>
        <v/>
      </c>
      <c r="K16" s="36" t="str">
        <f>IFERROR(1/(1/SUMIFS(Cascade!$AP:$AP,Cascade!$C:$C,$B16,Cascade!$D:$D,$C16)),"")</f>
        <v/>
      </c>
      <c r="L16" s="19" t="str">
        <f t="shared" ref="L16:L28" si="0">IF(SUM($J16)=0,"",SUM($K16)/$J16)</f>
        <v/>
      </c>
      <c r="M16" s="47" t="str">
        <f>IFERROR(1/(1/ROUND(SUMIFS(Spectrum!$N:$N,Spectrum!$Q:$Q,"="&amp;$B16,Spectrum!$K:$K,$C16,Spectrum!$G:$G,M$14,Spectrum!$M:$M,"CY2024Q3"),0)),"")</f>
        <v/>
      </c>
      <c r="N16" s="33" t="str">
        <f>IFERROR(1/(1/ROUND(SUMIFS(Spectrum!$N:$N,Spectrum!$Q:$Q,"="&amp;$B16,Spectrum!$K:$K,$C16,Spectrum!$G:$G,N$14,Spectrum!$M:$M,"CY2025Q3"),0)),"")</f>
        <v/>
      </c>
      <c r="O16" s="19">
        <f t="shared" ref="O16:O33" si="1">MAX(SUM($L16),90%)</f>
        <v>0.9</v>
      </c>
      <c r="P16" s="36" t="str">
        <f t="shared" ref="P16:P33" si="2">IFERROR(1/(1/IF(SUM($N16)=0,SUM($G16),ROUND(SUM($N16)*SUM($O16),0))),"")</f>
        <v/>
      </c>
      <c r="Q16" s="19">
        <f t="shared" ref="Q16:Q33" si="3">IF(SUM($K16)=0,1,SUM($G16)/$K16)</f>
        <v>1</v>
      </c>
      <c r="R16" s="60" t="str">
        <f t="shared" ref="R16:R33" si="4">IFERROR(1/(1/ROUND(SUM($P16)*SUM($Q16),0)),"")</f>
        <v/>
      </c>
      <c r="S16" s="33" t="str">
        <f t="shared" ref="S16:S33" si="5">IFERROR(1/(1/IF(SUM($R16)=0,IF(SUM($P16)=0,SUM($K16),SUM($P16)),ROUND(SUM($R16)/IF(SUM($Q16)=0,1,SUM($Q16)),0))),"")</f>
        <v/>
      </c>
      <c r="T16" s="19" t="str">
        <f t="shared" ref="T16:T33" si="6">IF(SUM($N16)=0,"",SUM($S16)/$N16)</f>
        <v/>
      </c>
      <c r="U16" s="149">
        <v>0.98</v>
      </c>
      <c r="V16" s="19">
        <v>0.98</v>
      </c>
      <c r="W16" s="36" t="str">
        <f t="shared" ref="W16:W33" si="7">IF(OR(SUM($V16)=0,SUM($R16)=0),"",ROUND((SUM($R16)-(SUM($G16)*SUM($U16)))/$V16,0))</f>
        <v/>
      </c>
      <c r="X16" s="19">
        <v>1</v>
      </c>
      <c r="Y16" s="33" t="str">
        <f t="shared" ref="Y16:Y33" si="8">IF(SUM($W16)=0,"",ROUND(SUM($W16)*SUM($X16),0))</f>
        <v/>
      </c>
      <c r="Z16" s="149">
        <v>0.7</v>
      </c>
      <c r="AA16" s="36" t="str">
        <f t="shared" ref="AA16:AA33" si="9">IF(SUM($G16,$W16)=0,"",ROUND(SUM($G16)+(SUM($W16)*$Z16),0))</f>
        <v/>
      </c>
      <c r="AB16" s="19">
        <v>0.95</v>
      </c>
      <c r="AC16" s="33" t="str">
        <f t="shared" ref="AC16:AC33" si="10">IF(SUM($AA16)=0,"",ROUND($AA16*$AB16,0))</f>
        <v/>
      </c>
      <c r="AD16" s="149">
        <v>0.95</v>
      </c>
      <c r="AE16" s="33" t="str">
        <f t="shared" ref="AE16:AE33" si="11">IF(SUM($AC16)=0,"",ROUND($AD16*$AC16,0))</f>
        <v/>
      </c>
      <c r="AF16" s="149">
        <v>0.95</v>
      </c>
      <c r="AG16" s="33" t="str">
        <f t="shared" ref="AG16:AG33" si="12">IF(SUM($Y16)=0,"",ROUND($Y16/$AF16,0))</f>
        <v/>
      </c>
      <c r="AH16" s="433"/>
      <c r="AI16" s="434"/>
      <c r="AJ16" s="431"/>
      <c r="AK16" s="431"/>
      <c r="AL16" s="431"/>
      <c r="AM16" s="431"/>
      <c r="AN16" s="431"/>
      <c r="AO16" s="431"/>
      <c r="AP16" s="431"/>
      <c r="AQ16" s="435"/>
      <c r="AR16" s="436"/>
      <c r="AS16" s="436"/>
      <c r="AT16" s="436"/>
      <c r="AU16" s="436"/>
      <c r="AV16" s="436"/>
      <c r="AW16" s="436"/>
      <c r="AX16" s="436"/>
      <c r="AY16" s="436"/>
      <c r="AZ16" s="431"/>
      <c r="BA16" s="432"/>
      <c r="BB16" s="437"/>
      <c r="BC16" s="437"/>
      <c r="BD16" s="440"/>
      <c r="BE16" s="432"/>
      <c r="BF16" s="440"/>
      <c r="BG16" s="431"/>
      <c r="BH16" s="438"/>
      <c r="BI16" s="440"/>
      <c r="BJ16" s="440"/>
      <c r="BK16" s="439"/>
      <c r="BL16" s="440"/>
      <c r="BM16" s="440"/>
      <c r="BN16" s="432"/>
      <c r="BO16" s="430"/>
      <c r="BP16" s="440"/>
      <c r="BQ16" s="440"/>
      <c r="BR16" s="431"/>
      <c r="BS16" s="431"/>
      <c r="BT16" s="432"/>
      <c r="BU16" s="440"/>
      <c r="BV16" s="431"/>
      <c r="BW16" s="432"/>
      <c r="BX16" s="440"/>
      <c r="BY16" s="431"/>
      <c r="BZ16" s="432"/>
      <c r="CA16" s="430"/>
      <c r="CB16" s="431"/>
      <c r="CC16" s="431"/>
      <c r="CD16" s="440"/>
      <c r="CE16" s="431"/>
      <c r="CF16" s="433"/>
      <c r="CG16" s="431"/>
      <c r="CH16" s="431"/>
      <c r="CI16" s="431"/>
      <c r="CJ16" s="431"/>
      <c r="CK16" s="431"/>
      <c r="CL16" s="440"/>
      <c r="CM16" s="440"/>
      <c r="CN16" s="440"/>
      <c r="CO16" s="440"/>
      <c r="CP16" s="432"/>
      <c r="CQ16" s="437"/>
      <c r="CR16" s="437"/>
      <c r="CS16" s="437"/>
      <c r="CT16" s="440"/>
      <c r="CU16" s="440"/>
      <c r="CV16" s="439"/>
      <c r="CW16" s="440"/>
      <c r="CX16" s="440"/>
      <c r="CY16" s="432"/>
      <c r="CZ16" s="430"/>
      <c r="DA16" s="430"/>
      <c r="DB16" s="430"/>
      <c r="DC16" s="440"/>
      <c r="DD16" s="440"/>
      <c r="DE16" s="440"/>
      <c r="DF16" s="440"/>
      <c r="DG16" s="437"/>
      <c r="DH16" s="437"/>
      <c r="DI16" s="437"/>
      <c r="DJ16" s="437"/>
      <c r="DK16" s="439"/>
      <c r="DL16" s="442"/>
      <c r="DM16" s="432"/>
      <c r="DN16" s="430"/>
      <c r="DO16" s="440"/>
      <c r="DP16" s="440"/>
      <c r="DQ16" s="437"/>
      <c r="DR16" s="437"/>
      <c r="DS16" s="432"/>
      <c r="DT16" s="440"/>
      <c r="DU16" s="437"/>
      <c r="DV16" s="432"/>
      <c r="DW16" s="440"/>
      <c r="DX16" s="443"/>
    </row>
    <row r="17" spans="1:128" x14ac:dyDescent="0.2">
      <c r="A17" t="s">
        <v>187</v>
      </c>
      <c r="B17" s="176" t="s">
        <v>601</v>
      </c>
      <c r="C17" s="5" t="s">
        <v>581</v>
      </c>
      <c r="E17" s="47" t="str">
        <f>IFERROR(1/(1/IF($B17="&lt;01",ROUND(SUM(EID!$L:$L)/2,0),SUMIFS(HTS!$AM:$AM,HTS!$C:$C,$B17,HTS!$D:$D,$C17))),"")</f>
        <v/>
      </c>
      <c r="F17" s="36" t="str">
        <f>IFERROR(1/(1/IF($B17="&lt;01",ROUND(SUM(EID!$N:$N)/2,0),SUMIFS(Cascade!$AW:$AW,Cascade!$C:$C,$B17,Cascade!$D:$D,$C17))),"")</f>
        <v/>
      </c>
      <c r="G17" s="36" t="str">
        <f>IFERROR(1/(1/IF($B17="&lt;01",ROUND(SUM(EID!$P:$P)/2,0),SUMIFS(Cascade!$AO:$AO,Cascade!$C:$C,$B17,Cascade!$D:$D,$C17))),"")</f>
        <v/>
      </c>
      <c r="H17" s="36" t="str">
        <f>IFERROR(1/(1/IF($B17="&lt;01",ROUND(SUM(EID!$T:$T)/2,0),SUMIFS(Cascade!$BA:$BA,Cascade!$C:$C,$B17,Cascade!$D:$D,$C17))),"")</f>
        <v/>
      </c>
      <c r="I17" s="36" t="str">
        <f>IFERROR(1/(1/IF($B17="&lt;01",ROUND(SUM(EID!$V:$V)/2,0),SUMIFS(Cascade!$BD:$BD,Cascade!$C:$C,$B17,Cascade!$D:$D,$C17))),"")</f>
        <v/>
      </c>
      <c r="J17" s="36" t="str">
        <f>IFERROR(1/(1/SUMIFS(Cascade!$AJ:$AJ,Cascade!$C:$C,$B17,Cascade!$D:$D,$C17)),"")</f>
        <v/>
      </c>
      <c r="K17" s="36" t="str">
        <f>IFERROR(1/(1/SUMIFS(Cascade!$AP:$AP,Cascade!$C:$C,$B17,Cascade!$D:$D,$C17)),"")</f>
        <v/>
      </c>
      <c r="L17" s="19" t="str">
        <f t="shared" si="0"/>
        <v/>
      </c>
      <c r="M17" s="47" t="str">
        <f>IFERROR(1/(1/ROUND(SUMIFS(Spectrum!$N:$N,Spectrum!$Q:$Q,"="&amp;$B17,Spectrum!$K:$K,$C17,Spectrum!$G:$G,M$14,Spectrum!$M:$M,"CY2024Q3"),0)),"")</f>
        <v/>
      </c>
      <c r="N17" s="33" t="str">
        <f>IFERROR(1/(1/ROUND(SUMIFS(Spectrum!$N:$N,Spectrum!$Q:$Q,"="&amp;$B17,Spectrum!$K:$K,$C17,Spectrum!$G:$G,N$14,Spectrum!$M:$M,"CY2025Q3"),0)),"")</f>
        <v/>
      </c>
      <c r="O17" s="19">
        <f t="shared" si="1"/>
        <v>0.9</v>
      </c>
      <c r="P17" s="36" t="str">
        <f t="shared" si="2"/>
        <v/>
      </c>
      <c r="Q17" s="19">
        <f t="shared" si="3"/>
        <v>1</v>
      </c>
      <c r="R17" s="60" t="str">
        <f t="shared" si="4"/>
        <v/>
      </c>
      <c r="S17" s="33" t="str">
        <f t="shared" si="5"/>
        <v/>
      </c>
      <c r="T17" s="19" t="str">
        <f t="shared" si="6"/>
        <v/>
      </c>
      <c r="U17" s="149">
        <v>0.98</v>
      </c>
      <c r="V17" s="19">
        <v>0.98</v>
      </c>
      <c r="W17" s="36" t="str">
        <f t="shared" si="7"/>
        <v/>
      </c>
      <c r="X17" s="19">
        <v>1</v>
      </c>
      <c r="Y17" s="33" t="str">
        <f t="shared" si="8"/>
        <v/>
      </c>
      <c r="Z17" s="149">
        <v>0.7</v>
      </c>
      <c r="AA17" s="36" t="str">
        <f t="shared" si="9"/>
        <v/>
      </c>
      <c r="AB17" s="19">
        <v>0.95</v>
      </c>
      <c r="AC17" s="33" t="str">
        <f t="shared" si="10"/>
        <v/>
      </c>
      <c r="AD17" s="149">
        <v>0.95</v>
      </c>
      <c r="AE17" s="33" t="str">
        <f t="shared" si="11"/>
        <v/>
      </c>
      <c r="AF17" s="149">
        <v>0.95</v>
      </c>
      <c r="AG17" s="33" t="str">
        <f t="shared" si="12"/>
        <v/>
      </c>
      <c r="AH17" s="433"/>
      <c r="AI17" s="434"/>
      <c r="AJ17" s="19" t="str">
        <f>IFERROR(1/(1/SUMIFS(TB!$P:$P,TB!$C:$C,$B17,TB!$D:$D,$C17))/SUM($E17),"")</f>
        <v/>
      </c>
      <c r="AK17" s="431"/>
      <c r="AL17" s="19" t="str">
        <f>IFERROR(1/(1/SUMIFS(HTS!$X:$X,HTS!$C:$C,$B17,HTS!$D:$D,$C17))/SUM($E17),"")</f>
        <v/>
      </c>
      <c r="AM17" s="19" t="str">
        <f>IFERROR(1/(1/SUMIFS(HTS!$AA:$AA,HTS!$C:$C,$B17,HTS!$D:$D,$C17))/SUM($E17),"")</f>
        <v/>
      </c>
      <c r="AN17" s="19" t="str">
        <f>IFERROR(1/(1/SUMIFS(HTS!$AD:$AD,HTS!$C:$C,$B17,HTS!$D:$D,$C17))/SUM($E17),"")</f>
        <v/>
      </c>
      <c r="AO17" s="19" t="str">
        <f>IFERROR(1/(1/SUMIFS(HTS!$AG:$AG,HTS!$C:$C,$B17,HTS!$D:$D,$C17))/SUM($E17),"")</f>
        <v/>
      </c>
      <c r="AP17" s="19" t="str">
        <f>IFERROR(1/(1/SUMIFS(HTS!$AJ:$AJ,HTS!$C:$C,$B17,HTS!$D:$D,$C17))/SUM($E17),"")</f>
        <v/>
      </c>
      <c r="AQ17" s="435"/>
      <c r="AR17" s="436"/>
      <c r="AS17" s="389" t="str">
        <f t="shared" ref="AS16:AS28" si="13">AJ17</f>
        <v/>
      </c>
      <c r="AT17" s="436"/>
      <c r="AU17" s="389" t="str">
        <f t="shared" ref="AU16:AU28" si="14">AL17</f>
        <v/>
      </c>
      <c r="AV17" s="389" t="str">
        <f t="shared" ref="AV16:AV28" si="15">AM17</f>
        <v/>
      </c>
      <c r="AW17" s="389" t="str">
        <f t="shared" ref="AW16:AW28" si="16">AN17</f>
        <v/>
      </c>
      <c r="AX17" s="389" t="str">
        <f t="shared" ref="AX16:AX28" si="17">AO17</f>
        <v/>
      </c>
      <c r="AY17" s="389" t="str">
        <f t="shared" ref="AY16:AY28" si="18">AP17</f>
        <v/>
      </c>
      <c r="AZ17" s="19" t="str">
        <f t="shared" ref="AZ16:AZ28" si="19">IFERROR(1/(1/SUM(AQ17:AY17)),"")</f>
        <v/>
      </c>
      <c r="BA17" s="432"/>
      <c r="BB17" s="437"/>
      <c r="BC17" s="437"/>
      <c r="BD17" s="440"/>
      <c r="BE17" s="432"/>
      <c r="BF17" s="440"/>
      <c r="BG17" s="431"/>
      <c r="BH17" s="438"/>
      <c r="BI17" s="440"/>
      <c r="BJ17" s="440"/>
      <c r="BK17" s="143">
        <f>AF17</f>
        <v>0.95</v>
      </c>
      <c r="BM17" s="33" t="str">
        <f>IF(SUM($AG17)=0,"",IF(AND($AS17="",SUM($AG17)&gt;0),"&lt;- Enter Linkage Rate",ROUND($AG17*$AS17*$BK17,0)))</f>
        <v/>
      </c>
      <c r="BN17" s="432"/>
      <c r="BO17" s="430"/>
      <c r="BP17" s="440"/>
      <c r="BQ17" s="440"/>
      <c r="BR17" s="431"/>
      <c r="BS17" s="431"/>
      <c r="BT17" s="432"/>
      <c r="BU17" s="440"/>
      <c r="BV17" s="431"/>
      <c r="BW17" s="432"/>
      <c r="BX17" s="440"/>
      <c r="BY17" s="431"/>
      <c r="BZ17" s="432"/>
      <c r="CA17" s="430"/>
      <c r="CB17" s="431"/>
      <c r="CC17" s="431"/>
      <c r="CD17" s="440"/>
      <c r="CE17" s="431"/>
      <c r="CF17" s="433"/>
      <c r="CG17" s="431"/>
      <c r="CH17" s="431"/>
      <c r="CI17" s="431"/>
      <c r="CJ17" s="431"/>
      <c r="CK17" s="431"/>
      <c r="CL17" s="440"/>
      <c r="CM17" s="440"/>
      <c r="CN17" s="440"/>
      <c r="CO17" s="440"/>
      <c r="CP17" s="432"/>
      <c r="CQ17" s="437"/>
      <c r="CR17" s="437"/>
      <c r="CS17" s="437"/>
      <c r="CT17" s="440"/>
      <c r="CU17" s="440"/>
      <c r="CV17" s="439"/>
      <c r="CW17" s="440"/>
      <c r="CX17" s="440"/>
      <c r="CY17" s="432"/>
      <c r="CZ17" s="430"/>
      <c r="DA17" s="430"/>
      <c r="DB17" s="430"/>
      <c r="DC17" s="440"/>
      <c r="DD17" s="440"/>
      <c r="DE17" s="440"/>
      <c r="DF17" s="440"/>
      <c r="DG17" s="437"/>
      <c r="DH17" s="437"/>
      <c r="DI17" s="437"/>
      <c r="DJ17" s="437"/>
      <c r="DK17" s="439"/>
      <c r="DL17" s="442"/>
      <c r="DM17" s="432"/>
      <c r="DN17" s="430"/>
      <c r="DO17" s="440"/>
      <c r="DP17" s="440"/>
      <c r="DQ17" s="437"/>
      <c r="DR17" s="437"/>
      <c r="DS17" s="432"/>
      <c r="DT17" s="440"/>
      <c r="DU17" s="437"/>
      <c r="DV17" s="432"/>
      <c r="DW17" s="440"/>
      <c r="DX17" s="443"/>
    </row>
    <row r="18" spans="1:128" x14ac:dyDescent="0.2">
      <c r="A18" t="s">
        <v>187</v>
      </c>
      <c r="B18" s="176" t="s">
        <v>601</v>
      </c>
      <c r="C18" t="s">
        <v>606</v>
      </c>
      <c r="E18" s="47" t="str">
        <f>IFERROR(1/(1/IF($B18="&lt;01",ROUND(SUM(EID!$L:$L)/2,0),SUMIFS(HTS!$AM:$AM,HTS!$C:$C,$B18,HTS!$D:$D,$C18))),"")</f>
        <v/>
      </c>
      <c r="F18" s="36" t="str">
        <f>IFERROR(1/(1/IF($B18="&lt;01",ROUND(SUM(EID!$N:$N)/2,0),SUMIFS(Cascade!$AW:$AW,Cascade!$C:$C,$B18,Cascade!$D:$D,$C18))),"")</f>
        <v/>
      </c>
      <c r="G18" s="36" t="str">
        <f>IFERROR(1/(1/IF($B18="&lt;01",ROUND(SUM(EID!$P:$P)/2,0),SUMIFS(Cascade!$AO:$AO,Cascade!$C:$C,$B18,Cascade!$D:$D,$C18))),"")</f>
        <v/>
      </c>
      <c r="H18" s="36" t="str">
        <f>IFERROR(1/(1/IF($B18="&lt;01",ROUND(SUM(EID!$T:$T)/2,0),SUMIFS(Cascade!$BA:$BA,Cascade!$C:$C,$B18,Cascade!$D:$D,$C18))),"")</f>
        <v/>
      </c>
      <c r="I18" s="36" t="str">
        <f>IFERROR(1/(1/IF($B18="&lt;01",ROUND(SUM(EID!$V:$V)/2,0),SUMIFS(Cascade!$BD:$BD,Cascade!$C:$C,$B18,Cascade!$D:$D,$C18))),"")</f>
        <v/>
      </c>
      <c r="J18" s="36" t="str">
        <f>IFERROR(1/(1/SUMIFS(Cascade!$AJ:$AJ,Cascade!$C:$C,$B18,Cascade!$D:$D,$C18)),"")</f>
        <v/>
      </c>
      <c r="K18" s="36" t="str">
        <f>IFERROR(1/(1/SUMIFS(Cascade!$AP:$AP,Cascade!$C:$C,$B18,Cascade!$D:$D,$C18)),"")</f>
        <v/>
      </c>
      <c r="L18" s="19" t="str">
        <f t="shared" si="0"/>
        <v/>
      </c>
      <c r="M18" s="47" t="str">
        <f>IFERROR(1/(1/ROUND(SUMIFS(Spectrum!$N:$N,Spectrum!$Q:$Q,"="&amp;$B18,Spectrum!$K:$K,$C18,Spectrum!$G:$G,M$14,Spectrum!$M:$M,"CY2024Q3"),0)),"")</f>
        <v/>
      </c>
      <c r="N18" s="33" t="str">
        <f>IFERROR(1/(1/ROUND(SUMIFS(Spectrum!$N:$N,Spectrum!$Q:$Q,"="&amp;$B18,Spectrum!$K:$K,$C18,Spectrum!$G:$G,N$14,Spectrum!$M:$M,"CY2025Q3"),0)),"")</f>
        <v/>
      </c>
      <c r="O18" s="19">
        <f t="shared" si="1"/>
        <v>0.9</v>
      </c>
      <c r="P18" s="36" t="str">
        <f t="shared" si="2"/>
        <v/>
      </c>
      <c r="Q18" s="19">
        <f t="shared" si="3"/>
        <v>1</v>
      </c>
      <c r="R18" s="60" t="str">
        <f t="shared" si="4"/>
        <v/>
      </c>
      <c r="S18" s="33" t="str">
        <f t="shared" si="5"/>
        <v/>
      </c>
      <c r="T18" s="19" t="str">
        <f t="shared" si="6"/>
        <v/>
      </c>
      <c r="U18" s="149">
        <v>0.98</v>
      </c>
      <c r="V18" s="19">
        <v>0.98</v>
      </c>
      <c r="W18" s="36" t="str">
        <f t="shared" si="7"/>
        <v/>
      </c>
      <c r="X18" s="19">
        <v>1</v>
      </c>
      <c r="Y18" s="33" t="str">
        <f t="shared" si="8"/>
        <v/>
      </c>
      <c r="Z18" s="149">
        <v>0.7</v>
      </c>
      <c r="AA18" s="36" t="str">
        <f t="shared" si="9"/>
        <v/>
      </c>
      <c r="AB18" s="19">
        <v>0.95</v>
      </c>
      <c r="AC18" s="33" t="str">
        <f t="shared" si="10"/>
        <v/>
      </c>
      <c r="AD18" s="149">
        <v>0.95</v>
      </c>
      <c r="AE18" s="33" t="str">
        <f t="shared" si="11"/>
        <v/>
      </c>
      <c r="AF18" s="149">
        <v>0.95</v>
      </c>
      <c r="AG18" s="33" t="str">
        <f t="shared" si="12"/>
        <v/>
      </c>
      <c r="AH18" s="433"/>
      <c r="AI18" s="434"/>
      <c r="AJ18" s="19" t="str">
        <f>IFERROR(1/(1/SUMIFS(TB!$P:$P,TB!$C:$C,$B18,TB!$D:$D,$C18))/SUM($E18),"")</f>
        <v/>
      </c>
      <c r="AK18" s="431"/>
      <c r="AL18" s="19" t="str">
        <f>IFERROR(1/(1/SUMIFS(HTS!$X:$X,HTS!$C:$C,$B18,HTS!$D:$D,$C18))/SUM($E18),"")</f>
        <v/>
      </c>
      <c r="AM18" s="19" t="str">
        <f>IFERROR(1/(1/SUMIFS(HTS!$AA:$AA,HTS!$C:$C,$B18,HTS!$D:$D,$C18))/SUM($E18),"")</f>
        <v/>
      </c>
      <c r="AN18" s="19" t="str">
        <f>IFERROR(1/(1/SUMIFS(HTS!$AD:$AD,HTS!$C:$C,$B18,HTS!$D:$D,$C18))/SUM($E18),"")</f>
        <v/>
      </c>
      <c r="AO18" s="19" t="str">
        <f>IFERROR(1/(1/SUMIFS(HTS!$AG:$AG,HTS!$C:$C,$B18,HTS!$D:$D,$C18))/SUM($E18),"")</f>
        <v/>
      </c>
      <c r="AP18" s="19" t="str">
        <f>IFERROR(1/(1/SUMIFS(HTS!$AJ:$AJ,HTS!$C:$C,$B18,HTS!$D:$D,$C18))/SUM($E18),"")</f>
        <v/>
      </c>
      <c r="AQ18" s="435"/>
      <c r="AR18" s="436"/>
      <c r="AS18" s="389" t="str">
        <f t="shared" si="13"/>
        <v/>
      </c>
      <c r="AT18" s="436"/>
      <c r="AU18" s="389" t="str">
        <f t="shared" si="14"/>
        <v/>
      </c>
      <c r="AV18" s="389" t="str">
        <f t="shared" si="15"/>
        <v/>
      </c>
      <c r="AW18" s="389" t="str">
        <f t="shared" si="16"/>
        <v/>
      </c>
      <c r="AX18" s="389" t="str">
        <f t="shared" si="17"/>
        <v/>
      </c>
      <c r="AY18" s="389" t="str">
        <f t="shared" si="18"/>
        <v/>
      </c>
      <c r="AZ18" s="19" t="str">
        <f t="shared" si="19"/>
        <v/>
      </c>
      <c r="BA18" s="432"/>
      <c r="BB18" s="437"/>
      <c r="BC18" s="437"/>
      <c r="BD18" s="440"/>
      <c r="BE18" s="432"/>
      <c r="BF18" s="440"/>
      <c r="BG18" s="431"/>
      <c r="BH18" s="438"/>
      <c r="BI18" s="440"/>
      <c r="BJ18" s="440"/>
      <c r="BK18" s="143">
        <f t="shared" ref="BK18:BK28" si="20">AF18</f>
        <v>0.95</v>
      </c>
      <c r="BM18" s="33" t="str">
        <f t="shared" ref="BM18:BM28" si="21">IF(SUM($AG18)=0,"",IF(AND($AS18="",SUM($AG18)&gt;0),"&lt;- Enter Linkage Rate",ROUND($AG18*$AS18*$BK18,0)))</f>
        <v/>
      </c>
      <c r="BN18" s="432"/>
      <c r="BO18" s="430"/>
      <c r="BP18" s="440"/>
      <c r="BQ18" s="440"/>
      <c r="BR18" s="431"/>
      <c r="BS18" s="431"/>
      <c r="BT18" s="432"/>
      <c r="BU18" s="440"/>
      <c r="BV18" s="431"/>
      <c r="BW18" s="432"/>
      <c r="BX18" s="440"/>
      <c r="BY18" s="431"/>
      <c r="BZ18" s="432"/>
      <c r="CA18" s="430"/>
      <c r="CB18" s="431"/>
      <c r="CC18" s="431"/>
      <c r="CD18" s="440"/>
      <c r="CE18" s="431"/>
      <c r="CF18" s="433"/>
      <c r="CG18" s="431"/>
      <c r="CH18" s="431"/>
      <c r="CI18" s="431"/>
      <c r="CJ18" s="431"/>
      <c r="CK18" s="431"/>
      <c r="CL18" s="440"/>
      <c r="CM18" s="440"/>
      <c r="CN18" s="440"/>
      <c r="CO18" s="440"/>
      <c r="CP18" s="432"/>
      <c r="CQ18" s="437"/>
      <c r="CR18" s="437"/>
      <c r="CS18" s="437"/>
      <c r="CT18" s="440"/>
      <c r="CU18" s="440"/>
      <c r="CV18" s="439"/>
      <c r="CW18" s="440"/>
      <c r="CX18" s="440"/>
      <c r="CY18" s="432"/>
      <c r="CZ18" s="430"/>
      <c r="DA18" s="430"/>
      <c r="DB18" s="430"/>
      <c r="DC18" s="440"/>
      <c r="DD18" s="440"/>
      <c r="DE18" s="440"/>
      <c r="DF18" s="440"/>
      <c r="DG18" s="437"/>
      <c r="DH18" s="437"/>
      <c r="DI18" s="437"/>
      <c r="DJ18" s="437"/>
      <c r="DK18" s="439"/>
      <c r="DL18" s="442"/>
      <c r="DM18" s="432"/>
      <c r="DN18" s="430"/>
      <c r="DO18" s="440"/>
      <c r="DP18" s="440"/>
      <c r="DQ18" s="437"/>
      <c r="DR18" s="437"/>
      <c r="DS18" s="432"/>
      <c r="DT18" s="440"/>
      <c r="DU18" s="437"/>
      <c r="DV18" s="432"/>
      <c r="DW18" s="440"/>
      <c r="DX18" s="443"/>
    </row>
    <row r="19" spans="1:128" x14ac:dyDescent="0.2">
      <c r="A19" t="s">
        <v>187</v>
      </c>
      <c r="B19" s="176" t="s">
        <v>602</v>
      </c>
      <c r="C19" s="5" t="s">
        <v>581</v>
      </c>
      <c r="E19" s="47" t="str">
        <f>IFERROR(1/(1/IF($B19="&lt;01",ROUND(SUM(EID!$L:$L)/2,0),SUMIFS(HTS!$AM:$AM,HTS!$C:$C,$B19,HTS!$D:$D,$C19))),"")</f>
        <v/>
      </c>
      <c r="F19" s="36" t="str">
        <f>IFERROR(1/(1/IF($B19="&lt;01",ROUND(SUM(EID!$N:$N)/2,0),SUMIFS(Cascade!$AW:$AW,Cascade!$C:$C,$B19,Cascade!$D:$D,$C19))),"")</f>
        <v/>
      </c>
      <c r="G19" s="36" t="str">
        <f>IFERROR(1/(1/IF($B19="&lt;01",ROUND(SUM(EID!$P:$P)/2,0),SUMIFS(Cascade!$AO:$AO,Cascade!$C:$C,$B19,Cascade!$D:$D,$C19))),"")</f>
        <v/>
      </c>
      <c r="H19" s="36" t="str">
        <f>IFERROR(1/(1/IF($B19="&lt;01",ROUND(SUM(EID!$T:$T)/2,0),SUMIFS(Cascade!$BA:$BA,Cascade!$C:$C,$B19,Cascade!$D:$D,$C19))),"")</f>
        <v/>
      </c>
      <c r="I19" s="36" t="str">
        <f>IFERROR(1/(1/IF($B19="&lt;01",ROUND(SUM(EID!$V:$V)/2,0),SUMIFS(Cascade!$BD:$BD,Cascade!$C:$C,$B19,Cascade!$D:$D,$C19))),"")</f>
        <v/>
      </c>
      <c r="J19" s="36" t="str">
        <f>IFERROR(1/(1/SUMIFS(Cascade!$AJ:$AJ,Cascade!$C:$C,$B19,Cascade!$D:$D,$C19)),"")</f>
        <v/>
      </c>
      <c r="K19" s="36" t="str">
        <f>IFERROR(1/(1/SUMIFS(Cascade!$AP:$AP,Cascade!$C:$C,$B19,Cascade!$D:$D,$C19)),"")</f>
        <v/>
      </c>
      <c r="L19" s="19" t="str">
        <f t="shared" si="0"/>
        <v/>
      </c>
      <c r="M19" s="47" t="str">
        <f>IFERROR(1/(1/ROUND(SUMIFS(Spectrum!$N:$N,Spectrum!$Q:$Q,"="&amp;$B19,Spectrum!$K:$K,$C19,Spectrum!$G:$G,M$14,Spectrum!$M:$M,"CY2024Q3"),0)),"")</f>
        <v/>
      </c>
      <c r="N19" s="33" t="str">
        <f>IFERROR(1/(1/ROUND(SUMIFS(Spectrum!$N:$N,Spectrum!$Q:$Q,"="&amp;$B19,Spectrum!$K:$K,$C19,Spectrum!$G:$G,N$14,Spectrum!$M:$M,"CY2025Q3"),0)),"")</f>
        <v/>
      </c>
      <c r="O19" s="19">
        <f t="shared" si="1"/>
        <v>0.9</v>
      </c>
      <c r="P19" s="36" t="str">
        <f t="shared" si="2"/>
        <v/>
      </c>
      <c r="Q19" s="19">
        <f t="shared" si="3"/>
        <v>1</v>
      </c>
      <c r="R19" s="60" t="str">
        <f t="shared" si="4"/>
        <v/>
      </c>
      <c r="S19" s="33" t="str">
        <f t="shared" si="5"/>
        <v/>
      </c>
      <c r="T19" s="19" t="str">
        <f t="shared" si="6"/>
        <v/>
      </c>
      <c r="U19" s="149">
        <v>0.98</v>
      </c>
      <c r="V19" s="19">
        <v>0.98</v>
      </c>
      <c r="W19" s="36" t="str">
        <f t="shared" si="7"/>
        <v/>
      </c>
      <c r="X19" s="19">
        <v>1</v>
      </c>
      <c r="Y19" s="33" t="str">
        <f t="shared" si="8"/>
        <v/>
      </c>
      <c r="Z19" s="149">
        <v>0.7</v>
      </c>
      <c r="AA19" s="36" t="str">
        <f t="shared" si="9"/>
        <v/>
      </c>
      <c r="AB19" s="19">
        <v>0.95</v>
      </c>
      <c r="AC19" s="33" t="str">
        <f t="shared" si="10"/>
        <v/>
      </c>
      <c r="AD19" s="149">
        <v>0.95</v>
      </c>
      <c r="AE19" s="33" t="str">
        <f t="shared" si="11"/>
        <v/>
      </c>
      <c r="AF19" s="149">
        <v>0.95</v>
      </c>
      <c r="AG19" s="33" t="str">
        <f t="shared" si="12"/>
        <v/>
      </c>
      <c r="AH19" s="149" t="str">
        <f>IFERROR(1/(1/SUMIFS(PMTCT!$AC:$AC,PMTCT!$C:$C,$B19,PMTCT!$D:$D,$C19))/SUM($E19),"")</f>
        <v/>
      </c>
      <c r="AI19" s="429" t="str">
        <f>IFERROR(1/(1/SUMIFS(PMTCT!$AS:$AS,PMTCT!$C:$C,$B19,PMTCT!$D:$D,$C19))/SUM($E19),"")</f>
        <v/>
      </c>
      <c r="AJ19" s="19" t="str">
        <f>IFERROR(1/(1/SUMIFS(TB!$P:$P,TB!$C:$C,$B19,TB!$D:$D,$C19))/SUM($E19),"")</f>
        <v/>
      </c>
      <c r="AK19" s="431"/>
      <c r="AL19" s="19" t="str">
        <f>IFERROR(1/(1/SUMIFS(HTS!$X:$X,HTS!$C:$C,$B19,HTS!$D:$D,$C19))/SUM($E19),"")</f>
        <v/>
      </c>
      <c r="AM19" s="19" t="str">
        <f>IFERROR(1/(1/SUMIFS(HTS!$AA:$AA,HTS!$C:$C,$B19,HTS!$D:$D,$C19))/SUM($E19),"")</f>
        <v/>
      </c>
      <c r="AN19" s="19" t="str">
        <f>IFERROR(1/(1/SUMIFS(HTS!$AD:$AD,HTS!$C:$C,$B19,HTS!$D:$D,$C19))/SUM($E19),"")</f>
        <v/>
      </c>
      <c r="AO19" s="19" t="str">
        <f>IFERROR(1/(1/SUMIFS(HTS!$AG:$AG,HTS!$C:$C,$B19,HTS!$D:$D,$C19))/SUM($E19),"")</f>
        <v/>
      </c>
      <c r="AP19" s="19" t="str">
        <f>IFERROR(1/(1/SUMIFS(HTS!$AJ:$AJ,HTS!$C:$C,$B19,HTS!$D:$D,$C19))/SUM($E19),"")</f>
        <v/>
      </c>
      <c r="AQ19" s="388" t="str">
        <f t="shared" ref="AQ19:AQ27" si="22">AH19</f>
        <v/>
      </c>
      <c r="AR19" s="389" t="str">
        <f t="shared" ref="AR19:AR27" si="23">AI19</f>
        <v/>
      </c>
      <c r="AS19" s="389" t="str">
        <f t="shared" si="13"/>
        <v/>
      </c>
      <c r="AT19" s="436"/>
      <c r="AU19" s="389" t="str">
        <f t="shared" si="14"/>
        <v/>
      </c>
      <c r="AV19" s="389" t="str">
        <f t="shared" si="15"/>
        <v/>
      </c>
      <c r="AW19" s="389" t="str">
        <f t="shared" si="16"/>
        <v/>
      </c>
      <c r="AX19" s="389" t="str">
        <f t="shared" si="17"/>
        <v/>
      </c>
      <c r="AY19" s="389" t="str">
        <f t="shared" si="18"/>
        <v/>
      </c>
      <c r="AZ19" s="19" t="str">
        <f t="shared" si="19"/>
        <v/>
      </c>
      <c r="BA19" s="432"/>
      <c r="BB19" s="437"/>
      <c r="BC19" s="437"/>
      <c r="BD19" s="440"/>
      <c r="BE19" s="47" t="str">
        <f>IFERROR(1/(1/SUMIFS(HTS!$AY:$AY,HTS!$C:$C,$B19,HTS!$D:$D,$C19)),"")</f>
        <v/>
      </c>
      <c r="BF19" s="33" t="str">
        <f>BE19</f>
        <v/>
      </c>
      <c r="BG19" s="19" t="str">
        <f t="shared" ref="BG19:BG33" si="24">IF(SUM($BE19)=0,"",(SUM($BF19)-$BE19)/$BE19)</f>
        <v/>
      </c>
      <c r="BH19" s="362">
        <f>$AF19</f>
        <v>0.95</v>
      </c>
      <c r="BJ19" s="33" t="str">
        <f>IF(SUM($AG19)=0,"",IF(AND($AH19="",SUM($AG19)&gt;0),"&lt;- Enter Linkage Rate",ROUND($AG19*$AH19*$BH19,0)))</f>
        <v/>
      </c>
      <c r="BK19" s="143">
        <f t="shared" si="20"/>
        <v>0.95</v>
      </c>
      <c r="BM19" s="33" t="str">
        <f t="shared" si="21"/>
        <v/>
      </c>
      <c r="BN19" s="432"/>
      <c r="BO19" s="430"/>
      <c r="BP19" s="440"/>
      <c r="BQ19" s="440"/>
      <c r="BR19" s="431"/>
      <c r="BS19" s="431"/>
      <c r="BT19" s="47" t="str">
        <f>IFERROR(1/(1/SUMIFS(PP!$H:$H,PP!$C:$C,$B19,PP!$D:$D,$C19)),"")</f>
        <v/>
      </c>
      <c r="BU19" s="33" t="str">
        <f>BT19</f>
        <v/>
      </c>
      <c r="BV19" s="19" t="str">
        <f>IF(SUM($BT19)=0,"",(SUM($BU19)-$BT19)/$BT19)</f>
        <v/>
      </c>
      <c r="BW19" s="432"/>
      <c r="BX19" s="440"/>
      <c r="BY19" s="431"/>
      <c r="BZ19" s="432"/>
      <c r="CA19" s="430"/>
      <c r="CB19" s="431"/>
      <c r="CC19" s="431"/>
      <c r="CD19" s="440"/>
      <c r="CE19" s="431"/>
      <c r="CF19" s="433"/>
      <c r="CG19" s="431"/>
      <c r="CH19" s="431"/>
      <c r="CI19" s="431"/>
      <c r="CJ19" s="431"/>
      <c r="CK19" s="431"/>
      <c r="CL19" s="440"/>
      <c r="CM19" s="440"/>
      <c r="CN19" s="440"/>
      <c r="CO19" s="440"/>
      <c r="CP19" s="432"/>
      <c r="CQ19" s="437"/>
      <c r="CR19" s="437"/>
      <c r="CS19" s="437"/>
      <c r="CT19" s="440"/>
      <c r="CU19" s="440"/>
      <c r="CV19" s="439"/>
      <c r="CW19" s="440"/>
      <c r="CX19" s="440"/>
      <c r="CY19" s="432"/>
      <c r="CZ19" s="430"/>
      <c r="DA19" s="430"/>
      <c r="DB19" s="430"/>
      <c r="DC19" s="440"/>
      <c r="DD19" s="440"/>
      <c r="DE19" s="440"/>
      <c r="DF19" s="440"/>
      <c r="DG19" s="437"/>
      <c r="DH19" s="437"/>
      <c r="DI19" s="437"/>
      <c r="DJ19" s="437"/>
      <c r="DK19" s="439"/>
      <c r="DL19" s="442"/>
      <c r="DM19" s="432"/>
      <c r="DN19" s="430"/>
      <c r="DO19" s="440"/>
      <c r="DP19" s="440"/>
      <c r="DQ19" s="437"/>
      <c r="DR19" s="437"/>
      <c r="DS19" s="432"/>
      <c r="DT19" s="440"/>
      <c r="DU19" s="437"/>
      <c r="DV19" s="432"/>
      <c r="DW19" s="440"/>
      <c r="DX19" s="443"/>
    </row>
    <row r="20" spans="1:128" x14ac:dyDescent="0.2">
      <c r="A20" t="s">
        <v>187</v>
      </c>
      <c r="B20" s="176" t="s">
        <v>602</v>
      </c>
      <c r="C20" t="s">
        <v>606</v>
      </c>
      <c r="E20" s="47" t="str">
        <f>IFERROR(1/(1/IF($B20="&lt;01",ROUND(SUM(EID!$L:$L)/2,0),SUMIFS(HTS!$AM:$AM,HTS!$C:$C,$B20,HTS!$D:$D,$C20))),"")</f>
        <v/>
      </c>
      <c r="F20" s="36" t="str">
        <f>IFERROR(1/(1/IF($B20="&lt;01",ROUND(SUM(EID!$N:$N)/2,0),SUMIFS(Cascade!$AW:$AW,Cascade!$C:$C,$B20,Cascade!$D:$D,$C20))),"")</f>
        <v/>
      </c>
      <c r="G20" s="36" t="str">
        <f>IFERROR(1/(1/IF($B20="&lt;01",ROUND(SUM(EID!$P:$P)/2,0),SUMIFS(Cascade!$AO:$AO,Cascade!$C:$C,$B20,Cascade!$D:$D,$C20))),"")</f>
        <v/>
      </c>
      <c r="H20" s="36" t="str">
        <f>IFERROR(1/(1/IF($B20="&lt;01",ROUND(SUM(EID!$T:$T)/2,0),SUMIFS(Cascade!$BA:$BA,Cascade!$C:$C,$B20,Cascade!$D:$D,$C20))),"")</f>
        <v/>
      </c>
      <c r="I20" s="36" t="str">
        <f>IFERROR(1/(1/IF($B20="&lt;01",ROUND(SUM(EID!$V:$V)/2,0),SUMIFS(Cascade!$BD:$BD,Cascade!$C:$C,$B20,Cascade!$D:$D,$C20))),"")</f>
        <v/>
      </c>
      <c r="J20" s="36" t="str">
        <f>IFERROR(1/(1/SUMIFS(Cascade!$AJ:$AJ,Cascade!$C:$C,$B20,Cascade!$D:$D,$C20)),"")</f>
        <v/>
      </c>
      <c r="K20" s="36" t="str">
        <f>IFERROR(1/(1/SUMIFS(Cascade!$AP:$AP,Cascade!$C:$C,$B20,Cascade!$D:$D,$C20)),"")</f>
        <v/>
      </c>
      <c r="L20" s="19" t="str">
        <f t="shared" si="0"/>
        <v/>
      </c>
      <c r="M20" s="47" t="str">
        <f>IFERROR(1/(1/ROUND(SUMIFS(Spectrum!$N:$N,Spectrum!$Q:$Q,"="&amp;$B20,Spectrum!$K:$K,$C20,Spectrum!$G:$G,M$14,Spectrum!$M:$M,"CY2024Q3"),0)),"")</f>
        <v/>
      </c>
      <c r="N20" s="33" t="str">
        <f>IFERROR(1/(1/ROUND(SUMIFS(Spectrum!$N:$N,Spectrum!$Q:$Q,"="&amp;$B20,Spectrum!$K:$K,$C20,Spectrum!$G:$G,N$14,Spectrum!$M:$M,"CY2025Q3"),0)),"")</f>
        <v/>
      </c>
      <c r="O20" s="19">
        <f t="shared" si="1"/>
        <v>0.9</v>
      </c>
      <c r="P20" s="36" t="str">
        <f t="shared" si="2"/>
        <v/>
      </c>
      <c r="Q20" s="19">
        <f t="shared" si="3"/>
        <v>1</v>
      </c>
      <c r="R20" s="60" t="str">
        <f t="shared" si="4"/>
        <v/>
      </c>
      <c r="S20" s="33" t="str">
        <f t="shared" si="5"/>
        <v/>
      </c>
      <c r="T20" s="19" t="str">
        <f t="shared" si="6"/>
        <v/>
      </c>
      <c r="U20" s="149">
        <v>0.98</v>
      </c>
      <c r="V20" s="19">
        <v>0.98</v>
      </c>
      <c r="W20" s="36" t="str">
        <f t="shared" si="7"/>
        <v/>
      </c>
      <c r="X20" s="19">
        <v>1</v>
      </c>
      <c r="Y20" s="33" t="str">
        <f t="shared" si="8"/>
        <v/>
      </c>
      <c r="Z20" s="149">
        <v>0.7</v>
      </c>
      <c r="AA20" s="36" t="str">
        <f t="shared" si="9"/>
        <v/>
      </c>
      <c r="AB20" s="19">
        <v>0.95</v>
      </c>
      <c r="AC20" s="33" t="str">
        <f t="shared" si="10"/>
        <v/>
      </c>
      <c r="AD20" s="149">
        <v>0.95</v>
      </c>
      <c r="AE20" s="33" t="str">
        <f t="shared" si="11"/>
        <v/>
      </c>
      <c r="AF20" s="149">
        <v>0.95</v>
      </c>
      <c r="AG20" s="33" t="str">
        <f t="shared" si="12"/>
        <v/>
      </c>
      <c r="AH20" s="433"/>
      <c r="AI20" s="434"/>
      <c r="AJ20" s="19" t="str">
        <f>IFERROR(1/(1/SUMIFS(TB!$P:$P,TB!$C:$C,$B20,TB!$D:$D,$C20))/SUM($E20),"")</f>
        <v/>
      </c>
      <c r="AK20" s="431"/>
      <c r="AL20" s="19" t="str">
        <f>IFERROR(1/(1/SUMIFS(HTS!$X:$X,HTS!$C:$C,$B20,HTS!$D:$D,$C20))/SUM($E20),"")</f>
        <v/>
      </c>
      <c r="AM20" s="19" t="str">
        <f>IFERROR(1/(1/SUMIFS(HTS!$AA:$AA,HTS!$C:$C,$B20,HTS!$D:$D,$C20))/SUM($E20),"")</f>
        <v/>
      </c>
      <c r="AN20" s="19" t="str">
        <f>IFERROR(1/(1/SUMIFS(HTS!$AD:$AD,HTS!$C:$C,$B20,HTS!$D:$D,$C20))/SUM($E20),"")</f>
        <v/>
      </c>
      <c r="AO20" s="19" t="str">
        <f>IFERROR(1/(1/SUMIFS(HTS!$AG:$AG,HTS!$C:$C,$B20,HTS!$D:$D,$C20))/SUM($E20),"")</f>
        <v/>
      </c>
      <c r="AP20" s="19" t="str">
        <f>IFERROR(1/(1/SUMIFS(HTS!$AJ:$AJ,HTS!$C:$C,$B20,HTS!$D:$D,$C20))/SUM($E20),"")</f>
        <v/>
      </c>
      <c r="AQ20" s="435"/>
      <c r="AR20" s="436"/>
      <c r="AS20" s="389" t="str">
        <f t="shared" si="13"/>
        <v/>
      </c>
      <c r="AT20" s="436"/>
      <c r="AU20" s="389" t="str">
        <f t="shared" si="14"/>
        <v/>
      </c>
      <c r="AV20" s="389" t="str">
        <f t="shared" si="15"/>
        <v/>
      </c>
      <c r="AW20" s="389" t="str">
        <f t="shared" si="16"/>
        <v/>
      </c>
      <c r="AX20" s="389" t="str">
        <f t="shared" si="17"/>
        <v/>
      </c>
      <c r="AY20" s="389" t="str">
        <f t="shared" si="18"/>
        <v/>
      </c>
      <c r="AZ20" s="19" t="str">
        <f t="shared" si="19"/>
        <v/>
      </c>
      <c r="BA20" s="432"/>
      <c r="BB20" s="437"/>
      <c r="BC20" s="437"/>
      <c r="BD20" s="440"/>
      <c r="BE20" s="47" t="str">
        <f>IFERROR(1/(1/SUMIFS(HTS!$AY:$AY,HTS!$C:$C,$B20,HTS!$D:$D,$C20)),"")</f>
        <v/>
      </c>
      <c r="BF20" s="33" t="str">
        <f t="shared" ref="BF20:BF33" si="25">BE20</f>
        <v/>
      </c>
      <c r="BG20" s="19" t="str">
        <f t="shared" si="24"/>
        <v/>
      </c>
      <c r="BH20" s="438"/>
      <c r="BI20" s="440"/>
      <c r="BJ20" s="440"/>
      <c r="BK20" s="143">
        <f t="shared" si="20"/>
        <v>0.95</v>
      </c>
      <c r="BM20" s="33" t="str">
        <f t="shared" si="21"/>
        <v/>
      </c>
      <c r="BN20" s="432"/>
      <c r="BO20" s="430"/>
      <c r="BP20" s="440"/>
      <c r="BQ20" s="440"/>
      <c r="BR20" s="431"/>
      <c r="BS20" s="431"/>
      <c r="BT20" s="47" t="str">
        <f>IFERROR(1/(1/SUMIFS(PP!$H:$H,PP!$C:$C,$B20,PP!$D:$D,$C20)),"")</f>
        <v/>
      </c>
      <c r="BU20" s="33" t="str">
        <f t="shared" ref="BU20:BU28" si="26">BT20</f>
        <v/>
      </c>
      <c r="BV20" s="19" t="str">
        <f t="shared" ref="BV20:BV28" si="27">IF(SUM($BT20)=0,"",(SUM($BU20)-$BT20)/$BT20)</f>
        <v/>
      </c>
      <c r="BW20" s="432"/>
      <c r="BX20" s="440"/>
      <c r="BY20" s="431"/>
      <c r="BZ20" s="432"/>
      <c r="CA20" s="430"/>
      <c r="CB20" s="431"/>
      <c r="CC20" s="431"/>
      <c r="CD20" s="440"/>
      <c r="CE20" s="431"/>
      <c r="CF20" s="433"/>
      <c r="CG20" s="431"/>
      <c r="CH20" s="431"/>
      <c r="CI20" s="431"/>
      <c r="CJ20" s="431"/>
      <c r="CK20" s="431"/>
      <c r="CL20" s="440"/>
      <c r="CM20" s="440"/>
      <c r="CN20" s="440"/>
      <c r="CO20" s="440"/>
      <c r="CP20" s="432"/>
      <c r="CQ20" s="437"/>
      <c r="CR20" s="437"/>
      <c r="CS20" s="437"/>
      <c r="CT20" s="440"/>
      <c r="CU20" s="440"/>
      <c r="CV20" s="439"/>
      <c r="CW20" s="440"/>
      <c r="CX20" s="440"/>
      <c r="CY20" s="432"/>
      <c r="CZ20" s="430"/>
      <c r="DA20" s="430"/>
      <c r="DB20" s="430"/>
      <c r="DC20" s="440"/>
      <c r="DD20" s="440"/>
      <c r="DE20" s="440"/>
      <c r="DF20" s="440"/>
      <c r="DG20" s="437"/>
      <c r="DH20" s="437"/>
      <c r="DI20" s="437"/>
      <c r="DJ20" s="437"/>
      <c r="DK20" s="439"/>
      <c r="DL20" s="442"/>
      <c r="DM20" s="432"/>
      <c r="DN20" s="430"/>
      <c r="DO20" s="440"/>
      <c r="DP20" s="440"/>
      <c r="DQ20" s="437"/>
      <c r="DR20" s="437"/>
      <c r="DS20" s="432"/>
      <c r="DT20" s="440"/>
      <c r="DU20" s="437"/>
      <c r="DV20" s="432"/>
      <c r="DW20" s="440"/>
      <c r="DX20" s="443"/>
    </row>
    <row r="21" spans="1:128" x14ac:dyDescent="0.2">
      <c r="A21" t="s">
        <v>187</v>
      </c>
      <c r="B21" s="176" t="s">
        <v>603</v>
      </c>
      <c r="C21" s="5" t="s">
        <v>581</v>
      </c>
      <c r="E21" s="47" t="str">
        <f>IFERROR(1/(1/IF($B21="&lt;01",ROUND(SUM(EID!$L:$L)/2,0),SUMIFS(HTS!$AM:$AM,HTS!$C:$C,$B21,HTS!$D:$D,$C21))),"")</f>
        <v/>
      </c>
      <c r="F21" s="36" t="str">
        <f>IFERROR(1/(1/IF($B21="&lt;01",ROUND(SUM(EID!$N:$N)/2,0),SUMIFS(Cascade!$AW:$AW,Cascade!$C:$C,$B21,Cascade!$D:$D,$C21))),"")</f>
        <v/>
      </c>
      <c r="G21" s="36" t="str">
        <f>IFERROR(1/(1/IF($B21="&lt;01",ROUND(SUM(EID!$P:$P)/2,0),SUMIFS(Cascade!$AO:$AO,Cascade!$C:$C,$B21,Cascade!$D:$D,$C21))),"")</f>
        <v/>
      </c>
      <c r="H21" s="36" t="str">
        <f>IFERROR(1/(1/IF($B21="&lt;01",ROUND(SUM(EID!$T:$T)/2,0),SUMIFS(Cascade!$BA:$BA,Cascade!$C:$C,$B21,Cascade!$D:$D,$C21))),"")</f>
        <v/>
      </c>
      <c r="I21" s="36" t="str">
        <f>IFERROR(1/(1/IF($B21="&lt;01",ROUND(SUM(EID!$V:$V)/2,0),SUMIFS(Cascade!$BD:$BD,Cascade!$C:$C,$B21,Cascade!$D:$D,$C21))),"")</f>
        <v/>
      </c>
      <c r="J21" s="36" t="str">
        <f>IFERROR(1/(1/SUMIFS(Cascade!$AJ:$AJ,Cascade!$C:$C,$B21,Cascade!$D:$D,$C21)),"")</f>
        <v/>
      </c>
      <c r="K21" s="36" t="str">
        <f>IFERROR(1/(1/SUMIFS(Cascade!$AP:$AP,Cascade!$C:$C,$B21,Cascade!$D:$D,$C21)),"")</f>
        <v/>
      </c>
      <c r="L21" s="19" t="str">
        <f t="shared" si="0"/>
        <v/>
      </c>
      <c r="M21" s="47" t="str">
        <f>IFERROR(1/(1/ROUND(SUMIFS(Spectrum!$N:$N,Spectrum!$Q:$Q,"="&amp;$B21,Spectrum!$K:$K,$C21,Spectrum!$G:$G,M$14,Spectrum!$M:$M,"CY2024Q3"),0)),"")</f>
        <v/>
      </c>
      <c r="N21" s="33" t="str">
        <f>IFERROR(1/(1/ROUND(SUMIFS(Spectrum!$N:$N,Spectrum!$Q:$Q,"="&amp;$B21,Spectrum!$K:$K,$C21,Spectrum!$G:$G,N$14,Spectrum!$M:$M,"CY2025Q3"),0)),"")</f>
        <v/>
      </c>
      <c r="O21" s="19">
        <f t="shared" si="1"/>
        <v>0.9</v>
      </c>
      <c r="P21" s="36" t="str">
        <f t="shared" si="2"/>
        <v/>
      </c>
      <c r="Q21" s="19">
        <f t="shared" si="3"/>
        <v>1</v>
      </c>
      <c r="R21" s="60" t="str">
        <f t="shared" si="4"/>
        <v/>
      </c>
      <c r="S21" s="33" t="str">
        <f t="shared" si="5"/>
        <v/>
      </c>
      <c r="T21" s="19" t="str">
        <f t="shared" si="6"/>
        <v/>
      </c>
      <c r="U21" s="149">
        <v>0.98</v>
      </c>
      <c r="V21" s="19">
        <v>0.98</v>
      </c>
      <c r="W21" s="36" t="str">
        <f t="shared" si="7"/>
        <v/>
      </c>
      <c r="X21" s="19">
        <v>1</v>
      </c>
      <c r="Y21" s="33" t="str">
        <f t="shared" si="8"/>
        <v/>
      </c>
      <c r="Z21" s="149">
        <v>0.7</v>
      </c>
      <c r="AA21" s="36" t="str">
        <f t="shared" si="9"/>
        <v/>
      </c>
      <c r="AB21" s="19">
        <v>0.95</v>
      </c>
      <c r="AC21" s="33" t="str">
        <f t="shared" si="10"/>
        <v/>
      </c>
      <c r="AD21" s="149">
        <v>0.95</v>
      </c>
      <c r="AE21" s="33" t="str">
        <f t="shared" si="11"/>
        <v/>
      </c>
      <c r="AF21" s="149">
        <v>0.95</v>
      </c>
      <c r="AG21" s="33" t="str">
        <f t="shared" si="12"/>
        <v/>
      </c>
      <c r="AH21" s="149" t="str">
        <f>IFERROR(1/(1/SUMIFS(PMTCT!$AC:$AC,PMTCT!$C:$C,$B21,PMTCT!$D:$D,$C21))/SUM($E21),"")</f>
        <v/>
      </c>
      <c r="AI21" s="429" t="str">
        <f>IFERROR(1/(1/SUMIFS(PMTCT!$AS:$AS,PMTCT!$C:$C,$B21,PMTCT!$D:$D,$C21))/SUM($E21),"")</f>
        <v/>
      </c>
      <c r="AJ21" s="19" t="str">
        <f>IFERROR(1/(1/SUMIFS(TB!$P:$P,TB!$C:$C,$B21,TB!$D:$D,$C21))/SUM($E21),"")</f>
        <v/>
      </c>
      <c r="AK21" s="431"/>
      <c r="AL21" s="19" t="str">
        <f>IFERROR(1/(1/SUMIFS(HTS!$X:$X,HTS!$C:$C,$B21,HTS!$D:$D,$C21))/SUM($E21),"")</f>
        <v/>
      </c>
      <c r="AM21" s="19" t="str">
        <f>IFERROR(1/(1/SUMIFS(HTS!$AA:$AA,HTS!$C:$C,$B21,HTS!$D:$D,$C21))/SUM($E21),"")</f>
        <v/>
      </c>
      <c r="AN21" s="19" t="str">
        <f>IFERROR(1/(1/SUMIFS(HTS!$AD:$AD,HTS!$C:$C,$B21,HTS!$D:$D,$C21))/SUM($E21),"")</f>
        <v/>
      </c>
      <c r="AO21" s="19" t="str">
        <f>IFERROR(1/(1/SUMIFS(HTS!$AG:$AG,HTS!$C:$C,$B21,HTS!$D:$D,$C21))/SUM($E21),"")</f>
        <v/>
      </c>
      <c r="AP21" s="19" t="str">
        <f>IFERROR(1/(1/SUMIFS(HTS!$AJ:$AJ,HTS!$C:$C,$B21,HTS!$D:$D,$C21))/SUM($E21),"")</f>
        <v/>
      </c>
      <c r="AQ21" s="388" t="str">
        <f t="shared" si="22"/>
        <v/>
      </c>
      <c r="AR21" s="389" t="str">
        <f t="shared" si="23"/>
        <v/>
      </c>
      <c r="AS21" s="389" t="str">
        <f t="shared" si="13"/>
        <v/>
      </c>
      <c r="AT21" s="436"/>
      <c r="AU21" s="389" t="str">
        <f t="shared" si="14"/>
        <v/>
      </c>
      <c r="AV21" s="389" t="str">
        <f t="shared" si="15"/>
        <v/>
      </c>
      <c r="AW21" s="389" t="str">
        <f t="shared" si="16"/>
        <v/>
      </c>
      <c r="AX21" s="389" t="str">
        <f t="shared" si="17"/>
        <v/>
      </c>
      <c r="AY21" s="389" t="str">
        <f t="shared" si="18"/>
        <v/>
      </c>
      <c r="AZ21" s="19" t="str">
        <f t="shared" si="19"/>
        <v/>
      </c>
      <c r="BA21" s="47" t="str">
        <f>IFERROR(1/(1/SUMIFS(HTS!$BA:$BA,HTS!$C:$C,$B21,HTS!$D:$D,$C21)),"")</f>
        <v/>
      </c>
      <c r="BB21" s="11" t="str">
        <f t="shared" ref="BB21:BB33" si="28">IF(SUM($E21)=0,"",SUM($BA21)/SUM($E21))</f>
        <v/>
      </c>
      <c r="BC21" s="11" t="str">
        <f t="shared" ref="BC21:BC33" si="29">$BB21</f>
        <v/>
      </c>
      <c r="BD21" s="33" t="str">
        <f t="shared" ref="BD21:BD33" si="30">IF(SUM($AG21)=0,"",ROUND(SUM($BC21)*SUM($AG21),0))</f>
        <v/>
      </c>
      <c r="BE21" s="47" t="str">
        <f>IFERROR(1/(1/SUMIFS(HTS!$AY:$AY,HTS!$C:$C,$B21,HTS!$D:$D,$C21)),"")</f>
        <v/>
      </c>
      <c r="BF21" s="33" t="str">
        <f t="shared" si="25"/>
        <v/>
      </c>
      <c r="BG21" s="19" t="str">
        <f t="shared" si="24"/>
        <v/>
      </c>
      <c r="BH21" s="362">
        <f>$AF21</f>
        <v>0.95</v>
      </c>
      <c r="BJ21" s="33" t="str">
        <f>IF(SUM($AG21)=0,"",IF(AND($AH21="",SUM($AG21)&gt;0),"&lt;- Enter Linkage Rate",ROUND($AG21*$AH21*$BH21,0)))</f>
        <v/>
      </c>
      <c r="BK21" s="143">
        <f t="shared" si="20"/>
        <v>0.95</v>
      </c>
      <c r="BM21" s="33" t="str">
        <f t="shared" si="21"/>
        <v/>
      </c>
      <c r="BN21" s="47" t="str">
        <f>IFERROR(1/(1/SUMIFS(PrEP!$L:$L,PrEP!$C:$C,$B21,PrEP!$D:$D,$C21)),"")</f>
        <v/>
      </c>
      <c r="BO21" s="36" t="str">
        <f>IFERROR(1/(1/SUMIFS(PrEP!$O:$O,PrEP!$C:$C,$B21,PrEP!$D:$D,$C21)),"")</f>
        <v/>
      </c>
      <c r="BP21" s="33" t="str">
        <f t="shared" ref="BP21:BP28" si="31">BN21</f>
        <v/>
      </c>
      <c r="BQ21" s="33" t="str">
        <f t="shared" ref="BQ21:BQ28" si="32">BO21</f>
        <v/>
      </c>
      <c r="BR21" s="19" t="str">
        <f t="shared" ref="BR21:BR33" si="33">IF(SUM($BN21)=0,"",(SUM($BP21)-$BN21)/$BN21)</f>
        <v/>
      </c>
      <c r="BS21" s="19" t="str">
        <f t="shared" ref="BS21:BS33" si="34">IF(SUM($BO21)=0,"",(SUM($BQ21)-$BO21)/$BO21)</f>
        <v/>
      </c>
      <c r="BT21" s="47" t="str">
        <f>IFERROR(1/(1/SUMIFS(PP!$H:$H,PP!$C:$C,$B21,PP!$D:$D,$C21)),"")</f>
        <v/>
      </c>
      <c r="BU21" s="33" t="str">
        <f t="shared" si="26"/>
        <v/>
      </c>
      <c r="BV21" s="19" t="str">
        <f t="shared" si="27"/>
        <v/>
      </c>
      <c r="BW21" s="432"/>
      <c r="BX21" s="440"/>
      <c r="BY21" s="436"/>
      <c r="BZ21" s="432"/>
      <c r="CA21" s="430"/>
      <c r="CB21" s="431"/>
      <c r="CC21" s="431"/>
      <c r="CD21" s="440"/>
      <c r="CE21" s="431"/>
      <c r="CF21" s="433"/>
      <c r="CG21" s="431"/>
      <c r="CH21" s="431"/>
      <c r="CI21" s="431"/>
      <c r="CJ21" s="431"/>
      <c r="CK21" s="431"/>
      <c r="CL21" s="440"/>
      <c r="CM21" s="440"/>
      <c r="CN21" s="440"/>
      <c r="CO21" s="440"/>
      <c r="CP21" s="432"/>
      <c r="CQ21" s="437"/>
      <c r="CR21" s="437"/>
      <c r="CS21" s="437"/>
      <c r="CT21" s="440"/>
      <c r="CU21" s="440"/>
      <c r="CV21" s="439"/>
      <c r="CW21" s="440"/>
      <c r="CX21" s="440"/>
      <c r="CY21" s="432"/>
      <c r="CZ21" s="430"/>
      <c r="DA21" s="430"/>
      <c r="DB21" s="430"/>
      <c r="DC21" s="440"/>
      <c r="DD21" s="440"/>
      <c r="DE21" s="440"/>
      <c r="DF21" s="440"/>
      <c r="DG21" s="437"/>
      <c r="DH21" s="437"/>
      <c r="DI21" s="437"/>
      <c r="DJ21" s="437"/>
      <c r="DK21" s="439"/>
      <c r="DL21" s="442"/>
      <c r="DM21" s="432"/>
      <c r="DN21" s="430"/>
      <c r="DO21" s="440"/>
      <c r="DP21" s="440"/>
      <c r="DQ21" s="437"/>
      <c r="DR21" s="437"/>
      <c r="DS21" s="432"/>
      <c r="DT21" s="440"/>
      <c r="DU21" s="437"/>
      <c r="DV21" s="432"/>
      <c r="DW21" s="440"/>
      <c r="DX21" s="443"/>
    </row>
    <row r="22" spans="1:128" x14ac:dyDescent="0.2">
      <c r="A22" t="s">
        <v>187</v>
      </c>
      <c r="B22" s="176" t="s">
        <v>603</v>
      </c>
      <c r="C22" t="s">
        <v>606</v>
      </c>
      <c r="E22" s="47" t="str">
        <f>IFERROR(1/(1/IF($B22="&lt;01",ROUND(SUM(EID!$L:$L)/2,0),SUMIFS(HTS!$AM:$AM,HTS!$C:$C,$B22,HTS!$D:$D,$C22))),"")</f>
        <v/>
      </c>
      <c r="F22" s="36" t="str">
        <f>IFERROR(1/(1/IF($B22="&lt;01",ROUND(SUM(EID!$N:$N)/2,0),SUMIFS(Cascade!$AW:$AW,Cascade!$C:$C,$B22,Cascade!$D:$D,$C22))),"")</f>
        <v/>
      </c>
      <c r="G22" s="36" t="str">
        <f>IFERROR(1/(1/IF($B22="&lt;01",ROUND(SUM(EID!$P:$P)/2,0),SUMIFS(Cascade!$AO:$AO,Cascade!$C:$C,$B22,Cascade!$D:$D,$C22))),"")</f>
        <v/>
      </c>
      <c r="H22" s="36" t="str">
        <f>IFERROR(1/(1/IF($B22="&lt;01",ROUND(SUM(EID!$T:$T)/2,0),SUMIFS(Cascade!$BA:$BA,Cascade!$C:$C,$B22,Cascade!$D:$D,$C22))),"")</f>
        <v/>
      </c>
      <c r="I22" s="36" t="str">
        <f>IFERROR(1/(1/IF($B22="&lt;01",ROUND(SUM(EID!$V:$V)/2,0),SUMIFS(Cascade!$BD:$BD,Cascade!$C:$C,$B22,Cascade!$D:$D,$C22))),"")</f>
        <v/>
      </c>
      <c r="J22" s="36" t="str">
        <f>IFERROR(1/(1/SUMIFS(Cascade!$AJ:$AJ,Cascade!$C:$C,$B22,Cascade!$D:$D,$C22)),"")</f>
        <v/>
      </c>
      <c r="K22" s="36" t="str">
        <f>IFERROR(1/(1/SUMIFS(Cascade!$AP:$AP,Cascade!$C:$C,$B22,Cascade!$D:$D,$C22)),"")</f>
        <v/>
      </c>
      <c r="L22" s="19" t="str">
        <f t="shared" si="0"/>
        <v/>
      </c>
      <c r="M22" s="47" t="str">
        <f>IFERROR(1/(1/ROUND(SUMIFS(Spectrum!$N:$N,Spectrum!$Q:$Q,"="&amp;$B22,Spectrum!$K:$K,$C22,Spectrum!$G:$G,M$14,Spectrum!$M:$M,"CY2024Q3"),0)),"")</f>
        <v/>
      </c>
      <c r="N22" s="33" t="str">
        <f>IFERROR(1/(1/ROUND(SUMIFS(Spectrum!$N:$N,Spectrum!$Q:$Q,"="&amp;$B22,Spectrum!$K:$K,$C22,Spectrum!$G:$G,N$14,Spectrum!$M:$M,"CY2025Q3"),0)),"")</f>
        <v/>
      </c>
      <c r="O22" s="19">
        <f t="shared" si="1"/>
        <v>0.9</v>
      </c>
      <c r="P22" s="36" t="str">
        <f t="shared" si="2"/>
        <v/>
      </c>
      <c r="Q22" s="19">
        <f t="shared" si="3"/>
        <v>1</v>
      </c>
      <c r="R22" s="60" t="str">
        <f t="shared" si="4"/>
        <v/>
      </c>
      <c r="S22" s="33" t="str">
        <f t="shared" si="5"/>
        <v/>
      </c>
      <c r="T22" s="19" t="str">
        <f t="shared" si="6"/>
        <v/>
      </c>
      <c r="U22" s="149">
        <v>0.98</v>
      </c>
      <c r="V22" s="19">
        <v>0.98</v>
      </c>
      <c r="W22" s="36" t="str">
        <f t="shared" si="7"/>
        <v/>
      </c>
      <c r="X22" s="19">
        <v>1</v>
      </c>
      <c r="Y22" s="33" t="str">
        <f t="shared" si="8"/>
        <v/>
      </c>
      <c r="Z22" s="149">
        <v>0.7</v>
      </c>
      <c r="AA22" s="36" t="str">
        <f t="shared" si="9"/>
        <v/>
      </c>
      <c r="AB22" s="19">
        <v>0.95</v>
      </c>
      <c r="AC22" s="33" t="str">
        <f t="shared" si="10"/>
        <v/>
      </c>
      <c r="AD22" s="149">
        <v>0.95</v>
      </c>
      <c r="AE22" s="33" t="str">
        <f t="shared" si="11"/>
        <v/>
      </c>
      <c r="AF22" s="149">
        <v>0.95</v>
      </c>
      <c r="AG22" s="33" t="str">
        <f t="shared" si="12"/>
        <v/>
      </c>
      <c r="AH22" s="433"/>
      <c r="AI22" s="434"/>
      <c r="AJ22" s="19" t="str">
        <f>IFERROR(1/(1/SUMIFS(TB!$P:$P,TB!$C:$C,$B22,TB!$D:$D,$C22))/SUM($E22),"")</f>
        <v/>
      </c>
      <c r="AK22" s="19" t="str">
        <f>IFERROR(1/(1/SUMIFS(VMMC!$AA:$AA,VMMC!$C:$C,$B22,VMMC!$D:$D,$C22))/SUM($E22),"")</f>
        <v/>
      </c>
      <c r="AL22" s="19" t="str">
        <f>IFERROR(1/(1/SUMIFS(HTS!$X:$X,HTS!$C:$C,$B22,HTS!$D:$D,$C22))/SUM($E22),"")</f>
        <v/>
      </c>
      <c r="AM22" s="19" t="str">
        <f>IFERROR(1/(1/SUMIFS(HTS!$AA:$AA,HTS!$C:$C,$B22,HTS!$D:$D,$C22))/SUM($E22),"")</f>
        <v/>
      </c>
      <c r="AN22" s="19" t="str">
        <f>IFERROR(1/(1/SUMIFS(HTS!$AD:$AD,HTS!$C:$C,$B22,HTS!$D:$D,$C22))/SUM($E22),"")</f>
        <v/>
      </c>
      <c r="AO22" s="19" t="str">
        <f>IFERROR(1/(1/SUMIFS(HTS!$AG:$AG,HTS!$C:$C,$B22,HTS!$D:$D,$C22))/SUM($E22),"")</f>
        <v/>
      </c>
      <c r="AP22" s="19" t="str">
        <f>IFERROR(1/(1/SUMIFS(HTS!$AJ:$AJ,HTS!$C:$C,$B22,HTS!$D:$D,$C22))/SUM($E22),"")</f>
        <v/>
      </c>
      <c r="AQ22" s="435"/>
      <c r="AR22" s="436"/>
      <c r="AS22" s="389" t="str">
        <f t="shared" si="13"/>
        <v/>
      </c>
      <c r="AT22" s="389" t="str">
        <f t="shared" ref="AT22:AT28" si="35">AK22</f>
        <v/>
      </c>
      <c r="AU22" s="389" t="str">
        <f t="shared" si="14"/>
        <v/>
      </c>
      <c r="AV22" s="389" t="str">
        <f t="shared" si="15"/>
        <v/>
      </c>
      <c r="AW22" s="389" t="str">
        <f t="shared" si="16"/>
        <v/>
      </c>
      <c r="AX22" s="389" t="str">
        <f t="shared" si="17"/>
        <v/>
      </c>
      <c r="AY22" s="389" t="str">
        <f t="shared" si="18"/>
        <v/>
      </c>
      <c r="AZ22" s="19" t="str">
        <f t="shared" si="19"/>
        <v/>
      </c>
      <c r="BA22" s="47" t="str">
        <f>IFERROR(1/(1/SUMIFS(HTS!$BA:$BA,HTS!$C:$C,$B22,HTS!$D:$D,$C22)),"")</f>
        <v/>
      </c>
      <c r="BB22" s="11" t="str">
        <f t="shared" si="28"/>
        <v/>
      </c>
      <c r="BC22" s="11" t="str">
        <f t="shared" si="29"/>
        <v/>
      </c>
      <c r="BD22" s="33" t="str">
        <f t="shared" si="30"/>
        <v/>
      </c>
      <c r="BE22" s="47" t="str">
        <f>IFERROR(1/(1/SUMIFS(HTS!$AY:$AY,HTS!$C:$C,$B22,HTS!$D:$D,$C22)),"")</f>
        <v/>
      </c>
      <c r="BF22" s="33" t="str">
        <f t="shared" si="25"/>
        <v/>
      </c>
      <c r="BG22" s="19" t="str">
        <f t="shared" si="24"/>
        <v/>
      </c>
      <c r="BH22" s="438"/>
      <c r="BI22" s="440"/>
      <c r="BJ22" s="440"/>
      <c r="BK22" s="143">
        <f t="shared" si="20"/>
        <v>0.95</v>
      </c>
      <c r="BM22" s="33" t="str">
        <f t="shared" si="21"/>
        <v/>
      </c>
      <c r="BN22" s="47" t="str">
        <f>IFERROR(1/(1/SUMIFS(PrEP!$L:$L,PrEP!$C:$C,$B22,PrEP!$D:$D,$C22)),"")</f>
        <v/>
      </c>
      <c r="BO22" s="36" t="str">
        <f>IFERROR(1/(1/SUMIFS(PrEP!$O:$O,PrEP!$C:$C,$B22,PrEP!$D:$D,$C22)),"")</f>
        <v/>
      </c>
      <c r="BP22" s="33" t="str">
        <f t="shared" si="31"/>
        <v/>
      </c>
      <c r="BQ22" s="33" t="str">
        <f t="shared" si="32"/>
        <v/>
      </c>
      <c r="BR22" s="19" t="str">
        <f t="shared" si="33"/>
        <v/>
      </c>
      <c r="BS22" s="19" t="str">
        <f t="shared" si="34"/>
        <v/>
      </c>
      <c r="BT22" s="47" t="str">
        <f>IFERROR(1/(1/SUMIFS(PP!$H:$H,PP!$C:$C,$B22,PP!$D:$D,$C22)),"")</f>
        <v/>
      </c>
      <c r="BU22" s="33" t="str">
        <f t="shared" si="26"/>
        <v/>
      </c>
      <c r="BV22" s="19" t="str">
        <f t="shared" si="27"/>
        <v/>
      </c>
      <c r="BW22" s="432"/>
      <c r="BX22" s="440"/>
      <c r="BY22" s="436"/>
      <c r="BZ22" s="432"/>
      <c r="CA22" s="430"/>
      <c r="CB22" s="431"/>
      <c r="CC22" s="431"/>
      <c r="CD22" s="440"/>
      <c r="CE22" s="431"/>
      <c r="CF22" s="433"/>
      <c r="CG22" s="431"/>
      <c r="CH22" s="431"/>
      <c r="CI22" s="431"/>
      <c r="CJ22" s="431"/>
      <c r="CK22" s="431"/>
      <c r="CL22" s="440"/>
      <c r="CM22" s="440"/>
      <c r="CN22" s="440"/>
      <c r="CO22" s="440"/>
      <c r="CP22" s="432"/>
      <c r="CQ22" s="437"/>
      <c r="CR22" s="437"/>
      <c r="CS22" s="437"/>
      <c r="CT22" s="440"/>
      <c r="CU22" s="440"/>
      <c r="CV22" s="439"/>
      <c r="CW22" s="440"/>
      <c r="CX22" s="440"/>
      <c r="CY22" s="432"/>
      <c r="CZ22" s="430"/>
      <c r="DA22" s="430"/>
      <c r="DB22" s="430"/>
      <c r="DC22" s="440"/>
      <c r="DD22" s="440"/>
      <c r="DE22" s="440"/>
      <c r="DF22" s="440"/>
      <c r="DG22" s="437"/>
      <c r="DH22" s="437"/>
      <c r="DI22" s="437"/>
      <c r="DJ22" s="437"/>
      <c r="DK22" s="439"/>
      <c r="DL22" s="442"/>
      <c r="DM22" s="432"/>
      <c r="DN22" s="430"/>
      <c r="DO22" s="440"/>
      <c r="DP22" s="440"/>
      <c r="DQ22" s="437"/>
      <c r="DR22" s="437"/>
      <c r="DS22" s="432"/>
      <c r="DT22" s="440"/>
      <c r="DU22" s="437"/>
      <c r="DV22" s="432"/>
      <c r="DW22" s="440"/>
      <c r="DX22" s="443"/>
    </row>
    <row r="23" spans="1:128" x14ac:dyDescent="0.2">
      <c r="A23" t="s">
        <v>187</v>
      </c>
      <c r="B23" s="176" t="s">
        <v>1213</v>
      </c>
      <c r="C23" s="5" t="s">
        <v>581</v>
      </c>
      <c r="E23" s="47" t="str">
        <f>IFERROR(1/(1/IF($B23="&lt;01",ROUND(SUM(EID!$L:$L)/2,0),SUMIFS(HTS!$AM:$AM,HTS!$C:$C,$B23,HTS!$D:$D,$C23))),"")</f>
        <v/>
      </c>
      <c r="F23" s="36" t="str">
        <f>IFERROR(1/(1/IF($B23="&lt;01",ROUND(SUM(EID!$N:$N)/2,0),SUMIFS(Cascade!$AW:$AW,Cascade!$C:$C,$B23,Cascade!$D:$D,$C23))),"")</f>
        <v/>
      </c>
      <c r="G23" s="36" t="str">
        <f>IFERROR(1/(1/IF($B23="&lt;01",ROUND(SUM(EID!$P:$P)/2,0),SUMIFS(Cascade!$AO:$AO,Cascade!$C:$C,$B23,Cascade!$D:$D,$C23))),"")</f>
        <v/>
      </c>
      <c r="H23" s="36" t="str">
        <f>IFERROR(1/(1/IF($B23="&lt;01",ROUND(SUM(EID!$T:$T)/2,0),SUMIFS(Cascade!$BA:$BA,Cascade!$C:$C,$B23,Cascade!$D:$D,$C23))),"")</f>
        <v/>
      </c>
      <c r="I23" s="36" t="str">
        <f>IFERROR(1/(1/IF($B23="&lt;01",ROUND(SUM(EID!$V:$V)/2,0),SUMIFS(Cascade!$BD:$BD,Cascade!$C:$C,$B23,Cascade!$D:$D,$C23))),"")</f>
        <v/>
      </c>
      <c r="J23" s="36" t="str">
        <f>IFERROR(1/(1/SUMIFS(Cascade!$AJ:$AJ,Cascade!$C:$C,$B23,Cascade!$D:$D,$C23)),"")</f>
        <v/>
      </c>
      <c r="K23" s="36" t="str">
        <f>IFERROR(1/(1/SUMIFS(Cascade!$AP:$AP,Cascade!$C:$C,$B23,Cascade!$D:$D,$C23)),"")</f>
        <v/>
      </c>
      <c r="L23" s="19" t="str">
        <f t="shared" si="0"/>
        <v/>
      </c>
      <c r="M23" s="47" t="str">
        <f>IFERROR(1/(1/ROUND(SUMIFS(Spectrum!$N:$N,Spectrum!$Q:$Q,"="&amp;$B23,Spectrum!$K:$K,$C23,Spectrum!$G:$G,M$14,Spectrum!$M:$M,"CY2024Q3"),0)),"")</f>
        <v/>
      </c>
      <c r="N23" s="33" t="str">
        <f>IFERROR(1/(1/ROUND(SUMIFS(Spectrum!$N:$N,Spectrum!$Q:$Q,"="&amp;$B23,Spectrum!$K:$K,$C23,Spectrum!$G:$G,N$14,Spectrum!$M:$M,"CY2025Q3"),0)),"")</f>
        <v/>
      </c>
      <c r="O23" s="19">
        <f t="shared" si="1"/>
        <v>0.9</v>
      </c>
      <c r="P23" s="36" t="str">
        <f t="shared" si="2"/>
        <v/>
      </c>
      <c r="Q23" s="19">
        <f t="shared" si="3"/>
        <v>1</v>
      </c>
      <c r="R23" s="60" t="str">
        <f t="shared" si="4"/>
        <v/>
      </c>
      <c r="S23" s="33" t="str">
        <f t="shared" si="5"/>
        <v/>
      </c>
      <c r="T23" s="19" t="str">
        <f t="shared" si="6"/>
        <v/>
      </c>
      <c r="U23" s="149">
        <v>0.98</v>
      </c>
      <c r="V23" s="19">
        <v>0.98</v>
      </c>
      <c r="W23" s="36" t="str">
        <f t="shared" si="7"/>
        <v/>
      </c>
      <c r="X23" s="19">
        <v>1</v>
      </c>
      <c r="Y23" s="33" t="str">
        <f t="shared" si="8"/>
        <v/>
      </c>
      <c r="Z23" s="149">
        <v>0.7</v>
      </c>
      <c r="AA23" s="36" t="str">
        <f t="shared" si="9"/>
        <v/>
      </c>
      <c r="AB23" s="19">
        <v>0.95</v>
      </c>
      <c r="AC23" s="33" t="str">
        <f t="shared" si="10"/>
        <v/>
      </c>
      <c r="AD23" s="149">
        <v>0.95</v>
      </c>
      <c r="AE23" s="33" t="str">
        <f t="shared" si="11"/>
        <v/>
      </c>
      <c r="AF23" s="149">
        <v>0.95</v>
      </c>
      <c r="AG23" s="33" t="str">
        <f t="shared" si="12"/>
        <v/>
      </c>
      <c r="AH23" s="149" t="str">
        <f>IFERROR(1/(1/SUMIFS(PMTCT!$AC:$AC,PMTCT!$C:$C,$B23,PMTCT!$D:$D,$C23))/SUM($E23),"")</f>
        <v/>
      </c>
      <c r="AI23" s="429" t="str">
        <f>IFERROR(1/(1/SUMIFS(PMTCT!$AS:$AS,PMTCT!$C:$C,$B23,PMTCT!$D:$D,$C23))/SUM($E23),"")</f>
        <v/>
      </c>
      <c r="AJ23" s="19" t="str">
        <f>IFERROR(1/(1/SUMIFS(TB!$P:$P,TB!$C:$C,$B23,TB!$D:$D,$C23))/SUM($E23),"")</f>
        <v/>
      </c>
      <c r="AK23" s="431"/>
      <c r="AL23" s="19" t="str">
        <f>IFERROR(1/(1/SUMIFS(HTS!$X:$X,HTS!$C:$C,$B23,HTS!$D:$D,$C23))/SUM($E23),"")</f>
        <v/>
      </c>
      <c r="AM23" s="19" t="str">
        <f>IFERROR(1/(1/SUMIFS(HTS!$AA:$AA,HTS!$C:$C,$B23,HTS!$D:$D,$C23))/SUM($E23),"")</f>
        <v/>
      </c>
      <c r="AN23" s="19" t="str">
        <f>IFERROR(1/(1/SUMIFS(HTS!$AD:$AD,HTS!$C:$C,$B23,HTS!$D:$D,$C23))/SUM($E23),"")</f>
        <v/>
      </c>
      <c r="AO23" s="19" t="str">
        <f>IFERROR(1/(1/SUMIFS(HTS!$AG:$AG,HTS!$C:$C,$B23,HTS!$D:$D,$C23))/SUM($E23),"")</f>
        <v/>
      </c>
      <c r="AP23" s="19" t="str">
        <f>IFERROR(1/(1/SUMIFS(HTS!$AJ:$AJ,HTS!$C:$C,$B23,HTS!$D:$D,$C23))/SUM($E23),"")</f>
        <v/>
      </c>
      <c r="AQ23" s="388" t="str">
        <f t="shared" si="22"/>
        <v/>
      </c>
      <c r="AR23" s="389" t="str">
        <f t="shared" si="23"/>
        <v/>
      </c>
      <c r="AS23" s="389" t="str">
        <f t="shared" si="13"/>
        <v/>
      </c>
      <c r="AT23" s="436"/>
      <c r="AU23" s="389" t="str">
        <f t="shared" si="14"/>
        <v/>
      </c>
      <c r="AV23" s="389" t="str">
        <f t="shared" si="15"/>
        <v/>
      </c>
      <c r="AW23" s="389" t="str">
        <f t="shared" si="16"/>
        <v/>
      </c>
      <c r="AX23" s="389" t="str">
        <f t="shared" si="17"/>
        <v/>
      </c>
      <c r="AY23" s="389" t="str">
        <f t="shared" si="18"/>
        <v/>
      </c>
      <c r="AZ23" s="19" t="str">
        <f t="shared" si="19"/>
        <v/>
      </c>
      <c r="BA23" s="47" t="str">
        <f>IFERROR(1/(1/SUMIFS(HTS!$BA:$BA,HTS!$C:$C,$B23,HTS!$D:$D,$C23)),"")</f>
        <v/>
      </c>
      <c r="BB23" s="11" t="str">
        <f t="shared" si="28"/>
        <v/>
      </c>
      <c r="BC23" s="11" t="str">
        <f t="shared" si="29"/>
        <v/>
      </c>
      <c r="BD23" s="33" t="str">
        <f t="shared" si="30"/>
        <v/>
      </c>
      <c r="BE23" s="47" t="str">
        <f>IFERROR(1/(1/SUMIFS(HTS!$AY:$AY,HTS!$C:$C,$B23,HTS!$D:$D,$C23)),"")</f>
        <v/>
      </c>
      <c r="BF23" s="33" t="str">
        <f t="shared" si="25"/>
        <v/>
      </c>
      <c r="BG23" s="19" t="str">
        <f t="shared" si="24"/>
        <v/>
      </c>
      <c r="BH23" s="362">
        <f>$AF23</f>
        <v>0.95</v>
      </c>
      <c r="BJ23" s="33" t="str">
        <f>IF(SUM($AG23)=0,"",IF(AND($AH23="",SUM($AG23)&gt;0),"&lt;- Enter Linkage Rate",ROUND($AG23*$AH23*$BH23,0)))</f>
        <v/>
      </c>
      <c r="BK23" s="143">
        <f t="shared" si="20"/>
        <v>0.95</v>
      </c>
      <c r="BM23" s="33" t="str">
        <f t="shared" si="21"/>
        <v/>
      </c>
      <c r="BN23" s="47" t="str">
        <f>IFERROR(1/(1/SUMIFS(PrEP!$L:$L,PrEP!$C:$C,$B23,PrEP!$D:$D,$C23)),"")</f>
        <v/>
      </c>
      <c r="BO23" s="36" t="str">
        <f>IFERROR(1/(1/SUMIFS(PrEP!$O:$O,PrEP!$C:$C,$B23,PrEP!$D:$D,$C23)),"")</f>
        <v/>
      </c>
      <c r="BP23" s="33" t="str">
        <f t="shared" si="31"/>
        <v/>
      </c>
      <c r="BQ23" s="33" t="str">
        <f t="shared" si="32"/>
        <v/>
      </c>
      <c r="BR23" s="19" t="str">
        <f t="shared" si="33"/>
        <v/>
      </c>
      <c r="BS23" s="19" t="str">
        <f t="shared" si="34"/>
        <v/>
      </c>
      <c r="BT23" s="47" t="str">
        <f>IFERROR(1/(1/SUMIFS(PP!$H:$H,PP!$C:$C,$B23,PP!$D:$D,$C23)),"")</f>
        <v/>
      </c>
      <c r="BU23" s="33" t="str">
        <f t="shared" si="26"/>
        <v/>
      </c>
      <c r="BV23" s="19" t="str">
        <f t="shared" si="27"/>
        <v/>
      </c>
      <c r="BW23" s="432"/>
      <c r="BX23" s="440"/>
      <c r="BY23" s="436"/>
      <c r="BZ23" s="47" t="str">
        <f>IFERROR(1/(1/SUMIFS(CXCA!$M:$M,CXCA!$C:$C,$B23,CXCA!$D:$D,$C23)),"")</f>
        <v/>
      </c>
      <c r="CA23" s="36" t="str">
        <f>IF(SUM($BZ23)=0,"",$BZ23/SUM(SUMIFS(CXCA!$H:$H,CXCA!$C:$C,$B23,CXCA!$D:$D,$C23),SUMIFS(CXCA!$I:$I,CXCA!$C:$C,$B23,CXCA!$D:$D,$C23)))</f>
        <v/>
      </c>
      <c r="CB23" s="19">
        <v>0.33</v>
      </c>
      <c r="CC23" s="19">
        <v>1</v>
      </c>
      <c r="CD23" s="33" t="str">
        <f>IF(SUM($G23)=0,"",ROUND($G23*$CB23+$W23*$CC23,0))</f>
        <v/>
      </c>
      <c r="CE23" s="19" t="str">
        <f>IF(SUM($CD23)=0,"",SUM($CD23)/(SUM($G23)+SUM($W23)))</f>
        <v/>
      </c>
      <c r="CF23" s="433"/>
      <c r="CG23" s="431"/>
      <c r="CH23" s="431"/>
      <c r="CI23" s="431"/>
      <c r="CJ23" s="431"/>
      <c r="CK23" s="431"/>
      <c r="CL23" s="440"/>
      <c r="CM23" s="440"/>
      <c r="CN23" s="440"/>
      <c r="CO23" s="440"/>
      <c r="CP23" s="432"/>
      <c r="CQ23" s="437"/>
      <c r="CR23" s="437"/>
      <c r="CS23" s="437"/>
      <c r="CT23" s="440"/>
      <c r="CU23" s="440"/>
      <c r="CV23" s="439"/>
      <c r="CW23" s="440"/>
      <c r="CX23" s="440"/>
      <c r="CY23" s="432"/>
      <c r="CZ23" s="430"/>
      <c r="DA23" s="430"/>
      <c r="DB23" s="430"/>
      <c r="DC23" s="440"/>
      <c r="DD23" s="440"/>
      <c r="DE23" s="440"/>
      <c r="DF23" s="440"/>
      <c r="DG23" s="437"/>
      <c r="DH23" s="437"/>
      <c r="DI23" s="437"/>
      <c r="DJ23" s="437"/>
      <c r="DK23" s="439"/>
      <c r="DL23" s="442"/>
      <c r="DM23" s="432"/>
      <c r="DN23" s="430"/>
      <c r="DO23" s="440"/>
      <c r="DP23" s="440"/>
      <c r="DQ23" s="437"/>
      <c r="DR23" s="437"/>
      <c r="DS23" s="432"/>
      <c r="DT23" s="440"/>
      <c r="DU23" s="437"/>
      <c r="DV23" s="432"/>
      <c r="DW23" s="440"/>
      <c r="DX23" s="443"/>
    </row>
    <row r="24" spans="1:128" x14ac:dyDescent="0.2">
      <c r="A24" t="s">
        <v>187</v>
      </c>
      <c r="B24" s="176" t="s">
        <v>1213</v>
      </c>
      <c r="C24" t="s">
        <v>606</v>
      </c>
      <c r="E24" s="47" t="str">
        <f>IFERROR(1/(1/IF($B24="&lt;01",ROUND(SUM(EID!$L:$L)/2,0),SUMIFS(HTS!$AM:$AM,HTS!$C:$C,$B24,HTS!$D:$D,$C24))),"")</f>
        <v/>
      </c>
      <c r="F24" s="36" t="str">
        <f>IFERROR(1/(1/IF($B24="&lt;01",ROUND(SUM(EID!$N:$N)/2,0),SUMIFS(Cascade!$AW:$AW,Cascade!$C:$C,$B24,Cascade!$D:$D,$C24))),"")</f>
        <v/>
      </c>
      <c r="G24" s="36" t="str">
        <f>IFERROR(1/(1/IF($B24="&lt;01",ROUND(SUM(EID!$P:$P)/2,0),SUMIFS(Cascade!$AO:$AO,Cascade!$C:$C,$B24,Cascade!$D:$D,$C24))),"")</f>
        <v/>
      </c>
      <c r="H24" s="36" t="str">
        <f>IFERROR(1/(1/IF($B24="&lt;01",ROUND(SUM(EID!$T:$T)/2,0),SUMIFS(Cascade!$BA:$BA,Cascade!$C:$C,$B24,Cascade!$D:$D,$C24))),"")</f>
        <v/>
      </c>
      <c r="I24" s="36" t="str">
        <f>IFERROR(1/(1/IF($B24="&lt;01",ROUND(SUM(EID!$V:$V)/2,0),SUMIFS(Cascade!$BD:$BD,Cascade!$C:$C,$B24,Cascade!$D:$D,$C24))),"")</f>
        <v/>
      </c>
      <c r="J24" s="36" t="str">
        <f>IFERROR(1/(1/SUMIFS(Cascade!$AJ:$AJ,Cascade!$C:$C,$B24,Cascade!$D:$D,$C24)),"")</f>
        <v/>
      </c>
      <c r="K24" s="36" t="str">
        <f>IFERROR(1/(1/SUMIFS(Cascade!$AP:$AP,Cascade!$C:$C,$B24,Cascade!$D:$D,$C24)),"")</f>
        <v/>
      </c>
      <c r="L24" s="19" t="str">
        <f t="shared" si="0"/>
        <v/>
      </c>
      <c r="M24" s="47" t="str">
        <f>IFERROR(1/(1/ROUND(SUMIFS(Spectrum!$N:$N,Spectrum!$Q:$Q,"="&amp;$B24,Spectrum!$K:$K,$C24,Spectrum!$G:$G,M$14,Spectrum!$M:$M,"CY2024Q3"),0)),"")</f>
        <v/>
      </c>
      <c r="N24" s="33" t="str">
        <f>IFERROR(1/(1/ROUND(SUMIFS(Spectrum!$N:$N,Spectrum!$Q:$Q,"="&amp;$B24,Spectrum!$K:$K,$C24,Spectrum!$G:$G,N$14,Spectrum!$M:$M,"CY2025Q3"),0)),"")</f>
        <v/>
      </c>
      <c r="O24" s="19">
        <f t="shared" si="1"/>
        <v>0.9</v>
      </c>
      <c r="P24" s="36" t="str">
        <f t="shared" si="2"/>
        <v/>
      </c>
      <c r="Q24" s="19">
        <f t="shared" si="3"/>
        <v>1</v>
      </c>
      <c r="R24" s="60" t="str">
        <f t="shared" si="4"/>
        <v/>
      </c>
      <c r="S24" s="33" t="str">
        <f t="shared" si="5"/>
        <v/>
      </c>
      <c r="T24" s="19" t="str">
        <f t="shared" si="6"/>
        <v/>
      </c>
      <c r="U24" s="149">
        <v>0.98</v>
      </c>
      <c r="V24" s="19">
        <v>0.98</v>
      </c>
      <c r="W24" s="36" t="str">
        <f t="shared" si="7"/>
        <v/>
      </c>
      <c r="X24" s="19">
        <v>1</v>
      </c>
      <c r="Y24" s="33" t="str">
        <f t="shared" si="8"/>
        <v/>
      </c>
      <c r="Z24" s="149">
        <v>0.7</v>
      </c>
      <c r="AA24" s="36" t="str">
        <f t="shared" si="9"/>
        <v/>
      </c>
      <c r="AB24" s="19">
        <v>0.95</v>
      </c>
      <c r="AC24" s="33" t="str">
        <f t="shared" si="10"/>
        <v/>
      </c>
      <c r="AD24" s="149">
        <v>0.95</v>
      </c>
      <c r="AE24" s="33" t="str">
        <f t="shared" si="11"/>
        <v/>
      </c>
      <c r="AF24" s="149">
        <v>0.95</v>
      </c>
      <c r="AG24" s="33" t="str">
        <f t="shared" si="12"/>
        <v/>
      </c>
      <c r="AH24" s="433"/>
      <c r="AI24" s="434"/>
      <c r="AJ24" s="19" t="str">
        <f>IFERROR(1/(1/SUMIFS(TB!$P:$P,TB!$C:$C,$B24,TB!$D:$D,$C24))/SUM($E24),"")</f>
        <v/>
      </c>
      <c r="AK24" s="19" t="str">
        <f>IFERROR(1/(1/SUMIFS(VMMC!$AA:$AA,VMMC!$C:$C,$B24,VMMC!$D:$D,$C24))/SUM($E24),"")</f>
        <v/>
      </c>
      <c r="AL24" s="19" t="str">
        <f>IFERROR(1/(1/SUMIFS(HTS!$X:$X,HTS!$C:$C,$B24,HTS!$D:$D,$C24))/SUM($E24),"")</f>
        <v/>
      </c>
      <c r="AM24" s="19" t="str">
        <f>IFERROR(1/(1/SUMIFS(HTS!$AA:$AA,HTS!$C:$C,$B24,HTS!$D:$D,$C24))/SUM($E24),"")</f>
        <v/>
      </c>
      <c r="AN24" s="19" t="str">
        <f>IFERROR(1/(1/SUMIFS(HTS!$AD:$AD,HTS!$C:$C,$B24,HTS!$D:$D,$C24))/SUM($E24),"")</f>
        <v/>
      </c>
      <c r="AO24" s="19" t="str">
        <f>IFERROR(1/(1/SUMIFS(HTS!$AG:$AG,HTS!$C:$C,$B24,HTS!$D:$D,$C24))/SUM($E24),"")</f>
        <v/>
      </c>
      <c r="AP24" s="19" t="str">
        <f>IFERROR(1/(1/SUMIFS(HTS!$AJ:$AJ,HTS!$C:$C,$B24,HTS!$D:$D,$C24))/SUM($E24),"")</f>
        <v/>
      </c>
      <c r="AQ24" s="435"/>
      <c r="AR24" s="436"/>
      <c r="AS24" s="389" t="str">
        <f t="shared" si="13"/>
        <v/>
      </c>
      <c r="AT24" s="389" t="str">
        <f t="shared" si="35"/>
        <v/>
      </c>
      <c r="AU24" s="389" t="str">
        <f t="shared" si="14"/>
        <v/>
      </c>
      <c r="AV24" s="389" t="str">
        <f t="shared" si="15"/>
        <v/>
      </c>
      <c r="AW24" s="389" t="str">
        <f t="shared" si="16"/>
        <v/>
      </c>
      <c r="AX24" s="389" t="str">
        <f t="shared" si="17"/>
        <v/>
      </c>
      <c r="AY24" s="389" t="str">
        <f t="shared" si="18"/>
        <v/>
      </c>
      <c r="AZ24" s="19" t="str">
        <f t="shared" si="19"/>
        <v/>
      </c>
      <c r="BA24" s="47" t="str">
        <f>IFERROR(1/(1/SUMIFS(HTS!$BA:$BA,HTS!$C:$C,$B24,HTS!$D:$D,$C24)),"")</f>
        <v/>
      </c>
      <c r="BB24" s="11" t="str">
        <f t="shared" si="28"/>
        <v/>
      </c>
      <c r="BC24" s="11" t="str">
        <f t="shared" si="29"/>
        <v/>
      </c>
      <c r="BD24" s="33" t="str">
        <f t="shared" si="30"/>
        <v/>
      </c>
      <c r="BE24" s="47" t="str">
        <f>IFERROR(1/(1/SUMIFS(HTS!$AY:$AY,HTS!$C:$C,$B24,HTS!$D:$D,$C24)),"")</f>
        <v/>
      </c>
      <c r="BF24" s="33" t="str">
        <f t="shared" si="25"/>
        <v/>
      </c>
      <c r="BG24" s="19" t="str">
        <f t="shared" si="24"/>
        <v/>
      </c>
      <c r="BH24" s="438"/>
      <c r="BI24" s="440"/>
      <c r="BJ24" s="440"/>
      <c r="BK24" s="143">
        <f t="shared" si="20"/>
        <v>0.95</v>
      </c>
      <c r="BM24" s="33" t="str">
        <f t="shared" si="21"/>
        <v/>
      </c>
      <c r="BN24" s="47" t="str">
        <f>IFERROR(1/(1/SUMIFS(PrEP!$L:$L,PrEP!$C:$C,$B24,PrEP!$D:$D,$C24)),"")</f>
        <v/>
      </c>
      <c r="BO24" s="36" t="str">
        <f>IFERROR(1/(1/SUMIFS(PrEP!$O:$O,PrEP!$C:$C,$B24,PrEP!$D:$D,$C24)),"")</f>
        <v/>
      </c>
      <c r="BP24" s="33" t="str">
        <f t="shared" si="31"/>
        <v/>
      </c>
      <c r="BQ24" s="33" t="str">
        <f t="shared" si="32"/>
        <v/>
      </c>
      <c r="BR24" s="19" t="str">
        <f t="shared" si="33"/>
        <v/>
      </c>
      <c r="BS24" s="19" t="str">
        <f t="shared" si="34"/>
        <v/>
      </c>
      <c r="BT24" s="47" t="str">
        <f>IFERROR(1/(1/SUMIFS(PP!$H:$H,PP!$C:$C,$B24,PP!$D:$D,$C24)),"")</f>
        <v/>
      </c>
      <c r="BU24" s="33" t="str">
        <f t="shared" si="26"/>
        <v/>
      </c>
      <c r="BV24" s="19" t="str">
        <f t="shared" si="27"/>
        <v/>
      </c>
      <c r="BW24" s="432"/>
      <c r="BX24" s="440"/>
      <c r="BY24" s="436"/>
      <c r="BZ24" s="432"/>
      <c r="CA24" s="430"/>
      <c r="CB24" s="431"/>
      <c r="CC24" s="431"/>
      <c r="CD24" s="440"/>
      <c r="CE24" s="431"/>
      <c r="CF24" s="433"/>
      <c r="CG24" s="431"/>
      <c r="CH24" s="431"/>
      <c r="CI24" s="431"/>
      <c r="CJ24" s="431"/>
      <c r="CK24" s="431"/>
      <c r="CL24" s="440"/>
      <c r="CM24" s="440"/>
      <c r="CN24" s="440"/>
      <c r="CO24" s="440"/>
      <c r="CP24" s="432"/>
      <c r="CQ24" s="437"/>
      <c r="CR24" s="437"/>
      <c r="CS24" s="437"/>
      <c r="CT24" s="440"/>
      <c r="CU24" s="440"/>
      <c r="CV24" s="439"/>
      <c r="CW24" s="440"/>
      <c r="CX24" s="440"/>
      <c r="CY24" s="432"/>
      <c r="CZ24" s="430"/>
      <c r="DA24" s="430"/>
      <c r="DB24" s="430"/>
      <c r="DC24" s="440"/>
      <c r="DD24" s="440"/>
      <c r="DE24" s="440"/>
      <c r="DF24" s="440"/>
      <c r="DG24" s="437"/>
      <c r="DH24" s="437"/>
      <c r="DI24" s="437"/>
      <c r="DJ24" s="437"/>
      <c r="DK24" s="439"/>
      <c r="DL24" s="442"/>
      <c r="DM24" s="432"/>
      <c r="DN24" s="430"/>
      <c r="DO24" s="440"/>
      <c r="DP24" s="440"/>
      <c r="DQ24" s="437"/>
      <c r="DR24" s="437"/>
      <c r="DS24" s="432"/>
      <c r="DT24" s="440"/>
      <c r="DU24" s="437"/>
      <c r="DV24" s="432"/>
      <c r="DW24" s="440"/>
      <c r="DX24" s="443"/>
    </row>
    <row r="25" spans="1:128" x14ac:dyDescent="0.2">
      <c r="A25" t="s">
        <v>187</v>
      </c>
      <c r="B25" s="176" t="s">
        <v>604</v>
      </c>
      <c r="C25" s="5" t="s">
        <v>581</v>
      </c>
      <c r="E25" s="47" t="str">
        <f>IFERROR(1/(1/IF($B25="&lt;01",ROUND(SUM(EID!$L:$L)/2,0),SUMIFS(HTS!$AM:$AM,HTS!$C:$C,$B25,HTS!$D:$D,$C25))),"")</f>
        <v/>
      </c>
      <c r="F25" s="36" t="str">
        <f>IFERROR(1/(1/IF($B25="&lt;01",ROUND(SUM(EID!$N:$N)/2,0),SUMIFS(Cascade!$AW:$AW,Cascade!$C:$C,$B25,Cascade!$D:$D,$C25))),"")</f>
        <v/>
      </c>
      <c r="G25" s="36" t="str">
        <f>IFERROR(1/(1/IF($B25="&lt;01",ROUND(SUM(EID!$P:$P)/2,0),SUMIFS(Cascade!$AO:$AO,Cascade!$C:$C,$B25,Cascade!$D:$D,$C25))),"")</f>
        <v/>
      </c>
      <c r="H25" s="36" t="str">
        <f>IFERROR(1/(1/IF($B25="&lt;01",ROUND(SUM(EID!$T:$T)/2,0),SUMIFS(Cascade!$BA:$BA,Cascade!$C:$C,$B25,Cascade!$D:$D,$C25))),"")</f>
        <v/>
      </c>
      <c r="I25" s="36" t="str">
        <f>IFERROR(1/(1/IF($B25="&lt;01",ROUND(SUM(EID!$V:$V)/2,0),SUMIFS(Cascade!$BD:$BD,Cascade!$C:$C,$B25,Cascade!$D:$D,$C25))),"")</f>
        <v/>
      </c>
      <c r="J25" s="36" t="str">
        <f>IFERROR(1/(1/SUMIFS(Cascade!$AJ:$AJ,Cascade!$C:$C,$B25,Cascade!$D:$D,$C25)),"")</f>
        <v/>
      </c>
      <c r="K25" s="36" t="str">
        <f>IFERROR(1/(1/SUMIFS(Cascade!$AP:$AP,Cascade!$C:$C,$B25,Cascade!$D:$D,$C25)),"")</f>
        <v/>
      </c>
      <c r="L25" s="19" t="str">
        <f t="shared" si="0"/>
        <v/>
      </c>
      <c r="M25" s="47" t="str">
        <f>IFERROR(1/(1/ROUND(SUMIFS(Spectrum!$N:$N,Spectrum!$Q:$Q,"="&amp;$B25,Spectrum!$K:$K,$C25,Spectrum!$G:$G,M$14,Spectrum!$M:$M,"CY2024Q3"),0)),"")</f>
        <v/>
      </c>
      <c r="N25" s="33" t="str">
        <f>IFERROR(1/(1/ROUND(SUMIFS(Spectrum!$N:$N,Spectrum!$Q:$Q,"="&amp;$B25,Spectrum!$K:$K,$C25,Spectrum!$G:$G,N$14,Spectrum!$M:$M,"CY2025Q3"),0)),"")</f>
        <v/>
      </c>
      <c r="O25" s="19">
        <f t="shared" si="1"/>
        <v>0.9</v>
      </c>
      <c r="P25" s="36" t="str">
        <f t="shared" si="2"/>
        <v/>
      </c>
      <c r="Q25" s="19">
        <f t="shared" si="3"/>
        <v>1</v>
      </c>
      <c r="R25" s="60" t="str">
        <f t="shared" si="4"/>
        <v/>
      </c>
      <c r="S25" s="33" t="str">
        <f t="shared" si="5"/>
        <v/>
      </c>
      <c r="T25" s="19" t="str">
        <f t="shared" si="6"/>
        <v/>
      </c>
      <c r="U25" s="149">
        <v>0.98</v>
      </c>
      <c r="V25" s="19">
        <v>0.98</v>
      </c>
      <c r="W25" s="36" t="str">
        <f t="shared" si="7"/>
        <v/>
      </c>
      <c r="X25" s="19">
        <v>1</v>
      </c>
      <c r="Y25" s="33" t="str">
        <f t="shared" si="8"/>
        <v/>
      </c>
      <c r="Z25" s="149">
        <v>0.7</v>
      </c>
      <c r="AA25" s="36" t="str">
        <f t="shared" si="9"/>
        <v/>
      </c>
      <c r="AB25" s="19">
        <v>0.95</v>
      </c>
      <c r="AC25" s="33" t="str">
        <f t="shared" si="10"/>
        <v/>
      </c>
      <c r="AD25" s="149">
        <v>0.95</v>
      </c>
      <c r="AE25" s="33" t="str">
        <f t="shared" si="11"/>
        <v/>
      </c>
      <c r="AF25" s="149">
        <v>0.95</v>
      </c>
      <c r="AG25" s="33" t="str">
        <f t="shared" si="12"/>
        <v/>
      </c>
      <c r="AH25" s="149" t="str">
        <f>IFERROR(1/(1/SUMIFS(PMTCT!$AC:$AC,PMTCT!$C:$C,$B25,PMTCT!$D:$D,$C25))/SUM($E25),"")</f>
        <v/>
      </c>
      <c r="AI25" s="429" t="str">
        <f>IFERROR(1/(1/SUMIFS(PMTCT!$AS:$AS,PMTCT!$C:$C,$B25,PMTCT!$D:$D,$C25))/SUM($E25),"")</f>
        <v/>
      </c>
      <c r="AJ25" s="19" t="str">
        <f>IFERROR(1/(1/SUMIFS(TB!$P:$P,TB!$C:$C,$B25,TB!$D:$D,$C25))/SUM($E25),"")</f>
        <v/>
      </c>
      <c r="AK25" s="431"/>
      <c r="AL25" s="19" t="str">
        <f>IFERROR(1/(1/SUMIFS(HTS!$X:$X,HTS!$C:$C,$B25,HTS!$D:$D,$C25))/SUM($E25),"")</f>
        <v/>
      </c>
      <c r="AM25" s="19" t="str">
        <f>IFERROR(1/(1/SUMIFS(HTS!$AA:$AA,HTS!$C:$C,$B25,HTS!$D:$D,$C25))/SUM($E25),"")</f>
        <v/>
      </c>
      <c r="AN25" s="19" t="str">
        <f>IFERROR(1/(1/SUMIFS(HTS!$AD:$AD,HTS!$C:$C,$B25,HTS!$D:$D,$C25))/SUM($E25),"")</f>
        <v/>
      </c>
      <c r="AO25" s="19" t="str">
        <f>IFERROR(1/(1/SUMIFS(HTS!$AG:$AG,HTS!$C:$C,$B25,HTS!$D:$D,$C25))/SUM($E25),"")</f>
        <v/>
      </c>
      <c r="AP25" s="19" t="str">
        <f>IFERROR(1/(1/SUMIFS(HTS!$AJ:$AJ,HTS!$C:$C,$B25,HTS!$D:$D,$C25))/SUM($E25),"")</f>
        <v/>
      </c>
      <c r="AQ25" s="388" t="str">
        <f t="shared" si="22"/>
        <v/>
      </c>
      <c r="AR25" s="389" t="str">
        <f t="shared" si="23"/>
        <v/>
      </c>
      <c r="AS25" s="389" t="str">
        <f t="shared" si="13"/>
        <v/>
      </c>
      <c r="AT25" s="436"/>
      <c r="AU25" s="389" t="str">
        <f t="shared" si="14"/>
        <v/>
      </c>
      <c r="AV25" s="389" t="str">
        <f t="shared" si="15"/>
        <v/>
      </c>
      <c r="AW25" s="389" t="str">
        <f t="shared" si="16"/>
        <v/>
      </c>
      <c r="AX25" s="389" t="str">
        <f t="shared" si="17"/>
        <v/>
      </c>
      <c r="AY25" s="389" t="str">
        <f t="shared" si="18"/>
        <v/>
      </c>
      <c r="AZ25" s="19" t="str">
        <f t="shared" si="19"/>
        <v/>
      </c>
      <c r="BA25" s="47" t="str">
        <f>IFERROR(1/(1/SUMIFS(HTS!$BA:$BA,HTS!$C:$C,$B25,HTS!$D:$D,$C25)),"")</f>
        <v/>
      </c>
      <c r="BB25" s="11" t="str">
        <f t="shared" si="28"/>
        <v/>
      </c>
      <c r="BC25" s="11" t="str">
        <f t="shared" si="29"/>
        <v/>
      </c>
      <c r="BD25" s="33" t="str">
        <f t="shared" si="30"/>
        <v/>
      </c>
      <c r="BE25" s="47" t="str">
        <f>IFERROR(1/(1/SUMIFS(HTS!$AY:$AY,HTS!$C:$C,$B25,HTS!$D:$D,$C25)),"")</f>
        <v/>
      </c>
      <c r="BF25" s="33" t="str">
        <f t="shared" si="25"/>
        <v/>
      </c>
      <c r="BG25" s="19" t="str">
        <f t="shared" si="24"/>
        <v/>
      </c>
      <c r="BH25" s="362">
        <f>$AF25</f>
        <v>0.95</v>
      </c>
      <c r="BJ25" s="33" t="str">
        <f>IF(SUM($AG25)=0,"",IF(AND($AH25="",SUM($AG25)&gt;0),"&lt;- Enter Linkage Rate",ROUND($AG25*$AH25*$BH25,0)))</f>
        <v/>
      </c>
      <c r="BK25" s="143">
        <f t="shared" si="20"/>
        <v>0.95</v>
      </c>
      <c r="BM25" s="33" t="str">
        <f t="shared" si="21"/>
        <v/>
      </c>
      <c r="BN25" s="47" t="str">
        <f>IFERROR(1/(1/SUMIFS(PrEP!$L:$L,PrEP!$C:$C,$B25,PrEP!$D:$D,$C25)),"")</f>
        <v/>
      </c>
      <c r="BO25" s="36" t="str">
        <f>IFERROR(1/(1/SUMIFS(PrEP!$O:$O,PrEP!$C:$C,$B25,PrEP!$D:$D,$C25)),"")</f>
        <v/>
      </c>
      <c r="BP25" s="33" t="str">
        <f t="shared" si="31"/>
        <v/>
      </c>
      <c r="BQ25" s="33" t="str">
        <f t="shared" si="32"/>
        <v/>
      </c>
      <c r="BR25" s="19" t="str">
        <f t="shared" si="33"/>
        <v/>
      </c>
      <c r="BS25" s="19" t="str">
        <f t="shared" si="34"/>
        <v/>
      </c>
      <c r="BT25" s="47" t="str">
        <f>IFERROR(1/(1/SUMIFS(PP!$H:$H,PP!$C:$C,$B25,PP!$D:$D,$C25)),"")</f>
        <v/>
      </c>
      <c r="BU25" s="33" t="str">
        <f t="shared" si="26"/>
        <v/>
      </c>
      <c r="BV25" s="19" t="str">
        <f t="shared" si="27"/>
        <v/>
      </c>
      <c r="BW25" s="432"/>
      <c r="BX25" s="440"/>
      <c r="BY25" s="436"/>
      <c r="BZ25" s="47" t="str">
        <f>IFERROR(1/(1/SUMIFS(CXCA!$M:$M,CXCA!$C:$C,$B25,CXCA!$D:$D,$C25)),"")</f>
        <v/>
      </c>
      <c r="CA25" s="36" t="str">
        <f>IF(SUM($BZ25)=0,"",$BZ25/SUM(SUMIFS(CXCA!$H:$H,CXCA!$C:$C,$B25,CXCA!$D:$D,$C25),SUMIFS(CXCA!$I:$I,CXCA!$C:$C,$B25,CXCA!$D:$D,$C25)))</f>
        <v/>
      </c>
      <c r="CB25" s="19">
        <v>0.33</v>
      </c>
      <c r="CC25" s="19">
        <v>1</v>
      </c>
      <c r="CD25" s="33" t="str">
        <f>IF(SUM($G25)=0,"",ROUND($G25*$CB25+$W25*$CC25,0))</f>
        <v/>
      </c>
      <c r="CE25" s="19" t="str">
        <f>IF(SUM($CD25)=0,"",SUM($CD25)/(SUM($G25)+SUM($W25)))</f>
        <v/>
      </c>
      <c r="CF25" s="433"/>
      <c r="CG25" s="431"/>
      <c r="CH25" s="431"/>
      <c r="CI25" s="431"/>
      <c r="CJ25" s="431"/>
      <c r="CK25" s="431"/>
      <c r="CL25" s="440"/>
      <c r="CM25" s="440"/>
      <c r="CN25" s="440"/>
      <c r="CO25" s="440"/>
      <c r="CP25" s="432"/>
      <c r="CQ25" s="437"/>
      <c r="CR25" s="437"/>
      <c r="CS25" s="437"/>
      <c r="CT25" s="440"/>
      <c r="CU25" s="440"/>
      <c r="CV25" s="439"/>
      <c r="CW25" s="440"/>
      <c r="CX25" s="440"/>
      <c r="CY25" s="432"/>
      <c r="CZ25" s="430"/>
      <c r="DA25" s="430"/>
      <c r="DB25" s="430"/>
      <c r="DC25" s="440"/>
      <c r="DD25" s="440"/>
      <c r="DE25" s="440"/>
      <c r="DF25" s="440"/>
      <c r="DG25" s="437"/>
      <c r="DH25" s="437"/>
      <c r="DI25" s="437"/>
      <c r="DJ25" s="437"/>
      <c r="DK25" s="439"/>
      <c r="DL25" s="442"/>
      <c r="DM25" s="432"/>
      <c r="DN25" s="430"/>
      <c r="DO25" s="440"/>
      <c r="DP25" s="440"/>
      <c r="DQ25" s="437"/>
      <c r="DR25" s="437"/>
      <c r="DS25" s="432"/>
      <c r="DT25" s="440"/>
      <c r="DU25" s="437"/>
      <c r="DV25" s="432"/>
      <c r="DW25" s="440"/>
      <c r="DX25" s="443"/>
    </row>
    <row r="26" spans="1:128" x14ac:dyDescent="0.2">
      <c r="A26" t="s">
        <v>187</v>
      </c>
      <c r="B26" s="176" t="s">
        <v>604</v>
      </c>
      <c r="C26" t="s">
        <v>606</v>
      </c>
      <c r="E26" s="47" t="str">
        <f>IFERROR(1/(1/IF($B26="&lt;01",ROUND(SUM(EID!$L:$L)/2,0),SUMIFS(HTS!$AM:$AM,HTS!$C:$C,$B26,HTS!$D:$D,$C26))),"")</f>
        <v/>
      </c>
      <c r="F26" s="36" t="str">
        <f>IFERROR(1/(1/IF($B26="&lt;01",ROUND(SUM(EID!$N:$N)/2,0),SUMIFS(Cascade!$AW:$AW,Cascade!$C:$C,$B26,Cascade!$D:$D,$C26))),"")</f>
        <v/>
      </c>
      <c r="G26" s="36" t="str">
        <f>IFERROR(1/(1/IF($B26="&lt;01",ROUND(SUM(EID!$P:$P)/2,0),SUMIFS(Cascade!$AO:$AO,Cascade!$C:$C,$B26,Cascade!$D:$D,$C26))),"")</f>
        <v/>
      </c>
      <c r="H26" s="36" t="str">
        <f>IFERROR(1/(1/IF($B26="&lt;01",ROUND(SUM(EID!$T:$T)/2,0),SUMIFS(Cascade!$BA:$BA,Cascade!$C:$C,$B26,Cascade!$D:$D,$C26))),"")</f>
        <v/>
      </c>
      <c r="I26" s="36" t="str">
        <f>IFERROR(1/(1/IF($B26="&lt;01",ROUND(SUM(EID!$V:$V)/2,0),SUMIFS(Cascade!$BD:$BD,Cascade!$C:$C,$B26,Cascade!$D:$D,$C26))),"")</f>
        <v/>
      </c>
      <c r="J26" s="36" t="str">
        <f>IFERROR(1/(1/SUMIFS(Cascade!$AJ:$AJ,Cascade!$C:$C,$B26,Cascade!$D:$D,$C26)),"")</f>
        <v/>
      </c>
      <c r="K26" s="36" t="str">
        <f>IFERROR(1/(1/SUMIFS(Cascade!$AP:$AP,Cascade!$C:$C,$B26,Cascade!$D:$D,$C26)),"")</f>
        <v/>
      </c>
      <c r="L26" s="19" t="str">
        <f t="shared" si="0"/>
        <v/>
      </c>
      <c r="M26" s="47" t="str">
        <f>IFERROR(1/(1/ROUND(SUMIFS(Spectrum!$N:$N,Spectrum!$Q:$Q,"="&amp;$B26,Spectrum!$K:$K,$C26,Spectrum!$G:$G,M$14,Spectrum!$M:$M,"CY2024Q3"),0)),"")</f>
        <v/>
      </c>
      <c r="N26" s="33" t="str">
        <f>IFERROR(1/(1/ROUND(SUMIFS(Spectrum!$N:$N,Spectrum!$Q:$Q,"="&amp;$B26,Spectrum!$K:$K,$C26,Spectrum!$G:$G,N$14,Spectrum!$M:$M,"CY2025Q3"),0)),"")</f>
        <v/>
      </c>
      <c r="O26" s="19">
        <f t="shared" si="1"/>
        <v>0.9</v>
      </c>
      <c r="P26" s="36" t="str">
        <f t="shared" si="2"/>
        <v/>
      </c>
      <c r="Q26" s="19">
        <f t="shared" si="3"/>
        <v>1</v>
      </c>
      <c r="R26" s="60" t="str">
        <f t="shared" si="4"/>
        <v/>
      </c>
      <c r="S26" s="33" t="str">
        <f t="shared" si="5"/>
        <v/>
      </c>
      <c r="T26" s="19" t="str">
        <f t="shared" si="6"/>
        <v/>
      </c>
      <c r="U26" s="149">
        <v>0.98</v>
      </c>
      <c r="V26" s="19">
        <v>0.98</v>
      </c>
      <c r="W26" s="36" t="str">
        <f t="shared" si="7"/>
        <v/>
      </c>
      <c r="X26" s="19">
        <v>1</v>
      </c>
      <c r="Y26" s="33" t="str">
        <f t="shared" si="8"/>
        <v/>
      </c>
      <c r="Z26" s="149">
        <v>0.7</v>
      </c>
      <c r="AA26" s="36" t="str">
        <f t="shared" si="9"/>
        <v/>
      </c>
      <c r="AB26" s="19">
        <v>0.95</v>
      </c>
      <c r="AC26" s="33" t="str">
        <f t="shared" si="10"/>
        <v/>
      </c>
      <c r="AD26" s="149">
        <v>0.95</v>
      </c>
      <c r="AE26" s="33" t="str">
        <f t="shared" si="11"/>
        <v/>
      </c>
      <c r="AF26" s="149">
        <v>0.95</v>
      </c>
      <c r="AG26" s="33" t="str">
        <f t="shared" si="12"/>
        <v/>
      </c>
      <c r="AH26" s="433"/>
      <c r="AI26" s="434"/>
      <c r="AJ26" s="19" t="str">
        <f>IFERROR(1/(1/SUMIFS(TB!$P:$P,TB!$C:$C,$B26,TB!$D:$D,$C26))/SUM($E26),"")</f>
        <v/>
      </c>
      <c r="AK26" s="19" t="str">
        <f>IFERROR(1/(1/SUMIFS(VMMC!$AA:$AA,VMMC!$C:$C,$B26,VMMC!$D:$D,$C26))/SUM($E26),"")</f>
        <v/>
      </c>
      <c r="AL26" s="19" t="str">
        <f>IFERROR(1/(1/SUMIFS(HTS!$X:$X,HTS!$C:$C,$B26,HTS!$D:$D,$C26))/SUM($E26),"")</f>
        <v/>
      </c>
      <c r="AM26" s="19" t="str">
        <f>IFERROR(1/(1/SUMIFS(HTS!$AA:$AA,HTS!$C:$C,$B26,HTS!$D:$D,$C26))/SUM($E26),"")</f>
        <v/>
      </c>
      <c r="AN26" s="19" t="str">
        <f>IFERROR(1/(1/SUMIFS(HTS!$AD:$AD,HTS!$C:$C,$B26,HTS!$D:$D,$C26))/SUM($E26),"")</f>
        <v/>
      </c>
      <c r="AO26" s="19" t="str">
        <f>IFERROR(1/(1/SUMIFS(HTS!$AG:$AG,HTS!$C:$C,$B26,HTS!$D:$D,$C26))/SUM($E26),"")</f>
        <v/>
      </c>
      <c r="AP26" s="19" t="str">
        <f>IFERROR(1/(1/SUMIFS(HTS!$AJ:$AJ,HTS!$C:$C,$B26,HTS!$D:$D,$C26))/SUM($E26),"")</f>
        <v/>
      </c>
      <c r="AQ26" s="435"/>
      <c r="AR26" s="436"/>
      <c r="AS26" s="389" t="str">
        <f t="shared" si="13"/>
        <v/>
      </c>
      <c r="AT26" s="389" t="str">
        <f t="shared" si="35"/>
        <v/>
      </c>
      <c r="AU26" s="389" t="str">
        <f t="shared" si="14"/>
        <v/>
      </c>
      <c r="AV26" s="389" t="str">
        <f t="shared" si="15"/>
        <v/>
      </c>
      <c r="AW26" s="389" t="str">
        <f t="shared" si="16"/>
        <v/>
      </c>
      <c r="AX26" s="389" t="str">
        <f t="shared" si="17"/>
        <v/>
      </c>
      <c r="AY26" s="389" t="str">
        <f t="shared" si="18"/>
        <v/>
      </c>
      <c r="AZ26" s="19" t="str">
        <f t="shared" si="19"/>
        <v/>
      </c>
      <c r="BA26" s="47" t="str">
        <f>IFERROR(1/(1/SUMIFS(HTS!$BA:$BA,HTS!$C:$C,$B26,HTS!$D:$D,$C26)),"")</f>
        <v/>
      </c>
      <c r="BB26" s="11" t="str">
        <f t="shared" si="28"/>
        <v/>
      </c>
      <c r="BC26" s="11" t="str">
        <f t="shared" si="29"/>
        <v/>
      </c>
      <c r="BD26" s="33" t="str">
        <f t="shared" si="30"/>
        <v/>
      </c>
      <c r="BE26" s="47" t="str">
        <f>IFERROR(1/(1/SUMIFS(HTS!$AY:$AY,HTS!$C:$C,$B26,HTS!$D:$D,$C26)),"")</f>
        <v/>
      </c>
      <c r="BF26" s="33" t="str">
        <f t="shared" si="25"/>
        <v/>
      </c>
      <c r="BG26" s="19" t="str">
        <f t="shared" si="24"/>
        <v/>
      </c>
      <c r="BH26" s="438"/>
      <c r="BI26" s="440"/>
      <c r="BJ26" s="440"/>
      <c r="BK26" s="143">
        <f t="shared" si="20"/>
        <v>0.95</v>
      </c>
      <c r="BM26" s="33" t="str">
        <f t="shared" si="21"/>
        <v/>
      </c>
      <c r="BN26" s="47" t="str">
        <f>IFERROR(1/(1/SUMIFS(PrEP!$L:$L,PrEP!$C:$C,$B26,PrEP!$D:$D,$C26)),"")</f>
        <v/>
      </c>
      <c r="BO26" s="36" t="str">
        <f>IFERROR(1/(1/SUMIFS(PrEP!$O:$O,PrEP!$C:$C,$B26,PrEP!$D:$D,$C26)),"")</f>
        <v/>
      </c>
      <c r="BP26" s="33" t="str">
        <f t="shared" si="31"/>
        <v/>
      </c>
      <c r="BQ26" s="33" t="str">
        <f t="shared" si="32"/>
        <v/>
      </c>
      <c r="BR26" s="19" t="str">
        <f t="shared" si="33"/>
        <v/>
      </c>
      <c r="BS26" s="19" t="str">
        <f t="shared" si="34"/>
        <v/>
      </c>
      <c r="BT26" s="47" t="str">
        <f>IFERROR(1/(1/SUMIFS(PP!$H:$H,PP!$C:$C,$B26,PP!$D:$D,$C26)),"")</f>
        <v/>
      </c>
      <c r="BU26" s="33" t="str">
        <f t="shared" si="26"/>
        <v/>
      </c>
      <c r="BV26" s="19" t="str">
        <f t="shared" si="27"/>
        <v/>
      </c>
      <c r="BW26" s="432"/>
      <c r="BX26" s="440"/>
      <c r="BY26" s="436"/>
      <c r="BZ26" s="432"/>
      <c r="CA26" s="430"/>
      <c r="CB26" s="431"/>
      <c r="CC26" s="431"/>
      <c r="CD26" s="440"/>
      <c r="CE26" s="431"/>
      <c r="CF26" s="433"/>
      <c r="CG26" s="431"/>
      <c r="CH26" s="431"/>
      <c r="CI26" s="431"/>
      <c r="CJ26" s="431"/>
      <c r="CK26" s="431"/>
      <c r="CL26" s="440"/>
      <c r="CM26" s="440"/>
      <c r="CN26" s="440"/>
      <c r="CO26" s="440"/>
      <c r="CP26" s="432"/>
      <c r="CQ26" s="437"/>
      <c r="CR26" s="437"/>
      <c r="CS26" s="437"/>
      <c r="CT26" s="440"/>
      <c r="CU26" s="440"/>
      <c r="CV26" s="439"/>
      <c r="CW26" s="440"/>
      <c r="CX26" s="440"/>
      <c r="CY26" s="432"/>
      <c r="CZ26" s="430"/>
      <c r="DA26" s="430"/>
      <c r="DB26" s="430"/>
      <c r="DC26" s="440"/>
      <c r="DD26" s="440"/>
      <c r="DE26" s="440"/>
      <c r="DF26" s="440"/>
      <c r="DG26" s="437"/>
      <c r="DH26" s="437"/>
      <c r="DI26" s="437"/>
      <c r="DJ26" s="437"/>
      <c r="DK26" s="439"/>
      <c r="DL26" s="442"/>
      <c r="DM26" s="432"/>
      <c r="DN26" s="430"/>
      <c r="DO26" s="440"/>
      <c r="DP26" s="440"/>
      <c r="DQ26" s="437"/>
      <c r="DR26" s="437"/>
      <c r="DS26" s="432"/>
      <c r="DT26" s="440"/>
      <c r="DU26" s="437"/>
      <c r="DV26" s="432"/>
      <c r="DW26" s="440"/>
      <c r="DX26" s="443"/>
    </row>
    <row r="27" spans="1:128" x14ac:dyDescent="0.2">
      <c r="A27" t="s">
        <v>187</v>
      </c>
      <c r="B27" s="176" t="s">
        <v>605</v>
      </c>
      <c r="C27" s="5" t="s">
        <v>581</v>
      </c>
      <c r="E27" s="47" t="str">
        <f>IFERROR(1/(1/IF($B27="&lt;01",ROUND(SUM(EID!$L:$L)/2,0),SUMIFS(HTS!$AM:$AM,HTS!$C:$C,$B27,HTS!$D:$D,$C27))),"")</f>
        <v/>
      </c>
      <c r="F27" s="36" t="str">
        <f>IFERROR(1/(1/IF($B27="&lt;01",ROUND(SUM(EID!$N:$N)/2,0),SUMIFS(Cascade!$AW:$AW,Cascade!$C:$C,$B27,Cascade!$D:$D,$C27))),"")</f>
        <v/>
      </c>
      <c r="G27" s="36" t="str">
        <f>IFERROR(1/(1/IF($B27="&lt;01",ROUND(SUM(EID!$P:$P)/2,0),SUMIFS(Cascade!$AO:$AO,Cascade!$C:$C,$B27,Cascade!$D:$D,$C27))),"")</f>
        <v/>
      </c>
      <c r="H27" s="36" t="str">
        <f>IFERROR(1/(1/IF($B27="&lt;01",ROUND(SUM(EID!$T:$T)/2,0),SUMIFS(Cascade!$BA:$BA,Cascade!$C:$C,$B27,Cascade!$D:$D,$C27))),"")</f>
        <v/>
      </c>
      <c r="I27" s="36" t="str">
        <f>IFERROR(1/(1/IF($B27="&lt;01",ROUND(SUM(EID!$V:$V)/2,0),SUMIFS(Cascade!$BD:$BD,Cascade!$C:$C,$B27,Cascade!$D:$D,$C27))),"")</f>
        <v/>
      </c>
      <c r="J27" s="36" t="str">
        <f>IFERROR(1/(1/SUMIFS(Cascade!$AJ:$AJ,Cascade!$C:$C,$B27,Cascade!$D:$D,$C27)),"")</f>
        <v/>
      </c>
      <c r="K27" s="36" t="str">
        <f>IFERROR(1/(1/SUMIFS(Cascade!$AP:$AP,Cascade!$C:$C,$B27,Cascade!$D:$D,$C27)),"")</f>
        <v/>
      </c>
      <c r="L27" s="19" t="str">
        <f t="shared" si="0"/>
        <v/>
      </c>
      <c r="M27" s="47" t="str">
        <f>IFERROR(1/(1/ROUND(SUMIFS(Spectrum!$N:$N,Spectrum!$Q:$Q,"="&amp;$B27,Spectrum!$K:$K,$C27,Spectrum!$G:$G,M$14,Spectrum!$M:$M,"CY2024Q3"),0)),"")</f>
        <v/>
      </c>
      <c r="N27" s="33" t="str">
        <f>IFERROR(1/(1/ROUND(SUMIFS(Spectrum!$N:$N,Spectrum!$Q:$Q,"="&amp;$B27,Spectrum!$K:$K,$C27,Spectrum!$G:$G,N$14,Spectrum!$M:$M,"CY2025Q3"),0)),"")</f>
        <v/>
      </c>
      <c r="O27" s="19">
        <f t="shared" si="1"/>
        <v>0.9</v>
      </c>
      <c r="P27" s="36" t="str">
        <f t="shared" si="2"/>
        <v/>
      </c>
      <c r="Q27" s="19">
        <f t="shared" si="3"/>
        <v>1</v>
      </c>
      <c r="R27" s="60" t="str">
        <f t="shared" si="4"/>
        <v/>
      </c>
      <c r="S27" s="33" t="str">
        <f t="shared" si="5"/>
        <v/>
      </c>
      <c r="T27" s="19" t="str">
        <f t="shared" si="6"/>
        <v/>
      </c>
      <c r="U27" s="149">
        <v>0.98</v>
      </c>
      <c r="V27" s="19">
        <v>0.98</v>
      </c>
      <c r="W27" s="36" t="str">
        <f t="shared" si="7"/>
        <v/>
      </c>
      <c r="X27" s="19">
        <v>1</v>
      </c>
      <c r="Y27" s="33" t="str">
        <f t="shared" si="8"/>
        <v/>
      </c>
      <c r="Z27" s="149">
        <v>0.7</v>
      </c>
      <c r="AA27" s="36" t="str">
        <f t="shared" si="9"/>
        <v/>
      </c>
      <c r="AB27" s="19">
        <v>0.95</v>
      </c>
      <c r="AC27" s="33" t="str">
        <f t="shared" si="10"/>
        <v/>
      </c>
      <c r="AD27" s="149">
        <v>0.95</v>
      </c>
      <c r="AE27" s="33" t="str">
        <f t="shared" si="11"/>
        <v/>
      </c>
      <c r="AF27" s="149">
        <v>0.95</v>
      </c>
      <c r="AG27" s="33" t="str">
        <f t="shared" si="12"/>
        <v/>
      </c>
      <c r="AH27" s="149" t="str">
        <f>IFERROR(1/(1/SUMIFS(PMTCT!$AC:$AC,PMTCT!$C:$C,$B27,PMTCT!$D:$D,$C27))/SUM($E27),"")</f>
        <v/>
      </c>
      <c r="AI27" s="429" t="str">
        <f>IFERROR(1/(1/SUMIFS(PMTCT!$AS:$AS,PMTCT!$C:$C,$B27,PMTCT!$D:$D,$C27))/SUM($E27),"")</f>
        <v/>
      </c>
      <c r="AJ27" s="19" t="str">
        <f>IFERROR(1/(1/SUMIFS(TB!$P:$P,TB!$C:$C,$B27,TB!$D:$D,$C27))/SUM($E27),"")</f>
        <v/>
      </c>
      <c r="AK27" s="431"/>
      <c r="AL27" s="19" t="str">
        <f>IFERROR(1/(1/SUMIFS(HTS!$X:$X,HTS!$C:$C,$B27,HTS!$D:$D,$C27))/SUM($E27),"")</f>
        <v/>
      </c>
      <c r="AM27" s="19" t="str">
        <f>IFERROR(1/(1/SUMIFS(HTS!$AA:$AA,HTS!$C:$C,$B27,HTS!$D:$D,$C27))/SUM($E27),"")</f>
        <v/>
      </c>
      <c r="AN27" s="19" t="str">
        <f>IFERROR(1/(1/SUMIFS(HTS!$AD:$AD,HTS!$C:$C,$B27,HTS!$D:$D,$C27))/SUM($E27),"")</f>
        <v/>
      </c>
      <c r="AO27" s="19" t="str">
        <f>IFERROR(1/(1/SUMIFS(HTS!$AG:$AG,HTS!$C:$C,$B27,HTS!$D:$D,$C27))/SUM($E27),"")</f>
        <v/>
      </c>
      <c r="AP27" s="19" t="str">
        <f>IFERROR(1/(1/SUMIFS(HTS!$AJ:$AJ,HTS!$C:$C,$B27,HTS!$D:$D,$C27))/SUM($E27),"")</f>
        <v/>
      </c>
      <c r="AQ27" s="388" t="str">
        <f t="shared" si="22"/>
        <v/>
      </c>
      <c r="AR27" s="389" t="str">
        <f t="shared" si="23"/>
        <v/>
      </c>
      <c r="AS27" s="389" t="str">
        <f t="shared" si="13"/>
        <v/>
      </c>
      <c r="AT27" s="436"/>
      <c r="AU27" s="389" t="str">
        <f t="shared" si="14"/>
        <v/>
      </c>
      <c r="AV27" s="389" t="str">
        <f t="shared" si="15"/>
        <v/>
      </c>
      <c r="AW27" s="389" t="str">
        <f t="shared" si="16"/>
        <v/>
      </c>
      <c r="AX27" s="389" t="str">
        <f t="shared" si="17"/>
        <v/>
      </c>
      <c r="AY27" s="389" t="str">
        <f t="shared" si="18"/>
        <v/>
      </c>
      <c r="AZ27" s="19" t="str">
        <f t="shared" si="19"/>
        <v/>
      </c>
      <c r="BA27" s="47" t="str">
        <f>IFERROR(1/(1/SUMIFS(HTS!$BA:$BA,HTS!$C:$C,$B27,HTS!$D:$D,$C27)),"")</f>
        <v/>
      </c>
      <c r="BB27" s="11" t="str">
        <f t="shared" si="28"/>
        <v/>
      </c>
      <c r="BC27" s="11" t="str">
        <f t="shared" si="29"/>
        <v/>
      </c>
      <c r="BD27" s="33" t="str">
        <f t="shared" si="30"/>
        <v/>
      </c>
      <c r="BE27" s="47" t="str">
        <f>IFERROR(1/(1/SUMIFS(HTS!$AY:$AY,HTS!$C:$C,$B27,HTS!$D:$D,$C27)),"")</f>
        <v/>
      </c>
      <c r="BF27" s="33" t="str">
        <f t="shared" si="25"/>
        <v/>
      </c>
      <c r="BG27" s="19" t="str">
        <f t="shared" si="24"/>
        <v/>
      </c>
      <c r="BH27" s="362">
        <f>$AF27</f>
        <v>0.95</v>
      </c>
      <c r="BJ27" s="33" t="str">
        <f>IF(SUM($AG27)=0,"",IF(AND($AH27="",SUM($AG27)&gt;0),"&lt;- Enter Linkage Rate",ROUND($AG27*$AH27*$BH27,0)))</f>
        <v/>
      </c>
      <c r="BK27" s="143">
        <f t="shared" si="20"/>
        <v>0.95</v>
      </c>
      <c r="BM27" s="33" t="str">
        <f t="shared" si="21"/>
        <v/>
      </c>
      <c r="BN27" s="47" t="str">
        <f>IFERROR(1/(1/SUMIFS(PrEP!$L:$L,PrEP!$C:$C,$B27,PrEP!$D:$D,$C27)),"")</f>
        <v/>
      </c>
      <c r="BO27" s="36" t="str">
        <f>IFERROR(1/(1/SUMIFS(PrEP!$O:$O,PrEP!$C:$C,$B27,PrEP!$D:$D,$C27)),"")</f>
        <v/>
      </c>
      <c r="BP27" s="33" t="str">
        <f t="shared" si="31"/>
        <v/>
      </c>
      <c r="BQ27" s="33" t="str">
        <f t="shared" si="32"/>
        <v/>
      </c>
      <c r="BR27" s="19" t="str">
        <f t="shared" si="33"/>
        <v/>
      </c>
      <c r="BS27" s="19" t="str">
        <f t="shared" si="34"/>
        <v/>
      </c>
      <c r="BT27" s="47" t="str">
        <f>IFERROR(1/(1/SUMIFS(PP!$H:$H,PP!$C:$C,$B27,PP!$D:$D,$C27)),"")</f>
        <v/>
      </c>
      <c r="BU27" s="33" t="str">
        <f t="shared" si="26"/>
        <v/>
      </c>
      <c r="BV27" s="19" t="str">
        <f t="shared" si="27"/>
        <v/>
      </c>
      <c r="BW27" s="432"/>
      <c r="BX27" s="440"/>
      <c r="BY27" s="436"/>
      <c r="BZ27" s="432"/>
      <c r="CA27" s="430"/>
      <c r="CB27" s="431"/>
      <c r="CC27" s="431"/>
      <c r="CD27" s="440"/>
      <c r="CE27" s="431"/>
      <c r="CF27" s="433"/>
      <c r="CG27" s="431"/>
      <c r="CH27" s="431"/>
      <c r="CI27" s="431"/>
      <c r="CJ27" s="431"/>
      <c r="CK27" s="431"/>
      <c r="CL27" s="440"/>
      <c r="CM27" s="440"/>
      <c r="CN27" s="440"/>
      <c r="CO27" s="440"/>
      <c r="CP27" s="432"/>
      <c r="CQ27" s="437"/>
      <c r="CR27" s="437"/>
      <c r="CS27" s="437"/>
      <c r="CT27" s="440"/>
      <c r="CU27" s="440"/>
      <c r="CV27" s="439"/>
      <c r="CW27" s="440"/>
      <c r="CX27" s="440"/>
      <c r="CY27" s="432"/>
      <c r="CZ27" s="430"/>
      <c r="DA27" s="430"/>
      <c r="DB27" s="430"/>
      <c r="DC27" s="440"/>
      <c r="DD27" s="440"/>
      <c r="DE27" s="440"/>
      <c r="DF27" s="440"/>
      <c r="DG27" s="437"/>
      <c r="DH27" s="437"/>
      <c r="DI27" s="437"/>
      <c r="DJ27" s="437"/>
      <c r="DK27" s="439"/>
      <c r="DL27" s="442"/>
      <c r="DM27" s="432"/>
      <c r="DN27" s="430"/>
      <c r="DO27" s="440"/>
      <c r="DP27" s="440"/>
      <c r="DQ27" s="437"/>
      <c r="DR27" s="437"/>
      <c r="DS27" s="432"/>
      <c r="DT27" s="440"/>
      <c r="DU27" s="437"/>
      <c r="DV27" s="432"/>
      <c r="DW27" s="440"/>
      <c r="DX27" s="443"/>
    </row>
    <row r="28" spans="1:128" x14ac:dyDescent="0.2">
      <c r="A28" t="s">
        <v>187</v>
      </c>
      <c r="B28" s="176" t="s">
        <v>605</v>
      </c>
      <c r="C28" t="s">
        <v>606</v>
      </c>
      <c r="E28" s="47" t="str">
        <f>IFERROR(1/(1/IF($B28="&lt;01",ROUND(SUM(EID!$L:$L)/2,0),SUMIFS(HTS!$AM:$AM,HTS!$C:$C,$B28,HTS!$D:$D,$C28))),"")</f>
        <v/>
      </c>
      <c r="F28" s="36" t="str">
        <f>IFERROR(1/(1/IF($B28="&lt;01",ROUND(SUM(EID!$N:$N)/2,0),SUMIFS(Cascade!$AW:$AW,Cascade!$C:$C,$B28,Cascade!$D:$D,$C28))),"")</f>
        <v/>
      </c>
      <c r="G28" s="36" t="str">
        <f>IFERROR(1/(1/IF($B28="&lt;01",ROUND(SUM(EID!$P:$P)/2,0),SUMIFS(Cascade!$AO:$AO,Cascade!$C:$C,$B28,Cascade!$D:$D,$C28))),"")</f>
        <v/>
      </c>
      <c r="H28" s="36" t="str">
        <f>IFERROR(1/(1/IF($B28="&lt;01",ROUND(SUM(EID!$T:$T)/2,0),SUMIFS(Cascade!$BA:$BA,Cascade!$C:$C,$B28,Cascade!$D:$D,$C28))),"")</f>
        <v/>
      </c>
      <c r="I28" s="36" t="str">
        <f>IFERROR(1/(1/IF($B28="&lt;01",ROUND(SUM(EID!$V:$V)/2,0),SUMIFS(Cascade!$BD:$BD,Cascade!$C:$C,$B28,Cascade!$D:$D,$C28))),"")</f>
        <v/>
      </c>
      <c r="J28" s="36" t="str">
        <f>IFERROR(1/(1/SUMIFS(Cascade!$AJ:$AJ,Cascade!$C:$C,$B28,Cascade!$D:$D,$C28)),"")</f>
        <v/>
      </c>
      <c r="K28" s="36" t="str">
        <f>IFERROR(1/(1/SUMIFS(Cascade!$AP:$AP,Cascade!$C:$C,$B28,Cascade!$D:$D,$C28)),"")</f>
        <v/>
      </c>
      <c r="L28" s="19" t="str">
        <f t="shared" si="0"/>
        <v/>
      </c>
      <c r="M28" s="47" t="str">
        <f>IFERROR(1/(1/ROUND(SUMIFS(Spectrum!$N:$N,Spectrum!$Q:$Q,"="&amp;$B28,Spectrum!$K:$K,$C28,Spectrum!$G:$G,M$14,Spectrum!$M:$M,"CY2024Q3"),0)),"")</f>
        <v/>
      </c>
      <c r="N28" s="33" t="str">
        <f>IFERROR(1/(1/ROUND(SUMIFS(Spectrum!$N:$N,Spectrum!$Q:$Q,"="&amp;$B28,Spectrum!$K:$K,$C28,Spectrum!$G:$G,N$14,Spectrum!$M:$M,"CY2025Q3"),0)),"")</f>
        <v/>
      </c>
      <c r="O28" s="19">
        <f t="shared" si="1"/>
        <v>0.9</v>
      </c>
      <c r="P28" s="36" t="str">
        <f>IFERROR(1/(1/IF(SUM($N28)=0,SUM($G28),ROUND(SUM($N28)*SUM($O28),0))),"")</f>
        <v/>
      </c>
      <c r="Q28" s="19">
        <f t="shared" si="3"/>
        <v>1</v>
      </c>
      <c r="R28" s="60" t="str">
        <f t="shared" si="4"/>
        <v/>
      </c>
      <c r="S28" s="33" t="str">
        <f t="shared" si="5"/>
        <v/>
      </c>
      <c r="T28" s="19" t="str">
        <f t="shared" si="6"/>
        <v/>
      </c>
      <c r="U28" s="149">
        <v>0.98</v>
      </c>
      <c r="V28" s="19">
        <v>0.98</v>
      </c>
      <c r="W28" s="36" t="str">
        <f t="shared" si="7"/>
        <v/>
      </c>
      <c r="X28" s="19">
        <v>1</v>
      </c>
      <c r="Y28" s="33" t="str">
        <f t="shared" si="8"/>
        <v/>
      </c>
      <c r="Z28" s="149">
        <v>0.7</v>
      </c>
      <c r="AA28" s="36" t="str">
        <f t="shared" si="9"/>
        <v/>
      </c>
      <c r="AB28" s="19">
        <v>0.95</v>
      </c>
      <c r="AC28" s="33" t="str">
        <f t="shared" si="10"/>
        <v/>
      </c>
      <c r="AD28" s="149">
        <v>0.95</v>
      </c>
      <c r="AE28" s="33" t="str">
        <f t="shared" si="11"/>
        <v/>
      </c>
      <c r="AF28" s="149">
        <v>0.95</v>
      </c>
      <c r="AG28" s="33" t="str">
        <f t="shared" si="12"/>
        <v/>
      </c>
      <c r="AH28" s="433"/>
      <c r="AI28" s="434"/>
      <c r="AJ28" s="19" t="str">
        <f>IFERROR(1/(1/SUMIFS(TB!$P:$P,TB!$C:$C,$B28,TB!$D:$D,$C28))/SUM($E28),"")</f>
        <v/>
      </c>
      <c r="AK28" s="19" t="str">
        <f>IFERROR(1/(1/SUMIFS(VMMC!$AA:$AA,VMMC!$C:$C,$B28,VMMC!$D:$D,$C28))/SUM($E28),"")</f>
        <v/>
      </c>
      <c r="AL28" s="19" t="str">
        <f>IFERROR(1/(1/SUMIFS(HTS!$X:$X,HTS!$C:$C,$B28,HTS!$D:$D,$C28))/SUM($E28),"")</f>
        <v/>
      </c>
      <c r="AM28" s="19" t="str">
        <f>IFERROR(1/(1/SUMIFS(HTS!$AA:$AA,HTS!$C:$C,$B28,HTS!$D:$D,$C28))/SUM($E28),"")</f>
        <v/>
      </c>
      <c r="AN28" s="19" t="str">
        <f>IFERROR(1/(1/SUMIFS(HTS!$AD:$AD,HTS!$C:$C,$B28,HTS!$D:$D,$C28))/SUM($E28),"")</f>
        <v/>
      </c>
      <c r="AO28" s="19" t="str">
        <f>IFERROR(1/(1/SUMIFS(HTS!$AG:$AG,HTS!$C:$C,$B28,HTS!$D:$D,$C28))/SUM($E28),"")</f>
        <v/>
      </c>
      <c r="AP28" s="19" t="str">
        <f>IFERROR(1/(1/SUMIFS(HTS!$AJ:$AJ,HTS!$C:$C,$B28,HTS!$D:$D,$C28))/SUM($E28),"")</f>
        <v/>
      </c>
      <c r="AQ28" s="435"/>
      <c r="AR28" s="436"/>
      <c r="AS28" s="389" t="str">
        <f t="shared" si="13"/>
        <v/>
      </c>
      <c r="AT28" s="389" t="str">
        <f t="shared" si="35"/>
        <v/>
      </c>
      <c r="AU28" s="389" t="str">
        <f t="shared" si="14"/>
        <v/>
      </c>
      <c r="AV28" s="389" t="str">
        <f t="shared" si="15"/>
        <v/>
      </c>
      <c r="AW28" s="389" t="str">
        <f t="shared" si="16"/>
        <v/>
      </c>
      <c r="AX28" s="389" t="str">
        <f t="shared" si="17"/>
        <v/>
      </c>
      <c r="AY28" s="389" t="str">
        <f t="shared" si="18"/>
        <v/>
      </c>
      <c r="AZ28" s="19" t="str">
        <f t="shared" si="19"/>
        <v/>
      </c>
      <c r="BA28" s="47" t="str">
        <f>IFERROR(1/(1/SUMIFS(HTS!$BA:$BA,HTS!$C:$C,$B28,HTS!$D:$D,$C28)),"")</f>
        <v/>
      </c>
      <c r="BB28" s="11" t="str">
        <f t="shared" si="28"/>
        <v/>
      </c>
      <c r="BC28" s="11" t="str">
        <f t="shared" si="29"/>
        <v/>
      </c>
      <c r="BD28" s="33" t="str">
        <f t="shared" si="30"/>
        <v/>
      </c>
      <c r="BE28" s="47" t="str">
        <f>IFERROR(1/(1/SUMIFS(HTS!$AY:$AY,HTS!$C:$C,$B28,HTS!$D:$D,$C28)),"")</f>
        <v/>
      </c>
      <c r="BF28" s="33" t="str">
        <f t="shared" si="25"/>
        <v/>
      </c>
      <c r="BG28" s="19" t="str">
        <f t="shared" si="24"/>
        <v/>
      </c>
      <c r="BH28" s="438"/>
      <c r="BI28" s="440"/>
      <c r="BJ28" s="440"/>
      <c r="BK28" s="143">
        <f t="shared" si="20"/>
        <v>0.95</v>
      </c>
      <c r="BM28" s="33" t="str">
        <f t="shared" si="21"/>
        <v/>
      </c>
      <c r="BN28" s="47" t="str">
        <f>IFERROR(1/(1/SUMIFS(PrEP!$L:$L,PrEP!$C:$C,$B28,PrEP!$D:$D,$C28)),"")</f>
        <v/>
      </c>
      <c r="BO28" s="36" t="str">
        <f>IFERROR(1/(1/SUMIFS(PrEP!$O:$O,PrEP!$C:$C,$B28,PrEP!$D:$D,$C28)),"")</f>
        <v/>
      </c>
      <c r="BP28" s="33" t="str">
        <f t="shared" si="31"/>
        <v/>
      </c>
      <c r="BQ28" s="33" t="str">
        <f t="shared" si="32"/>
        <v/>
      </c>
      <c r="BR28" s="19" t="str">
        <f t="shared" si="33"/>
        <v/>
      </c>
      <c r="BS28" s="19" t="str">
        <f t="shared" si="34"/>
        <v/>
      </c>
      <c r="BT28" s="47" t="str">
        <f>IFERROR(1/(1/SUMIFS(PP!$H:$H,PP!$C:$C,$B28,PP!$D:$D,$C28)),"")</f>
        <v/>
      </c>
      <c r="BU28" s="33" t="str">
        <f t="shared" si="26"/>
        <v/>
      </c>
      <c r="BV28" s="19" t="str">
        <f t="shared" si="27"/>
        <v/>
      </c>
      <c r="BW28" s="432"/>
      <c r="BX28" s="440"/>
      <c r="BY28" s="436"/>
      <c r="BZ28" s="432"/>
      <c r="CA28" s="430"/>
      <c r="CB28" s="431"/>
      <c r="CC28" s="431"/>
      <c r="CD28" s="440"/>
      <c r="CE28" s="431"/>
      <c r="CF28" s="433"/>
      <c r="CG28" s="431"/>
      <c r="CH28" s="431"/>
      <c r="CI28" s="431"/>
      <c r="CJ28" s="431"/>
      <c r="CK28" s="431"/>
      <c r="CL28" s="440"/>
      <c r="CM28" s="440"/>
      <c r="CN28" s="440"/>
      <c r="CO28" s="440"/>
      <c r="CP28" s="432"/>
      <c r="CQ28" s="437"/>
      <c r="CR28" s="437"/>
      <c r="CS28" s="437"/>
      <c r="CT28" s="440"/>
      <c r="CU28" s="440"/>
      <c r="CV28" s="439"/>
      <c r="CW28" s="440"/>
      <c r="CX28" s="440"/>
      <c r="CY28" s="432"/>
      <c r="CZ28" s="430"/>
      <c r="DA28" s="430"/>
      <c r="DB28" s="430"/>
      <c r="DC28" s="440"/>
      <c r="DD28" s="440"/>
      <c r="DE28" s="440"/>
      <c r="DF28" s="440"/>
      <c r="DG28" s="437"/>
      <c r="DH28" s="437"/>
      <c r="DI28" s="437"/>
      <c r="DJ28" s="437"/>
      <c r="DK28" s="439"/>
      <c r="DL28" s="442"/>
      <c r="DM28" s="432"/>
      <c r="DN28" s="430"/>
      <c r="DO28" s="440"/>
      <c r="DP28" s="440"/>
      <c r="DQ28" s="437"/>
      <c r="DR28" s="437"/>
      <c r="DS28" s="432"/>
      <c r="DT28" s="440"/>
      <c r="DU28" s="437"/>
      <c r="DV28" s="432"/>
      <c r="DW28" s="440"/>
      <c r="DX28" s="443"/>
    </row>
    <row r="29" spans="1:128" x14ac:dyDescent="0.2">
      <c r="A29" t="s">
        <v>45</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30"/>
      <c r="L29" s="431"/>
      <c r="N29" s="33" t="str">
        <f t="shared" ref="N29:N33" si="36">IFERROR(1/(1/SUM($J29)+SUM($M29)),"")</f>
        <v/>
      </c>
      <c r="O29" s="19">
        <f t="shared" si="1"/>
        <v>0.9</v>
      </c>
      <c r="P29" s="36" t="str">
        <f>IFERROR(1/(1/IF(SUM($N29)=0,SUM($G29),ROUND(SUM($N29)*SUM($O29),0))),"")</f>
        <v/>
      </c>
      <c r="Q29" s="19">
        <f>IF(SUM($K29)=0,1,SUM($G29)/$K29)</f>
        <v>1</v>
      </c>
      <c r="R29" s="60" t="str">
        <f t="shared" si="4"/>
        <v/>
      </c>
      <c r="S29" s="33" t="str">
        <f t="shared" si="5"/>
        <v/>
      </c>
      <c r="T29" s="19" t="str">
        <f>IF(SUM($N29)=0,"",SUM($S29)/$N29)</f>
        <v/>
      </c>
      <c r="U29" s="149">
        <v>0.98</v>
      </c>
      <c r="V29" s="19">
        <v>0.98</v>
      </c>
      <c r="W29" s="36" t="str">
        <f t="shared" si="7"/>
        <v/>
      </c>
      <c r="X29" s="19">
        <v>1</v>
      </c>
      <c r="Y29" s="33" t="str">
        <f t="shared" si="8"/>
        <v/>
      </c>
      <c r="Z29" s="149">
        <v>0.7</v>
      </c>
      <c r="AA29" s="36" t="str">
        <f t="shared" si="9"/>
        <v/>
      </c>
      <c r="AB29" s="19">
        <v>0.95</v>
      </c>
      <c r="AC29" s="33" t="str">
        <f t="shared" si="10"/>
        <v/>
      </c>
      <c r="AD29" s="149">
        <v>0.95</v>
      </c>
      <c r="AE29" s="33" t="str">
        <f t="shared" si="11"/>
        <v/>
      </c>
      <c r="AF29" s="149">
        <v>0.95</v>
      </c>
      <c r="AG29" s="33" t="str">
        <f t="shared" si="12"/>
        <v/>
      </c>
      <c r="AH29" s="433"/>
      <c r="AI29" s="434"/>
      <c r="AJ29" s="431"/>
      <c r="AK29" s="431"/>
      <c r="AL29" s="431"/>
      <c r="AM29" s="431"/>
      <c r="AN29" s="431"/>
      <c r="AO29" s="431"/>
      <c r="AP29" s="431"/>
      <c r="AQ29" s="435"/>
      <c r="AR29" s="436"/>
      <c r="AS29" s="436"/>
      <c r="AT29" s="436"/>
      <c r="AU29" s="436"/>
      <c r="AV29" s="436"/>
      <c r="AW29" s="436"/>
      <c r="AX29" s="436"/>
      <c r="AY29" s="436"/>
      <c r="AZ29" s="431"/>
      <c r="BA29" s="47" t="str">
        <f>IFERROR(1/(1/SUMIFS(KP!$AN:$AN,KP!$C:$C,$D29)),"")</f>
        <v/>
      </c>
      <c r="BB29" s="11" t="str">
        <f t="shared" si="28"/>
        <v/>
      </c>
      <c r="BC29" s="11" t="str">
        <f t="shared" si="29"/>
        <v/>
      </c>
      <c r="BD29" s="33" t="str">
        <f t="shared" si="30"/>
        <v/>
      </c>
      <c r="BE29" s="47" t="str">
        <f>IFERROR(1/(1/SUMIFS(KP!$AP:$AP,KP!$C:$C,$D29)),"")</f>
        <v/>
      </c>
      <c r="BF29" s="33" t="str">
        <f t="shared" si="25"/>
        <v/>
      </c>
      <c r="BG29" s="19" t="str">
        <f t="shared" si="24"/>
        <v/>
      </c>
      <c r="BH29" s="438"/>
      <c r="BI29" s="440"/>
      <c r="BJ29" s="440"/>
      <c r="BK29" s="439"/>
      <c r="BL29" s="440"/>
      <c r="BM29" s="440"/>
      <c r="BN29" s="47" t="str">
        <f>IFERROR(1/(1/SUMIFS(KP!$K:$K,KP!$C:$C,$D29)),"")</f>
        <v/>
      </c>
      <c r="BO29" s="36" t="str">
        <f>IFERROR(1/(1/SUMIFS(KP!$I:$I,KP!$C:$C,$D29)),"")</f>
        <v/>
      </c>
      <c r="BP29" s="33" t="str">
        <f t="shared" ref="BP29:BP33" si="37">BN29</f>
        <v/>
      </c>
      <c r="BQ29" s="33" t="str">
        <f t="shared" ref="BQ29:BQ33" si="38">BO29</f>
        <v/>
      </c>
      <c r="BR29" s="19" t="str">
        <f t="shared" si="33"/>
        <v/>
      </c>
      <c r="BS29" s="19" t="str">
        <f t="shared" si="34"/>
        <v/>
      </c>
      <c r="BT29" s="432"/>
      <c r="BU29" s="440"/>
      <c r="BV29" s="431"/>
      <c r="BW29" s="47" t="str">
        <f>IFERROR(1/(1/SUMIFS(KP!$M:$M,KP!$C:$C,$D29)),"")</f>
        <v/>
      </c>
      <c r="BX29" s="33" t="str">
        <f>BW29</f>
        <v/>
      </c>
      <c r="BY29" s="19" t="str">
        <f>IF(SUM($BW29)=0,"",(SUM($BX29)-$BW29)/$BW29)</f>
        <v/>
      </c>
      <c r="BZ29" s="432"/>
      <c r="CA29" s="430"/>
      <c r="CB29" s="431"/>
      <c r="CC29" s="431"/>
      <c r="CD29" s="440"/>
      <c r="CE29" s="431"/>
      <c r="CF29" s="433"/>
      <c r="CG29" s="431"/>
      <c r="CH29" s="431"/>
      <c r="CI29" s="431"/>
      <c r="CJ29" s="431"/>
      <c r="CK29" s="431"/>
      <c r="CL29" s="440"/>
      <c r="CM29" s="440"/>
      <c r="CN29" s="440"/>
      <c r="CO29" s="440"/>
      <c r="CP29" s="432"/>
      <c r="CQ29" s="437"/>
      <c r="CR29" s="437"/>
      <c r="CS29" s="437"/>
      <c r="CT29" s="440"/>
      <c r="CU29" s="440"/>
      <c r="CV29" s="439"/>
      <c r="CW29" s="440"/>
      <c r="CX29" s="440"/>
      <c r="CY29" s="432"/>
      <c r="CZ29" s="430"/>
      <c r="DA29" s="430"/>
      <c r="DB29" s="430"/>
      <c r="DC29" s="440"/>
      <c r="DD29" s="440"/>
      <c r="DE29" s="440"/>
      <c r="DF29" s="440"/>
      <c r="DG29" s="437"/>
      <c r="DH29" s="437"/>
      <c r="DI29" s="437"/>
      <c r="DJ29" s="437"/>
      <c r="DK29" s="439"/>
      <c r="DL29" s="442"/>
      <c r="DM29" s="432"/>
      <c r="DN29" s="430"/>
      <c r="DO29" s="440"/>
      <c r="DP29" s="440"/>
      <c r="DQ29" s="437"/>
      <c r="DR29" s="437"/>
      <c r="DS29" s="432"/>
      <c r="DT29" s="440"/>
      <c r="DU29" s="437"/>
      <c r="DV29" s="432"/>
      <c r="DW29" s="440"/>
      <c r="DX29" s="443"/>
    </row>
    <row r="30" spans="1:128" x14ac:dyDescent="0.2">
      <c r="A30" t="s">
        <v>45</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30"/>
      <c r="L30" s="431"/>
      <c r="N30" s="33" t="str">
        <f t="shared" si="36"/>
        <v/>
      </c>
      <c r="O30" s="19">
        <f t="shared" si="1"/>
        <v>0.9</v>
      </c>
      <c r="P30" s="36" t="str">
        <f t="shared" si="2"/>
        <v/>
      </c>
      <c r="Q30" s="19">
        <f t="shared" si="3"/>
        <v>1</v>
      </c>
      <c r="R30" s="60" t="str">
        <f t="shared" si="4"/>
        <v/>
      </c>
      <c r="S30" s="33" t="str">
        <f t="shared" si="5"/>
        <v/>
      </c>
      <c r="T30" s="19" t="str">
        <f t="shared" si="6"/>
        <v/>
      </c>
      <c r="U30" s="149">
        <v>0.98</v>
      </c>
      <c r="V30" s="19">
        <v>0.98</v>
      </c>
      <c r="W30" s="36" t="str">
        <f t="shared" si="7"/>
        <v/>
      </c>
      <c r="X30" s="19">
        <v>1</v>
      </c>
      <c r="Y30" s="33" t="str">
        <f t="shared" si="8"/>
        <v/>
      </c>
      <c r="Z30" s="149">
        <v>0.7</v>
      </c>
      <c r="AA30" s="36" t="str">
        <f t="shared" si="9"/>
        <v/>
      </c>
      <c r="AB30" s="19">
        <v>0.95</v>
      </c>
      <c r="AC30" s="33" t="str">
        <f t="shared" si="10"/>
        <v/>
      </c>
      <c r="AD30" s="149">
        <v>0.95</v>
      </c>
      <c r="AE30" s="33" t="str">
        <f t="shared" si="11"/>
        <v/>
      </c>
      <c r="AF30" s="149">
        <v>0.95</v>
      </c>
      <c r="AG30" s="33" t="str">
        <f t="shared" si="12"/>
        <v/>
      </c>
      <c r="AH30" s="433"/>
      <c r="AI30" s="434"/>
      <c r="AJ30" s="431"/>
      <c r="AK30" s="431"/>
      <c r="AL30" s="431"/>
      <c r="AM30" s="431"/>
      <c r="AN30" s="431"/>
      <c r="AO30" s="431"/>
      <c r="AP30" s="431"/>
      <c r="AQ30" s="435"/>
      <c r="AR30" s="436"/>
      <c r="AS30" s="436"/>
      <c r="AT30" s="436"/>
      <c r="AU30" s="436"/>
      <c r="AV30" s="436"/>
      <c r="AW30" s="436"/>
      <c r="AX30" s="436"/>
      <c r="AY30" s="436"/>
      <c r="AZ30" s="431"/>
      <c r="BA30" s="47" t="str">
        <f>IFERROR(1/(1/SUMIFS(KP!$AN:$AN,KP!$C:$C,$D30)),"")</f>
        <v/>
      </c>
      <c r="BB30" s="11" t="str">
        <f t="shared" si="28"/>
        <v/>
      </c>
      <c r="BC30" s="11" t="str">
        <f t="shared" si="29"/>
        <v/>
      </c>
      <c r="BD30" s="33" t="str">
        <f t="shared" si="30"/>
        <v/>
      </c>
      <c r="BE30" s="47" t="str">
        <f>IFERROR(1/(1/SUMIFS(KP!$AP:$AP,KP!$C:$C,$D30)),"")</f>
        <v/>
      </c>
      <c r="BF30" s="33" t="str">
        <f t="shared" si="25"/>
        <v/>
      </c>
      <c r="BG30" s="19" t="str">
        <f t="shared" si="24"/>
        <v/>
      </c>
      <c r="BH30" s="438"/>
      <c r="BI30" s="440"/>
      <c r="BJ30" s="440"/>
      <c r="BK30" s="439"/>
      <c r="BL30" s="440"/>
      <c r="BM30" s="440"/>
      <c r="BN30" s="47" t="str">
        <f>IFERROR(1/(1/SUMIFS(KP!$K:$K,KP!$C:$C,$D30)),"")</f>
        <v/>
      </c>
      <c r="BO30" s="36" t="str">
        <f>IFERROR(1/(1/SUMIFS(KP!$I:$I,KP!$C:$C,$D30)),"")</f>
        <v/>
      </c>
      <c r="BP30" s="33" t="str">
        <f t="shared" si="37"/>
        <v/>
      </c>
      <c r="BQ30" s="33" t="str">
        <f t="shared" si="38"/>
        <v/>
      </c>
      <c r="BR30" s="19" t="str">
        <f t="shared" si="33"/>
        <v/>
      </c>
      <c r="BS30" s="19" t="str">
        <f t="shared" si="34"/>
        <v/>
      </c>
      <c r="BT30" s="432"/>
      <c r="BU30" s="440"/>
      <c r="BV30" s="431"/>
      <c r="BW30" s="47" t="str">
        <f>IFERROR(1/(1/SUMIFS(KP!$M:$M,KP!$C:$C,$D30)),"")</f>
        <v/>
      </c>
      <c r="BX30" s="33" t="str">
        <f t="shared" ref="BX30:BX33" si="39">BW30</f>
        <v/>
      </c>
      <c r="BY30" s="19" t="str">
        <f>IF(SUM($BW30)=0,"",(SUM($BX30)-$BW30)/$BW30)</f>
        <v/>
      </c>
      <c r="BZ30" s="432"/>
      <c r="CA30" s="430"/>
      <c r="CB30" s="431"/>
      <c r="CC30" s="431"/>
      <c r="CD30" s="440"/>
      <c r="CE30" s="431"/>
      <c r="CF30" s="433"/>
      <c r="CG30" s="431"/>
      <c r="CH30" s="431"/>
      <c r="CI30" s="431"/>
      <c r="CJ30" s="431"/>
      <c r="CK30" s="431"/>
      <c r="CL30" s="440"/>
      <c r="CM30" s="440"/>
      <c r="CN30" s="440"/>
      <c r="CO30" s="440"/>
      <c r="CP30" s="432"/>
      <c r="CQ30" s="437"/>
      <c r="CR30" s="437"/>
      <c r="CS30" s="437"/>
      <c r="CT30" s="440"/>
      <c r="CU30" s="440"/>
      <c r="CV30" s="439"/>
      <c r="CW30" s="440"/>
      <c r="CX30" s="440"/>
      <c r="CY30" s="432"/>
      <c r="CZ30" s="430"/>
      <c r="DA30" s="430"/>
      <c r="DB30" s="430"/>
      <c r="DC30" s="440"/>
      <c r="DD30" s="440"/>
      <c r="DE30" s="440"/>
      <c r="DF30" s="440"/>
      <c r="DG30" s="437"/>
      <c r="DH30" s="437"/>
      <c r="DI30" s="437"/>
      <c r="DJ30" s="437"/>
      <c r="DK30" s="439"/>
      <c r="DL30" s="442"/>
      <c r="DM30" s="432"/>
      <c r="DN30" s="430"/>
      <c r="DO30" s="440"/>
      <c r="DP30" s="440"/>
      <c r="DQ30" s="437"/>
      <c r="DR30" s="437"/>
      <c r="DS30" s="432"/>
      <c r="DT30" s="440"/>
      <c r="DU30" s="437"/>
      <c r="DV30" s="432"/>
      <c r="DW30" s="440"/>
      <c r="DX30" s="443"/>
    </row>
    <row r="31" spans="1:128" x14ac:dyDescent="0.2">
      <c r="A31" t="s">
        <v>45</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30"/>
      <c r="L31" s="431"/>
      <c r="N31" s="33" t="str">
        <f t="shared" si="36"/>
        <v/>
      </c>
      <c r="O31" s="19">
        <f t="shared" si="1"/>
        <v>0.9</v>
      </c>
      <c r="P31" s="36" t="str">
        <f t="shared" si="2"/>
        <v/>
      </c>
      <c r="Q31" s="19">
        <f t="shared" si="3"/>
        <v>1</v>
      </c>
      <c r="R31" s="60" t="str">
        <f t="shared" si="4"/>
        <v/>
      </c>
      <c r="S31" s="33" t="str">
        <f t="shared" si="5"/>
        <v/>
      </c>
      <c r="T31" s="19" t="str">
        <f t="shared" si="6"/>
        <v/>
      </c>
      <c r="U31" s="149">
        <v>0.98</v>
      </c>
      <c r="V31" s="19">
        <v>0.98</v>
      </c>
      <c r="W31" s="36" t="str">
        <f t="shared" si="7"/>
        <v/>
      </c>
      <c r="X31" s="19">
        <v>1</v>
      </c>
      <c r="Y31" s="33" t="str">
        <f t="shared" si="8"/>
        <v/>
      </c>
      <c r="Z31" s="149">
        <v>0.7</v>
      </c>
      <c r="AA31" s="36" t="str">
        <f t="shared" si="9"/>
        <v/>
      </c>
      <c r="AB31" s="19">
        <v>0.95</v>
      </c>
      <c r="AC31" s="33" t="str">
        <f t="shared" si="10"/>
        <v/>
      </c>
      <c r="AD31" s="149">
        <v>0.95</v>
      </c>
      <c r="AE31" s="33" t="str">
        <f t="shared" si="11"/>
        <v/>
      </c>
      <c r="AF31" s="149">
        <v>0.95</v>
      </c>
      <c r="AG31" s="33" t="str">
        <f t="shared" si="12"/>
        <v/>
      </c>
      <c r="AH31" s="433"/>
      <c r="AI31" s="434"/>
      <c r="AJ31" s="431"/>
      <c r="AK31" s="431"/>
      <c r="AL31" s="431"/>
      <c r="AM31" s="431"/>
      <c r="AN31" s="431"/>
      <c r="AO31" s="431"/>
      <c r="AP31" s="431"/>
      <c r="AQ31" s="435"/>
      <c r="AR31" s="436"/>
      <c r="AS31" s="436"/>
      <c r="AT31" s="436"/>
      <c r="AU31" s="436"/>
      <c r="AV31" s="436"/>
      <c r="AW31" s="436"/>
      <c r="AX31" s="436"/>
      <c r="AY31" s="436"/>
      <c r="AZ31" s="431"/>
      <c r="BA31" s="47" t="str">
        <f>IFERROR(1/(1/SUMIFS(KP!$AN:$AN,KP!$C:$C,$D31)),"")</f>
        <v/>
      </c>
      <c r="BB31" s="11" t="str">
        <f t="shared" si="28"/>
        <v/>
      </c>
      <c r="BC31" s="11" t="str">
        <f t="shared" si="29"/>
        <v/>
      </c>
      <c r="BD31" s="33" t="str">
        <f t="shared" si="30"/>
        <v/>
      </c>
      <c r="BE31" s="47" t="str">
        <f>IFERROR(1/(1/SUMIFS(KP!$AP:$AP,KP!$C:$C,$D31)),"")</f>
        <v/>
      </c>
      <c r="BF31" s="33" t="str">
        <f t="shared" si="25"/>
        <v/>
      </c>
      <c r="BG31" s="19" t="str">
        <f t="shared" si="24"/>
        <v/>
      </c>
      <c r="BH31" s="438"/>
      <c r="BI31" s="440"/>
      <c r="BJ31" s="440"/>
      <c r="BK31" s="439"/>
      <c r="BL31" s="440"/>
      <c r="BM31" s="440"/>
      <c r="BN31" s="47" t="str">
        <f>IFERROR(1/(1/SUMIFS(KP!$K:$K,KP!$C:$C,$D31)),"")</f>
        <v/>
      </c>
      <c r="BO31" s="36" t="str">
        <f>IFERROR(1/(1/SUMIFS(KP!$I:$I,KP!$C:$C,$D31)),"")</f>
        <v/>
      </c>
      <c r="BP31" s="33" t="str">
        <f t="shared" si="37"/>
        <v/>
      </c>
      <c r="BQ31" s="33" t="str">
        <f t="shared" si="38"/>
        <v/>
      </c>
      <c r="BR31" s="19" t="str">
        <f t="shared" si="33"/>
        <v/>
      </c>
      <c r="BS31" s="19" t="str">
        <f t="shared" si="34"/>
        <v/>
      </c>
      <c r="BT31" s="432"/>
      <c r="BU31" s="440"/>
      <c r="BV31" s="431"/>
      <c r="BW31" s="47" t="str">
        <f>IFERROR(1/(1/SUMIFS(KP!$M:$M,KP!$C:$C,$D31)),"")</f>
        <v/>
      </c>
      <c r="BX31" s="33" t="str">
        <f t="shared" si="39"/>
        <v/>
      </c>
      <c r="BY31" s="19" t="str">
        <f>IF(SUM($BW31)=0,"",(SUM($BX31)-$BW31)/$BW31)</f>
        <v/>
      </c>
      <c r="BZ31" s="432"/>
      <c r="CA31" s="430"/>
      <c r="CB31" s="431"/>
      <c r="CC31" s="431"/>
      <c r="CD31" s="440"/>
      <c r="CE31" s="431"/>
      <c r="CF31" s="433"/>
      <c r="CG31" s="431"/>
      <c r="CH31" s="431"/>
      <c r="CI31" s="431"/>
      <c r="CJ31" s="431"/>
      <c r="CK31" s="431"/>
      <c r="CL31" s="440"/>
      <c r="CM31" s="440"/>
      <c r="CN31" s="440"/>
      <c r="CO31" s="440"/>
      <c r="CP31" s="432"/>
      <c r="CQ31" s="437"/>
      <c r="CR31" s="437"/>
      <c r="CS31" s="437"/>
      <c r="CT31" s="440"/>
      <c r="CU31" s="440"/>
      <c r="CV31" s="439"/>
      <c r="CW31" s="440"/>
      <c r="CX31" s="440"/>
      <c r="CY31" s="432"/>
      <c r="CZ31" s="430"/>
      <c r="DA31" s="430"/>
      <c r="DB31" s="430"/>
      <c r="DC31" s="440"/>
      <c r="DD31" s="440"/>
      <c r="DE31" s="440"/>
      <c r="DF31" s="440"/>
      <c r="DG31" s="437"/>
      <c r="DH31" s="437"/>
      <c r="DI31" s="437"/>
      <c r="DJ31" s="437"/>
      <c r="DK31" s="439"/>
      <c r="DL31" s="442"/>
      <c r="DM31" s="432"/>
      <c r="DN31" s="430"/>
      <c r="DO31" s="440"/>
      <c r="DP31" s="440"/>
      <c r="DQ31" s="437"/>
      <c r="DR31" s="437"/>
      <c r="DS31" s="432"/>
      <c r="DT31" s="440"/>
      <c r="DU31" s="437"/>
      <c r="DV31" s="432"/>
      <c r="DW31" s="440"/>
      <c r="DX31" s="443"/>
    </row>
    <row r="32" spans="1:128" x14ac:dyDescent="0.2">
      <c r="A32" t="s">
        <v>45</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30"/>
      <c r="L32" s="431"/>
      <c r="N32" s="33" t="str">
        <f t="shared" si="36"/>
        <v/>
      </c>
      <c r="O32" s="19">
        <f t="shared" si="1"/>
        <v>0.9</v>
      </c>
      <c r="P32" s="36" t="str">
        <f t="shared" si="2"/>
        <v/>
      </c>
      <c r="Q32" s="19">
        <f t="shared" si="3"/>
        <v>1</v>
      </c>
      <c r="R32" s="60" t="str">
        <f t="shared" si="4"/>
        <v/>
      </c>
      <c r="S32" s="33" t="str">
        <f t="shared" si="5"/>
        <v/>
      </c>
      <c r="T32" s="19" t="str">
        <f t="shared" si="6"/>
        <v/>
      </c>
      <c r="U32" s="149">
        <v>0.98</v>
      </c>
      <c r="V32" s="19">
        <v>0.98</v>
      </c>
      <c r="W32" s="36" t="str">
        <f t="shared" si="7"/>
        <v/>
      </c>
      <c r="X32" s="19">
        <v>1</v>
      </c>
      <c r="Y32" s="33" t="str">
        <f t="shared" si="8"/>
        <v/>
      </c>
      <c r="Z32" s="149">
        <v>0.7</v>
      </c>
      <c r="AA32" s="36" t="str">
        <f t="shared" si="9"/>
        <v/>
      </c>
      <c r="AB32" s="19">
        <v>0.95</v>
      </c>
      <c r="AC32" s="33" t="str">
        <f t="shared" si="10"/>
        <v/>
      </c>
      <c r="AD32" s="149">
        <v>0.95</v>
      </c>
      <c r="AE32" s="33" t="str">
        <f t="shared" si="11"/>
        <v/>
      </c>
      <c r="AF32" s="149">
        <v>0.95</v>
      </c>
      <c r="AG32" s="33" t="str">
        <f t="shared" si="12"/>
        <v/>
      </c>
      <c r="AH32" s="433"/>
      <c r="AI32" s="434"/>
      <c r="AJ32" s="431"/>
      <c r="AK32" s="431"/>
      <c r="AL32" s="431"/>
      <c r="AM32" s="431"/>
      <c r="AN32" s="431"/>
      <c r="AO32" s="431"/>
      <c r="AP32" s="431"/>
      <c r="AQ32" s="435"/>
      <c r="AR32" s="436"/>
      <c r="AS32" s="436"/>
      <c r="AT32" s="436"/>
      <c r="AU32" s="436"/>
      <c r="AV32" s="436"/>
      <c r="AW32" s="436"/>
      <c r="AX32" s="436"/>
      <c r="AY32" s="436"/>
      <c r="AZ32" s="431"/>
      <c r="BA32" s="47" t="str">
        <f>IFERROR(1/(1/SUMIFS(KP!$AN:$AN,KP!$C:$C,$D32)),"")</f>
        <v/>
      </c>
      <c r="BB32" s="11" t="str">
        <f t="shared" si="28"/>
        <v/>
      </c>
      <c r="BC32" s="11" t="str">
        <f t="shared" si="29"/>
        <v/>
      </c>
      <c r="BD32" s="33" t="str">
        <f t="shared" si="30"/>
        <v/>
      </c>
      <c r="BE32" s="47" t="str">
        <f>IFERROR(1/(1/SUMIFS(KP!$AP:$AP,KP!$C:$C,$D32)),"")</f>
        <v/>
      </c>
      <c r="BF32" s="33" t="str">
        <f t="shared" si="25"/>
        <v/>
      </c>
      <c r="BG32" s="19" t="str">
        <f t="shared" si="24"/>
        <v/>
      </c>
      <c r="BH32" s="438"/>
      <c r="BI32" s="440"/>
      <c r="BJ32" s="440"/>
      <c r="BK32" s="439"/>
      <c r="BL32" s="440"/>
      <c r="BM32" s="440"/>
      <c r="BN32" s="47" t="str">
        <f>IFERROR(1/(1/SUMIFS(KP!$K:$K,KP!$C:$C,$D32)),"")</f>
        <v/>
      </c>
      <c r="BO32" s="36" t="str">
        <f>IFERROR(1/(1/SUMIFS(KP!$I:$I,KP!$C:$C,$D32)),"")</f>
        <v/>
      </c>
      <c r="BP32" s="33" t="str">
        <f t="shared" si="37"/>
        <v/>
      </c>
      <c r="BQ32" s="33" t="str">
        <f t="shared" si="38"/>
        <v/>
      </c>
      <c r="BR32" s="19" t="str">
        <f t="shared" si="33"/>
        <v/>
      </c>
      <c r="BS32" s="19" t="str">
        <f t="shared" si="34"/>
        <v/>
      </c>
      <c r="BT32" s="432"/>
      <c r="BU32" s="440"/>
      <c r="BV32" s="431"/>
      <c r="BW32" s="47" t="str">
        <f>IFERROR(1/(1/SUMIFS(KP!$M:$M,KP!$C:$C,$D32)),"")</f>
        <v/>
      </c>
      <c r="BX32" s="33" t="str">
        <f t="shared" si="39"/>
        <v/>
      </c>
      <c r="BY32" s="19" t="str">
        <f>IF(SUM($BW32)=0,"",(SUM($BX32)-$BW32)/$BW32)</f>
        <v/>
      </c>
      <c r="BZ32" s="432"/>
      <c r="CA32" s="430"/>
      <c r="CB32" s="431"/>
      <c r="CC32" s="431"/>
      <c r="CD32" s="440"/>
      <c r="CE32" s="431"/>
      <c r="CF32" s="433"/>
      <c r="CG32" s="431"/>
      <c r="CH32" s="431"/>
      <c r="CI32" s="431"/>
      <c r="CJ32" s="431"/>
      <c r="CK32" s="431"/>
      <c r="CL32" s="440"/>
      <c r="CM32" s="440"/>
      <c r="CN32" s="440"/>
      <c r="CO32" s="440"/>
      <c r="CP32" s="432"/>
      <c r="CQ32" s="437"/>
      <c r="CR32" s="437"/>
      <c r="CS32" s="437"/>
      <c r="CT32" s="440"/>
      <c r="CU32" s="440"/>
      <c r="CV32" s="439"/>
      <c r="CW32" s="440"/>
      <c r="CX32" s="440"/>
      <c r="CY32" s="432"/>
      <c r="CZ32" s="430"/>
      <c r="DA32" s="430"/>
      <c r="DB32" s="430"/>
      <c r="DC32" s="440"/>
      <c r="DD32" s="440"/>
      <c r="DE32" s="440"/>
      <c r="DF32" s="440"/>
      <c r="DG32" s="437"/>
      <c r="DH32" s="437"/>
      <c r="DI32" s="437"/>
      <c r="DJ32" s="437"/>
      <c r="DK32" s="439"/>
      <c r="DL32" s="442"/>
      <c r="DM32" s="432"/>
      <c r="DN32" s="430"/>
      <c r="DO32" s="440"/>
      <c r="DP32" s="440"/>
      <c r="DQ32" s="437"/>
      <c r="DR32" s="437"/>
      <c r="DS32" s="432"/>
      <c r="DT32" s="440"/>
      <c r="DU32" s="437"/>
      <c r="DV32" s="432"/>
      <c r="DW32" s="440"/>
      <c r="DX32" s="443"/>
    </row>
    <row r="33" spans="1:128" x14ac:dyDescent="0.2">
      <c r="A33" t="s">
        <v>45</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30"/>
      <c r="L33" s="431"/>
      <c r="N33" s="33" t="str">
        <f t="shared" si="36"/>
        <v/>
      </c>
      <c r="O33" s="19">
        <f t="shared" si="1"/>
        <v>0.9</v>
      </c>
      <c r="P33" s="36" t="str">
        <f t="shared" si="2"/>
        <v/>
      </c>
      <c r="Q33" s="19">
        <f t="shared" si="3"/>
        <v>1</v>
      </c>
      <c r="R33" s="60" t="str">
        <f t="shared" si="4"/>
        <v/>
      </c>
      <c r="S33" s="33" t="str">
        <f t="shared" si="5"/>
        <v/>
      </c>
      <c r="T33" s="19" t="str">
        <f t="shared" si="6"/>
        <v/>
      </c>
      <c r="U33" s="149">
        <v>0.98</v>
      </c>
      <c r="V33" s="19">
        <v>0.98</v>
      </c>
      <c r="W33" s="36" t="str">
        <f t="shared" si="7"/>
        <v/>
      </c>
      <c r="X33" s="19">
        <v>1</v>
      </c>
      <c r="Y33" s="33" t="str">
        <f t="shared" si="8"/>
        <v/>
      </c>
      <c r="Z33" s="149">
        <v>0.7</v>
      </c>
      <c r="AA33" s="36" t="str">
        <f t="shared" si="9"/>
        <v/>
      </c>
      <c r="AB33" s="19">
        <v>0.95</v>
      </c>
      <c r="AC33" s="33" t="str">
        <f t="shared" si="10"/>
        <v/>
      </c>
      <c r="AD33" s="149">
        <v>0.95</v>
      </c>
      <c r="AE33" s="33" t="str">
        <f t="shared" si="11"/>
        <v/>
      </c>
      <c r="AF33" s="149">
        <v>0.95</v>
      </c>
      <c r="AG33" s="33" t="str">
        <f t="shared" si="12"/>
        <v/>
      </c>
      <c r="AH33" s="433"/>
      <c r="AI33" s="434"/>
      <c r="AJ33" s="431"/>
      <c r="AK33" s="431"/>
      <c r="AL33" s="431"/>
      <c r="AM33" s="431"/>
      <c r="AN33" s="431"/>
      <c r="AO33" s="431"/>
      <c r="AP33" s="431"/>
      <c r="AQ33" s="435"/>
      <c r="AR33" s="436"/>
      <c r="AS33" s="436"/>
      <c r="AT33" s="436"/>
      <c r="AU33" s="436"/>
      <c r="AV33" s="436"/>
      <c r="AW33" s="436"/>
      <c r="AX33" s="436"/>
      <c r="AY33" s="436"/>
      <c r="AZ33" s="431"/>
      <c r="BA33" s="47" t="str">
        <f>IFERROR(1/(1/SUMIFS(KP!$AN:$AN,KP!$C:$C,$D33)),"")</f>
        <v/>
      </c>
      <c r="BB33" s="11" t="str">
        <f t="shared" si="28"/>
        <v/>
      </c>
      <c r="BC33" s="11" t="str">
        <f t="shared" si="29"/>
        <v/>
      </c>
      <c r="BD33" s="33" t="str">
        <f t="shared" si="30"/>
        <v/>
      </c>
      <c r="BE33" s="47" t="str">
        <f>IFERROR(1/(1/SUMIFS(KP!$AP:$AP,KP!$C:$C,$D33)),"")</f>
        <v/>
      </c>
      <c r="BF33" s="33" t="str">
        <f t="shared" si="25"/>
        <v/>
      </c>
      <c r="BG33" s="19" t="str">
        <f t="shared" si="24"/>
        <v/>
      </c>
      <c r="BH33" s="438"/>
      <c r="BI33" s="440"/>
      <c r="BJ33" s="440"/>
      <c r="BK33" s="439"/>
      <c r="BL33" s="440"/>
      <c r="BM33" s="440"/>
      <c r="BN33" s="47" t="str">
        <f>IFERROR(1/(1/SUMIFS(KP!$K:$K,KP!$C:$C,$D33)),"")</f>
        <v/>
      </c>
      <c r="BO33" s="36" t="str">
        <f>IFERROR(1/(1/SUMIFS(KP!$I:$I,KP!$C:$C,$D33)),"")</f>
        <v/>
      </c>
      <c r="BP33" s="33" t="str">
        <f t="shared" si="37"/>
        <v/>
      </c>
      <c r="BQ33" s="33" t="str">
        <f t="shared" si="38"/>
        <v/>
      </c>
      <c r="BR33" s="19" t="str">
        <f t="shared" si="33"/>
        <v/>
      </c>
      <c r="BS33" s="19" t="str">
        <f t="shared" si="34"/>
        <v/>
      </c>
      <c r="BT33" s="432"/>
      <c r="BU33" s="440"/>
      <c r="BV33" s="431"/>
      <c r="BW33" s="47" t="str">
        <f>IFERROR(1/(1/SUMIFS(KP!$M:$M,KP!$C:$C,$D33)),"")</f>
        <v/>
      </c>
      <c r="BX33" s="33" t="str">
        <f t="shared" si="39"/>
        <v/>
      </c>
      <c r="BY33" s="19" t="str">
        <f>IF(SUM($BW33)=0,"",(SUM($BX33)-$BW33)/$BW33)</f>
        <v/>
      </c>
      <c r="BZ33" s="432"/>
      <c r="CA33" s="430"/>
      <c r="CB33" s="431"/>
      <c r="CC33" s="431"/>
      <c r="CD33" s="440"/>
      <c r="CE33" s="431"/>
      <c r="CF33" s="433"/>
      <c r="CG33" s="431"/>
      <c r="CH33" s="431"/>
      <c r="CI33" s="431"/>
      <c r="CJ33" s="431"/>
      <c r="CK33" s="431"/>
      <c r="CL33" s="440"/>
      <c r="CM33" s="440"/>
      <c r="CN33" s="440"/>
      <c r="CO33" s="440"/>
      <c r="CP33" s="432"/>
      <c r="CQ33" s="437"/>
      <c r="CR33" s="437"/>
      <c r="CS33" s="437"/>
      <c r="CT33" s="440"/>
      <c r="CU33" s="440"/>
      <c r="CV33" s="439"/>
      <c r="CW33" s="440"/>
      <c r="CX33" s="440"/>
      <c r="CY33" s="432"/>
      <c r="CZ33" s="430"/>
      <c r="DA33" s="430"/>
      <c r="DB33" s="430"/>
      <c r="DC33" s="440"/>
      <c r="DD33" s="440"/>
      <c r="DE33" s="440"/>
      <c r="DF33" s="440"/>
      <c r="DG33" s="437"/>
      <c r="DH33" s="437"/>
      <c r="DI33" s="437"/>
      <c r="DJ33" s="437"/>
      <c r="DK33" s="439"/>
      <c r="DL33" s="442"/>
      <c r="DM33" s="432"/>
      <c r="DN33" s="430"/>
      <c r="DO33" s="440"/>
      <c r="DP33" s="440"/>
      <c r="DQ33" s="437"/>
      <c r="DR33" s="437"/>
      <c r="DS33" s="432"/>
      <c r="DT33" s="440"/>
      <c r="DU33" s="437"/>
      <c r="DV33" s="432"/>
      <c r="DW33" s="440"/>
      <c r="DX33" s="443"/>
    </row>
    <row r="34" spans="1:128" x14ac:dyDescent="0.2">
      <c r="A34" t="s">
        <v>1078</v>
      </c>
      <c r="B34" s="5" t="s">
        <v>1067</v>
      </c>
      <c r="C34" t="s">
        <v>581</v>
      </c>
      <c r="E34" s="430"/>
      <c r="F34" s="430"/>
      <c r="G34" s="430"/>
      <c r="H34" s="430"/>
      <c r="I34" s="430"/>
      <c r="J34" s="430"/>
      <c r="K34" s="430"/>
      <c r="L34" s="430"/>
      <c r="M34" s="432"/>
      <c r="N34" s="430"/>
      <c r="O34" s="430"/>
      <c r="P34" s="430"/>
      <c r="Q34" s="430"/>
      <c r="R34" s="432"/>
      <c r="S34" s="430"/>
      <c r="T34" s="430"/>
      <c r="U34" s="432"/>
      <c r="V34" s="430"/>
      <c r="W34" s="430"/>
      <c r="X34" s="430"/>
      <c r="Y34" s="430"/>
      <c r="Z34" s="432"/>
      <c r="AA34" s="430"/>
      <c r="AB34" s="430"/>
      <c r="AC34" s="430"/>
      <c r="AD34" s="432"/>
      <c r="AE34" s="430"/>
      <c r="AF34" s="432"/>
      <c r="AG34" s="430"/>
      <c r="AH34" s="433"/>
      <c r="AI34" s="434"/>
      <c r="AJ34" s="431"/>
      <c r="AK34" s="431"/>
      <c r="AL34" s="431"/>
      <c r="AM34" s="431"/>
      <c r="AN34" s="431"/>
      <c r="AO34" s="431"/>
      <c r="AP34" s="431"/>
      <c r="AQ34" s="435"/>
      <c r="AR34" s="436"/>
      <c r="AS34" s="436"/>
      <c r="AT34" s="436"/>
      <c r="AU34" s="436"/>
      <c r="AV34" s="436"/>
      <c r="AW34" s="436"/>
      <c r="AX34" s="436"/>
      <c r="AY34" s="436"/>
      <c r="AZ34" s="431"/>
      <c r="BA34" s="432"/>
      <c r="BB34" s="437"/>
      <c r="BC34" s="437"/>
      <c r="BD34" s="430"/>
      <c r="BE34" s="432"/>
      <c r="BF34" s="430"/>
      <c r="BG34" s="430"/>
      <c r="BH34" s="438"/>
      <c r="BI34" s="430"/>
      <c r="BJ34" s="430"/>
      <c r="BK34" s="439"/>
      <c r="BL34" s="430"/>
      <c r="BM34" s="430"/>
      <c r="BN34" s="432"/>
      <c r="BO34" s="430"/>
      <c r="BP34" s="430"/>
      <c r="BQ34" s="430"/>
      <c r="BR34" s="430"/>
      <c r="BS34" s="430"/>
      <c r="BT34" s="432"/>
      <c r="BU34" s="440"/>
      <c r="BV34" s="431"/>
      <c r="BW34" s="432"/>
      <c r="BX34" s="430"/>
      <c r="BY34" s="430"/>
      <c r="BZ34" s="432"/>
      <c r="CA34" s="430"/>
      <c r="CB34" s="431"/>
      <c r="CC34" s="431"/>
      <c r="CD34" s="440"/>
      <c r="CE34" s="431"/>
      <c r="CF34" s="149" t="str">
        <f>IFERROR(SUM(SUMIFS(TX_TB_PREV!$N:$N,TX_TB_PREV!$C:$C,"="&amp;$B34,TX_TB_PREV!$D:$D,$C34),SUMIFS(TX_TB_PREV!$O:$O,TX_TB_PREV!$C:$C,"="&amp;$B34,TX_TB_PREV!$D:$D,$C34))/SUMIFS(TX_TB_PREV!$G:$G,TX_TB_PREV!$C:$C,"="&amp;$B34,TX_TB_PREV!$D:$D,$C34),"")</f>
        <v/>
      </c>
      <c r="CG34" s="19" t="str">
        <f>IFERROR(SUM(SUMIFS(TX_TB_PREV!$L:$L,TX_TB_PREV!$C:$C,"="&amp;$B34,TX_TB_PREV!$D:$D,$C34),SUMIFS(TX_TB_PREV!$M:$M,TX_TB_PREV!$C:$C,"="&amp;$B34,TX_TB_PREV!$D:$D,$C34))/SUMIFS(TX_TB_PREV!$F:$F,TX_TB_PREV!$C:$C,"="&amp;$B34,TX_TB_PREV!$D:$D,$C34),"")</f>
        <v/>
      </c>
      <c r="CH34" s="19">
        <v>1</v>
      </c>
      <c r="CI34" s="19">
        <v>1</v>
      </c>
      <c r="CJ34" s="19" t="str">
        <f>IFERROR(SUMIFS(TX_TB_PREV!$N:$N,TX_TB_PREV!$C:$C,"="&amp;$B34,TX_TB_PREV!$D:$D,$C34)/SUM(SUMIFS(TX_TB_PREV!$N:$N,TX_TB_PREV!$C:$C,"="&amp;$B34,TX_TB_PREV!$D:$D,$C34),SUMIFS(TX_TB_PREV!$O:$O,TX_TB_PREV!$C:$C,"="&amp;$B34,TX_TB_PREV!$D:$D,$C34)),"")</f>
        <v/>
      </c>
      <c r="CK34" s="19" t="str">
        <f>IFERROR(SUMIFS(TX_TB_PREV!$L:$L,TX_TB_PREV!$C:$C,"="&amp;$B34,TX_TB_PREV!$D:$D,$C34)/SUM(SUMIFS(TX_TB_PREV!$L:$L,TX_TB_PREV!$C:$C,"="&amp;$B34,TX_TB_PREV!$D:$D,$C34),SUMIFS(TX_TB_PREV!$M:$M,TX_TB_PREV!$C:$C,"="&amp;$B34,TX_TB_PREV!$D:$D,$C34)),"")</f>
        <v/>
      </c>
      <c r="CL34" s="33" t="str" cm="1">
        <f t="array" ref="CL34">IFERROR(ROUND(SUM(SUMIFS($G:$G,$B:$B,IF($B34="&lt;15",{"&lt;01","01-09","10-14"},{"15-24","24-34","35-49","50+"}),$C:$C,$C34))*$CH34*$CJ34,0),"")</f>
        <v/>
      </c>
      <c r="CM34" s="33" t="str" cm="1">
        <f t="array" ref="CM34">IFERROR(ROUND(SUM(SUMIFS($G:$G,$B:$B,IF($B34="&lt;15",{"&lt;01","01-09","10-14"},{"15-24","24-34","35-49","50+"}),$C:$C,$C34))*$CH34,0)-$CL34,"")</f>
        <v/>
      </c>
      <c r="CN34" s="33" t="str" cm="1">
        <f t="array" ref="CN34">IFERROR(ROUND(SUM(SUMIFS($W:$W,$B:$B,IF($B34="&lt;15",{"&lt;01","01-09","10-14"},{"15-24","24-34","35-49","50+"}),$C:$C,$C34))*$CI34*$CK34,0),"")</f>
        <v/>
      </c>
      <c r="CO34" s="33" t="str" cm="1">
        <f t="array" ref="CO34">IFERROR(ROUND(SUM(SUMIFS($W:$W,$B:$B,IF($B34="&lt;15",{"&lt;01","01-09","10-14"},{"15-24","24-34","35-49","50+"}),$C:$C,$C34))*$CI34,0)-$CN34,"")</f>
        <v/>
      </c>
      <c r="CP34" s="47" t="str">
        <f>IFERROR(1/(1/SUM(SUMIFS(TX_TB_PREV!$S:$S,TX_TB_PREV!$C:$C,"="&amp;$B34,TX_TB_PREV!$D:$D,$C34),SUMIFS(TX_TB_PREV!$Z:$Z,TX_TB_PREV!$C:$C,"="&amp;$B34,TX_TB_PREV!$D:$D,$C34),SUMIFS(TX_TB_PREV!$AA:$AA,TX_TB_PREV!$C:$C,"="&amp;$B34,TX_TB_PREV!$D:$D,$C34))),"")</f>
        <v/>
      </c>
      <c r="CQ34" s="11" t="str" cm="1">
        <f t="array" ref="CQ34">IFERROR(MIN($CP34/SUM(SUMIFS($G:$G,$B:$B,IF($B34="&lt;15",{"&lt;01","01-09","10-14"},{"15-24","24-34","35-49","50+"}),$C:$C,$C34)),1),"")</f>
        <v/>
      </c>
      <c r="CR34" s="11">
        <v>1</v>
      </c>
      <c r="CS34" s="11">
        <v>1</v>
      </c>
      <c r="CT34" s="33" t="str">
        <f>IF(SUM($CM34)=0,"",IF($CQ34="","ENTER ELIGIBILITY RATE",IF($CR34 = "","ENTER INITIATION RATE",ROUND($CM34*$CQ34*$CR34,0))))</f>
        <v/>
      </c>
      <c r="CU34" s="33" t="str">
        <f>IF(SUM($CO34)=0,"",IF($CS34="","ENTER INITIATION RATE",ROUND($CO34*$CS34,0)))</f>
        <v/>
      </c>
      <c r="CV34" s="81">
        <v>0.9</v>
      </c>
      <c r="CW34" s="33" t="str">
        <f>IF(SUM($CT34)=0,"",IF($CV34="","ENTER COMPLETION RATE",ROUND($CT34*$CV34,0)))</f>
        <v/>
      </c>
      <c r="CX34" s="33" t="str">
        <f>IF(SUM($CU34)=0,"",IF($CV34="","ENTER COMPLETION RATE",ROUND($CU34*$CV34,0)))</f>
        <v/>
      </c>
      <c r="CY34" s="432"/>
      <c r="CZ34" s="430"/>
      <c r="DA34" s="430"/>
      <c r="DB34" s="430"/>
      <c r="DC34" s="440"/>
      <c r="DD34" s="440"/>
      <c r="DE34" s="440"/>
      <c r="DF34" s="440"/>
      <c r="DG34" s="437"/>
      <c r="DH34" s="437"/>
      <c r="DI34" s="437"/>
      <c r="DJ34" s="437"/>
      <c r="DK34" s="439"/>
      <c r="DL34" s="442"/>
      <c r="DM34" s="432"/>
      <c r="DN34" s="430"/>
      <c r="DO34" s="440"/>
      <c r="DP34" s="440"/>
      <c r="DQ34" s="437"/>
      <c r="DR34" s="437"/>
      <c r="DS34" s="432"/>
      <c r="DT34" s="440"/>
      <c r="DU34" s="437"/>
      <c r="DV34" s="432"/>
      <c r="DW34" s="440"/>
      <c r="DX34" s="443"/>
    </row>
    <row r="35" spans="1:128" x14ac:dyDescent="0.2">
      <c r="A35" t="s">
        <v>1078</v>
      </c>
      <c r="B35" s="5" t="s">
        <v>1067</v>
      </c>
      <c r="C35" t="s">
        <v>606</v>
      </c>
      <c r="E35" s="430"/>
      <c r="F35" s="430"/>
      <c r="G35" s="430"/>
      <c r="H35" s="430"/>
      <c r="I35" s="430"/>
      <c r="J35" s="430"/>
      <c r="K35" s="430"/>
      <c r="L35" s="430"/>
      <c r="M35" s="432"/>
      <c r="N35" s="430"/>
      <c r="O35" s="430"/>
      <c r="P35" s="430"/>
      <c r="Q35" s="430"/>
      <c r="R35" s="432"/>
      <c r="S35" s="430"/>
      <c r="T35" s="430"/>
      <c r="U35" s="432"/>
      <c r="V35" s="430"/>
      <c r="W35" s="430"/>
      <c r="X35" s="430"/>
      <c r="Y35" s="430"/>
      <c r="Z35" s="432"/>
      <c r="AA35" s="430"/>
      <c r="AB35" s="430"/>
      <c r="AC35" s="430"/>
      <c r="AD35" s="432"/>
      <c r="AE35" s="430"/>
      <c r="AF35" s="432"/>
      <c r="AG35" s="430"/>
      <c r="AH35" s="433"/>
      <c r="AI35" s="434"/>
      <c r="AJ35" s="431"/>
      <c r="AK35" s="431"/>
      <c r="AL35" s="431"/>
      <c r="AM35" s="431"/>
      <c r="AN35" s="431"/>
      <c r="AO35" s="431"/>
      <c r="AP35" s="431"/>
      <c r="AQ35" s="435"/>
      <c r="AR35" s="436"/>
      <c r="AS35" s="436"/>
      <c r="AT35" s="436"/>
      <c r="AU35" s="436"/>
      <c r="AV35" s="436"/>
      <c r="AW35" s="436"/>
      <c r="AX35" s="436"/>
      <c r="AY35" s="436"/>
      <c r="AZ35" s="431"/>
      <c r="BA35" s="432"/>
      <c r="BB35" s="437"/>
      <c r="BC35" s="437"/>
      <c r="BD35" s="430"/>
      <c r="BE35" s="432"/>
      <c r="BF35" s="430"/>
      <c r="BG35" s="430"/>
      <c r="BH35" s="438"/>
      <c r="BI35" s="430"/>
      <c r="BJ35" s="430"/>
      <c r="BK35" s="439"/>
      <c r="BL35" s="430"/>
      <c r="BM35" s="430"/>
      <c r="BN35" s="432"/>
      <c r="BO35" s="430"/>
      <c r="BP35" s="430"/>
      <c r="BQ35" s="430"/>
      <c r="BR35" s="430"/>
      <c r="BS35" s="430"/>
      <c r="BT35" s="432"/>
      <c r="BU35" s="440"/>
      <c r="BV35" s="431"/>
      <c r="BW35" s="432"/>
      <c r="BX35" s="430"/>
      <c r="BY35" s="430"/>
      <c r="BZ35" s="432"/>
      <c r="CA35" s="430"/>
      <c r="CB35" s="431"/>
      <c r="CC35" s="431"/>
      <c r="CD35" s="440"/>
      <c r="CE35" s="431"/>
      <c r="CF35" s="149" t="str">
        <f>IFERROR(SUM(SUMIFS(TX_TB_PREV!$N:$N,TX_TB_PREV!$C:$C,"="&amp;$B35,TX_TB_PREV!$D:$D,$C35),SUMIFS(TX_TB_PREV!$O:$O,TX_TB_PREV!$C:$C,"="&amp;$B35,TX_TB_PREV!$D:$D,$C35))/SUMIFS(TX_TB_PREV!$G:$G,TX_TB_PREV!$C:$C,"="&amp;$B35,TX_TB_PREV!$D:$D,$C35),"")</f>
        <v/>
      </c>
      <c r="CG35" s="19" t="str">
        <f>IFERROR(SUM(SUMIFS(TX_TB_PREV!$L:$L,TX_TB_PREV!$C:$C,"="&amp;$B35,TX_TB_PREV!$D:$D,$C35),SUMIFS(TX_TB_PREV!$M:$M,TX_TB_PREV!$C:$C,"="&amp;$B35,TX_TB_PREV!$D:$D,$C35))/SUMIFS(TX_TB_PREV!$F:$F,TX_TB_PREV!$C:$C,"="&amp;$B35,TX_TB_PREV!$D:$D,$C35),"")</f>
        <v/>
      </c>
      <c r="CH35" s="19">
        <v>1</v>
      </c>
      <c r="CI35" s="19">
        <v>1</v>
      </c>
      <c r="CJ35" s="19" t="str">
        <f>IFERROR(SUMIFS(TX_TB_PREV!$N:$N,TX_TB_PREV!$C:$C,"="&amp;$B35,TX_TB_PREV!$D:$D,$C35)/SUM(SUMIFS(TX_TB_PREV!$N:$N,TX_TB_PREV!$C:$C,"="&amp;$B35,TX_TB_PREV!$D:$D,$C35),SUMIFS(TX_TB_PREV!$O:$O,TX_TB_PREV!$C:$C,"="&amp;$B35,TX_TB_PREV!$D:$D,$C35)),"")</f>
        <v/>
      </c>
      <c r="CK35" s="19" t="str">
        <f>IFERROR(SUMIFS(TX_TB_PREV!$L:$L,TX_TB_PREV!$C:$C,"="&amp;$B35,TX_TB_PREV!$D:$D,$C35)/SUM(SUMIFS(TX_TB_PREV!$L:$L,TX_TB_PREV!$C:$C,"="&amp;$B35,TX_TB_PREV!$D:$D,$C35),SUMIFS(TX_TB_PREV!$M:$M,TX_TB_PREV!$C:$C,"="&amp;$B35,TX_TB_PREV!$D:$D,$C35)),"")</f>
        <v/>
      </c>
      <c r="CL35" s="33" t="str" cm="1">
        <f t="array" ref="CL35">IFERROR(ROUND(SUM(SUMIFS($G:$G,$B:$B,IF($B35="&lt;15",{"&lt;01","01-09","10-14"},{"15-24","24-34","35-49","50+"}),$C:$C,$C35))*$CH35*$CJ35,0),"")</f>
        <v/>
      </c>
      <c r="CM35" s="33" t="str" cm="1">
        <f t="array" ref="CM35">IFERROR(ROUND(SUM(SUMIFS($G:$G,$B:$B,IF($B35="&lt;15",{"&lt;01","01-09","10-14"},{"15-24","24-34","35-49","50+"}),$C:$C,$C35))*$CH35,0)-$CL35,"")</f>
        <v/>
      </c>
      <c r="CN35" s="33" t="str" cm="1">
        <f t="array" ref="CN35">IFERROR(ROUND(SUM(SUMIFS($G:$G,$B:$B,IF($B35="&lt;15",{"&lt;01","01-09","10-14"},{"15-24","24-34","35-49","50+"}),$C:$C,$C35))*$CH35,0)-$CL35,"")</f>
        <v/>
      </c>
      <c r="CO35" s="33" t="str" cm="1">
        <f t="array" ref="CO35">IFERROR(ROUND(SUM(SUMIFS($W:$W,$B:$B,IF($B35="&lt;15",{"&lt;01","01-09","10-14"},{"15-24","24-34","35-49","50+"}),$C:$C,$C35))*$CI35,0)-$CN35,"")</f>
        <v/>
      </c>
      <c r="CP35" s="47" t="str">
        <f>IFERROR(1/(1/SUM(SUMIFS(TX_TB_PREV!$S:$S,TX_TB_PREV!$C:$C,"="&amp;$B35,TX_TB_PREV!$D:$D,$C35),SUMIFS(TX_TB_PREV!$Z:$Z,TX_TB_PREV!$C:$C,"="&amp;$B35,TX_TB_PREV!$D:$D,$C35),SUMIFS(TX_TB_PREV!$AA:$AA,TX_TB_PREV!$C:$C,"="&amp;$B35,TX_TB_PREV!$D:$D,$C35))),"")</f>
        <v/>
      </c>
      <c r="CQ35" s="11" t="str" cm="1">
        <f t="array" ref="CQ35">IFERROR(MIN($CP35/SUM(SUMIFS($G:$G,$B:$B,IF($B35="&lt;15",{"&lt;01","01-09","10-14"},{"15-24","24-34","35-49","50+"}),$C:$C,$C35)),1),"")</f>
        <v/>
      </c>
      <c r="CR35" s="11">
        <v>1</v>
      </c>
      <c r="CS35" s="11">
        <v>1</v>
      </c>
      <c r="CT35" s="33" t="str">
        <f t="shared" ref="CT35:CT37" si="40">IF(SUM($CM35)=0,"",IF($CQ35="","ENTER ELIGIBILITY RATE",IF($CR35 = "","ENTER INITIATION RATE",ROUND($CM35*$CQ35*$CR35,0))))</f>
        <v/>
      </c>
      <c r="CU35" s="33" t="str">
        <f t="shared" ref="CU35:CU37" si="41">IF(SUM($CO35)=0,"",IF($CS35="","ENTER INITIATION RATE",ROUND($CO35*$CS35,0)))</f>
        <v/>
      </c>
      <c r="CV35" s="81">
        <v>0.9</v>
      </c>
      <c r="CW35" s="33" t="str">
        <f>IF(SUM($CT35)=0,"",IF($CV35="","ENTER COMPLETION RATE",ROUND($CT35*$CV35,0)))</f>
        <v/>
      </c>
      <c r="CX35" s="33" t="str">
        <f>IF(SUM($CU35)=0,"",IF($CV35="","ENTER COMPLETION RATE",ROUND($CU35*$CV35,0)))</f>
        <v/>
      </c>
      <c r="CY35" s="432"/>
      <c r="CZ35" s="430"/>
      <c r="DA35" s="430"/>
      <c r="DB35" s="430"/>
      <c r="DC35" s="440"/>
      <c r="DD35" s="440"/>
      <c r="DE35" s="440"/>
      <c r="DF35" s="440"/>
      <c r="DG35" s="437"/>
      <c r="DH35" s="437"/>
      <c r="DI35" s="437"/>
      <c r="DJ35" s="437"/>
      <c r="DK35" s="439"/>
      <c r="DL35" s="442"/>
      <c r="DM35" s="432"/>
      <c r="DN35" s="430"/>
      <c r="DO35" s="440"/>
      <c r="DP35" s="440"/>
      <c r="DQ35" s="437"/>
      <c r="DR35" s="437"/>
      <c r="DS35" s="432"/>
      <c r="DT35" s="440"/>
      <c r="DU35" s="437"/>
      <c r="DV35" s="432"/>
      <c r="DW35" s="440"/>
      <c r="DX35" s="443"/>
    </row>
    <row r="36" spans="1:128" x14ac:dyDescent="0.2">
      <c r="A36" t="s">
        <v>1078</v>
      </c>
      <c r="B36" s="5" t="s">
        <v>1068</v>
      </c>
      <c r="C36" t="s">
        <v>581</v>
      </c>
      <c r="E36" s="430"/>
      <c r="F36" s="430"/>
      <c r="G36" s="430"/>
      <c r="H36" s="430"/>
      <c r="I36" s="430"/>
      <c r="J36" s="430"/>
      <c r="K36" s="430"/>
      <c r="L36" s="430"/>
      <c r="M36" s="432"/>
      <c r="N36" s="430"/>
      <c r="O36" s="430"/>
      <c r="P36" s="430"/>
      <c r="Q36" s="430"/>
      <c r="R36" s="432"/>
      <c r="S36" s="430"/>
      <c r="T36" s="430"/>
      <c r="U36" s="432"/>
      <c r="V36" s="430"/>
      <c r="W36" s="430"/>
      <c r="X36" s="430"/>
      <c r="Y36" s="430"/>
      <c r="Z36" s="432"/>
      <c r="AA36" s="430"/>
      <c r="AB36" s="430"/>
      <c r="AC36" s="430"/>
      <c r="AD36" s="432"/>
      <c r="AE36" s="430"/>
      <c r="AF36" s="432"/>
      <c r="AG36" s="430"/>
      <c r="AH36" s="433"/>
      <c r="AI36" s="434"/>
      <c r="AJ36" s="431"/>
      <c r="AK36" s="431"/>
      <c r="AL36" s="431"/>
      <c r="AM36" s="431"/>
      <c r="AN36" s="431"/>
      <c r="AO36" s="431"/>
      <c r="AP36" s="431"/>
      <c r="AQ36" s="435"/>
      <c r="AR36" s="436"/>
      <c r="AS36" s="436"/>
      <c r="AT36" s="436"/>
      <c r="AU36" s="436"/>
      <c r="AV36" s="436"/>
      <c r="AW36" s="436"/>
      <c r="AX36" s="436"/>
      <c r="AY36" s="436"/>
      <c r="AZ36" s="431"/>
      <c r="BA36" s="432"/>
      <c r="BB36" s="437"/>
      <c r="BC36" s="437"/>
      <c r="BD36" s="430"/>
      <c r="BE36" s="432"/>
      <c r="BF36" s="430"/>
      <c r="BG36" s="430"/>
      <c r="BH36" s="438"/>
      <c r="BI36" s="430"/>
      <c r="BJ36" s="430"/>
      <c r="BK36" s="439"/>
      <c r="BL36" s="430"/>
      <c r="BM36" s="430"/>
      <c r="BN36" s="432"/>
      <c r="BO36" s="430"/>
      <c r="BP36" s="430"/>
      <c r="BQ36" s="430"/>
      <c r="BR36" s="430"/>
      <c r="BS36" s="430"/>
      <c r="BT36" s="432"/>
      <c r="BU36" s="440"/>
      <c r="BV36" s="431"/>
      <c r="BW36" s="432"/>
      <c r="BX36" s="430"/>
      <c r="BY36" s="430"/>
      <c r="BZ36" s="432"/>
      <c r="CA36" s="430"/>
      <c r="CB36" s="431"/>
      <c r="CC36" s="431"/>
      <c r="CD36" s="440"/>
      <c r="CE36" s="431"/>
      <c r="CF36" s="149" t="str">
        <f>IFERROR(SUM(SUMIFS(TX_TB_PREV!$N:$N,TX_TB_PREV!$C:$C,"="&amp;$B36,TX_TB_PREV!$D:$D,$C36),SUMIFS(TX_TB_PREV!$O:$O,TX_TB_PREV!$C:$C,"="&amp;$B36,TX_TB_PREV!$D:$D,$C36))/SUMIFS(TX_TB_PREV!$G:$G,TX_TB_PREV!$C:$C,"="&amp;$B36,TX_TB_PREV!$D:$D,$C36),"")</f>
        <v/>
      </c>
      <c r="CG36" s="19" t="str">
        <f>IFERROR(SUM(SUMIFS(TX_TB_PREV!$L:$L,TX_TB_PREV!$C:$C,"="&amp;$B36,TX_TB_PREV!$D:$D,$C36),SUMIFS(TX_TB_PREV!$M:$M,TX_TB_PREV!$C:$C,"="&amp;$B36,TX_TB_PREV!$D:$D,$C36))/SUMIFS(TX_TB_PREV!$F:$F,TX_TB_PREV!$C:$C,"="&amp;$B36,TX_TB_PREV!$D:$D,$C36),"")</f>
        <v/>
      </c>
      <c r="CH36" s="19">
        <v>1</v>
      </c>
      <c r="CI36" s="19">
        <v>1</v>
      </c>
      <c r="CJ36" s="19" t="str">
        <f>IFERROR(SUMIFS(TX_TB_PREV!$N:$N,TX_TB_PREV!$C:$C,"="&amp;$B36,TX_TB_PREV!$D:$D,$C36)/SUM(SUMIFS(TX_TB_PREV!$N:$N,TX_TB_PREV!$C:$C,"="&amp;$B36,TX_TB_PREV!$D:$D,$C36),SUMIFS(TX_TB_PREV!$O:$O,TX_TB_PREV!$C:$C,"="&amp;$B36,TX_TB_PREV!$D:$D,$C36)),"")</f>
        <v/>
      </c>
      <c r="CK36" s="19" t="str">
        <f>IFERROR(SUMIFS(TX_TB_PREV!$L:$L,TX_TB_PREV!$C:$C,"="&amp;$B36,TX_TB_PREV!$D:$D,$C36)/SUM(SUMIFS(TX_TB_PREV!$L:$L,TX_TB_PREV!$C:$C,"="&amp;$B36,TX_TB_PREV!$D:$D,$C36),SUMIFS(TX_TB_PREV!$M:$M,TX_TB_PREV!$C:$C,"="&amp;$B36,TX_TB_PREV!$D:$D,$C36)),"")</f>
        <v/>
      </c>
      <c r="CL36" s="33" t="str" cm="1">
        <f t="array" ref="CL36">IFERROR(ROUND(SUM(SUMIFS($G:$G,$B:$B,IF($B36="&lt;15",{"&lt;01","01-09","10-14"},{"15-24","24-34","35-49","50+"}),$C:$C,$C36))*$CH36*$CJ36,0),"")</f>
        <v/>
      </c>
      <c r="CM36" s="33" t="str" cm="1">
        <f t="array" ref="CM36">IFERROR(ROUND(SUM(SUMIFS($G:$G,$B:$B,IF($B36="&lt;15",{"&lt;01","01-09","10-14"},{"15-24","24-34","35-49","50+"}),$C:$C,$C36))*$CH36,0)-$CL36,"")</f>
        <v/>
      </c>
      <c r="CN36" s="33" t="str" cm="1">
        <f t="array" ref="CN36">IFERROR(ROUND(SUM(SUMIFS($G:$G,$B:$B,IF($B36="&lt;15",{"&lt;01","01-09","10-14"},{"15-24","24-34","35-49","50+"}),$C:$C,$C36))*$CH36,0)-$CL36,"")</f>
        <v/>
      </c>
      <c r="CO36" s="33" t="str" cm="1">
        <f t="array" ref="CO36">IFERROR(ROUND(SUM(SUMIFS($W:$W,$B:$B,IF($B36="&lt;15",{"&lt;01","01-09","10-14"},{"15-24","24-34","35-49","50+"}),$C:$C,$C36))*$CI36,0)-$CN36,"")</f>
        <v/>
      </c>
      <c r="CP36" s="47" t="str">
        <f>IFERROR(1/(1/SUM(SUMIFS(TX_TB_PREV!$S:$S,TX_TB_PREV!$C:$C,"="&amp;$B36,TX_TB_PREV!$D:$D,$C36),SUMIFS(TX_TB_PREV!$Z:$Z,TX_TB_PREV!$C:$C,"="&amp;$B36,TX_TB_PREV!$D:$D,$C36),SUMIFS(TX_TB_PREV!$AA:$AA,TX_TB_PREV!$C:$C,"="&amp;$B36,TX_TB_PREV!$D:$D,$C36))),"")</f>
        <v/>
      </c>
      <c r="CQ36" s="11" t="str" cm="1">
        <f t="array" ref="CQ36">IFERROR(MIN($CP36/SUM(SUMIFS($G:$G,$B:$B,IF($B36="&lt;15",{"&lt;01","01-09","10-14"},{"15-24","24-34","35-49","50+"}),$C:$C,$C36)),1),"")</f>
        <v/>
      </c>
      <c r="CR36" s="11">
        <v>1</v>
      </c>
      <c r="CS36" s="11">
        <v>1</v>
      </c>
      <c r="CT36" s="33" t="str">
        <f t="shared" si="40"/>
        <v/>
      </c>
      <c r="CU36" s="33" t="str">
        <f t="shared" si="41"/>
        <v/>
      </c>
      <c r="CV36" s="81">
        <v>0.9</v>
      </c>
      <c r="CW36" s="33" t="str">
        <f>IF(SUM($CT36)=0,"",IF($CV36="","ENTER COMPLETION RATE",ROUND($CT36*$CV36,0)))</f>
        <v/>
      </c>
      <c r="CX36" s="33" t="str">
        <f>IF(SUM($CU36)=0,"",IF($CV36="","ENTER COMPLETION RATE",ROUND($CU36*$CV36,0)))</f>
        <v/>
      </c>
      <c r="CY36" s="432"/>
      <c r="CZ36" s="430"/>
      <c r="DA36" s="430"/>
      <c r="DB36" s="430"/>
      <c r="DC36" s="440"/>
      <c r="DD36" s="440"/>
      <c r="DE36" s="440"/>
      <c r="DF36" s="440"/>
      <c r="DG36" s="437"/>
      <c r="DH36" s="437"/>
      <c r="DI36" s="437"/>
      <c r="DJ36" s="437"/>
      <c r="DK36" s="439"/>
      <c r="DL36" s="442"/>
      <c r="DM36" s="432"/>
      <c r="DN36" s="430"/>
      <c r="DO36" s="440"/>
      <c r="DP36" s="440"/>
      <c r="DQ36" s="437"/>
      <c r="DR36" s="437"/>
      <c r="DS36" s="432"/>
      <c r="DT36" s="440"/>
      <c r="DU36" s="437"/>
      <c r="DV36" s="432"/>
      <c r="DW36" s="440"/>
      <c r="DX36" s="443"/>
    </row>
    <row r="37" spans="1:128" x14ac:dyDescent="0.2">
      <c r="A37" t="s">
        <v>1078</v>
      </c>
      <c r="B37" s="5" t="s">
        <v>1068</v>
      </c>
      <c r="C37" t="s">
        <v>606</v>
      </c>
      <c r="E37" s="430"/>
      <c r="F37" s="430"/>
      <c r="G37" s="430"/>
      <c r="H37" s="430"/>
      <c r="I37" s="430"/>
      <c r="J37" s="430"/>
      <c r="K37" s="430"/>
      <c r="L37" s="430"/>
      <c r="M37" s="432"/>
      <c r="N37" s="430"/>
      <c r="O37" s="430"/>
      <c r="P37" s="430"/>
      <c r="Q37" s="430"/>
      <c r="R37" s="432"/>
      <c r="S37" s="430"/>
      <c r="T37" s="430"/>
      <c r="U37" s="432"/>
      <c r="V37" s="430"/>
      <c r="W37" s="430"/>
      <c r="X37" s="430"/>
      <c r="Y37" s="430"/>
      <c r="Z37" s="432"/>
      <c r="AA37" s="430"/>
      <c r="AB37" s="430"/>
      <c r="AC37" s="430"/>
      <c r="AD37" s="432"/>
      <c r="AE37" s="430"/>
      <c r="AF37" s="432"/>
      <c r="AG37" s="430"/>
      <c r="AH37" s="433"/>
      <c r="AI37" s="434"/>
      <c r="AJ37" s="431"/>
      <c r="AK37" s="431"/>
      <c r="AL37" s="431"/>
      <c r="AM37" s="431"/>
      <c r="AN37" s="431"/>
      <c r="AO37" s="431"/>
      <c r="AP37" s="431"/>
      <c r="AQ37" s="435"/>
      <c r="AR37" s="436"/>
      <c r="AS37" s="436"/>
      <c r="AT37" s="436"/>
      <c r="AU37" s="436"/>
      <c r="AV37" s="436"/>
      <c r="AW37" s="436"/>
      <c r="AX37" s="436"/>
      <c r="AY37" s="436"/>
      <c r="AZ37" s="431"/>
      <c r="BA37" s="432"/>
      <c r="BB37" s="437"/>
      <c r="BC37" s="437"/>
      <c r="BD37" s="430"/>
      <c r="BE37" s="432"/>
      <c r="BF37" s="430"/>
      <c r="BG37" s="430"/>
      <c r="BH37" s="438"/>
      <c r="BI37" s="430"/>
      <c r="BJ37" s="430"/>
      <c r="BK37" s="439"/>
      <c r="BL37" s="430"/>
      <c r="BM37" s="430"/>
      <c r="BN37" s="432"/>
      <c r="BO37" s="430"/>
      <c r="BP37" s="430"/>
      <c r="BQ37" s="430"/>
      <c r="BR37" s="430"/>
      <c r="BS37" s="430"/>
      <c r="BT37" s="432"/>
      <c r="BU37" s="440"/>
      <c r="BV37" s="431"/>
      <c r="BW37" s="432"/>
      <c r="BX37" s="430"/>
      <c r="BY37" s="430"/>
      <c r="BZ37" s="432"/>
      <c r="CA37" s="430"/>
      <c r="CB37" s="431"/>
      <c r="CC37" s="431"/>
      <c r="CD37" s="440"/>
      <c r="CE37" s="431"/>
      <c r="CF37" s="149" t="str">
        <f>IFERROR(SUM(SUMIFS(TX_TB_PREV!$N:$N,TX_TB_PREV!$C:$C,"="&amp;$B37,TX_TB_PREV!$D:$D,$C37),SUMIFS(TX_TB_PREV!$O:$O,TX_TB_PREV!$C:$C,"="&amp;$B37,TX_TB_PREV!$D:$D,$C37))/SUMIFS(TX_TB_PREV!$G:$G,TX_TB_PREV!$C:$C,"="&amp;$B37,TX_TB_PREV!$D:$D,$C37),"")</f>
        <v/>
      </c>
      <c r="CG37" s="19" t="str">
        <f>IFERROR(SUM(SUMIFS(TX_TB_PREV!$L:$L,TX_TB_PREV!$C:$C,"="&amp;$B37,TX_TB_PREV!$D:$D,$C37),SUMIFS(TX_TB_PREV!$M:$M,TX_TB_PREV!$C:$C,"="&amp;$B37,TX_TB_PREV!$D:$D,$C37))/SUMIFS(TX_TB_PREV!$F:$F,TX_TB_PREV!$C:$C,"="&amp;$B37,TX_TB_PREV!$D:$D,$C37),"")</f>
        <v/>
      </c>
      <c r="CH37" s="19">
        <v>1</v>
      </c>
      <c r="CI37" s="19">
        <v>1</v>
      </c>
      <c r="CJ37" s="19" t="str">
        <f>IFERROR(SUMIFS(TX_TB_PREV!$N:$N,TX_TB_PREV!$C:$C,"="&amp;$B37,TX_TB_PREV!$D:$D,$C37)/SUM(SUMIFS(TX_TB_PREV!$N:$N,TX_TB_PREV!$C:$C,"="&amp;$B37,TX_TB_PREV!$D:$D,$C37),SUMIFS(TX_TB_PREV!$O:$O,TX_TB_PREV!$C:$C,"="&amp;$B37,TX_TB_PREV!$D:$D,$C37)),"")</f>
        <v/>
      </c>
      <c r="CK37" s="19" t="str">
        <f>IFERROR(SUMIFS(TX_TB_PREV!$L:$L,TX_TB_PREV!$C:$C,"="&amp;$B37,TX_TB_PREV!$D:$D,$C37)/SUM(SUMIFS(TX_TB_PREV!$L:$L,TX_TB_PREV!$C:$C,"="&amp;$B37,TX_TB_PREV!$D:$D,$C37),SUMIFS(TX_TB_PREV!$M:$M,TX_TB_PREV!$C:$C,"="&amp;$B37,TX_TB_PREV!$D:$D,$C37)),"")</f>
        <v/>
      </c>
      <c r="CL37" s="33" t="str" cm="1">
        <f t="array" ref="CL37">IFERROR(ROUND(SUM(SUMIFS($G:$G,$B:$B,IF($B37="&lt;15",{"&lt;01","01-09","10-14"},{"15-24","24-34","35-49","50+"}),$C:$C,$C37))*$CH37*$CJ37,0),"")</f>
        <v/>
      </c>
      <c r="CM37" s="33" t="str" cm="1">
        <f t="array" ref="CM37">IFERROR(ROUND(SUM(SUMIFS($G:$G,$B:$B,IF($B37="&lt;15",{"&lt;01","01-09","10-14"},{"15-24","24-34","35-49","50+"}),$C:$C,$C37))*$CH37,0)-$CL37,"")</f>
        <v/>
      </c>
      <c r="CN37" s="33" t="str" cm="1">
        <f t="array" ref="CN37">IFERROR(ROUND(SUM(SUMIFS($G:$G,$B:$B,IF($B37="&lt;15",{"&lt;01","01-09","10-14"},{"15-24","24-34","35-49","50+"}),$C:$C,$C37))*$CH37,0)-$CL37,"")</f>
        <v/>
      </c>
      <c r="CO37" s="33" t="str" cm="1">
        <f t="array" ref="CO37">IFERROR(ROUND(SUM(SUMIFS($W:$W,$B:$B,IF($B37="&lt;15",{"&lt;01","01-09","10-14"},{"15-24","24-34","35-49","50+"}),$C:$C,$C37))*$CI37,0)-$CN37,"")</f>
        <v/>
      </c>
      <c r="CP37" s="47" t="str">
        <f>IFERROR(1/(1/SUM(SUMIFS(TX_TB_PREV!$S:$S,TX_TB_PREV!$C:$C,"="&amp;$B37,TX_TB_PREV!$D:$D,$C37),SUMIFS(TX_TB_PREV!$Z:$Z,TX_TB_PREV!$C:$C,"="&amp;$B37,TX_TB_PREV!$D:$D,$C37),SUMIFS(TX_TB_PREV!$AA:$AA,TX_TB_PREV!$C:$C,"="&amp;$B37,TX_TB_PREV!$D:$D,$C37))),"")</f>
        <v/>
      </c>
      <c r="CQ37" s="11" t="str" cm="1">
        <f t="array" ref="CQ37">IFERROR(MIN($CP37/SUM(SUMIFS($G:$G,$B:$B,IF($B37="&lt;15",{"&lt;01","01-09","10-14"},{"15-24","24-34","35-49","50+"}),$C:$C,$C37)),1),"")</f>
        <v/>
      </c>
      <c r="CR37" s="11">
        <v>1</v>
      </c>
      <c r="CS37" s="11">
        <v>1</v>
      </c>
      <c r="CT37" s="33" t="str">
        <f t="shared" si="40"/>
        <v/>
      </c>
      <c r="CU37" s="33" t="str">
        <f t="shared" si="41"/>
        <v/>
      </c>
      <c r="CV37" s="81">
        <v>0.9</v>
      </c>
      <c r="CW37" s="33" t="str">
        <f>IF(SUM($CT37)=0,"",IF($CV37="","ENTER COMPLETION RATE",ROUND($CT37*$CV37,0)))</f>
        <v/>
      </c>
      <c r="CX37" s="33" t="str">
        <f>IF(SUM($CU37)=0,"",IF($CV37="","ENTER COMPLETION RATE",ROUND($CU37*$CV37,0)))</f>
        <v/>
      </c>
      <c r="CY37" s="432"/>
      <c r="CZ37" s="430"/>
      <c r="DA37" s="430"/>
      <c r="DB37" s="430"/>
      <c r="DC37" s="440"/>
      <c r="DD37" s="440"/>
      <c r="DE37" s="440"/>
      <c r="DF37" s="440"/>
      <c r="DG37" s="437"/>
      <c r="DH37" s="437"/>
      <c r="DI37" s="437"/>
      <c r="DJ37" s="437"/>
      <c r="DK37" s="439"/>
      <c r="DL37" s="442"/>
      <c r="DM37" s="432"/>
      <c r="DN37" s="430"/>
      <c r="DO37" s="440"/>
      <c r="DP37" s="440"/>
      <c r="DQ37" s="437"/>
      <c r="DR37" s="437"/>
      <c r="DS37" s="432"/>
      <c r="DT37" s="440"/>
      <c r="DU37" s="437"/>
      <c r="DV37" s="432"/>
      <c r="DW37" s="440"/>
      <c r="DX37" s="443"/>
    </row>
    <row r="38" spans="1:128" x14ac:dyDescent="0.2">
      <c r="A38" t="s">
        <v>8</v>
      </c>
      <c r="B38" s="5" t="s">
        <v>26</v>
      </c>
      <c r="C38" t="s">
        <v>581</v>
      </c>
      <c r="E38" s="430"/>
      <c r="F38" s="430"/>
      <c r="G38" s="430"/>
      <c r="H38" s="430"/>
      <c r="I38" s="430"/>
      <c r="J38" s="430"/>
      <c r="K38" s="430"/>
      <c r="L38" s="430"/>
      <c r="M38" s="432"/>
      <c r="N38" s="430"/>
      <c r="O38" s="430"/>
      <c r="P38" s="430"/>
      <c r="Q38" s="430"/>
      <c r="R38" s="432"/>
      <c r="S38" s="430"/>
      <c r="T38" s="430"/>
      <c r="U38" s="432"/>
      <c r="V38" s="430"/>
      <c r="W38" s="430"/>
      <c r="X38" s="430"/>
      <c r="Y38" s="430"/>
      <c r="Z38" s="432"/>
      <c r="AA38" s="430"/>
      <c r="AB38" s="430"/>
      <c r="AC38" s="430"/>
      <c r="AD38" s="432"/>
      <c r="AE38" s="430"/>
      <c r="AF38" s="432"/>
      <c r="AG38" s="430"/>
      <c r="AH38" s="433"/>
      <c r="AI38" s="434"/>
      <c r="AJ38" s="431"/>
      <c r="AK38" s="431"/>
      <c r="AL38" s="431"/>
      <c r="AM38" s="431"/>
      <c r="AN38" s="431"/>
      <c r="AO38" s="431"/>
      <c r="AP38" s="431"/>
      <c r="AQ38" s="435"/>
      <c r="AR38" s="436"/>
      <c r="AS38" s="436"/>
      <c r="AT38" s="436"/>
      <c r="AU38" s="436"/>
      <c r="AV38" s="436"/>
      <c r="AW38" s="436"/>
      <c r="AX38" s="436"/>
      <c r="AY38" s="436"/>
      <c r="AZ38" s="431"/>
      <c r="BA38" s="432"/>
      <c r="BB38" s="437"/>
      <c r="BC38" s="437"/>
      <c r="BD38" s="430"/>
      <c r="BE38" s="432"/>
      <c r="BF38" s="430"/>
      <c r="BG38" s="430"/>
      <c r="BH38" s="438"/>
      <c r="BI38" s="430"/>
      <c r="BJ38" s="430"/>
      <c r="BK38" s="439"/>
      <c r="BL38" s="430"/>
      <c r="BM38" s="430"/>
      <c r="BN38" s="432"/>
      <c r="BO38" s="430"/>
      <c r="BP38" s="430"/>
      <c r="BQ38" s="430"/>
      <c r="BR38" s="430"/>
      <c r="BS38" s="430"/>
      <c r="BT38" s="432"/>
      <c r="BU38" s="440"/>
      <c r="BV38" s="431"/>
      <c r="BW38" s="432"/>
      <c r="BX38" s="430"/>
      <c r="BY38" s="430"/>
      <c r="BZ38" s="432"/>
      <c r="CA38" s="430"/>
      <c r="CB38" s="431"/>
      <c r="CC38" s="431"/>
      <c r="CD38" s="440"/>
      <c r="CE38" s="431"/>
      <c r="CF38" s="432"/>
      <c r="CG38" s="430"/>
      <c r="CH38" s="430"/>
      <c r="CI38" s="430"/>
      <c r="CJ38" s="430"/>
      <c r="CK38" s="430"/>
      <c r="CL38" s="430"/>
      <c r="CM38" s="430"/>
      <c r="CN38" s="430"/>
      <c r="CO38" s="430"/>
      <c r="CP38" s="432"/>
      <c r="CQ38" s="437"/>
      <c r="CR38" s="437"/>
      <c r="CS38" s="437"/>
      <c r="CT38" s="430"/>
      <c r="CU38" s="430"/>
      <c r="CV38" s="439"/>
      <c r="CW38" s="430"/>
      <c r="CX38" s="430"/>
      <c r="CY38" s="47" t="str">
        <f>IFERROR(1/(1/SUMIFS(OVC!$P:$P,OVC!$C:$C,"="&amp;$B38,OVC!$D:$D,$C38)),"")</f>
        <v/>
      </c>
      <c r="CZ38" s="36" t="str">
        <f>IFERROR(1/(1/SUMIFS(OVC!$Q:$Q,OVC!$C:$C,"="&amp;$B38,OVC!$D:$D,$C38)),"")</f>
        <v/>
      </c>
      <c r="DA38" s="36" t="str">
        <f>IFERROR(1/(1/SUMIFS(OVC!$R:$R,OVC!$C:$C,"="&amp;$B38,OVC!$D:$D,$C38)),"")</f>
        <v/>
      </c>
      <c r="DB38" s="36" t="str">
        <f>IFERROR(1/(1/SUMIFS(OVC!$S:$S,OVC!$C:$C,"="&amp;$B38,OVC!$D:$D,$C38)),"")</f>
        <v/>
      </c>
      <c r="DC38" s="33" t="str">
        <f>$CY38</f>
        <v/>
      </c>
      <c r="DD38" s="33" t="str">
        <f>$CZ38</f>
        <v/>
      </c>
      <c r="DE38" s="33" t="str">
        <f>$DA38</f>
        <v/>
      </c>
      <c r="DF38" s="33" t="str">
        <f>$DB38</f>
        <v/>
      </c>
      <c r="DG38" s="144" t="str">
        <f>IF(SUM($CY38)=0,"",(SUM($DC38)-$CY38)/$CY38)</f>
        <v/>
      </c>
      <c r="DH38" s="144" t="str">
        <f>IF(SUM($CZ38)=0,"",(SUM($DD38)-$CZ38)/$CZ38)</f>
        <v/>
      </c>
      <c r="DI38" s="144" t="str">
        <f>IF(SUM($DA38)=0,"",(SUM($DE38)-$DA38)/$DA38)</f>
        <v/>
      </c>
      <c r="DJ38" s="144" t="str">
        <f>IF(SUM($DB38)=0,"",(SUM($DF38)-$DB38)/$DB38)</f>
        <v/>
      </c>
      <c r="DK38" s="143" t="str">
        <f t="shared" ref="DK38:DK47" si="42">IF(OR($B38="18+",$B38="18-20",SUM($DE38,$DF38)=0),"",100%)</f>
        <v/>
      </c>
      <c r="DL38" s="411" t="str">
        <f t="shared" ref="DL38:DL47" si="43">IF(OR($C38="18+",$C38="18-20",SUM($DE38,$DF38)=0),"",ROUND(SUM($DE38,$DF38)*$DK38,0))</f>
        <v/>
      </c>
      <c r="DM38" s="432"/>
      <c r="DN38" s="430"/>
      <c r="DO38" s="440"/>
      <c r="DP38" s="440"/>
      <c r="DQ38" s="437"/>
      <c r="DR38" s="437"/>
      <c r="DS38" s="432"/>
      <c r="DT38" s="440"/>
      <c r="DU38" s="437"/>
      <c r="DV38" s="432"/>
      <c r="DW38" s="440"/>
      <c r="DX38" s="443"/>
    </row>
    <row r="39" spans="1:128" x14ac:dyDescent="0.2">
      <c r="A39" t="s">
        <v>8</v>
      </c>
      <c r="B39" s="5" t="s">
        <v>26</v>
      </c>
      <c r="C39" t="s">
        <v>606</v>
      </c>
      <c r="E39" s="430"/>
      <c r="F39" s="430"/>
      <c r="G39" s="430"/>
      <c r="H39" s="430"/>
      <c r="I39" s="430"/>
      <c r="J39" s="430"/>
      <c r="K39" s="430"/>
      <c r="L39" s="430"/>
      <c r="M39" s="432"/>
      <c r="N39" s="430"/>
      <c r="O39" s="430"/>
      <c r="P39" s="430"/>
      <c r="Q39" s="430"/>
      <c r="R39" s="432"/>
      <c r="S39" s="430"/>
      <c r="T39" s="430"/>
      <c r="U39" s="432"/>
      <c r="V39" s="430"/>
      <c r="W39" s="430"/>
      <c r="X39" s="430"/>
      <c r="Y39" s="430"/>
      <c r="Z39" s="432"/>
      <c r="AA39" s="430"/>
      <c r="AB39" s="430"/>
      <c r="AC39" s="430"/>
      <c r="AD39" s="432"/>
      <c r="AE39" s="430"/>
      <c r="AF39" s="432"/>
      <c r="AG39" s="430"/>
      <c r="AH39" s="433"/>
      <c r="AI39" s="434"/>
      <c r="AJ39" s="431"/>
      <c r="AK39" s="431"/>
      <c r="AL39" s="431"/>
      <c r="AM39" s="431"/>
      <c r="AN39" s="431"/>
      <c r="AO39" s="431"/>
      <c r="AP39" s="431"/>
      <c r="AQ39" s="435"/>
      <c r="AR39" s="436"/>
      <c r="AS39" s="436"/>
      <c r="AT39" s="436"/>
      <c r="AU39" s="436"/>
      <c r="AV39" s="436"/>
      <c r="AW39" s="436"/>
      <c r="AX39" s="436"/>
      <c r="AY39" s="436"/>
      <c r="AZ39" s="431"/>
      <c r="BA39" s="432"/>
      <c r="BB39" s="437"/>
      <c r="BC39" s="437"/>
      <c r="BD39" s="430"/>
      <c r="BE39" s="432"/>
      <c r="BF39" s="430"/>
      <c r="BG39" s="430"/>
      <c r="BH39" s="438"/>
      <c r="BI39" s="430"/>
      <c r="BJ39" s="430"/>
      <c r="BK39" s="439"/>
      <c r="BL39" s="430"/>
      <c r="BM39" s="430"/>
      <c r="BN39" s="432"/>
      <c r="BO39" s="430"/>
      <c r="BP39" s="430"/>
      <c r="BQ39" s="430"/>
      <c r="BR39" s="430"/>
      <c r="BS39" s="430"/>
      <c r="BT39" s="432"/>
      <c r="BU39" s="440"/>
      <c r="BV39" s="431"/>
      <c r="BW39" s="432"/>
      <c r="BX39" s="430"/>
      <c r="BY39" s="430"/>
      <c r="BZ39" s="432"/>
      <c r="CA39" s="430"/>
      <c r="CB39" s="431"/>
      <c r="CC39" s="431"/>
      <c r="CD39" s="440"/>
      <c r="CE39" s="431"/>
      <c r="CF39" s="432"/>
      <c r="CG39" s="430"/>
      <c r="CH39" s="430"/>
      <c r="CI39" s="430"/>
      <c r="CJ39" s="430"/>
      <c r="CK39" s="430"/>
      <c r="CL39" s="430"/>
      <c r="CM39" s="430"/>
      <c r="CN39" s="430"/>
      <c r="CO39" s="430"/>
      <c r="CP39" s="432"/>
      <c r="CQ39" s="437"/>
      <c r="CR39" s="437"/>
      <c r="CS39" s="437"/>
      <c r="CT39" s="430"/>
      <c r="CU39" s="430"/>
      <c r="CV39" s="439"/>
      <c r="CW39" s="430"/>
      <c r="CX39" s="430"/>
      <c r="CY39" s="47" t="str">
        <f>IFERROR(1/(1/SUMIFS(OVC!$P:$P,OVC!$C:$C,"="&amp;$B39,OVC!$D:$D,$C39)),"")</f>
        <v/>
      </c>
      <c r="CZ39" s="36" t="str">
        <f>IFERROR(1/(1/SUMIFS(OVC!$Q:$Q,OVC!$C:$C,"="&amp;$B39,OVC!$D:$D,$C39)),"")</f>
        <v/>
      </c>
      <c r="DA39" s="36" t="str">
        <f>IFERROR(1/(1/SUMIFS(OVC!$R:$R,OVC!$C:$C,"="&amp;$B39,OVC!$D:$D,$C39)),"")</f>
        <v/>
      </c>
      <c r="DB39" s="36" t="str">
        <f>IFERROR(1/(1/SUMIFS(OVC!$S:$S,OVC!$C:$C,"="&amp;$B39,OVC!$D:$D,$C39)),"")</f>
        <v/>
      </c>
      <c r="DC39" s="33" t="str">
        <f t="shared" ref="DC39:DC51" si="44">$CY39</f>
        <v/>
      </c>
      <c r="DD39" s="33" t="str">
        <f t="shared" ref="DD39:DD51" si="45">$CZ39</f>
        <v/>
      </c>
      <c r="DE39" s="33" t="str">
        <f t="shared" ref="DE39:DE51" si="46">$DA39</f>
        <v/>
      </c>
      <c r="DF39" s="33" t="str">
        <f t="shared" ref="DF39:DF51" si="47">$DB39</f>
        <v/>
      </c>
      <c r="DG39" s="144" t="str">
        <f t="shared" ref="DG39:DG51" si="48">IF(SUM($CY39)=0,"",(SUM($DC39)-$CY39)/$CY39)</f>
        <v/>
      </c>
      <c r="DH39" s="144"/>
      <c r="DI39" s="144"/>
      <c r="DJ39" s="144"/>
      <c r="DK39" s="143" t="str">
        <f t="shared" si="42"/>
        <v/>
      </c>
      <c r="DL39" s="411" t="str">
        <f t="shared" si="43"/>
        <v/>
      </c>
      <c r="DM39" s="432"/>
      <c r="DN39" s="430"/>
      <c r="DO39" s="440"/>
      <c r="DP39" s="440"/>
      <c r="DQ39" s="437"/>
      <c r="DR39" s="437"/>
      <c r="DS39" s="432"/>
      <c r="DT39" s="440"/>
      <c r="DU39" s="437"/>
      <c r="DV39" s="432"/>
      <c r="DW39" s="440"/>
      <c r="DX39" s="443"/>
    </row>
    <row r="40" spans="1:128" x14ac:dyDescent="0.2">
      <c r="A40" t="s">
        <v>8</v>
      </c>
      <c r="B40" s="5" t="s">
        <v>1069</v>
      </c>
      <c r="C40" t="s">
        <v>581</v>
      </c>
      <c r="E40" s="430"/>
      <c r="F40" s="430"/>
      <c r="G40" s="430"/>
      <c r="H40" s="430"/>
      <c r="I40" s="430"/>
      <c r="J40" s="430"/>
      <c r="K40" s="430"/>
      <c r="L40" s="430"/>
      <c r="M40" s="432"/>
      <c r="N40" s="430"/>
      <c r="O40" s="430"/>
      <c r="P40" s="430"/>
      <c r="Q40" s="430"/>
      <c r="R40" s="432"/>
      <c r="S40" s="430"/>
      <c r="T40" s="430"/>
      <c r="U40" s="432"/>
      <c r="V40" s="430"/>
      <c r="W40" s="430"/>
      <c r="X40" s="430"/>
      <c r="Y40" s="430"/>
      <c r="Z40" s="432"/>
      <c r="AA40" s="430"/>
      <c r="AB40" s="430"/>
      <c r="AC40" s="430"/>
      <c r="AD40" s="432"/>
      <c r="AE40" s="430"/>
      <c r="AF40" s="432"/>
      <c r="AG40" s="430"/>
      <c r="AH40" s="433"/>
      <c r="AI40" s="434"/>
      <c r="AJ40" s="431"/>
      <c r="AK40" s="431"/>
      <c r="AL40" s="431"/>
      <c r="AM40" s="431"/>
      <c r="AN40" s="431"/>
      <c r="AO40" s="431"/>
      <c r="AP40" s="431"/>
      <c r="AQ40" s="435"/>
      <c r="AR40" s="436"/>
      <c r="AS40" s="436"/>
      <c r="AT40" s="436"/>
      <c r="AU40" s="436"/>
      <c r="AV40" s="436"/>
      <c r="AW40" s="436"/>
      <c r="AX40" s="436"/>
      <c r="AY40" s="436"/>
      <c r="AZ40" s="431"/>
      <c r="BA40" s="432"/>
      <c r="BB40" s="437"/>
      <c r="BC40" s="437"/>
      <c r="BD40" s="430"/>
      <c r="BE40" s="432"/>
      <c r="BF40" s="430"/>
      <c r="BG40" s="430"/>
      <c r="BH40" s="438"/>
      <c r="BI40" s="430"/>
      <c r="BJ40" s="430"/>
      <c r="BK40" s="439"/>
      <c r="BL40" s="430"/>
      <c r="BM40" s="430"/>
      <c r="BN40" s="432"/>
      <c r="BO40" s="430"/>
      <c r="BP40" s="430"/>
      <c r="BQ40" s="430"/>
      <c r="BR40" s="430"/>
      <c r="BS40" s="430"/>
      <c r="BT40" s="432"/>
      <c r="BU40" s="440"/>
      <c r="BV40" s="431"/>
      <c r="BW40" s="432"/>
      <c r="BX40" s="430"/>
      <c r="BY40" s="430"/>
      <c r="BZ40" s="432"/>
      <c r="CA40" s="430"/>
      <c r="CB40" s="431"/>
      <c r="CC40" s="431"/>
      <c r="CD40" s="440"/>
      <c r="CE40" s="431"/>
      <c r="CF40" s="432"/>
      <c r="CG40" s="430"/>
      <c r="CH40" s="430"/>
      <c r="CI40" s="430"/>
      <c r="CJ40" s="430"/>
      <c r="CK40" s="430"/>
      <c r="CL40" s="430"/>
      <c r="CM40" s="430"/>
      <c r="CN40" s="430"/>
      <c r="CO40" s="430"/>
      <c r="CP40" s="432"/>
      <c r="CQ40" s="437"/>
      <c r="CR40" s="437"/>
      <c r="CS40" s="437"/>
      <c r="CT40" s="430"/>
      <c r="CU40" s="430"/>
      <c r="CV40" s="439"/>
      <c r="CW40" s="430"/>
      <c r="CX40" s="430"/>
      <c r="CY40" s="47" t="str">
        <f>IFERROR(1/(1/SUMIFS(OVC!$P:$P,OVC!$C:$C,"="&amp;$B40,OVC!$D:$D,$C40)),"")</f>
        <v/>
      </c>
      <c r="CZ40" s="36" t="str">
        <f>IFERROR(1/(1/SUMIFS(OVC!$Q:$Q,OVC!$C:$C,"="&amp;$B40,OVC!$D:$D,$C40)),"")</f>
        <v/>
      </c>
      <c r="DA40" s="36" t="str">
        <f>IFERROR(1/(1/SUMIFS(OVC!$R:$R,OVC!$C:$C,"="&amp;$B40,OVC!$D:$D,$C40)),"")</f>
        <v/>
      </c>
      <c r="DB40" s="36" t="str">
        <f>IFERROR(1/(1/SUMIFS(OVC!$S:$S,OVC!$C:$C,"="&amp;$B40,OVC!$D:$D,$C40)),"")</f>
        <v/>
      </c>
      <c r="DC40" s="33" t="str">
        <f t="shared" si="44"/>
        <v/>
      </c>
      <c r="DD40" s="33" t="str">
        <f t="shared" si="45"/>
        <v/>
      </c>
      <c r="DE40" s="33" t="str">
        <f t="shared" si="46"/>
        <v/>
      </c>
      <c r="DF40" s="33" t="str">
        <f t="shared" si="47"/>
        <v/>
      </c>
      <c r="DG40" s="144" t="str">
        <f t="shared" si="48"/>
        <v/>
      </c>
      <c r="DH40" s="144"/>
      <c r="DI40" s="144"/>
      <c r="DJ40" s="144"/>
      <c r="DK40" s="143" t="str">
        <f t="shared" si="42"/>
        <v/>
      </c>
      <c r="DL40" s="411" t="str">
        <f t="shared" si="43"/>
        <v/>
      </c>
      <c r="DM40" s="432"/>
      <c r="DN40" s="430"/>
      <c r="DO40" s="440"/>
      <c r="DP40" s="440"/>
      <c r="DQ40" s="437"/>
      <c r="DR40" s="437"/>
      <c r="DS40" s="432"/>
      <c r="DT40" s="440"/>
      <c r="DU40" s="437"/>
      <c r="DV40" s="432"/>
      <c r="DW40" s="440"/>
      <c r="DX40" s="443"/>
    </row>
    <row r="41" spans="1:128" x14ac:dyDescent="0.2">
      <c r="A41" t="s">
        <v>8</v>
      </c>
      <c r="B41" s="5" t="s">
        <v>1069</v>
      </c>
      <c r="C41" t="s">
        <v>606</v>
      </c>
      <c r="E41" s="430"/>
      <c r="F41" s="430"/>
      <c r="G41" s="430"/>
      <c r="H41" s="430"/>
      <c r="I41" s="430"/>
      <c r="J41" s="430"/>
      <c r="K41" s="430"/>
      <c r="L41" s="430"/>
      <c r="M41" s="432"/>
      <c r="N41" s="430"/>
      <c r="O41" s="430"/>
      <c r="P41" s="430"/>
      <c r="Q41" s="430"/>
      <c r="R41" s="432"/>
      <c r="S41" s="430"/>
      <c r="T41" s="430"/>
      <c r="U41" s="432"/>
      <c r="V41" s="430"/>
      <c r="W41" s="430"/>
      <c r="X41" s="430"/>
      <c r="Y41" s="430"/>
      <c r="Z41" s="432"/>
      <c r="AA41" s="430"/>
      <c r="AB41" s="430"/>
      <c r="AC41" s="430"/>
      <c r="AD41" s="432"/>
      <c r="AE41" s="430"/>
      <c r="AF41" s="432"/>
      <c r="AG41" s="430"/>
      <c r="AH41" s="433"/>
      <c r="AI41" s="434"/>
      <c r="AJ41" s="431"/>
      <c r="AK41" s="431"/>
      <c r="AL41" s="431"/>
      <c r="AM41" s="431"/>
      <c r="AN41" s="431"/>
      <c r="AO41" s="431"/>
      <c r="AP41" s="431"/>
      <c r="AQ41" s="435"/>
      <c r="AR41" s="436"/>
      <c r="AS41" s="436"/>
      <c r="AT41" s="436"/>
      <c r="AU41" s="436"/>
      <c r="AV41" s="436"/>
      <c r="AW41" s="436"/>
      <c r="AX41" s="436"/>
      <c r="AY41" s="436"/>
      <c r="AZ41" s="431"/>
      <c r="BA41" s="432"/>
      <c r="BB41" s="437"/>
      <c r="BC41" s="437"/>
      <c r="BD41" s="430"/>
      <c r="BE41" s="432"/>
      <c r="BF41" s="430"/>
      <c r="BG41" s="430"/>
      <c r="BH41" s="438"/>
      <c r="BI41" s="430"/>
      <c r="BJ41" s="430"/>
      <c r="BK41" s="439"/>
      <c r="BL41" s="430"/>
      <c r="BM41" s="430"/>
      <c r="BN41" s="432"/>
      <c r="BO41" s="430"/>
      <c r="BP41" s="430"/>
      <c r="BQ41" s="430"/>
      <c r="BR41" s="430"/>
      <c r="BS41" s="430"/>
      <c r="BT41" s="432"/>
      <c r="BU41" s="440"/>
      <c r="BV41" s="431"/>
      <c r="BW41" s="432"/>
      <c r="BX41" s="430"/>
      <c r="BY41" s="430"/>
      <c r="BZ41" s="432"/>
      <c r="CA41" s="430"/>
      <c r="CB41" s="431"/>
      <c r="CC41" s="431"/>
      <c r="CD41" s="440"/>
      <c r="CE41" s="431"/>
      <c r="CF41" s="432"/>
      <c r="CG41" s="430"/>
      <c r="CH41" s="430"/>
      <c r="CI41" s="430"/>
      <c r="CJ41" s="430"/>
      <c r="CK41" s="430"/>
      <c r="CL41" s="430"/>
      <c r="CM41" s="430"/>
      <c r="CN41" s="430"/>
      <c r="CO41" s="430"/>
      <c r="CP41" s="432"/>
      <c r="CQ41" s="437"/>
      <c r="CR41" s="437"/>
      <c r="CS41" s="437"/>
      <c r="CT41" s="430"/>
      <c r="CU41" s="430"/>
      <c r="CV41" s="439"/>
      <c r="CW41" s="430"/>
      <c r="CX41" s="430"/>
      <c r="CY41" s="47" t="str">
        <f>IFERROR(1/(1/SUMIFS(OVC!$P:$P,OVC!$C:$C,"="&amp;$B41,OVC!$D:$D,$C41)),"")</f>
        <v/>
      </c>
      <c r="CZ41" s="36" t="str">
        <f>IFERROR(1/(1/SUMIFS(OVC!$Q:$Q,OVC!$C:$C,"="&amp;$B41,OVC!$D:$D,$C41)),"")</f>
        <v/>
      </c>
      <c r="DA41" s="36" t="str">
        <f>IFERROR(1/(1/SUMIFS(OVC!$R:$R,OVC!$C:$C,"="&amp;$B41,OVC!$D:$D,$C41)),"")</f>
        <v/>
      </c>
      <c r="DB41" s="36" t="str">
        <f>IFERROR(1/(1/SUMIFS(OVC!$S:$S,OVC!$C:$C,"="&amp;$B41,OVC!$D:$D,$C41)),"")</f>
        <v/>
      </c>
      <c r="DC41" s="33" t="str">
        <f t="shared" si="44"/>
        <v/>
      </c>
      <c r="DD41" s="33" t="str">
        <f t="shared" si="45"/>
        <v/>
      </c>
      <c r="DE41" s="33" t="str">
        <f t="shared" si="46"/>
        <v/>
      </c>
      <c r="DF41" s="33" t="str">
        <f t="shared" si="47"/>
        <v/>
      </c>
      <c r="DG41" s="144" t="str">
        <f t="shared" si="48"/>
        <v/>
      </c>
      <c r="DH41" s="144"/>
      <c r="DI41" s="144"/>
      <c r="DJ41" s="144"/>
      <c r="DK41" s="143" t="str">
        <f t="shared" si="42"/>
        <v/>
      </c>
      <c r="DL41" s="411" t="str">
        <f t="shared" si="43"/>
        <v/>
      </c>
      <c r="DM41" s="432"/>
      <c r="DN41" s="430"/>
      <c r="DO41" s="440"/>
      <c r="DP41" s="440"/>
      <c r="DQ41" s="437"/>
      <c r="DR41" s="437"/>
      <c r="DS41" s="432"/>
      <c r="DT41" s="440"/>
      <c r="DU41" s="437"/>
      <c r="DV41" s="432"/>
      <c r="DW41" s="440"/>
      <c r="DX41" s="443"/>
    </row>
    <row r="42" spans="1:128" x14ac:dyDescent="0.2">
      <c r="A42" t="s">
        <v>8</v>
      </c>
      <c r="B42" s="5" t="s">
        <v>1070</v>
      </c>
      <c r="C42" t="s">
        <v>581</v>
      </c>
      <c r="E42" s="430"/>
      <c r="F42" s="430"/>
      <c r="G42" s="430"/>
      <c r="H42" s="430"/>
      <c r="I42" s="430"/>
      <c r="J42" s="430"/>
      <c r="K42" s="430"/>
      <c r="L42" s="430"/>
      <c r="M42" s="432"/>
      <c r="N42" s="430"/>
      <c r="O42" s="430"/>
      <c r="P42" s="430"/>
      <c r="Q42" s="430"/>
      <c r="R42" s="432"/>
      <c r="S42" s="430"/>
      <c r="T42" s="430"/>
      <c r="U42" s="432"/>
      <c r="V42" s="430"/>
      <c r="W42" s="430"/>
      <c r="X42" s="430"/>
      <c r="Y42" s="430"/>
      <c r="Z42" s="432"/>
      <c r="AA42" s="430"/>
      <c r="AB42" s="430"/>
      <c r="AC42" s="430"/>
      <c r="AD42" s="432"/>
      <c r="AE42" s="430"/>
      <c r="AF42" s="432"/>
      <c r="AG42" s="430"/>
      <c r="AH42" s="433"/>
      <c r="AI42" s="434"/>
      <c r="AJ42" s="431"/>
      <c r="AK42" s="431"/>
      <c r="AL42" s="431"/>
      <c r="AM42" s="431"/>
      <c r="AN42" s="431"/>
      <c r="AO42" s="431"/>
      <c r="AP42" s="431"/>
      <c r="AQ42" s="435"/>
      <c r="AR42" s="436"/>
      <c r="AS42" s="436"/>
      <c r="AT42" s="436"/>
      <c r="AU42" s="436"/>
      <c r="AV42" s="436"/>
      <c r="AW42" s="436"/>
      <c r="AX42" s="436"/>
      <c r="AY42" s="436"/>
      <c r="AZ42" s="431"/>
      <c r="BA42" s="432"/>
      <c r="BB42" s="437"/>
      <c r="BC42" s="437"/>
      <c r="BD42" s="430"/>
      <c r="BE42" s="432"/>
      <c r="BF42" s="430"/>
      <c r="BG42" s="430"/>
      <c r="BH42" s="438"/>
      <c r="BI42" s="430"/>
      <c r="BJ42" s="430"/>
      <c r="BK42" s="439"/>
      <c r="BL42" s="430"/>
      <c r="BM42" s="430"/>
      <c r="BN42" s="432"/>
      <c r="BO42" s="430"/>
      <c r="BP42" s="430"/>
      <c r="BQ42" s="430"/>
      <c r="BR42" s="430"/>
      <c r="BS42" s="430"/>
      <c r="BT42" s="432"/>
      <c r="BU42" s="440"/>
      <c r="BV42" s="431"/>
      <c r="BW42" s="432"/>
      <c r="BX42" s="430"/>
      <c r="BY42" s="430"/>
      <c r="BZ42" s="432"/>
      <c r="CA42" s="430"/>
      <c r="CB42" s="431"/>
      <c r="CC42" s="431"/>
      <c r="CD42" s="440"/>
      <c r="CE42" s="431"/>
      <c r="CF42" s="432"/>
      <c r="CG42" s="430"/>
      <c r="CH42" s="430"/>
      <c r="CI42" s="430"/>
      <c r="CJ42" s="430"/>
      <c r="CK42" s="430"/>
      <c r="CL42" s="430"/>
      <c r="CM42" s="430"/>
      <c r="CN42" s="430"/>
      <c r="CO42" s="430"/>
      <c r="CP42" s="432"/>
      <c r="CQ42" s="437"/>
      <c r="CR42" s="437"/>
      <c r="CS42" s="437"/>
      <c r="CT42" s="430"/>
      <c r="CU42" s="430"/>
      <c r="CV42" s="439"/>
      <c r="CW42" s="430"/>
      <c r="CX42" s="430"/>
      <c r="CY42" s="47" t="str">
        <f>IFERROR(1/(1/SUMIFS(OVC!$P:$P,OVC!$C:$C,"="&amp;$B42,OVC!$D:$D,$C42)),"")</f>
        <v/>
      </c>
      <c r="CZ42" s="36" t="str">
        <f>IFERROR(1/(1/SUMIFS(OVC!$Q:$Q,OVC!$C:$C,"="&amp;$B42,OVC!$D:$D,$C42)),"")</f>
        <v/>
      </c>
      <c r="DA42" s="36" t="str">
        <f>IFERROR(1/(1/SUMIFS(OVC!$R:$R,OVC!$C:$C,"="&amp;$B42,OVC!$D:$D,$C42)),"")</f>
        <v/>
      </c>
      <c r="DB42" s="36" t="str">
        <f>IFERROR(1/(1/SUMIFS(OVC!$S:$S,OVC!$C:$C,"="&amp;$B42,OVC!$D:$D,$C42)),"")</f>
        <v/>
      </c>
      <c r="DC42" s="33" t="str">
        <f t="shared" si="44"/>
        <v/>
      </c>
      <c r="DD42" s="33" t="str">
        <f t="shared" si="45"/>
        <v/>
      </c>
      <c r="DE42" s="33" t="str">
        <f t="shared" si="46"/>
        <v/>
      </c>
      <c r="DF42" s="33" t="str">
        <f t="shared" si="47"/>
        <v/>
      </c>
      <c r="DG42" s="144" t="str">
        <f t="shared" si="48"/>
        <v/>
      </c>
      <c r="DH42" s="144"/>
      <c r="DI42" s="144"/>
      <c r="DJ42" s="144"/>
      <c r="DK42" s="143" t="str">
        <f t="shared" si="42"/>
        <v/>
      </c>
      <c r="DL42" s="411" t="str">
        <f t="shared" si="43"/>
        <v/>
      </c>
      <c r="DM42" s="432"/>
      <c r="DN42" s="430"/>
      <c r="DO42" s="440"/>
      <c r="DP42" s="440"/>
      <c r="DQ42" s="437"/>
      <c r="DR42" s="437"/>
      <c r="DS42" s="432"/>
      <c r="DT42" s="440"/>
      <c r="DU42" s="437"/>
      <c r="DV42" s="432"/>
      <c r="DW42" s="440"/>
      <c r="DX42" s="443"/>
    </row>
    <row r="43" spans="1:128" x14ac:dyDescent="0.2">
      <c r="A43" t="s">
        <v>8</v>
      </c>
      <c r="B43" s="5" t="s">
        <v>1070</v>
      </c>
      <c r="C43" t="s">
        <v>606</v>
      </c>
      <c r="E43" s="430"/>
      <c r="F43" s="430"/>
      <c r="G43" s="430"/>
      <c r="H43" s="430"/>
      <c r="I43" s="430"/>
      <c r="J43" s="430"/>
      <c r="K43" s="430"/>
      <c r="L43" s="430"/>
      <c r="M43" s="432"/>
      <c r="N43" s="430"/>
      <c r="O43" s="430"/>
      <c r="P43" s="430"/>
      <c r="Q43" s="430"/>
      <c r="R43" s="432"/>
      <c r="S43" s="430"/>
      <c r="T43" s="430"/>
      <c r="U43" s="432"/>
      <c r="V43" s="430"/>
      <c r="W43" s="430"/>
      <c r="X43" s="430"/>
      <c r="Y43" s="430"/>
      <c r="Z43" s="432"/>
      <c r="AA43" s="430"/>
      <c r="AB43" s="430"/>
      <c r="AC43" s="430"/>
      <c r="AD43" s="432"/>
      <c r="AE43" s="430"/>
      <c r="AF43" s="432"/>
      <c r="AG43" s="430"/>
      <c r="AH43" s="433"/>
      <c r="AI43" s="434"/>
      <c r="AJ43" s="431"/>
      <c r="AK43" s="431"/>
      <c r="AL43" s="431"/>
      <c r="AM43" s="431"/>
      <c r="AN43" s="431"/>
      <c r="AO43" s="431"/>
      <c r="AP43" s="431"/>
      <c r="AQ43" s="435"/>
      <c r="AR43" s="436"/>
      <c r="AS43" s="436"/>
      <c r="AT43" s="436"/>
      <c r="AU43" s="436"/>
      <c r="AV43" s="436"/>
      <c r="AW43" s="436"/>
      <c r="AX43" s="436"/>
      <c r="AY43" s="436"/>
      <c r="AZ43" s="431"/>
      <c r="BA43" s="432"/>
      <c r="BB43" s="437"/>
      <c r="BC43" s="437"/>
      <c r="BD43" s="430"/>
      <c r="BE43" s="432"/>
      <c r="BF43" s="430"/>
      <c r="BG43" s="430"/>
      <c r="BH43" s="438"/>
      <c r="BI43" s="430"/>
      <c r="BJ43" s="430"/>
      <c r="BK43" s="439"/>
      <c r="BL43" s="430"/>
      <c r="BM43" s="430"/>
      <c r="BN43" s="432"/>
      <c r="BO43" s="430"/>
      <c r="BP43" s="430"/>
      <c r="BQ43" s="430"/>
      <c r="BR43" s="430"/>
      <c r="BS43" s="430"/>
      <c r="BT43" s="432"/>
      <c r="BU43" s="440"/>
      <c r="BV43" s="431"/>
      <c r="BW43" s="432"/>
      <c r="BX43" s="430"/>
      <c r="BY43" s="430"/>
      <c r="BZ43" s="432"/>
      <c r="CA43" s="430"/>
      <c r="CB43" s="431"/>
      <c r="CC43" s="431"/>
      <c r="CD43" s="440"/>
      <c r="CE43" s="431"/>
      <c r="CF43" s="432"/>
      <c r="CG43" s="430"/>
      <c r="CH43" s="430"/>
      <c r="CI43" s="430"/>
      <c r="CJ43" s="430"/>
      <c r="CK43" s="430"/>
      <c r="CL43" s="430"/>
      <c r="CM43" s="430"/>
      <c r="CN43" s="430"/>
      <c r="CO43" s="430"/>
      <c r="CP43" s="432"/>
      <c r="CQ43" s="437"/>
      <c r="CR43" s="437"/>
      <c r="CS43" s="437"/>
      <c r="CT43" s="430"/>
      <c r="CU43" s="430"/>
      <c r="CV43" s="439"/>
      <c r="CW43" s="430"/>
      <c r="CX43" s="430"/>
      <c r="CY43" s="47" t="str">
        <f>IFERROR(1/(1/SUMIFS(OVC!$P:$P,OVC!$C:$C,"="&amp;$B43,OVC!$D:$D,$C43)),"")</f>
        <v/>
      </c>
      <c r="CZ43" s="36" t="str">
        <f>IFERROR(1/(1/SUMIFS(OVC!$Q:$Q,OVC!$C:$C,"="&amp;$B43,OVC!$D:$D,$C43)),"")</f>
        <v/>
      </c>
      <c r="DA43" s="36" t="str">
        <f>IFERROR(1/(1/SUMIFS(OVC!$R:$R,OVC!$C:$C,"="&amp;$B43,OVC!$D:$D,$C43)),"")</f>
        <v/>
      </c>
      <c r="DB43" s="36" t="str">
        <f>IFERROR(1/(1/SUMIFS(OVC!$S:$S,OVC!$C:$C,"="&amp;$B43,OVC!$D:$D,$C43)),"")</f>
        <v/>
      </c>
      <c r="DC43" s="33" t="str">
        <f t="shared" si="44"/>
        <v/>
      </c>
      <c r="DD43" s="33" t="str">
        <f t="shared" si="45"/>
        <v/>
      </c>
      <c r="DE43" s="33" t="str">
        <f t="shared" si="46"/>
        <v/>
      </c>
      <c r="DF43" s="33" t="str">
        <f t="shared" si="47"/>
        <v/>
      </c>
      <c r="DG43" s="144" t="str">
        <f t="shared" si="48"/>
        <v/>
      </c>
      <c r="DH43" s="144"/>
      <c r="DI43" s="144"/>
      <c r="DJ43" s="144"/>
      <c r="DK43" s="143" t="str">
        <f t="shared" si="42"/>
        <v/>
      </c>
      <c r="DL43" s="411" t="str">
        <f t="shared" si="43"/>
        <v/>
      </c>
      <c r="DM43" s="432"/>
      <c r="DN43" s="430"/>
      <c r="DO43" s="440"/>
      <c r="DP43" s="440"/>
      <c r="DQ43" s="437"/>
      <c r="DR43" s="437"/>
      <c r="DS43" s="432"/>
      <c r="DT43" s="440"/>
      <c r="DU43" s="437"/>
      <c r="DV43" s="432"/>
      <c r="DW43" s="440"/>
      <c r="DX43" s="443"/>
    </row>
    <row r="44" spans="1:128" x14ac:dyDescent="0.2">
      <c r="A44" t="s">
        <v>8</v>
      </c>
      <c r="B44" s="5" t="s">
        <v>602</v>
      </c>
      <c r="C44" t="s">
        <v>581</v>
      </c>
      <c r="E44" s="430"/>
      <c r="F44" s="430"/>
      <c r="G44" s="430"/>
      <c r="H44" s="430"/>
      <c r="I44" s="430"/>
      <c r="J44" s="430"/>
      <c r="K44" s="430"/>
      <c r="L44" s="430"/>
      <c r="M44" s="432"/>
      <c r="N44" s="430"/>
      <c r="O44" s="430"/>
      <c r="P44" s="430"/>
      <c r="Q44" s="430"/>
      <c r="R44" s="432"/>
      <c r="S44" s="430"/>
      <c r="T44" s="430"/>
      <c r="U44" s="432"/>
      <c r="V44" s="430"/>
      <c r="W44" s="430"/>
      <c r="X44" s="430"/>
      <c r="Y44" s="430"/>
      <c r="Z44" s="432"/>
      <c r="AA44" s="430"/>
      <c r="AB44" s="430"/>
      <c r="AC44" s="430"/>
      <c r="AD44" s="432"/>
      <c r="AE44" s="430"/>
      <c r="AF44" s="432"/>
      <c r="AG44" s="430"/>
      <c r="AH44" s="433"/>
      <c r="AI44" s="434"/>
      <c r="AJ44" s="431"/>
      <c r="AK44" s="431"/>
      <c r="AL44" s="431"/>
      <c r="AM44" s="431"/>
      <c r="AN44" s="431"/>
      <c r="AO44" s="431"/>
      <c r="AP44" s="431"/>
      <c r="AQ44" s="435"/>
      <c r="AR44" s="436"/>
      <c r="AS44" s="436"/>
      <c r="AT44" s="436"/>
      <c r="AU44" s="436"/>
      <c r="AV44" s="436"/>
      <c r="AW44" s="436"/>
      <c r="AX44" s="436"/>
      <c r="AY44" s="436"/>
      <c r="AZ44" s="431"/>
      <c r="BA44" s="432"/>
      <c r="BB44" s="437"/>
      <c r="BC44" s="437"/>
      <c r="BD44" s="430"/>
      <c r="BE44" s="432"/>
      <c r="BF44" s="430"/>
      <c r="BG44" s="430"/>
      <c r="BH44" s="438"/>
      <c r="BI44" s="430"/>
      <c r="BJ44" s="430"/>
      <c r="BK44" s="439"/>
      <c r="BL44" s="430"/>
      <c r="BM44" s="430"/>
      <c r="BN44" s="432"/>
      <c r="BO44" s="430"/>
      <c r="BP44" s="430"/>
      <c r="BQ44" s="430"/>
      <c r="BR44" s="430"/>
      <c r="BS44" s="430"/>
      <c r="BT44" s="432"/>
      <c r="BU44" s="440"/>
      <c r="BV44" s="431"/>
      <c r="BW44" s="432"/>
      <c r="BX44" s="430"/>
      <c r="BY44" s="430"/>
      <c r="BZ44" s="432"/>
      <c r="CA44" s="430"/>
      <c r="CB44" s="431"/>
      <c r="CC44" s="431"/>
      <c r="CD44" s="440"/>
      <c r="CE44" s="431"/>
      <c r="CF44" s="432"/>
      <c r="CG44" s="430"/>
      <c r="CH44" s="430"/>
      <c r="CI44" s="430"/>
      <c r="CJ44" s="430"/>
      <c r="CK44" s="430"/>
      <c r="CL44" s="430"/>
      <c r="CM44" s="430"/>
      <c r="CN44" s="430"/>
      <c r="CO44" s="430"/>
      <c r="CP44" s="432"/>
      <c r="CQ44" s="437"/>
      <c r="CR44" s="437"/>
      <c r="CS44" s="437"/>
      <c r="CT44" s="430"/>
      <c r="CU44" s="430"/>
      <c r="CV44" s="439"/>
      <c r="CW44" s="430"/>
      <c r="CX44" s="430"/>
      <c r="CY44" s="47" t="str">
        <f>IFERROR(1/(1/SUMIFS(OVC!$P:$P,OVC!$C:$C,"="&amp;$B44,OVC!$D:$D,$C44)),"")</f>
        <v/>
      </c>
      <c r="CZ44" s="36" t="str">
        <f>IFERROR(1/(1/SUMIFS(OVC!$Q:$Q,OVC!$C:$C,"="&amp;$B44,OVC!$D:$D,$C44)),"")</f>
        <v/>
      </c>
      <c r="DA44" s="36" t="str">
        <f>IFERROR(1/(1/SUMIFS(OVC!$R:$R,OVC!$C:$C,"="&amp;$B44,OVC!$D:$D,$C44)),"")</f>
        <v/>
      </c>
      <c r="DB44" s="36" t="str">
        <f>IFERROR(1/(1/SUMIFS(OVC!$S:$S,OVC!$C:$C,"="&amp;$B44,OVC!$D:$D,$C44)),"")</f>
        <v/>
      </c>
      <c r="DC44" s="33" t="str">
        <f t="shared" si="44"/>
        <v/>
      </c>
      <c r="DD44" s="33" t="str">
        <f t="shared" si="45"/>
        <v/>
      </c>
      <c r="DE44" s="33" t="str">
        <f t="shared" si="46"/>
        <v/>
      </c>
      <c r="DF44" s="33" t="str">
        <f t="shared" si="47"/>
        <v/>
      </c>
      <c r="DG44" s="144" t="str">
        <f t="shared" si="48"/>
        <v/>
      </c>
      <c r="DH44" s="144"/>
      <c r="DI44" s="144"/>
      <c r="DJ44" s="144"/>
      <c r="DK44" s="143" t="str">
        <f t="shared" si="42"/>
        <v/>
      </c>
      <c r="DL44" s="411" t="str">
        <f t="shared" si="43"/>
        <v/>
      </c>
      <c r="DM44" s="432"/>
      <c r="DN44" s="430"/>
      <c r="DO44" s="440"/>
      <c r="DP44" s="440"/>
      <c r="DQ44" s="437"/>
      <c r="DR44" s="437"/>
      <c r="DS44" s="432"/>
      <c r="DT44" s="440"/>
      <c r="DU44" s="437"/>
      <c r="DV44" s="432"/>
      <c r="DW44" s="440"/>
      <c r="DX44" s="443"/>
    </row>
    <row r="45" spans="1:128" x14ac:dyDescent="0.2">
      <c r="A45" t="s">
        <v>8</v>
      </c>
      <c r="B45" s="5" t="s">
        <v>602</v>
      </c>
      <c r="C45" t="s">
        <v>606</v>
      </c>
      <c r="E45" s="430"/>
      <c r="F45" s="430"/>
      <c r="G45" s="430"/>
      <c r="H45" s="430"/>
      <c r="I45" s="430"/>
      <c r="J45" s="430"/>
      <c r="K45" s="430"/>
      <c r="L45" s="430"/>
      <c r="M45" s="432"/>
      <c r="N45" s="430"/>
      <c r="O45" s="430"/>
      <c r="P45" s="430"/>
      <c r="Q45" s="430"/>
      <c r="R45" s="432"/>
      <c r="S45" s="430"/>
      <c r="T45" s="430"/>
      <c r="U45" s="432"/>
      <c r="V45" s="430"/>
      <c r="W45" s="430"/>
      <c r="X45" s="430"/>
      <c r="Y45" s="430"/>
      <c r="Z45" s="432"/>
      <c r="AA45" s="430"/>
      <c r="AB45" s="430"/>
      <c r="AC45" s="430"/>
      <c r="AD45" s="432"/>
      <c r="AE45" s="430"/>
      <c r="AF45" s="432"/>
      <c r="AG45" s="430"/>
      <c r="AH45" s="433"/>
      <c r="AI45" s="434"/>
      <c r="AJ45" s="431"/>
      <c r="AK45" s="431"/>
      <c r="AL45" s="431"/>
      <c r="AM45" s="431"/>
      <c r="AN45" s="431"/>
      <c r="AO45" s="431"/>
      <c r="AP45" s="431"/>
      <c r="AQ45" s="435"/>
      <c r="AR45" s="436"/>
      <c r="AS45" s="436"/>
      <c r="AT45" s="436"/>
      <c r="AU45" s="436"/>
      <c r="AV45" s="436"/>
      <c r="AW45" s="436"/>
      <c r="AX45" s="436"/>
      <c r="AY45" s="436"/>
      <c r="AZ45" s="431"/>
      <c r="BA45" s="432"/>
      <c r="BB45" s="437"/>
      <c r="BC45" s="437"/>
      <c r="BD45" s="430"/>
      <c r="BE45" s="432"/>
      <c r="BF45" s="430"/>
      <c r="BG45" s="430"/>
      <c r="BH45" s="438"/>
      <c r="BI45" s="430"/>
      <c r="BJ45" s="430"/>
      <c r="BK45" s="439"/>
      <c r="BL45" s="430"/>
      <c r="BM45" s="430"/>
      <c r="BN45" s="432"/>
      <c r="BO45" s="430"/>
      <c r="BP45" s="430"/>
      <c r="BQ45" s="430"/>
      <c r="BR45" s="430"/>
      <c r="BS45" s="430"/>
      <c r="BT45" s="432"/>
      <c r="BU45" s="440"/>
      <c r="BV45" s="431"/>
      <c r="BW45" s="432"/>
      <c r="BX45" s="430"/>
      <c r="BY45" s="430"/>
      <c r="BZ45" s="432"/>
      <c r="CA45" s="430"/>
      <c r="CB45" s="431"/>
      <c r="CC45" s="431"/>
      <c r="CD45" s="440"/>
      <c r="CE45" s="431"/>
      <c r="CF45" s="432"/>
      <c r="CG45" s="430"/>
      <c r="CH45" s="430"/>
      <c r="CI45" s="430"/>
      <c r="CJ45" s="430"/>
      <c r="CK45" s="430"/>
      <c r="CL45" s="430"/>
      <c r="CM45" s="430"/>
      <c r="CN45" s="430"/>
      <c r="CO45" s="430"/>
      <c r="CP45" s="432"/>
      <c r="CQ45" s="437"/>
      <c r="CR45" s="437"/>
      <c r="CS45" s="437"/>
      <c r="CT45" s="430"/>
      <c r="CU45" s="430"/>
      <c r="CV45" s="439"/>
      <c r="CW45" s="430"/>
      <c r="CX45" s="430"/>
      <c r="CY45" s="47" t="str">
        <f>IFERROR(1/(1/SUMIFS(OVC!$P:$P,OVC!$C:$C,"="&amp;$B45,OVC!$D:$D,$C45)),"")</f>
        <v/>
      </c>
      <c r="CZ45" s="36" t="str">
        <f>IFERROR(1/(1/SUMIFS(OVC!$Q:$Q,OVC!$C:$C,"="&amp;$B45,OVC!$D:$D,$C45)),"")</f>
        <v/>
      </c>
      <c r="DA45" s="36" t="str">
        <f>IFERROR(1/(1/SUMIFS(OVC!$R:$R,OVC!$C:$C,"="&amp;$B45,OVC!$D:$D,$C45)),"")</f>
        <v/>
      </c>
      <c r="DB45" s="36" t="str">
        <f>IFERROR(1/(1/SUMIFS(OVC!$S:$S,OVC!$C:$C,"="&amp;$B45,OVC!$D:$D,$C45)),"")</f>
        <v/>
      </c>
      <c r="DC45" s="33" t="str">
        <f t="shared" si="44"/>
        <v/>
      </c>
      <c r="DD45" s="33" t="str">
        <f t="shared" si="45"/>
        <v/>
      </c>
      <c r="DE45" s="33" t="str">
        <f t="shared" si="46"/>
        <v/>
      </c>
      <c r="DF45" s="33" t="str">
        <f t="shared" si="47"/>
        <v/>
      </c>
      <c r="DG45" s="144" t="str">
        <f t="shared" si="48"/>
        <v/>
      </c>
      <c r="DH45" s="144"/>
      <c r="DI45" s="144"/>
      <c r="DJ45" s="144"/>
      <c r="DK45" s="143" t="str">
        <f t="shared" si="42"/>
        <v/>
      </c>
      <c r="DL45" s="411" t="str">
        <f t="shared" si="43"/>
        <v/>
      </c>
      <c r="DM45" s="432"/>
      <c r="DN45" s="430"/>
      <c r="DO45" s="440"/>
      <c r="DP45" s="440"/>
      <c r="DQ45" s="437"/>
      <c r="DR45" s="437"/>
      <c r="DS45" s="432"/>
      <c r="DT45" s="440"/>
      <c r="DU45" s="437"/>
      <c r="DV45" s="432"/>
      <c r="DW45" s="440"/>
      <c r="DX45" s="443"/>
    </row>
    <row r="46" spans="1:128" x14ac:dyDescent="0.2">
      <c r="A46" t="s">
        <v>8</v>
      </c>
      <c r="B46" s="5" t="s">
        <v>1071</v>
      </c>
      <c r="C46" t="s">
        <v>581</v>
      </c>
      <c r="E46" s="430"/>
      <c r="F46" s="430"/>
      <c r="G46" s="430"/>
      <c r="H46" s="430"/>
      <c r="I46" s="430"/>
      <c r="J46" s="430"/>
      <c r="K46" s="430"/>
      <c r="L46" s="430"/>
      <c r="M46" s="432"/>
      <c r="N46" s="430"/>
      <c r="O46" s="430"/>
      <c r="P46" s="430"/>
      <c r="Q46" s="430"/>
      <c r="R46" s="432"/>
      <c r="S46" s="430"/>
      <c r="T46" s="430"/>
      <c r="U46" s="432"/>
      <c r="V46" s="430"/>
      <c r="W46" s="430"/>
      <c r="X46" s="430"/>
      <c r="Y46" s="430"/>
      <c r="Z46" s="432"/>
      <c r="AA46" s="430"/>
      <c r="AB46" s="430"/>
      <c r="AC46" s="430"/>
      <c r="AD46" s="432"/>
      <c r="AE46" s="430"/>
      <c r="AF46" s="432"/>
      <c r="AG46" s="430"/>
      <c r="AH46" s="433"/>
      <c r="AI46" s="434"/>
      <c r="AJ46" s="431"/>
      <c r="AK46" s="431"/>
      <c r="AL46" s="431"/>
      <c r="AM46" s="431"/>
      <c r="AN46" s="431"/>
      <c r="AO46" s="431"/>
      <c r="AP46" s="431"/>
      <c r="AQ46" s="435"/>
      <c r="AR46" s="436"/>
      <c r="AS46" s="436"/>
      <c r="AT46" s="436"/>
      <c r="AU46" s="436"/>
      <c r="AV46" s="436"/>
      <c r="AW46" s="436"/>
      <c r="AX46" s="436"/>
      <c r="AY46" s="436"/>
      <c r="AZ46" s="431"/>
      <c r="BA46" s="432"/>
      <c r="BB46" s="437"/>
      <c r="BC46" s="437"/>
      <c r="BD46" s="430"/>
      <c r="BE46" s="432"/>
      <c r="BF46" s="430"/>
      <c r="BG46" s="430"/>
      <c r="BH46" s="438"/>
      <c r="BI46" s="430"/>
      <c r="BJ46" s="430"/>
      <c r="BK46" s="439"/>
      <c r="BL46" s="430"/>
      <c r="BM46" s="430"/>
      <c r="BN46" s="432"/>
      <c r="BO46" s="430"/>
      <c r="BP46" s="430"/>
      <c r="BQ46" s="430"/>
      <c r="BR46" s="430"/>
      <c r="BS46" s="430"/>
      <c r="BT46" s="432"/>
      <c r="BU46" s="440"/>
      <c r="BV46" s="431"/>
      <c r="BW46" s="432"/>
      <c r="BX46" s="430"/>
      <c r="BY46" s="430"/>
      <c r="BZ46" s="432"/>
      <c r="CA46" s="430"/>
      <c r="CB46" s="431"/>
      <c r="CC46" s="431"/>
      <c r="CD46" s="440"/>
      <c r="CE46" s="431"/>
      <c r="CF46" s="432"/>
      <c r="CG46" s="430"/>
      <c r="CH46" s="430"/>
      <c r="CI46" s="430"/>
      <c r="CJ46" s="430"/>
      <c r="CK46" s="430"/>
      <c r="CL46" s="430"/>
      <c r="CM46" s="430"/>
      <c r="CN46" s="430"/>
      <c r="CO46" s="430"/>
      <c r="CP46" s="432"/>
      <c r="CQ46" s="437"/>
      <c r="CR46" s="437"/>
      <c r="CS46" s="437"/>
      <c r="CT46" s="430"/>
      <c r="CU46" s="430"/>
      <c r="CV46" s="439"/>
      <c r="CW46" s="430"/>
      <c r="CX46" s="430"/>
      <c r="CY46" s="47" t="str">
        <f>IFERROR(1/(1/SUMIFS(OVC!$P:$P,OVC!$C:$C,"="&amp;$B46,OVC!$D:$D,$C46)),"")</f>
        <v/>
      </c>
      <c r="CZ46" s="36" t="str">
        <f>IFERROR(1/(1/SUMIFS(OVC!$Q:$Q,OVC!$C:$C,"="&amp;$B46,OVC!$D:$D,$C46)),"")</f>
        <v/>
      </c>
      <c r="DA46" s="36" t="str">
        <f>IFERROR(1/(1/SUMIFS(OVC!$R:$R,OVC!$C:$C,"="&amp;$B46,OVC!$D:$D,$C46)),"")</f>
        <v/>
      </c>
      <c r="DB46" s="36" t="str">
        <f>IFERROR(1/(1/SUMIFS(OVC!$S:$S,OVC!$C:$C,"="&amp;$B46,OVC!$D:$D,$C46)),"")</f>
        <v/>
      </c>
      <c r="DC46" s="33" t="str">
        <f t="shared" si="44"/>
        <v/>
      </c>
      <c r="DD46" s="33" t="str">
        <f t="shared" si="45"/>
        <v/>
      </c>
      <c r="DE46" s="33" t="str">
        <f t="shared" si="46"/>
        <v/>
      </c>
      <c r="DF46" s="33" t="str">
        <f t="shared" si="47"/>
        <v/>
      </c>
      <c r="DG46" s="144" t="str">
        <f t="shared" si="48"/>
        <v/>
      </c>
      <c r="DH46" s="144"/>
      <c r="DI46" s="144"/>
      <c r="DJ46" s="144"/>
      <c r="DK46" s="143" t="str">
        <f t="shared" si="42"/>
        <v/>
      </c>
      <c r="DL46" s="411" t="str">
        <f t="shared" si="43"/>
        <v/>
      </c>
      <c r="DM46" s="432"/>
      <c r="DN46" s="430"/>
      <c r="DO46" s="440"/>
      <c r="DP46" s="440"/>
      <c r="DQ46" s="437"/>
      <c r="DR46" s="437"/>
      <c r="DS46" s="432"/>
      <c r="DT46" s="440"/>
      <c r="DU46" s="437"/>
      <c r="DV46" s="432"/>
      <c r="DW46" s="440"/>
      <c r="DX46" s="443"/>
    </row>
    <row r="47" spans="1:128" x14ac:dyDescent="0.2">
      <c r="A47" t="s">
        <v>8</v>
      </c>
      <c r="B47" s="5" t="s">
        <v>1071</v>
      </c>
      <c r="C47" t="s">
        <v>606</v>
      </c>
      <c r="E47" s="430"/>
      <c r="F47" s="430"/>
      <c r="G47" s="430"/>
      <c r="H47" s="430"/>
      <c r="I47" s="430"/>
      <c r="J47" s="430"/>
      <c r="K47" s="430"/>
      <c r="L47" s="430"/>
      <c r="M47" s="432"/>
      <c r="N47" s="430"/>
      <c r="O47" s="430"/>
      <c r="P47" s="430"/>
      <c r="Q47" s="430"/>
      <c r="R47" s="432"/>
      <c r="S47" s="430"/>
      <c r="T47" s="430"/>
      <c r="U47" s="432"/>
      <c r="V47" s="430"/>
      <c r="W47" s="430"/>
      <c r="X47" s="430"/>
      <c r="Y47" s="430"/>
      <c r="Z47" s="432"/>
      <c r="AA47" s="430"/>
      <c r="AB47" s="430"/>
      <c r="AC47" s="430"/>
      <c r="AD47" s="432"/>
      <c r="AE47" s="430"/>
      <c r="AF47" s="432"/>
      <c r="AG47" s="430"/>
      <c r="AH47" s="433"/>
      <c r="AI47" s="434"/>
      <c r="AJ47" s="431"/>
      <c r="AK47" s="431"/>
      <c r="AL47" s="431"/>
      <c r="AM47" s="431"/>
      <c r="AN47" s="431"/>
      <c r="AO47" s="431"/>
      <c r="AP47" s="431"/>
      <c r="AQ47" s="435"/>
      <c r="AR47" s="436"/>
      <c r="AS47" s="436"/>
      <c r="AT47" s="436"/>
      <c r="AU47" s="436"/>
      <c r="AV47" s="436"/>
      <c r="AW47" s="436"/>
      <c r="AX47" s="436"/>
      <c r="AY47" s="436"/>
      <c r="AZ47" s="431"/>
      <c r="BA47" s="432"/>
      <c r="BB47" s="437"/>
      <c r="BC47" s="437"/>
      <c r="BD47" s="430"/>
      <c r="BE47" s="432"/>
      <c r="BF47" s="430"/>
      <c r="BG47" s="430"/>
      <c r="BH47" s="438"/>
      <c r="BI47" s="430"/>
      <c r="BJ47" s="430"/>
      <c r="BK47" s="439"/>
      <c r="BL47" s="430"/>
      <c r="BM47" s="430"/>
      <c r="BN47" s="432"/>
      <c r="BO47" s="430"/>
      <c r="BP47" s="430"/>
      <c r="BQ47" s="430"/>
      <c r="BR47" s="430"/>
      <c r="BS47" s="430"/>
      <c r="BT47" s="432"/>
      <c r="BU47" s="440"/>
      <c r="BV47" s="431"/>
      <c r="BW47" s="432"/>
      <c r="BX47" s="430"/>
      <c r="BY47" s="430"/>
      <c r="BZ47" s="432"/>
      <c r="CA47" s="430"/>
      <c r="CB47" s="431"/>
      <c r="CC47" s="431"/>
      <c r="CD47" s="440"/>
      <c r="CE47" s="431"/>
      <c r="CF47" s="432"/>
      <c r="CG47" s="430"/>
      <c r="CH47" s="430"/>
      <c r="CI47" s="430"/>
      <c r="CJ47" s="430"/>
      <c r="CK47" s="430"/>
      <c r="CL47" s="430"/>
      <c r="CM47" s="430"/>
      <c r="CN47" s="430"/>
      <c r="CO47" s="430"/>
      <c r="CP47" s="432"/>
      <c r="CQ47" s="437"/>
      <c r="CR47" s="437"/>
      <c r="CS47" s="437"/>
      <c r="CT47" s="430"/>
      <c r="CU47" s="430"/>
      <c r="CV47" s="439"/>
      <c r="CW47" s="430"/>
      <c r="CX47" s="430"/>
      <c r="CY47" s="47" t="str">
        <f>IFERROR(1/(1/SUMIFS(OVC!$P:$P,OVC!$C:$C,"="&amp;$B47,OVC!$D:$D,$C47)),"")</f>
        <v/>
      </c>
      <c r="CZ47" s="36" t="str">
        <f>IFERROR(1/(1/SUMIFS(OVC!$Q:$Q,OVC!$C:$C,"="&amp;$B47,OVC!$D:$D,$C47)),"")</f>
        <v/>
      </c>
      <c r="DA47" s="36" t="str">
        <f>IFERROR(1/(1/SUMIFS(OVC!$R:$R,OVC!$C:$C,"="&amp;$B47,OVC!$D:$D,$C47)),"")</f>
        <v/>
      </c>
      <c r="DB47" s="36" t="str">
        <f>IFERROR(1/(1/SUMIFS(OVC!$S:$S,OVC!$C:$C,"="&amp;$B47,OVC!$D:$D,$C47)),"")</f>
        <v/>
      </c>
      <c r="DC47" s="33" t="str">
        <f t="shared" si="44"/>
        <v/>
      </c>
      <c r="DD47" s="33" t="str">
        <f t="shared" si="45"/>
        <v/>
      </c>
      <c r="DE47" s="33" t="str">
        <f t="shared" si="46"/>
        <v/>
      </c>
      <c r="DF47" s="33" t="str">
        <f t="shared" si="47"/>
        <v/>
      </c>
      <c r="DG47" s="144" t="str">
        <f t="shared" si="48"/>
        <v/>
      </c>
      <c r="DH47" s="144"/>
      <c r="DI47" s="144"/>
      <c r="DJ47" s="144"/>
      <c r="DK47" s="143" t="str">
        <f t="shared" si="42"/>
        <v/>
      </c>
      <c r="DL47" s="411" t="str">
        <f t="shared" si="43"/>
        <v/>
      </c>
      <c r="DM47" s="432"/>
      <c r="DN47" s="430"/>
      <c r="DO47" s="440"/>
      <c r="DP47" s="440"/>
      <c r="DQ47" s="437"/>
      <c r="DR47" s="437"/>
      <c r="DS47" s="432"/>
      <c r="DT47" s="440"/>
      <c r="DU47" s="437"/>
      <c r="DV47" s="432"/>
      <c r="DW47" s="440"/>
      <c r="DX47" s="443"/>
    </row>
    <row r="48" spans="1:128" x14ac:dyDescent="0.2">
      <c r="A48" t="s">
        <v>8</v>
      </c>
      <c r="B48" s="5" t="s">
        <v>1072</v>
      </c>
      <c r="C48" t="s">
        <v>581</v>
      </c>
      <c r="E48" s="430"/>
      <c r="F48" s="430"/>
      <c r="G48" s="430"/>
      <c r="H48" s="430"/>
      <c r="I48" s="430"/>
      <c r="J48" s="430"/>
      <c r="K48" s="430"/>
      <c r="L48" s="430"/>
      <c r="M48" s="432"/>
      <c r="N48" s="430"/>
      <c r="O48" s="430"/>
      <c r="P48" s="430"/>
      <c r="Q48" s="430"/>
      <c r="R48" s="432"/>
      <c r="S48" s="430"/>
      <c r="T48" s="430"/>
      <c r="U48" s="432"/>
      <c r="V48" s="430"/>
      <c r="W48" s="430"/>
      <c r="X48" s="430"/>
      <c r="Y48" s="430"/>
      <c r="Z48" s="432"/>
      <c r="AA48" s="430"/>
      <c r="AB48" s="430"/>
      <c r="AC48" s="430"/>
      <c r="AD48" s="432"/>
      <c r="AE48" s="430"/>
      <c r="AF48" s="432"/>
      <c r="AG48" s="430"/>
      <c r="AH48" s="433"/>
      <c r="AI48" s="434"/>
      <c r="AJ48" s="431"/>
      <c r="AK48" s="431"/>
      <c r="AL48" s="431"/>
      <c r="AM48" s="431"/>
      <c r="AN48" s="431"/>
      <c r="AO48" s="431"/>
      <c r="AP48" s="431"/>
      <c r="AQ48" s="435"/>
      <c r="AR48" s="436"/>
      <c r="AS48" s="436"/>
      <c r="AT48" s="436"/>
      <c r="AU48" s="436"/>
      <c r="AV48" s="436"/>
      <c r="AW48" s="436"/>
      <c r="AX48" s="436"/>
      <c r="AY48" s="436"/>
      <c r="AZ48" s="431"/>
      <c r="BA48" s="432"/>
      <c r="BB48" s="437"/>
      <c r="BC48" s="437"/>
      <c r="BD48" s="430"/>
      <c r="BE48" s="432"/>
      <c r="BF48" s="430"/>
      <c r="BG48" s="430"/>
      <c r="BH48" s="438"/>
      <c r="BI48" s="430"/>
      <c r="BJ48" s="430"/>
      <c r="BK48" s="439"/>
      <c r="BL48" s="430"/>
      <c r="BM48" s="430"/>
      <c r="BN48" s="432"/>
      <c r="BO48" s="430"/>
      <c r="BP48" s="430"/>
      <c r="BQ48" s="430"/>
      <c r="BR48" s="430"/>
      <c r="BS48" s="430"/>
      <c r="BT48" s="432"/>
      <c r="BU48" s="440"/>
      <c r="BV48" s="431"/>
      <c r="BW48" s="432"/>
      <c r="BX48" s="430"/>
      <c r="BY48" s="430"/>
      <c r="BZ48" s="432"/>
      <c r="CA48" s="430"/>
      <c r="CB48" s="431"/>
      <c r="CC48" s="431"/>
      <c r="CD48" s="440"/>
      <c r="CE48" s="431"/>
      <c r="CF48" s="432"/>
      <c r="CG48" s="430"/>
      <c r="CH48" s="430"/>
      <c r="CI48" s="430"/>
      <c r="CJ48" s="430"/>
      <c r="CK48" s="430"/>
      <c r="CL48" s="430"/>
      <c r="CM48" s="430"/>
      <c r="CN48" s="430"/>
      <c r="CO48" s="430"/>
      <c r="CP48" s="432"/>
      <c r="CQ48" s="437"/>
      <c r="CR48" s="437"/>
      <c r="CS48" s="437"/>
      <c r="CT48" s="430"/>
      <c r="CU48" s="430"/>
      <c r="CV48" s="439"/>
      <c r="CW48" s="430"/>
      <c r="CX48" s="430"/>
      <c r="CY48" s="47" t="str">
        <f>IFERROR(1/(1/SUMIFS(OVC!$P:$P,OVC!$C:$C,"="&amp;$B48,OVC!$D:$D,$C48)),"")</f>
        <v/>
      </c>
      <c r="CZ48" s="36" t="str">
        <f>IFERROR(1/(1/SUMIFS(OVC!$Q:$Q,OVC!$C:$C,"="&amp;$B48,OVC!$D:$D,$C48)),"")</f>
        <v/>
      </c>
      <c r="DA48" s="36" t="str">
        <f>IFERROR(1/(1/SUMIFS(OVC!$R:$R,OVC!$C:$C,"="&amp;$B48,OVC!$D:$D,$C48)),"")</f>
        <v/>
      </c>
      <c r="DB48" s="36" t="str">
        <f>IFERROR(1/(1/SUMIFS(OVC!$S:$S,OVC!$C:$C,"="&amp;$B48,OVC!$D:$D,$C48)),"")</f>
        <v/>
      </c>
      <c r="DC48" s="33" t="str">
        <f t="shared" si="44"/>
        <v/>
      </c>
      <c r="DD48" s="33" t="str">
        <f t="shared" si="45"/>
        <v/>
      </c>
      <c r="DE48" s="33" t="str">
        <f t="shared" si="46"/>
        <v/>
      </c>
      <c r="DF48" s="33" t="str">
        <f t="shared" si="47"/>
        <v/>
      </c>
      <c r="DG48" s="144" t="str">
        <f t="shared" si="48"/>
        <v/>
      </c>
      <c r="DH48" s="144"/>
      <c r="DI48" s="144"/>
      <c r="DJ48" s="144"/>
      <c r="DK48" s="439"/>
      <c r="DL48" s="442"/>
      <c r="DM48" s="432"/>
      <c r="DN48" s="430"/>
      <c r="DO48" s="440"/>
      <c r="DP48" s="440"/>
      <c r="DQ48" s="437"/>
      <c r="DR48" s="437"/>
      <c r="DS48" s="432"/>
      <c r="DT48" s="440"/>
      <c r="DU48" s="437"/>
      <c r="DV48" s="432"/>
      <c r="DW48" s="440"/>
      <c r="DX48" s="443"/>
    </row>
    <row r="49" spans="1:128" x14ac:dyDescent="0.2">
      <c r="A49" t="s">
        <v>8</v>
      </c>
      <c r="B49" s="5" t="s">
        <v>1072</v>
      </c>
      <c r="C49" t="s">
        <v>606</v>
      </c>
      <c r="E49" s="430"/>
      <c r="F49" s="430"/>
      <c r="G49" s="430"/>
      <c r="H49" s="430"/>
      <c r="I49" s="430"/>
      <c r="J49" s="430"/>
      <c r="K49" s="430"/>
      <c r="L49" s="430"/>
      <c r="M49" s="432"/>
      <c r="N49" s="430"/>
      <c r="O49" s="430"/>
      <c r="P49" s="430"/>
      <c r="Q49" s="430"/>
      <c r="R49" s="432"/>
      <c r="S49" s="430"/>
      <c r="T49" s="430"/>
      <c r="U49" s="432"/>
      <c r="V49" s="430"/>
      <c r="W49" s="430"/>
      <c r="X49" s="430"/>
      <c r="Y49" s="430"/>
      <c r="Z49" s="432"/>
      <c r="AA49" s="430"/>
      <c r="AB49" s="430"/>
      <c r="AC49" s="430"/>
      <c r="AD49" s="432"/>
      <c r="AE49" s="430"/>
      <c r="AF49" s="432"/>
      <c r="AG49" s="430"/>
      <c r="AH49" s="433"/>
      <c r="AI49" s="434"/>
      <c r="AJ49" s="431"/>
      <c r="AK49" s="431"/>
      <c r="AL49" s="431"/>
      <c r="AM49" s="431"/>
      <c r="AN49" s="431"/>
      <c r="AO49" s="431"/>
      <c r="AP49" s="431"/>
      <c r="AQ49" s="435"/>
      <c r="AR49" s="436"/>
      <c r="AS49" s="436"/>
      <c r="AT49" s="436"/>
      <c r="AU49" s="436"/>
      <c r="AV49" s="436"/>
      <c r="AW49" s="436"/>
      <c r="AX49" s="436"/>
      <c r="AY49" s="436"/>
      <c r="AZ49" s="431"/>
      <c r="BA49" s="432"/>
      <c r="BB49" s="437"/>
      <c r="BC49" s="437"/>
      <c r="BD49" s="430"/>
      <c r="BE49" s="432"/>
      <c r="BF49" s="430"/>
      <c r="BG49" s="430"/>
      <c r="BH49" s="438"/>
      <c r="BI49" s="430"/>
      <c r="BJ49" s="430"/>
      <c r="BK49" s="439"/>
      <c r="BL49" s="430"/>
      <c r="BM49" s="430"/>
      <c r="BN49" s="432"/>
      <c r="BO49" s="430"/>
      <c r="BP49" s="430"/>
      <c r="BQ49" s="430"/>
      <c r="BR49" s="430"/>
      <c r="BS49" s="430"/>
      <c r="BT49" s="432"/>
      <c r="BU49" s="440"/>
      <c r="BV49" s="431"/>
      <c r="BW49" s="432"/>
      <c r="BX49" s="430"/>
      <c r="BY49" s="430"/>
      <c r="BZ49" s="432"/>
      <c r="CA49" s="430"/>
      <c r="CB49" s="431"/>
      <c r="CC49" s="431"/>
      <c r="CD49" s="440"/>
      <c r="CE49" s="431"/>
      <c r="CF49" s="432"/>
      <c r="CG49" s="430"/>
      <c r="CH49" s="430"/>
      <c r="CI49" s="430"/>
      <c r="CJ49" s="430"/>
      <c r="CK49" s="430"/>
      <c r="CL49" s="430"/>
      <c r="CM49" s="430"/>
      <c r="CN49" s="430"/>
      <c r="CO49" s="430"/>
      <c r="CP49" s="432"/>
      <c r="CQ49" s="437"/>
      <c r="CR49" s="437"/>
      <c r="CS49" s="437"/>
      <c r="CT49" s="430"/>
      <c r="CU49" s="430"/>
      <c r="CV49" s="439"/>
      <c r="CW49" s="430"/>
      <c r="CX49" s="430"/>
      <c r="CY49" s="47" t="str">
        <f>IFERROR(1/(1/SUMIFS(OVC!$P:$P,OVC!$C:$C,"="&amp;$B49,OVC!$D:$D,$C49)),"")</f>
        <v/>
      </c>
      <c r="CZ49" s="36" t="str">
        <f>IFERROR(1/(1/SUMIFS(OVC!$Q:$Q,OVC!$C:$C,"="&amp;$B49,OVC!$D:$D,$C49)),"")</f>
        <v/>
      </c>
      <c r="DA49" s="36" t="str">
        <f>IFERROR(1/(1/SUMIFS(OVC!$R:$R,OVC!$C:$C,"="&amp;$B49,OVC!$D:$D,$C49)),"")</f>
        <v/>
      </c>
      <c r="DB49" s="36" t="str">
        <f>IFERROR(1/(1/SUMIFS(OVC!$S:$S,OVC!$C:$C,"="&amp;$B49,OVC!$D:$D,$C49)),"")</f>
        <v/>
      </c>
      <c r="DC49" s="33" t="str">
        <f t="shared" si="44"/>
        <v/>
      </c>
      <c r="DD49" s="33" t="str">
        <f t="shared" si="45"/>
        <v/>
      </c>
      <c r="DE49" s="33" t="str">
        <f t="shared" si="46"/>
        <v/>
      </c>
      <c r="DF49" s="33" t="str">
        <f t="shared" si="47"/>
        <v/>
      </c>
      <c r="DG49" s="144" t="str">
        <f t="shared" si="48"/>
        <v/>
      </c>
      <c r="DH49" s="144"/>
      <c r="DI49" s="144"/>
      <c r="DJ49" s="144"/>
      <c r="DK49" s="439"/>
      <c r="DL49" s="442"/>
      <c r="DM49" s="432"/>
      <c r="DN49" s="430"/>
      <c r="DO49" s="440"/>
      <c r="DP49" s="440"/>
      <c r="DQ49" s="437"/>
      <c r="DR49" s="437"/>
      <c r="DS49" s="432"/>
      <c r="DT49" s="440"/>
      <c r="DU49" s="437"/>
      <c r="DV49" s="432"/>
      <c r="DW49" s="440"/>
      <c r="DX49" s="443"/>
    </row>
    <row r="50" spans="1:128" x14ac:dyDescent="0.2">
      <c r="A50" t="s">
        <v>8</v>
      </c>
      <c r="B50" s="5" t="s">
        <v>1073</v>
      </c>
      <c r="C50" t="s">
        <v>581</v>
      </c>
      <c r="E50" s="430"/>
      <c r="F50" s="430"/>
      <c r="G50" s="430"/>
      <c r="H50" s="430"/>
      <c r="I50" s="430"/>
      <c r="J50" s="430"/>
      <c r="K50" s="430"/>
      <c r="L50" s="430"/>
      <c r="M50" s="432"/>
      <c r="N50" s="430"/>
      <c r="O50" s="430"/>
      <c r="P50" s="430"/>
      <c r="Q50" s="430"/>
      <c r="R50" s="432"/>
      <c r="S50" s="430"/>
      <c r="T50" s="430"/>
      <c r="U50" s="432"/>
      <c r="V50" s="430"/>
      <c r="W50" s="430"/>
      <c r="X50" s="430"/>
      <c r="Y50" s="430"/>
      <c r="Z50" s="432"/>
      <c r="AA50" s="430"/>
      <c r="AB50" s="430"/>
      <c r="AC50" s="430"/>
      <c r="AD50" s="432"/>
      <c r="AE50" s="430"/>
      <c r="AF50" s="432"/>
      <c r="AG50" s="430"/>
      <c r="AH50" s="433"/>
      <c r="AI50" s="434"/>
      <c r="AJ50" s="431"/>
      <c r="AK50" s="431"/>
      <c r="AL50" s="431"/>
      <c r="AM50" s="431"/>
      <c r="AN50" s="431"/>
      <c r="AO50" s="431"/>
      <c r="AP50" s="431"/>
      <c r="AQ50" s="435"/>
      <c r="AR50" s="436"/>
      <c r="AS50" s="436"/>
      <c r="AT50" s="436"/>
      <c r="AU50" s="436"/>
      <c r="AV50" s="436"/>
      <c r="AW50" s="436"/>
      <c r="AX50" s="436"/>
      <c r="AY50" s="436"/>
      <c r="AZ50" s="431"/>
      <c r="BA50" s="432"/>
      <c r="BB50" s="437"/>
      <c r="BC50" s="437"/>
      <c r="BD50" s="430"/>
      <c r="BE50" s="432"/>
      <c r="BF50" s="430"/>
      <c r="BG50" s="430"/>
      <c r="BH50" s="438"/>
      <c r="BI50" s="430"/>
      <c r="BJ50" s="430"/>
      <c r="BK50" s="439"/>
      <c r="BL50" s="430"/>
      <c r="BM50" s="430"/>
      <c r="BN50" s="432"/>
      <c r="BO50" s="430"/>
      <c r="BP50" s="430"/>
      <c r="BQ50" s="430"/>
      <c r="BR50" s="430"/>
      <c r="BS50" s="430"/>
      <c r="BT50" s="432"/>
      <c r="BU50" s="440"/>
      <c r="BV50" s="431"/>
      <c r="BW50" s="432"/>
      <c r="BX50" s="430"/>
      <c r="BY50" s="430"/>
      <c r="BZ50" s="432"/>
      <c r="CA50" s="430"/>
      <c r="CB50" s="431"/>
      <c r="CC50" s="431"/>
      <c r="CD50" s="440"/>
      <c r="CE50" s="431"/>
      <c r="CF50" s="432"/>
      <c r="CG50" s="430"/>
      <c r="CH50" s="430"/>
      <c r="CI50" s="430"/>
      <c r="CJ50" s="430"/>
      <c r="CK50" s="430"/>
      <c r="CL50" s="430"/>
      <c r="CM50" s="430"/>
      <c r="CN50" s="430"/>
      <c r="CO50" s="430"/>
      <c r="CP50" s="432"/>
      <c r="CQ50" s="437"/>
      <c r="CR50" s="437"/>
      <c r="CS50" s="437"/>
      <c r="CT50" s="430"/>
      <c r="CU50" s="430"/>
      <c r="CV50" s="439"/>
      <c r="CW50" s="430"/>
      <c r="CX50" s="430"/>
      <c r="CY50" s="47" t="str">
        <f>IFERROR(1/(1/SUMIFS(OVC!$P:$P,OVC!$C:$C,"="&amp;$B50,OVC!$D:$D,$C50)),"")</f>
        <v/>
      </c>
      <c r="CZ50" s="36" t="str">
        <f>IFERROR(1/(1/SUMIFS(OVC!$Q:$Q,OVC!$C:$C,"="&amp;$B50,OVC!$D:$D,$C50)),"")</f>
        <v/>
      </c>
      <c r="DA50" s="36" t="str">
        <f>IFERROR(1/(1/SUMIFS(OVC!$R:$R,OVC!$C:$C,"="&amp;$B50,OVC!$D:$D,$C50)),"")</f>
        <v/>
      </c>
      <c r="DB50" s="36" t="str">
        <f>IFERROR(1/(1/SUMIFS(OVC!$S:$S,OVC!$C:$C,"="&amp;$B50,OVC!$D:$D,$C50)),"")</f>
        <v/>
      </c>
      <c r="DC50" s="33" t="str">
        <f t="shared" si="44"/>
        <v/>
      </c>
      <c r="DD50" s="33" t="str">
        <f t="shared" si="45"/>
        <v/>
      </c>
      <c r="DE50" s="33" t="str">
        <f t="shared" si="46"/>
        <v/>
      </c>
      <c r="DF50" s="33" t="str">
        <f t="shared" si="47"/>
        <v/>
      </c>
      <c r="DG50" s="144" t="str">
        <f t="shared" si="48"/>
        <v/>
      </c>
      <c r="DH50" s="144"/>
      <c r="DI50" s="144"/>
      <c r="DJ50" s="144"/>
      <c r="DK50" s="439"/>
      <c r="DL50" s="442"/>
      <c r="DM50" s="432"/>
      <c r="DN50" s="430"/>
      <c r="DO50" s="440"/>
      <c r="DP50" s="440"/>
      <c r="DQ50" s="437"/>
      <c r="DR50" s="437"/>
      <c r="DS50" s="432"/>
      <c r="DT50" s="440"/>
      <c r="DU50" s="437"/>
      <c r="DV50" s="432"/>
      <c r="DW50" s="440"/>
      <c r="DX50" s="443"/>
    </row>
    <row r="51" spans="1:128" x14ac:dyDescent="0.2">
      <c r="A51" t="s">
        <v>8</v>
      </c>
      <c r="B51" s="5" t="s">
        <v>1073</v>
      </c>
      <c r="C51" t="s">
        <v>606</v>
      </c>
      <c r="E51" s="430"/>
      <c r="F51" s="430"/>
      <c r="G51" s="430"/>
      <c r="H51" s="430"/>
      <c r="I51" s="430"/>
      <c r="J51" s="430"/>
      <c r="K51" s="430"/>
      <c r="L51" s="430"/>
      <c r="M51" s="432"/>
      <c r="N51" s="430"/>
      <c r="O51" s="430"/>
      <c r="P51" s="430"/>
      <c r="Q51" s="430"/>
      <c r="R51" s="432"/>
      <c r="S51" s="430"/>
      <c r="T51" s="430"/>
      <c r="U51" s="432"/>
      <c r="V51" s="430"/>
      <c r="W51" s="430"/>
      <c r="X51" s="430"/>
      <c r="Y51" s="430"/>
      <c r="Z51" s="432"/>
      <c r="AA51" s="430"/>
      <c r="AB51" s="430"/>
      <c r="AC51" s="430"/>
      <c r="AD51" s="432"/>
      <c r="AE51" s="430"/>
      <c r="AF51" s="432"/>
      <c r="AG51" s="430"/>
      <c r="AH51" s="433"/>
      <c r="AI51" s="434"/>
      <c r="AJ51" s="431"/>
      <c r="AK51" s="431"/>
      <c r="AL51" s="431"/>
      <c r="AM51" s="431"/>
      <c r="AN51" s="431"/>
      <c r="AO51" s="431"/>
      <c r="AP51" s="431"/>
      <c r="AQ51" s="435"/>
      <c r="AR51" s="436"/>
      <c r="AS51" s="436"/>
      <c r="AT51" s="436"/>
      <c r="AU51" s="436"/>
      <c r="AV51" s="436"/>
      <c r="AW51" s="436"/>
      <c r="AX51" s="436"/>
      <c r="AY51" s="436"/>
      <c r="AZ51" s="431"/>
      <c r="BA51" s="432"/>
      <c r="BB51" s="437"/>
      <c r="BC51" s="437"/>
      <c r="BD51" s="430"/>
      <c r="BE51" s="432"/>
      <c r="BF51" s="430"/>
      <c r="BG51" s="430"/>
      <c r="BH51" s="438"/>
      <c r="BI51" s="430"/>
      <c r="BJ51" s="430"/>
      <c r="BK51" s="439"/>
      <c r="BL51" s="430"/>
      <c r="BM51" s="430"/>
      <c r="BN51" s="432"/>
      <c r="BO51" s="430"/>
      <c r="BP51" s="430"/>
      <c r="BQ51" s="430"/>
      <c r="BR51" s="430"/>
      <c r="BS51" s="430"/>
      <c r="BT51" s="432"/>
      <c r="BU51" s="440"/>
      <c r="BV51" s="431"/>
      <c r="BW51" s="432"/>
      <c r="BX51" s="430"/>
      <c r="BY51" s="430"/>
      <c r="BZ51" s="432"/>
      <c r="CA51" s="430"/>
      <c r="CB51" s="431"/>
      <c r="CC51" s="431"/>
      <c r="CD51" s="440"/>
      <c r="CE51" s="431"/>
      <c r="CF51" s="432"/>
      <c r="CG51" s="430"/>
      <c r="CH51" s="430"/>
      <c r="CI51" s="430"/>
      <c r="CJ51" s="430"/>
      <c r="CK51" s="430"/>
      <c r="CL51" s="430"/>
      <c r="CM51" s="430"/>
      <c r="CN51" s="430"/>
      <c r="CO51" s="430"/>
      <c r="CP51" s="432"/>
      <c r="CQ51" s="437"/>
      <c r="CR51" s="437"/>
      <c r="CS51" s="437"/>
      <c r="CT51" s="430"/>
      <c r="CU51" s="430"/>
      <c r="CV51" s="439"/>
      <c r="CW51" s="430"/>
      <c r="CX51" s="430"/>
      <c r="CY51" s="47" t="str">
        <f>IFERROR(1/(1/SUMIFS(OVC!$P:$P,OVC!$C:$C,"="&amp;$B51,OVC!$D:$D,$C51)),"")</f>
        <v/>
      </c>
      <c r="CZ51" s="36" t="str">
        <f>IFERROR(1/(1/SUMIFS(OVC!$Q:$Q,OVC!$C:$C,"="&amp;$B51,OVC!$D:$D,$C51)),"")</f>
        <v/>
      </c>
      <c r="DA51" s="36" t="str">
        <f>IFERROR(1/(1/SUMIFS(OVC!$R:$R,OVC!$C:$C,"="&amp;$B51,OVC!$D:$D,$C51)),"")</f>
        <v/>
      </c>
      <c r="DB51" s="36" t="str">
        <f>IFERROR(1/(1/SUMIFS(OVC!$S:$S,OVC!$C:$C,"="&amp;$B51,OVC!$D:$D,$C51)),"")</f>
        <v/>
      </c>
      <c r="DC51" s="33" t="str">
        <f t="shared" si="44"/>
        <v/>
      </c>
      <c r="DD51" s="33" t="str">
        <f t="shared" si="45"/>
        <v/>
      </c>
      <c r="DE51" s="33" t="str">
        <f t="shared" si="46"/>
        <v/>
      </c>
      <c r="DF51" s="33" t="str">
        <f t="shared" si="47"/>
        <v/>
      </c>
      <c r="DG51" s="144" t="str">
        <f t="shared" si="48"/>
        <v/>
      </c>
      <c r="DH51" s="144"/>
      <c r="DI51" s="144"/>
      <c r="DJ51" s="144"/>
      <c r="DK51" s="439"/>
      <c r="DL51" s="442"/>
      <c r="DM51" s="432"/>
      <c r="DN51" s="430"/>
      <c r="DO51" s="440"/>
      <c r="DP51" s="440"/>
      <c r="DQ51" s="437"/>
      <c r="DR51" s="437"/>
      <c r="DS51" s="432"/>
      <c r="DT51" s="440"/>
      <c r="DU51" s="437"/>
      <c r="DV51" s="432"/>
      <c r="DW51" s="440"/>
      <c r="DX51" s="443"/>
    </row>
    <row r="52" spans="1:128" x14ac:dyDescent="0.2">
      <c r="A52" t="s">
        <v>291</v>
      </c>
      <c r="B52" s="5" t="s">
        <v>602</v>
      </c>
      <c r="C52" t="s">
        <v>581</v>
      </c>
      <c r="E52" s="432"/>
      <c r="F52" s="430"/>
      <c r="G52" s="430"/>
      <c r="H52" s="430"/>
      <c r="I52" s="430"/>
      <c r="J52" s="430"/>
      <c r="K52" s="430"/>
      <c r="L52" s="431"/>
      <c r="M52" s="432"/>
      <c r="N52" s="440"/>
      <c r="O52" s="431"/>
      <c r="P52" s="430"/>
      <c r="Q52" s="431"/>
      <c r="R52" s="441"/>
      <c r="S52" s="440"/>
      <c r="T52" s="431"/>
      <c r="U52" s="433"/>
      <c r="V52" s="431"/>
      <c r="W52" s="430"/>
      <c r="X52" s="431"/>
      <c r="Y52" s="440"/>
      <c r="Z52" s="433"/>
      <c r="AA52" s="430"/>
      <c r="AB52" s="431"/>
      <c r="AC52" s="440"/>
      <c r="AD52" s="433"/>
      <c r="AE52" s="440"/>
      <c r="AF52" s="433"/>
      <c r="AG52" s="440"/>
      <c r="AH52" s="433"/>
      <c r="AI52" s="434"/>
      <c r="AJ52" s="431"/>
      <c r="AK52" s="431"/>
      <c r="AL52" s="431"/>
      <c r="AM52" s="431"/>
      <c r="AN52" s="431"/>
      <c r="AO52" s="431"/>
      <c r="AP52" s="431"/>
      <c r="AQ52" s="435"/>
      <c r="AR52" s="436"/>
      <c r="AS52" s="436"/>
      <c r="AT52" s="436"/>
      <c r="AU52" s="436"/>
      <c r="AV52" s="436"/>
      <c r="AW52" s="436"/>
      <c r="AX52" s="436"/>
      <c r="AY52" s="436"/>
      <c r="AZ52" s="431"/>
      <c r="BA52" s="432"/>
      <c r="BB52" s="437"/>
      <c r="BC52" s="437"/>
      <c r="BD52" s="440"/>
      <c r="BE52" s="432"/>
      <c r="BF52" s="440"/>
      <c r="BG52" s="431"/>
      <c r="BH52" s="438"/>
      <c r="BI52" s="440"/>
      <c r="BJ52" s="440"/>
      <c r="BK52" s="439"/>
      <c r="BL52" s="440"/>
      <c r="BM52" s="440"/>
      <c r="BN52" s="432"/>
      <c r="BO52" s="430"/>
      <c r="BP52" s="440"/>
      <c r="BQ52" s="440"/>
      <c r="BR52" s="431"/>
      <c r="BS52" s="431"/>
      <c r="BT52" s="432"/>
      <c r="BU52" s="440"/>
      <c r="BV52" s="431"/>
      <c r="BW52" s="432"/>
      <c r="BX52" s="440"/>
      <c r="BY52" s="431"/>
      <c r="BZ52" s="432"/>
      <c r="CA52" s="430"/>
      <c r="CB52" s="431"/>
      <c r="CC52" s="431"/>
      <c r="CD52" s="440"/>
      <c r="CE52" s="431"/>
      <c r="CF52" s="433"/>
      <c r="CG52" s="431"/>
      <c r="CH52" s="431"/>
      <c r="CI52" s="431"/>
      <c r="CJ52" s="431"/>
      <c r="CK52" s="431"/>
      <c r="CL52" s="440"/>
      <c r="CM52" s="440"/>
      <c r="CN52" s="440"/>
      <c r="CO52" s="440"/>
      <c r="CP52" s="432"/>
      <c r="CQ52" s="437"/>
      <c r="CR52" s="437"/>
      <c r="CS52" s="437"/>
      <c r="CT52" s="440"/>
      <c r="CU52" s="440"/>
      <c r="CV52" s="439"/>
      <c r="CW52" s="440"/>
      <c r="CX52" s="440"/>
      <c r="CY52" s="432"/>
      <c r="CZ52" s="430"/>
      <c r="DA52" s="430"/>
      <c r="DB52" s="430"/>
      <c r="DC52" s="440"/>
      <c r="DD52" s="440"/>
      <c r="DE52" s="440"/>
      <c r="DF52" s="440"/>
      <c r="DG52" s="437"/>
      <c r="DH52" s="437"/>
      <c r="DI52" s="437"/>
      <c r="DJ52" s="437"/>
      <c r="DK52" s="439"/>
      <c r="DL52" s="442"/>
      <c r="DM52" s="47" t="str">
        <f>IFERROR(1/(1/SUMIFS(AGYW!$P:$P,AGYW!$C:$C,$B52,AGYW!$D:$D,$C52)),"")</f>
        <v/>
      </c>
      <c r="DN52" s="36" t="str">
        <f>IFERROR(1/(1/SUMIFS(AGYW!$Q:$Q,AGYW!$C:$C,$B52,AGYW!$D:$D,$C52)),"")</f>
        <v/>
      </c>
      <c r="DO52" s="33" t="str">
        <f>$DM52</f>
        <v/>
      </c>
      <c r="DP52" s="33" t="str">
        <f>$DN52</f>
        <v/>
      </c>
      <c r="DQ52" s="144" t="str">
        <f>IF(SUM($DM52)=0,"",(SUM($DO52)-$DM52)/$DM52)</f>
        <v/>
      </c>
      <c r="DR52" s="144" t="str">
        <f>IF(SUM($DN52)=0,"",(SUM($DP52)-$DN52)/$DN52)</f>
        <v/>
      </c>
      <c r="DS52" s="432"/>
      <c r="DT52" s="440"/>
      <c r="DU52" s="437"/>
      <c r="DV52" s="432"/>
      <c r="DW52" s="440"/>
      <c r="DX52" s="443"/>
    </row>
    <row r="53" spans="1:128" x14ac:dyDescent="0.2">
      <c r="A53" t="s">
        <v>291</v>
      </c>
      <c r="B53" s="5" t="s">
        <v>1074</v>
      </c>
      <c r="C53" t="s">
        <v>581</v>
      </c>
      <c r="E53" s="432"/>
      <c r="F53" s="430"/>
      <c r="G53" s="430"/>
      <c r="H53" s="430"/>
      <c r="I53" s="430"/>
      <c r="J53" s="430"/>
      <c r="K53" s="430"/>
      <c r="L53" s="431"/>
      <c r="M53" s="432"/>
      <c r="N53" s="440"/>
      <c r="O53" s="431"/>
      <c r="P53" s="430"/>
      <c r="Q53" s="431"/>
      <c r="R53" s="441"/>
      <c r="S53" s="440"/>
      <c r="T53" s="431"/>
      <c r="U53" s="433"/>
      <c r="V53" s="431"/>
      <c r="W53" s="430"/>
      <c r="X53" s="431"/>
      <c r="Y53" s="440"/>
      <c r="Z53" s="433"/>
      <c r="AA53" s="430"/>
      <c r="AB53" s="431"/>
      <c r="AC53" s="440"/>
      <c r="AD53" s="433"/>
      <c r="AE53" s="440"/>
      <c r="AF53" s="433"/>
      <c r="AG53" s="440"/>
      <c r="AH53" s="433"/>
      <c r="AI53" s="434"/>
      <c r="AJ53" s="431"/>
      <c r="AK53" s="431"/>
      <c r="AL53" s="431"/>
      <c r="AM53" s="431"/>
      <c r="AN53" s="431"/>
      <c r="AO53" s="431"/>
      <c r="AP53" s="431"/>
      <c r="AQ53" s="435"/>
      <c r="AR53" s="436"/>
      <c r="AS53" s="436"/>
      <c r="AT53" s="436"/>
      <c r="AU53" s="436"/>
      <c r="AV53" s="436"/>
      <c r="AW53" s="436"/>
      <c r="AX53" s="436"/>
      <c r="AY53" s="436"/>
      <c r="AZ53" s="431"/>
      <c r="BA53" s="432"/>
      <c r="BB53" s="437"/>
      <c r="BC53" s="437"/>
      <c r="BD53" s="440"/>
      <c r="BE53" s="432"/>
      <c r="BF53" s="440"/>
      <c r="BG53" s="431"/>
      <c r="BH53" s="438"/>
      <c r="BI53" s="440"/>
      <c r="BJ53" s="440"/>
      <c r="BK53" s="439"/>
      <c r="BL53" s="440"/>
      <c r="BM53" s="440"/>
      <c r="BN53" s="432"/>
      <c r="BO53" s="430"/>
      <c r="BP53" s="440"/>
      <c r="BQ53" s="440"/>
      <c r="BR53" s="431"/>
      <c r="BS53" s="431"/>
      <c r="BT53" s="432"/>
      <c r="BU53" s="440"/>
      <c r="BV53" s="431"/>
      <c r="BW53" s="432"/>
      <c r="BX53" s="440"/>
      <c r="BY53" s="431"/>
      <c r="BZ53" s="432"/>
      <c r="CA53" s="430"/>
      <c r="CB53" s="431"/>
      <c r="CC53" s="431"/>
      <c r="CD53" s="440"/>
      <c r="CE53" s="431"/>
      <c r="CF53" s="433"/>
      <c r="CG53" s="431"/>
      <c r="CH53" s="431"/>
      <c r="CI53" s="431"/>
      <c r="CJ53" s="431"/>
      <c r="CK53" s="431"/>
      <c r="CL53" s="440"/>
      <c r="CM53" s="440"/>
      <c r="CN53" s="440"/>
      <c r="CO53" s="440"/>
      <c r="CP53" s="432"/>
      <c r="CQ53" s="437"/>
      <c r="CR53" s="437"/>
      <c r="CS53" s="437"/>
      <c r="CT53" s="440"/>
      <c r="CU53" s="440"/>
      <c r="CV53" s="439"/>
      <c r="CW53" s="440"/>
      <c r="CX53" s="440"/>
      <c r="CY53" s="432"/>
      <c r="CZ53" s="430"/>
      <c r="DA53" s="430"/>
      <c r="DB53" s="430"/>
      <c r="DC53" s="440"/>
      <c r="DD53" s="440"/>
      <c r="DE53" s="440"/>
      <c r="DF53" s="440"/>
      <c r="DG53" s="437"/>
      <c r="DH53" s="437"/>
      <c r="DI53" s="437"/>
      <c r="DJ53" s="437"/>
      <c r="DK53" s="439"/>
      <c r="DL53" s="442"/>
      <c r="DM53" s="47" t="str">
        <f>IFERROR(1/(1/SUMIFS(AGYW!$P:$P,AGYW!$C:$C,$B53,AGYW!$D:$D,$C53)),"")</f>
        <v/>
      </c>
      <c r="DN53" s="36" t="str">
        <f>IFERROR(1/(1/SUMIFS(AGYW!$Q:$Q,AGYW!$C:$C,$B53,AGYW!$D:$D,$C53)),"")</f>
        <v/>
      </c>
      <c r="DO53" s="33" t="str">
        <f>$DM53</f>
        <v/>
      </c>
      <c r="DP53" s="33" t="str">
        <f>$DN53</f>
        <v/>
      </c>
      <c r="DQ53" s="144" t="str">
        <f>IF(SUM($DM53)=0,"",(SUM($DO53)-$DM53)/$DM53)</f>
        <v/>
      </c>
      <c r="DR53" s="144" t="str">
        <f>IF(SUM($DN53)=0,"",(SUM($DP53)-$DN53)/$DN53)</f>
        <v/>
      </c>
      <c r="DS53" s="432"/>
      <c r="DT53" s="440"/>
      <c r="DU53" s="437"/>
      <c r="DV53" s="432"/>
      <c r="DW53" s="440"/>
      <c r="DX53" s="443"/>
    </row>
    <row r="54" spans="1:128" x14ac:dyDescent="0.2">
      <c r="A54" t="s">
        <v>291</v>
      </c>
      <c r="B54" s="5" t="s">
        <v>1075</v>
      </c>
      <c r="C54" t="s">
        <v>581</v>
      </c>
      <c r="E54" s="432"/>
      <c r="F54" s="430"/>
      <c r="G54" s="430"/>
      <c r="H54" s="430"/>
      <c r="I54" s="430"/>
      <c r="J54" s="430"/>
      <c r="K54" s="430"/>
      <c r="L54" s="431"/>
      <c r="M54" s="432"/>
      <c r="N54" s="440"/>
      <c r="O54" s="431"/>
      <c r="P54" s="430"/>
      <c r="Q54" s="431"/>
      <c r="R54" s="441"/>
      <c r="S54" s="440"/>
      <c r="T54" s="431"/>
      <c r="U54" s="433"/>
      <c r="V54" s="431"/>
      <c r="W54" s="430"/>
      <c r="X54" s="431"/>
      <c r="Y54" s="440"/>
      <c r="Z54" s="433"/>
      <c r="AA54" s="430"/>
      <c r="AB54" s="431"/>
      <c r="AC54" s="440"/>
      <c r="AD54" s="433"/>
      <c r="AE54" s="440"/>
      <c r="AF54" s="433"/>
      <c r="AG54" s="440"/>
      <c r="AH54" s="433"/>
      <c r="AI54" s="434"/>
      <c r="AJ54" s="431"/>
      <c r="AK54" s="431"/>
      <c r="AL54" s="431"/>
      <c r="AM54" s="431"/>
      <c r="AN54" s="431"/>
      <c r="AO54" s="431"/>
      <c r="AP54" s="431"/>
      <c r="AQ54" s="435"/>
      <c r="AR54" s="436"/>
      <c r="AS54" s="436"/>
      <c r="AT54" s="436"/>
      <c r="AU54" s="436"/>
      <c r="AV54" s="436"/>
      <c r="AW54" s="436"/>
      <c r="AX54" s="436"/>
      <c r="AY54" s="436"/>
      <c r="AZ54" s="431"/>
      <c r="BA54" s="432"/>
      <c r="BB54" s="437"/>
      <c r="BC54" s="437"/>
      <c r="BD54" s="440"/>
      <c r="BE54" s="432"/>
      <c r="BF54" s="440"/>
      <c r="BG54" s="431"/>
      <c r="BH54" s="438"/>
      <c r="BI54" s="440"/>
      <c r="BJ54" s="440"/>
      <c r="BK54" s="439"/>
      <c r="BL54" s="440"/>
      <c r="BM54" s="440"/>
      <c r="BN54" s="432"/>
      <c r="BO54" s="430"/>
      <c r="BP54" s="440"/>
      <c r="BQ54" s="440"/>
      <c r="BR54" s="431"/>
      <c r="BS54" s="431"/>
      <c r="BT54" s="432"/>
      <c r="BU54" s="440"/>
      <c r="BV54" s="431"/>
      <c r="BW54" s="432"/>
      <c r="BX54" s="440"/>
      <c r="BY54" s="431"/>
      <c r="BZ54" s="432"/>
      <c r="CA54" s="430"/>
      <c r="CB54" s="431"/>
      <c r="CC54" s="431"/>
      <c r="CD54" s="440"/>
      <c r="CE54" s="431"/>
      <c r="CF54" s="433"/>
      <c r="CG54" s="431"/>
      <c r="CH54" s="431"/>
      <c r="CI54" s="431"/>
      <c r="CJ54" s="431"/>
      <c r="CK54" s="431"/>
      <c r="CL54" s="440"/>
      <c r="CM54" s="440"/>
      <c r="CN54" s="440"/>
      <c r="CO54" s="440"/>
      <c r="CP54" s="432"/>
      <c r="CQ54" s="437"/>
      <c r="CR54" s="437"/>
      <c r="CS54" s="437"/>
      <c r="CT54" s="440"/>
      <c r="CU54" s="440"/>
      <c r="CV54" s="439"/>
      <c r="CW54" s="440"/>
      <c r="CX54" s="440"/>
      <c r="CY54" s="432"/>
      <c r="CZ54" s="430"/>
      <c r="DA54" s="430"/>
      <c r="DB54" s="430"/>
      <c r="DC54" s="440"/>
      <c r="DD54" s="440"/>
      <c r="DE54" s="440"/>
      <c r="DF54" s="440"/>
      <c r="DG54" s="437"/>
      <c r="DH54" s="437"/>
      <c r="DI54" s="437"/>
      <c r="DJ54" s="437"/>
      <c r="DK54" s="439"/>
      <c r="DL54" s="442"/>
      <c r="DM54" s="47" t="str">
        <f>IFERROR(1/(1/SUMIFS(AGYW!$P:$P,AGYW!$C:$C,$B54,AGYW!$D:$D,$C54)),"")</f>
        <v/>
      </c>
      <c r="DN54" s="36" t="str">
        <f>IFERROR(1/(1/SUMIFS(AGYW!$Q:$Q,AGYW!$C:$C,$B54,AGYW!$D:$D,$C54)),"")</f>
        <v/>
      </c>
      <c r="DO54" s="33" t="str">
        <f>$DM54</f>
        <v/>
      </c>
      <c r="DP54" s="33" t="str">
        <f>$DN54</f>
        <v/>
      </c>
      <c r="DQ54" s="144" t="str">
        <f>IF(SUM($DM54)=0,"",(SUM($DO54)-$DM54)/$DM54)</f>
        <v/>
      </c>
      <c r="DR54" s="144" t="str">
        <f>IF(SUM($DN54)=0,"",(SUM($DP54)-$DN54)/$DN54)</f>
        <v/>
      </c>
      <c r="DS54" s="432"/>
      <c r="DT54" s="440"/>
      <c r="DU54" s="437"/>
      <c r="DV54" s="432"/>
      <c r="DW54" s="440"/>
      <c r="DX54" s="443"/>
    </row>
    <row r="55" spans="1:128" x14ac:dyDescent="0.2">
      <c r="A55" t="s">
        <v>291</v>
      </c>
      <c r="B55" s="5" t="s">
        <v>1076</v>
      </c>
      <c r="C55" t="s">
        <v>581</v>
      </c>
      <c r="E55" s="432"/>
      <c r="F55" s="430"/>
      <c r="G55" s="430"/>
      <c r="H55" s="430"/>
      <c r="I55" s="430"/>
      <c r="J55" s="430"/>
      <c r="K55" s="430"/>
      <c r="L55" s="431"/>
      <c r="M55" s="432"/>
      <c r="N55" s="440"/>
      <c r="O55" s="431"/>
      <c r="P55" s="430"/>
      <c r="Q55" s="431"/>
      <c r="R55" s="441"/>
      <c r="S55" s="440"/>
      <c r="T55" s="431"/>
      <c r="U55" s="433"/>
      <c r="V55" s="431"/>
      <c r="W55" s="430"/>
      <c r="X55" s="431"/>
      <c r="Y55" s="440"/>
      <c r="Z55" s="433"/>
      <c r="AA55" s="430"/>
      <c r="AB55" s="431"/>
      <c r="AC55" s="440"/>
      <c r="AD55" s="433"/>
      <c r="AE55" s="440"/>
      <c r="AF55" s="433"/>
      <c r="AG55" s="440"/>
      <c r="AH55" s="433"/>
      <c r="AI55" s="434"/>
      <c r="AJ55" s="431"/>
      <c r="AK55" s="431"/>
      <c r="AL55" s="431"/>
      <c r="AM55" s="431"/>
      <c r="AN55" s="431"/>
      <c r="AO55" s="431"/>
      <c r="AP55" s="431"/>
      <c r="AQ55" s="435"/>
      <c r="AR55" s="436"/>
      <c r="AS55" s="436"/>
      <c r="AT55" s="436"/>
      <c r="AU55" s="436"/>
      <c r="AV55" s="436"/>
      <c r="AW55" s="436"/>
      <c r="AX55" s="436"/>
      <c r="AY55" s="436"/>
      <c r="AZ55" s="431"/>
      <c r="BA55" s="432"/>
      <c r="BB55" s="437"/>
      <c r="BC55" s="437"/>
      <c r="BD55" s="440"/>
      <c r="BE55" s="432"/>
      <c r="BF55" s="440"/>
      <c r="BG55" s="431"/>
      <c r="BH55" s="438"/>
      <c r="BI55" s="440"/>
      <c r="BJ55" s="440"/>
      <c r="BK55" s="439"/>
      <c r="BL55" s="440"/>
      <c r="BM55" s="440"/>
      <c r="BN55" s="432"/>
      <c r="BO55" s="430"/>
      <c r="BP55" s="440"/>
      <c r="BQ55" s="440"/>
      <c r="BR55" s="431"/>
      <c r="BS55" s="431"/>
      <c r="BT55" s="432"/>
      <c r="BU55" s="440"/>
      <c r="BV55" s="431"/>
      <c r="BW55" s="432"/>
      <c r="BX55" s="440"/>
      <c r="BY55" s="431"/>
      <c r="BZ55" s="432"/>
      <c r="CA55" s="430"/>
      <c r="CB55" s="431"/>
      <c r="CC55" s="431"/>
      <c r="CD55" s="440"/>
      <c r="CE55" s="431"/>
      <c r="CF55" s="433"/>
      <c r="CG55" s="431"/>
      <c r="CH55" s="431"/>
      <c r="CI55" s="431"/>
      <c r="CJ55" s="431"/>
      <c r="CK55" s="431"/>
      <c r="CL55" s="440"/>
      <c r="CM55" s="440"/>
      <c r="CN55" s="440"/>
      <c r="CO55" s="440"/>
      <c r="CP55" s="432"/>
      <c r="CQ55" s="437"/>
      <c r="CR55" s="437"/>
      <c r="CS55" s="437"/>
      <c r="CT55" s="440"/>
      <c r="CU55" s="440"/>
      <c r="CV55" s="439"/>
      <c r="CW55" s="440"/>
      <c r="CX55" s="440"/>
      <c r="CY55" s="432"/>
      <c r="CZ55" s="430"/>
      <c r="DA55" s="430"/>
      <c r="DB55" s="430"/>
      <c r="DC55" s="440"/>
      <c r="DD55" s="440"/>
      <c r="DE55" s="440"/>
      <c r="DF55" s="440"/>
      <c r="DG55" s="437"/>
      <c r="DH55" s="437"/>
      <c r="DI55" s="437"/>
      <c r="DJ55" s="437"/>
      <c r="DK55" s="439"/>
      <c r="DL55" s="442"/>
      <c r="DM55" s="47" t="str">
        <f>IFERROR(1/(1/SUMIFS(AGYW!$P:$P,AGYW!$C:$C,$B55,AGYW!$D:$D,$C55)),"")</f>
        <v/>
      </c>
      <c r="DN55" s="36" t="str">
        <f>IFERROR(1/(1/SUMIFS(AGYW!$Q:$Q,AGYW!$C:$C,$B55,AGYW!$D:$D,$C55)),"")</f>
        <v/>
      </c>
      <c r="DO55" s="33" t="str">
        <f>$DM55</f>
        <v/>
      </c>
      <c r="DP55" s="33" t="str">
        <f>$DN55</f>
        <v/>
      </c>
      <c r="DQ55" s="144" t="str">
        <f>IF(SUM($DM55)=0,"",(SUM($DO55)-$DM55)/$DM55)</f>
        <v/>
      </c>
      <c r="DR55" s="144" t="str">
        <f>IF(SUM($DN55)=0,"",(SUM($DP55)-$DN55)/$DN55)</f>
        <v/>
      </c>
      <c r="DS55" s="432"/>
      <c r="DT55" s="440"/>
      <c r="DU55" s="437"/>
      <c r="DV55" s="432"/>
      <c r="DW55" s="440"/>
      <c r="DX55" s="443"/>
    </row>
    <row r="56" spans="1:128" x14ac:dyDescent="0.2">
      <c r="A56" t="s">
        <v>20</v>
      </c>
      <c r="C56" t="s">
        <v>581</v>
      </c>
      <c r="E56" s="432"/>
      <c r="F56" s="430"/>
      <c r="G56" s="430"/>
      <c r="H56" s="430"/>
      <c r="I56" s="430"/>
      <c r="J56" s="430"/>
      <c r="K56" s="430"/>
      <c r="L56" s="431"/>
      <c r="M56" s="432"/>
      <c r="N56" s="440"/>
      <c r="O56" s="431"/>
      <c r="P56" s="430"/>
      <c r="Q56" s="431"/>
      <c r="R56" s="441"/>
      <c r="S56" s="440"/>
      <c r="T56" s="431"/>
      <c r="U56" s="433"/>
      <c r="V56" s="431"/>
      <c r="W56" s="430"/>
      <c r="X56" s="431"/>
      <c r="Y56" s="440"/>
      <c r="Z56" s="433"/>
      <c r="AA56" s="430"/>
      <c r="AB56" s="431"/>
      <c r="AC56" s="440"/>
      <c r="AD56" s="433"/>
      <c r="AE56" s="440"/>
      <c r="AF56" s="433"/>
      <c r="AG56" s="440"/>
      <c r="AH56" s="433"/>
      <c r="AI56" s="434"/>
      <c r="AJ56" s="431"/>
      <c r="AK56" s="431"/>
      <c r="AL56" s="431"/>
      <c r="AM56" s="431"/>
      <c r="AN56" s="431"/>
      <c r="AO56" s="431"/>
      <c r="AP56" s="431"/>
      <c r="AQ56" s="435"/>
      <c r="AR56" s="436"/>
      <c r="AS56" s="436"/>
      <c r="AT56" s="436"/>
      <c r="AU56" s="436"/>
      <c r="AV56" s="436"/>
      <c r="AW56" s="436"/>
      <c r="AX56" s="436"/>
      <c r="AY56" s="436"/>
      <c r="AZ56" s="431"/>
      <c r="BA56" s="432"/>
      <c r="BB56" s="437"/>
      <c r="BC56" s="437"/>
      <c r="BD56" s="440"/>
      <c r="BE56" s="432"/>
      <c r="BF56" s="440"/>
      <c r="BG56" s="431"/>
      <c r="BH56" s="438"/>
      <c r="BI56" s="440"/>
      <c r="BJ56" s="440"/>
      <c r="BK56" s="439"/>
      <c r="BL56" s="440"/>
      <c r="BM56" s="440"/>
      <c r="BN56" s="432"/>
      <c r="BO56" s="430"/>
      <c r="BP56" s="440"/>
      <c r="BQ56" s="440"/>
      <c r="BR56" s="431"/>
      <c r="BS56" s="431"/>
      <c r="BT56" s="432"/>
      <c r="BU56" s="440"/>
      <c r="BV56" s="431"/>
      <c r="BW56" s="432"/>
      <c r="BX56" s="440"/>
      <c r="BY56" s="431"/>
      <c r="BZ56" s="432"/>
      <c r="CA56" s="430"/>
      <c r="CB56" s="431"/>
      <c r="CC56" s="431"/>
      <c r="CD56" s="440"/>
      <c r="CE56" s="431"/>
      <c r="CF56" s="433"/>
      <c r="CG56" s="431"/>
      <c r="CH56" s="431"/>
      <c r="CI56" s="431"/>
      <c r="CJ56" s="431"/>
      <c r="CK56" s="431"/>
      <c r="CL56" s="440"/>
      <c r="CM56" s="440"/>
      <c r="CN56" s="440"/>
      <c r="CO56" s="440"/>
      <c r="CP56" s="432"/>
      <c r="CQ56" s="437"/>
      <c r="CR56" s="437"/>
      <c r="CS56" s="437"/>
      <c r="CT56" s="440"/>
      <c r="CU56" s="440"/>
      <c r="CV56" s="439"/>
      <c r="CW56" s="440"/>
      <c r="CX56" s="440"/>
      <c r="CY56" s="432"/>
      <c r="CZ56" s="430"/>
      <c r="DA56" s="430"/>
      <c r="DB56" s="430"/>
      <c r="DC56" s="440"/>
      <c r="DD56" s="440"/>
      <c r="DE56" s="440"/>
      <c r="DF56" s="440"/>
      <c r="DG56" s="437"/>
      <c r="DH56" s="437"/>
      <c r="DI56" s="437"/>
      <c r="DJ56" s="437"/>
      <c r="DK56" s="439"/>
      <c r="DL56" s="442"/>
      <c r="DM56" s="432"/>
      <c r="DN56" s="430"/>
      <c r="DO56" s="440"/>
      <c r="DP56" s="440"/>
      <c r="DQ56" s="437"/>
      <c r="DR56" s="437"/>
      <c r="DS56" s="47" t="str">
        <f>IFERROR(1/(1/SUMIFS(KP_MAT!$J:$J,KP_MAT!$C:$C,$C56)),"")</f>
        <v/>
      </c>
      <c r="DT56" s="33" t="str">
        <f>$DS56</f>
        <v/>
      </c>
      <c r="DU56" s="144" t="str">
        <f>IF(SUM($DS56)=0,"",(SUM($DT56)-$DS56)/$DS56)</f>
        <v/>
      </c>
      <c r="DV56" s="432"/>
      <c r="DW56" s="440"/>
      <c r="DX56" s="443"/>
    </row>
    <row r="57" spans="1:128" x14ac:dyDescent="0.2">
      <c r="A57" t="s">
        <v>20</v>
      </c>
      <c r="C57" t="s">
        <v>606</v>
      </c>
      <c r="E57" s="432"/>
      <c r="F57" s="430"/>
      <c r="G57" s="430"/>
      <c r="H57" s="430"/>
      <c r="I57" s="430"/>
      <c r="J57" s="430"/>
      <c r="K57" s="430"/>
      <c r="L57" s="431"/>
      <c r="M57" s="432"/>
      <c r="N57" s="440"/>
      <c r="O57" s="431"/>
      <c r="P57" s="430"/>
      <c r="Q57" s="431"/>
      <c r="R57" s="441"/>
      <c r="S57" s="440"/>
      <c r="T57" s="431"/>
      <c r="U57" s="433"/>
      <c r="V57" s="431"/>
      <c r="W57" s="430"/>
      <c r="X57" s="431"/>
      <c r="Y57" s="440"/>
      <c r="Z57" s="433"/>
      <c r="AA57" s="430"/>
      <c r="AB57" s="431"/>
      <c r="AC57" s="440"/>
      <c r="AD57" s="433"/>
      <c r="AE57" s="440"/>
      <c r="AF57" s="433"/>
      <c r="AG57" s="440"/>
      <c r="AH57" s="433"/>
      <c r="AI57" s="434"/>
      <c r="AJ57" s="431"/>
      <c r="AK57" s="431"/>
      <c r="AL57" s="431"/>
      <c r="AM57" s="431"/>
      <c r="AN57" s="431"/>
      <c r="AO57" s="431"/>
      <c r="AP57" s="431"/>
      <c r="AQ57" s="435"/>
      <c r="AR57" s="436"/>
      <c r="AS57" s="436"/>
      <c r="AT57" s="436"/>
      <c r="AU57" s="436"/>
      <c r="AV57" s="436"/>
      <c r="AW57" s="436"/>
      <c r="AX57" s="436"/>
      <c r="AY57" s="436"/>
      <c r="AZ57" s="431"/>
      <c r="BA57" s="432"/>
      <c r="BB57" s="437"/>
      <c r="BC57" s="437"/>
      <c r="BD57" s="440"/>
      <c r="BE57" s="432"/>
      <c r="BF57" s="440"/>
      <c r="BG57" s="431"/>
      <c r="BH57" s="438"/>
      <c r="BI57" s="440"/>
      <c r="BJ57" s="440"/>
      <c r="BK57" s="439"/>
      <c r="BL57" s="440"/>
      <c r="BM57" s="440"/>
      <c r="BN57" s="432"/>
      <c r="BO57" s="430"/>
      <c r="BP57" s="440"/>
      <c r="BQ57" s="440"/>
      <c r="BR57" s="431"/>
      <c r="BS57" s="431"/>
      <c r="BT57" s="432"/>
      <c r="BU57" s="440"/>
      <c r="BV57" s="431"/>
      <c r="BW57" s="432"/>
      <c r="BX57" s="440"/>
      <c r="BY57" s="431"/>
      <c r="BZ57" s="432"/>
      <c r="CA57" s="430"/>
      <c r="CB57" s="431"/>
      <c r="CC57" s="431"/>
      <c r="CD57" s="440"/>
      <c r="CE57" s="431"/>
      <c r="CF57" s="433"/>
      <c r="CG57" s="431"/>
      <c r="CH57" s="431"/>
      <c r="CI57" s="431"/>
      <c r="CJ57" s="431"/>
      <c r="CK57" s="431"/>
      <c r="CL57" s="440"/>
      <c r="CM57" s="440"/>
      <c r="CN57" s="440"/>
      <c r="CO57" s="440"/>
      <c r="CP57" s="432"/>
      <c r="CQ57" s="437"/>
      <c r="CR57" s="437"/>
      <c r="CS57" s="437"/>
      <c r="CT57" s="440"/>
      <c r="CU57" s="440"/>
      <c r="CV57" s="439"/>
      <c r="CW57" s="440"/>
      <c r="CX57" s="440"/>
      <c r="CY57" s="432"/>
      <c r="CZ57" s="430"/>
      <c r="DA57" s="430"/>
      <c r="DB57" s="430"/>
      <c r="DC57" s="440"/>
      <c r="DD57" s="440"/>
      <c r="DE57" s="440"/>
      <c r="DF57" s="440"/>
      <c r="DG57" s="437"/>
      <c r="DH57" s="437"/>
      <c r="DI57" s="437"/>
      <c r="DJ57" s="437"/>
      <c r="DK57" s="439"/>
      <c r="DL57" s="442"/>
      <c r="DM57" s="432"/>
      <c r="DN57" s="430"/>
      <c r="DO57" s="440"/>
      <c r="DP57" s="440"/>
      <c r="DQ57" s="437"/>
      <c r="DR57" s="437"/>
      <c r="DS57" s="47" t="str">
        <f>IFERROR(1/(1/SUMIFS(KP_MAT!$J:$J,KP_MAT!$C:$C,$C57)),"")</f>
        <v/>
      </c>
      <c r="DT57" s="33" t="str">
        <f>$DS57</f>
        <v/>
      </c>
      <c r="DU57" s="144" t="str">
        <f>IF(SUM($DS57)=0,"",(SUM($DT57)-$DS57)/$DS57)</f>
        <v/>
      </c>
      <c r="DV57" s="432"/>
      <c r="DW57" s="440"/>
      <c r="DX57" s="443"/>
    </row>
    <row r="58" spans="1:128" x14ac:dyDescent="0.2">
      <c r="A58" t="s">
        <v>11</v>
      </c>
      <c r="E58" s="432"/>
      <c r="F58" s="430"/>
      <c r="G58" s="430"/>
      <c r="H58" s="430"/>
      <c r="I58" s="430"/>
      <c r="J58" s="430"/>
      <c r="K58" s="430"/>
      <c r="L58" s="431"/>
      <c r="M58" s="432"/>
      <c r="N58" s="440"/>
      <c r="O58" s="431"/>
      <c r="P58" s="430"/>
      <c r="Q58" s="431"/>
      <c r="R58" s="441"/>
      <c r="S58" s="440"/>
      <c r="T58" s="431"/>
      <c r="U58" s="433"/>
      <c r="V58" s="431"/>
      <c r="W58" s="430"/>
      <c r="X58" s="431"/>
      <c r="Y58" s="440"/>
      <c r="Z58" s="433"/>
      <c r="AA58" s="430"/>
      <c r="AB58" s="431"/>
      <c r="AC58" s="440"/>
      <c r="AD58" s="433"/>
      <c r="AE58" s="440"/>
      <c r="AF58" s="433"/>
      <c r="AG58" s="440"/>
      <c r="AH58" s="433"/>
      <c r="AI58" s="434"/>
      <c r="AJ58" s="431"/>
      <c r="AK58" s="431"/>
      <c r="AL58" s="431"/>
      <c r="AM58" s="431"/>
      <c r="AN58" s="431"/>
      <c r="AO58" s="431"/>
      <c r="AP58" s="431"/>
      <c r="AQ58" s="435"/>
      <c r="AR58" s="436"/>
      <c r="AS58" s="436"/>
      <c r="AT58" s="436"/>
      <c r="AU58" s="436"/>
      <c r="AV58" s="436"/>
      <c r="AW58" s="436"/>
      <c r="AX58" s="436"/>
      <c r="AY58" s="436"/>
      <c r="AZ58" s="431"/>
      <c r="BA58" s="432"/>
      <c r="BB58" s="437"/>
      <c r="BC58" s="437"/>
      <c r="BD58" s="440"/>
      <c r="BE58" s="432"/>
      <c r="BF58" s="440"/>
      <c r="BG58" s="431"/>
      <c r="BH58" s="438"/>
      <c r="BI58" s="440"/>
      <c r="BJ58" s="440"/>
      <c r="BK58" s="439"/>
      <c r="BL58" s="440"/>
      <c r="BM58" s="440"/>
      <c r="BN58" s="432"/>
      <c r="BO58" s="430"/>
      <c r="BP58" s="440"/>
      <c r="BQ58" s="440"/>
      <c r="BR58" s="431"/>
      <c r="BS58" s="431"/>
      <c r="BT58" s="432"/>
      <c r="BU58" s="440"/>
      <c r="BV58" s="431"/>
      <c r="BW58" s="432"/>
      <c r="BX58" s="440"/>
      <c r="BY58" s="431"/>
      <c r="BZ58" s="432"/>
      <c r="CA58" s="430"/>
      <c r="CB58" s="431"/>
      <c r="CC58" s="431"/>
      <c r="CD58" s="440"/>
      <c r="CE58" s="431"/>
      <c r="CF58" s="433"/>
      <c r="CG58" s="431"/>
      <c r="CH58" s="431"/>
      <c r="CI58" s="431"/>
      <c r="CJ58" s="431"/>
      <c r="CK58" s="431"/>
      <c r="CL58" s="431"/>
      <c r="CM58" s="431"/>
      <c r="CN58" s="431"/>
      <c r="CO58" s="431"/>
      <c r="CP58" s="433" t="str">
        <f>IFERROR(1/(1/SUM(TX_TB_PREV!$W:$X)),"")</f>
        <v/>
      </c>
      <c r="CQ58" s="437" t="str">
        <f>IFERROR(1/(1/SUM(TX_TB_PREV!$Z:$AA)),"")</f>
        <v/>
      </c>
      <c r="CR58" s="437"/>
      <c r="CS58" s="437"/>
      <c r="CT58" s="431"/>
      <c r="CU58" s="431"/>
      <c r="CV58" s="439" t="str">
        <f>IFERROR(1/(1/SUM(TX_TB_PREV!$W:$X)),"")</f>
        <v/>
      </c>
      <c r="CW58" s="431"/>
      <c r="CX58" s="431"/>
      <c r="CY58" s="432"/>
      <c r="CZ58" s="430"/>
      <c r="DA58" s="430"/>
      <c r="DB58" s="430"/>
      <c r="DC58" s="440"/>
      <c r="DD58" s="440"/>
      <c r="DE58" s="440"/>
      <c r="DF58" s="440"/>
      <c r="DG58" s="437"/>
      <c r="DH58" s="437"/>
      <c r="DI58" s="437"/>
      <c r="DJ58" s="437"/>
      <c r="DK58" s="439"/>
      <c r="DL58" s="442"/>
      <c r="DM58" s="432"/>
      <c r="DN58" s="430"/>
      <c r="DO58" s="440"/>
      <c r="DP58" s="440"/>
      <c r="DQ58" s="437"/>
      <c r="DR58" s="437"/>
      <c r="DS58" s="432" t="str">
        <f>IFERROR(1/(1/SUM(KP_MAT!$J:$J)),"")</f>
        <v/>
      </c>
      <c r="DT58" s="440" t="str">
        <f>$DS58</f>
        <v/>
      </c>
      <c r="DU58" s="437" t="str">
        <f>IF(SUM($DS58)=0,"",(SUM($DT58)-$DS58)/$DS58)</f>
        <v/>
      </c>
      <c r="DV58" s="47" t="str">
        <f>IFERROR(1/(1/SUM(GEND!$G:$H)),"")</f>
        <v/>
      </c>
      <c r="DX58" s="98" t="str">
        <f>IF(SUM($DV58)=0,"",(SUM($DW58)-$DV58)/$DV58)</f>
        <v/>
      </c>
    </row>
  </sheetData>
  <mergeCells count="1">
    <mergeCell ref="A2:C3"/>
  </mergeCells>
  <conditionalFormatting sqref="AQ1:AY1048576">
    <cfRule type="expression" dxfId="125" priority="1">
      <formula>AND(ISNUMBER(AQ1),AQ1&lt;&gt;AH1)</formula>
    </cfRule>
  </conditionalFormatting>
  <conditionalFormatting sqref="AZ1:AZ1048576">
    <cfRule type="expression" dxfId="124" priority="2">
      <formula>AND(ISNUMBER($AZ1),SUM($AG1)&lt;&gt;0,$AZ1&lt;&gt;1)</formula>
    </cfRule>
  </conditionalFormatting>
  <hyperlinks>
    <hyperlink ref="G3" location="Cascade!AM:AM" display="TX_CURR (FY24)" xr:uid="{5E0C2FA0-E468-F24D-B6A3-5267CE319152}"/>
    <hyperlink ref="F3" location="Cascade!AU:AU" display="Cascade!AU:AU" xr:uid="{72B87173-2BD7-BB42-A369-70B25BBDE0E1}"/>
    <hyperlink ref="E3" location="Cascade!BE:BE" display="HTS_TST_POS + PMTCT_HEI_POS (FY24)" xr:uid="{71C57D75-67E1-3849-8749-D858FC8DD7FC}"/>
    <hyperlink ref="H3" location="Cascade!AY:AY" display="TX_PVLS (D) Routine (FY24)" xr:uid="{6463EE42-7643-0646-BE91-1FA71A36E9AF}"/>
    <hyperlink ref="I3" location="Cascade!BB:BB" display="TX_PVLS (N) Routine (FY24)" xr:uid="{8A800ED7-92B8-114F-BDB9-0E3BCC919F19}"/>
    <hyperlink ref="J3" location="Cascade!AH:AH" display="Cascade!AH:AH" xr:uid="{70DB61A9-9CA7-E149-8903-89CEFC55B110}"/>
    <hyperlink ref="L3" location="Cascade!AO:AO" display="Cascade!AO:AO" xr:uid="{076B10DB-0757-2D4B-B83E-C339B0A637AE}"/>
    <hyperlink ref="K3" location="Cascade!AN:AN" display="Cascade!AN:AN" xr:uid="{DEB06659-2898-0044-9FED-7AEFD70DEBD5}"/>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7"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0" t="s">
        <v>46</v>
      </c>
      <c r="C1" s="1"/>
      <c r="D1" s="1"/>
      <c r="E1" s="1"/>
      <c r="F1" s="212" t="s">
        <v>1155</v>
      </c>
      <c r="G1" s="183"/>
      <c r="H1" s="211"/>
      <c r="I1" s="183"/>
      <c r="J1" s="185"/>
      <c r="K1" s="183"/>
      <c r="L1" s="183"/>
      <c r="M1" s="183"/>
      <c r="N1" s="183"/>
      <c r="O1" s="183"/>
      <c r="P1" s="183"/>
      <c r="Q1" s="183"/>
      <c r="R1" s="212" t="s">
        <v>791</v>
      </c>
      <c r="S1" s="184"/>
      <c r="T1" s="213"/>
      <c r="U1" s="184"/>
      <c r="V1" s="213"/>
      <c r="W1" s="214" t="s">
        <v>795</v>
      </c>
      <c r="X1" s="186"/>
      <c r="Y1" s="186"/>
      <c r="Z1" s="186"/>
      <c r="AA1" s="181"/>
      <c r="AB1" s="181"/>
      <c r="AC1" s="181"/>
      <c r="AD1" s="181"/>
      <c r="AE1" s="215" t="s">
        <v>1136</v>
      </c>
      <c r="AF1" s="181"/>
      <c r="AG1" s="181"/>
      <c r="AH1" s="181"/>
      <c r="AI1" s="214" t="s">
        <v>799</v>
      </c>
      <c r="AJ1" s="179"/>
      <c r="AK1" s="187"/>
      <c r="AL1" s="212" t="s">
        <v>1137</v>
      </c>
      <c r="AM1" s="179"/>
      <c r="AN1" s="187"/>
      <c r="AO1" s="215" t="s">
        <v>792</v>
      </c>
      <c r="AP1" s="186"/>
      <c r="AQ1" s="186"/>
      <c r="AR1" s="186"/>
      <c r="AS1" s="181"/>
      <c r="AT1" s="181"/>
      <c r="AU1" s="181"/>
      <c r="AV1" s="215" t="s">
        <v>370</v>
      </c>
      <c r="AW1" s="181"/>
      <c r="AX1" s="344"/>
      <c r="AY1" s="344"/>
      <c r="AZ1" s="344"/>
      <c r="BA1" s="344"/>
    </row>
    <row r="2" spans="1:53" s="21" customFormat="1" ht="19" customHeight="1" x14ac:dyDescent="0.25">
      <c r="A2" s="419" t="s">
        <v>580</v>
      </c>
      <c r="B2" s="415"/>
      <c r="D2" s="2"/>
      <c r="E2" s="2"/>
      <c r="F2" s="52"/>
      <c r="G2" s="46"/>
      <c r="H2" s="89"/>
      <c r="I2" s="46"/>
      <c r="J2" s="3"/>
      <c r="K2" s="46"/>
      <c r="L2" s="46"/>
      <c r="M2" s="46"/>
      <c r="N2" s="46"/>
      <c r="O2" s="46"/>
      <c r="P2" s="46"/>
      <c r="Q2" s="46"/>
      <c r="R2" s="52"/>
      <c r="S2" s="3"/>
      <c r="T2" s="263" t="s">
        <v>774</v>
      </c>
      <c r="U2" s="3"/>
      <c r="V2" s="263" t="s">
        <v>774</v>
      </c>
      <c r="W2" s="120"/>
      <c r="X2" s="121"/>
      <c r="Y2" s="121"/>
      <c r="Z2" s="121"/>
      <c r="AA2" s="264" t="s">
        <v>774</v>
      </c>
      <c r="AB2" s="264" t="s">
        <v>774</v>
      </c>
      <c r="AC2" s="264" t="s">
        <v>774</v>
      </c>
      <c r="AD2" s="264" t="s">
        <v>774</v>
      </c>
      <c r="AE2" s="265" t="s">
        <v>774</v>
      </c>
      <c r="AF2" s="264" t="s">
        <v>774</v>
      </c>
      <c r="AG2" s="264" t="s">
        <v>774</v>
      </c>
      <c r="AH2" s="264" t="s">
        <v>774</v>
      </c>
      <c r="AI2" s="120"/>
      <c r="AJ2" s="264" t="s">
        <v>774</v>
      </c>
      <c r="AK2" s="264" t="s">
        <v>774</v>
      </c>
      <c r="AL2" s="265" t="s">
        <v>774</v>
      </c>
      <c r="AM2" s="264" t="s">
        <v>774</v>
      </c>
      <c r="AN2" s="264" t="s">
        <v>774</v>
      </c>
      <c r="AO2" s="50"/>
      <c r="AP2" s="121"/>
      <c r="AQ2" s="121"/>
      <c r="AR2" s="121"/>
      <c r="AS2" s="264" t="s">
        <v>774</v>
      </c>
      <c r="AT2" s="264" t="s">
        <v>774</v>
      </c>
      <c r="AU2" s="46"/>
      <c r="AV2" s="50"/>
      <c r="AW2" s="34"/>
      <c r="AX2" s="345"/>
      <c r="AY2" s="345"/>
      <c r="AZ2" s="345"/>
      <c r="BA2" s="345"/>
    </row>
    <row r="3" spans="1:53" ht="117" customHeight="1" thickBot="1" x14ac:dyDescent="0.25">
      <c r="A3" s="416"/>
      <c r="B3" s="417"/>
      <c r="D3" s="17"/>
      <c r="E3" s="17"/>
      <c r="F3" s="127" t="s">
        <v>1156</v>
      </c>
      <c r="G3" s="128" t="s">
        <v>1157</v>
      </c>
      <c r="H3" s="129" t="s">
        <v>1147</v>
      </c>
      <c r="I3" s="128" t="s">
        <v>1158</v>
      </c>
      <c r="J3" s="130" t="s">
        <v>1159</v>
      </c>
      <c r="K3" s="201" t="s">
        <v>1160</v>
      </c>
      <c r="L3" s="201" t="s">
        <v>1161</v>
      </c>
      <c r="M3" s="201" t="s">
        <v>1162</v>
      </c>
      <c r="N3" s="201" t="s">
        <v>1163</v>
      </c>
      <c r="O3" s="201" t="s">
        <v>1164</v>
      </c>
      <c r="P3" s="201" t="s">
        <v>1165</v>
      </c>
      <c r="Q3" s="201" t="s">
        <v>1166</v>
      </c>
      <c r="R3" s="67" t="s">
        <v>790</v>
      </c>
      <c r="S3" s="224" t="s">
        <v>156</v>
      </c>
      <c r="T3" s="262" t="s">
        <v>593</v>
      </c>
      <c r="U3" s="224" t="s">
        <v>1167</v>
      </c>
      <c r="V3" s="262" t="s">
        <v>1168</v>
      </c>
      <c r="W3" s="153" t="s">
        <v>814</v>
      </c>
      <c r="X3" s="226" t="s">
        <v>812</v>
      </c>
      <c r="Y3" s="122" t="s">
        <v>793</v>
      </c>
      <c r="Z3" s="226" t="s">
        <v>794</v>
      </c>
      <c r="AA3" s="59" t="s">
        <v>594</v>
      </c>
      <c r="AB3" s="30" t="s">
        <v>796</v>
      </c>
      <c r="AC3" s="30" t="s">
        <v>797</v>
      </c>
      <c r="AD3" s="30" t="s">
        <v>798</v>
      </c>
      <c r="AE3" s="266" t="s">
        <v>1169</v>
      </c>
      <c r="AF3" s="257" t="s">
        <v>1170</v>
      </c>
      <c r="AG3" s="257" t="s">
        <v>1171</v>
      </c>
      <c r="AH3" s="257" t="s">
        <v>1172</v>
      </c>
      <c r="AI3" s="157" t="s">
        <v>655</v>
      </c>
      <c r="AJ3" s="30" t="s">
        <v>595</v>
      </c>
      <c r="AK3" s="30" t="s">
        <v>596</v>
      </c>
      <c r="AL3" s="266" t="s">
        <v>1173</v>
      </c>
      <c r="AM3" s="257" t="s">
        <v>1174</v>
      </c>
      <c r="AN3" s="257" t="s">
        <v>1175</v>
      </c>
      <c r="AO3" s="227" t="s">
        <v>656</v>
      </c>
      <c r="AP3" s="158" t="s">
        <v>662</v>
      </c>
      <c r="AQ3" s="228" t="s">
        <v>657</v>
      </c>
      <c r="AR3" s="158" t="s">
        <v>655</v>
      </c>
      <c r="AS3" s="30" t="s">
        <v>597</v>
      </c>
      <c r="AT3" s="30" t="s">
        <v>598</v>
      </c>
      <c r="AU3" s="68" t="s">
        <v>658</v>
      </c>
      <c r="AV3" s="72" t="s">
        <v>800</v>
      </c>
      <c r="AW3" s="131" t="s">
        <v>659</v>
      </c>
      <c r="AX3" s="131" t="s">
        <v>801</v>
      </c>
      <c r="AY3" s="131" t="s">
        <v>802</v>
      </c>
      <c r="AZ3" s="131" t="s">
        <v>819</v>
      </c>
      <c r="BA3" s="68" t="s">
        <v>661</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8"/>
      <c r="AQ4" s="348" t="str">
        <f>IF($AO$4=0,"",$AS$4/$AO$4)</f>
        <v/>
      </c>
      <c r="AR4" s="348"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7" t="s">
        <v>521</v>
      </c>
      <c r="L8" s="277" t="s">
        <v>522</v>
      </c>
      <c r="M8" s="277" t="s">
        <v>522</v>
      </c>
      <c r="N8" s="277" t="s">
        <v>522</v>
      </c>
      <c r="O8" s="277" t="s">
        <v>523</v>
      </c>
      <c r="P8" s="277" t="s">
        <v>524</v>
      </c>
      <c r="Q8" s="277" t="s">
        <v>524</v>
      </c>
      <c r="R8" s="279" t="s">
        <v>74</v>
      </c>
      <c r="S8" s="144"/>
      <c r="T8" s="273" t="s">
        <v>74</v>
      </c>
      <c r="U8" s="144"/>
      <c r="V8" s="273" t="s">
        <v>521</v>
      </c>
      <c r="AB8" s="272" t="s">
        <v>76</v>
      </c>
      <c r="AC8" s="273" t="s">
        <v>76</v>
      </c>
      <c r="AD8" s="273" t="s">
        <v>76</v>
      </c>
      <c r="AF8" s="273" t="s">
        <v>522</v>
      </c>
      <c r="AG8" s="273" t="s">
        <v>522</v>
      </c>
      <c r="AH8" s="273" t="s">
        <v>522</v>
      </c>
      <c r="AI8" s="143"/>
      <c r="AJ8" s="273" t="s">
        <v>78</v>
      </c>
      <c r="AK8" s="273" t="s">
        <v>78</v>
      </c>
      <c r="AL8" s="290" t="s">
        <v>523</v>
      </c>
      <c r="AM8" s="273" t="s">
        <v>524</v>
      </c>
      <c r="AN8" s="273" t="s">
        <v>524</v>
      </c>
      <c r="AP8" s="144"/>
      <c r="AQ8" s="144"/>
      <c r="AR8" s="144"/>
      <c r="AS8" s="273" t="s">
        <v>518</v>
      </c>
      <c r="AT8" s="273" t="s">
        <v>518</v>
      </c>
    </row>
    <row r="9" spans="1:53" x14ac:dyDescent="0.2">
      <c r="F9" s="47"/>
      <c r="G9" s="36"/>
      <c r="H9" s="82"/>
      <c r="I9" s="36"/>
      <c r="J9" s="11"/>
      <c r="K9" s="277"/>
      <c r="L9" s="277"/>
      <c r="M9" s="277"/>
      <c r="N9" s="277"/>
      <c r="O9" s="277"/>
      <c r="P9" s="277"/>
      <c r="Q9" s="277"/>
      <c r="R9" s="279" t="s">
        <v>75</v>
      </c>
      <c r="S9" s="144"/>
      <c r="T9" s="273" t="s">
        <v>75</v>
      </c>
      <c r="U9" s="144"/>
      <c r="V9" s="273"/>
      <c r="AB9" s="272" t="s">
        <v>77</v>
      </c>
      <c r="AC9" s="273" t="s">
        <v>77</v>
      </c>
      <c r="AD9" s="273" t="s">
        <v>77</v>
      </c>
      <c r="AF9" s="273"/>
      <c r="AG9" s="273"/>
      <c r="AH9" s="273"/>
      <c r="AI9" s="143"/>
      <c r="AJ9" s="273" t="s">
        <v>79</v>
      </c>
      <c r="AK9" s="273" t="s">
        <v>79</v>
      </c>
      <c r="AL9" s="290"/>
      <c r="AM9" s="273"/>
      <c r="AN9" s="273"/>
      <c r="AP9" s="144"/>
      <c r="AQ9" s="144"/>
      <c r="AR9" s="144"/>
      <c r="AS9" s="273" t="s">
        <v>519</v>
      </c>
      <c r="AT9" s="273" t="s">
        <v>519</v>
      </c>
    </row>
    <row r="10" spans="1:53" x14ac:dyDescent="0.2">
      <c r="F10" s="47"/>
      <c r="G10" s="36"/>
      <c r="H10" s="82"/>
      <c r="I10" s="36"/>
      <c r="J10" s="11"/>
      <c r="K10" s="277"/>
      <c r="L10" s="277" t="s">
        <v>62</v>
      </c>
      <c r="M10" s="277" t="s">
        <v>63</v>
      </c>
      <c r="N10" s="277" t="s">
        <v>64</v>
      </c>
      <c r="O10" s="277" t="s">
        <v>65</v>
      </c>
      <c r="P10" s="277" t="s">
        <v>81</v>
      </c>
      <c r="Q10" s="277" t="s">
        <v>80</v>
      </c>
      <c r="R10" s="279"/>
      <c r="S10" s="144"/>
      <c r="T10" s="273"/>
      <c r="U10" s="144"/>
      <c r="V10" s="273"/>
      <c r="AB10" s="272" t="s">
        <v>62</v>
      </c>
      <c r="AC10" s="273" t="s">
        <v>63</v>
      </c>
      <c r="AD10" s="273" t="s">
        <v>64</v>
      </c>
      <c r="AF10" s="273" t="s">
        <v>62</v>
      </c>
      <c r="AG10" s="273" t="s">
        <v>63</v>
      </c>
      <c r="AH10" s="273" t="s">
        <v>64</v>
      </c>
      <c r="AI10" s="143"/>
      <c r="AJ10" s="273" t="s">
        <v>81</v>
      </c>
      <c r="AK10" s="273" t="s">
        <v>80</v>
      </c>
      <c r="AL10" s="290" t="s">
        <v>65</v>
      </c>
      <c r="AM10" s="273" t="s">
        <v>81</v>
      </c>
      <c r="AN10" s="273" t="s">
        <v>80</v>
      </c>
      <c r="AP10" s="144"/>
      <c r="AQ10" s="144"/>
      <c r="AR10" s="144"/>
      <c r="AS10" s="273" t="s">
        <v>65</v>
      </c>
      <c r="AT10" s="273" t="s">
        <v>82</v>
      </c>
    </row>
    <row r="11" spans="1:53" x14ac:dyDescent="0.2">
      <c r="F11" s="47" t="s">
        <v>876</v>
      </c>
      <c r="G11" s="36" t="s">
        <v>876</v>
      </c>
      <c r="H11" s="82" t="s">
        <v>876</v>
      </c>
      <c r="I11" s="36" t="s">
        <v>876</v>
      </c>
      <c r="J11" s="11" t="s">
        <v>876</v>
      </c>
      <c r="K11" s="36" t="s">
        <v>876</v>
      </c>
      <c r="L11" s="36" t="s">
        <v>876</v>
      </c>
      <c r="M11" s="36" t="s">
        <v>876</v>
      </c>
      <c r="N11" s="36" t="s">
        <v>876</v>
      </c>
      <c r="O11" s="36" t="s">
        <v>876</v>
      </c>
      <c r="P11" s="36" t="s">
        <v>876</v>
      </c>
      <c r="Q11" s="36" t="s">
        <v>876</v>
      </c>
      <c r="R11" s="47" t="s">
        <v>876</v>
      </c>
      <c r="S11" s="11" t="s">
        <v>876</v>
      </c>
      <c r="T11" s="33" t="s">
        <v>876</v>
      </c>
      <c r="U11" s="11" t="s">
        <v>876</v>
      </c>
      <c r="V11" s="33" t="s">
        <v>876</v>
      </c>
      <c r="W11" s="81" t="s">
        <v>876</v>
      </c>
      <c r="X11" s="124" t="s">
        <v>876</v>
      </c>
      <c r="Y11" s="124" t="s">
        <v>876</v>
      </c>
      <c r="Z11" s="124" t="s">
        <v>876</v>
      </c>
      <c r="AA11" s="33" t="s">
        <v>876</v>
      </c>
      <c r="AB11" s="63" t="s">
        <v>876</v>
      </c>
      <c r="AC11" s="33" t="s">
        <v>876</v>
      </c>
      <c r="AD11" s="33" t="s">
        <v>876</v>
      </c>
      <c r="AE11" s="60" t="s">
        <v>876</v>
      </c>
      <c r="AF11" s="33" t="s">
        <v>876</v>
      </c>
      <c r="AG11" s="33" t="s">
        <v>876</v>
      </c>
      <c r="AH11" s="33" t="s">
        <v>876</v>
      </c>
      <c r="AI11" s="81" t="s">
        <v>876</v>
      </c>
      <c r="AJ11" s="33" t="s">
        <v>876</v>
      </c>
      <c r="AK11" s="33" t="s">
        <v>876</v>
      </c>
      <c r="AL11" s="60" t="s">
        <v>876</v>
      </c>
      <c r="AM11" s="33" t="s">
        <v>876</v>
      </c>
      <c r="AN11" s="33" t="s">
        <v>876</v>
      </c>
      <c r="AO11" s="47" t="s">
        <v>876</v>
      </c>
      <c r="AP11" s="11" t="s">
        <v>876</v>
      </c>
      <c r="AQ11" s="11" t="s">
        <v>876</v>
      </c>
      <c r="AR11" s="11" t="s">
        <v>876</v>
      </c>
      <c r="AS11" s="33" t="s">
        <v>876</v>
      </c>
      <c r="AT11" s="33" t="s">
        <v>876</v>
      </c>
      <c r="AU11" s="36" t="s">
        <v>876</v>
      </c>
      <c r="AV11" s="47" t="s">
        <v>876</v>
      </c>
      <c r="AW11" s="36" t="s">
        <v>876</v>
      </c>
      <c r="AX11" s="155" t="s">
        <v>876</v>
      </c>
      <c r="AY11" s="155" t="s">
        <v>876</v>
      </c>
      <c r="AZ11" s="155" t="s">
        <v>876</v>
      </c>
      <c r="BA11" s="155" t="s">
        <v>876</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9" t="s">
        <v>44</v>
      </c>
      <c r="B14" s="207" t="s">
        <v>3</v>
      </c>
      <c r="C14" s="207" t="s">
        <v>25</v>
      </c>
      <c r="D14" s="207" t="s">
        <v>4</v>
      </c>
      <c r="E14" s="207" t="s">
        <v>47</v>
      </c>
      <c r="F14" s="218" t="s">
        <v>188</v>
      </c>
      <c r="G14" s="194" t="s">
        <v>189</v>
      </c>
      <c r="H14" s="216" t="s">
        <v>191</v>
      </c>
      <c r="I14" s="194" t="s">
        <v>192</v>
      </c>
      <c r="J14" s="195" t="s">
        <v>638</v>
      </c>
      <c r="K14" s="194" t="s">
        <v>193</v>
      </c>
      <c r="L14" s="194" t="s">
        <v>905</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906</v>
      </c>
      <c r="AG14" s="220" t="s">
        <v>502</v>
      </c>
      <c r="AH14" s="220" t="s">
        <v>503</v>
      </c>
      <c r="AI14" s="223" t="s">
        <v>331</v>
      </c>
      <c r="AJ14" s="220" t="s">
        <v>208</v>
      </c>
      <c r="AK14" s="220" t="s">
        <v>510</v>
      </c>
      <c r="AL14" s="222" t="s">
        <v>506</v>
      </c>
      <c r="AM14" s="220" t="s">
        <v>507</v>
      </c>
      <c r="AN14" s="220" t="s">
        <v>508</v>
      </c>
      <c r="AO14" s="222" t="s">
        <v>313</v>
      </c>
      <c r="AP14" s="195" t="s">
        <v>839</v>
      </c>
      <c r="AQ14" s="195" t="s">
        <v>314</v>
      </c>
      <c r="AR14" s="195" t="s">
        <v>315</v>
      </c>
      <c r="AS14" s="221" t="s">
        <v>231</v>
      </c>
      <c r="AT14" s="221" t="s">
        <v>232</v>
      </c>
      <c r="AU14" s="220" t="s">
        <v>316</v>
      </c>
      <c r="AV14" s="222" t="s">
        <v>317</v>
      </c>
      <c r="AW14" s="220" t="s">
        <v>318</v>
      </c>
      <c r="AX14" s="346" t="s">
        <v>803</v>
      </c>
      <c r="AY14" s="346" t="s">
        <v>804</v>
      </c>
      <c r="AZ14" s="346" t="s">
        <v>820</v>
      </c>
      <c r="BA14" s="346" t="s">
        <v>805</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IF(SUM($AC15)=0,"",INDEX(Cascade!$BF:$BF,MATCH($E15,Cascade!$E:$E,0)))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IF(SUM($AO15)=0,"",INDEX(Cascade!$BF:$BF,MATCH($E15,Cascade!$E:$E,0)))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IFERROR(1/(1/INDEX(Cascade!$BG:$BG,MATCH($E15,Cascade!$E:$E,0))),"")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123" priority="49">
      <formula>AND(ISNUMBER($S1),ROUND($S1,2)&lt;&gt;0)</formula>
    </cfRule>
  </conditionalFormatting>
  <conditionalFormatting sqref="AI1:AI1048576 AR1:AR1048576">
    <cfRule type="expression" dxfId="122" priority="47">
      <formula>AND(ISNUMBER(AI1),ROUND(AI1,2)&lt;0.95)</formula>
    </cfRule>
  </conditionalFormatting>
  <conditionalFormatting sqref="X1:X1048576">
    <cfRule type="expression" dxfId="121" priority="4">
      <formula>$AB1="ENTER KNOWN POSITIVITY RATE"</formula>
    </cfRule>
    <cfRule type="expression" dxfId="120" priority="1283">
      <formula>AND(ISNUMBER(X1),ROUND(X1,2)&gt;=0.75)</formula>
    </cfRule>
  </conditionalFormatting>
  <conditionalFormatting sqref="Z1:Z1048576 AQ1:AQ1048576">
    <cfRule type="expression" dxfId="119" priority="24">
      <formula>AND(ISNUMBER(Z1),Z1&gt;10%)</formula>
    </cfRule>
  </conditionalFormatting>
  <conditionalFormatting sqref="F1:Q1048576 U1:V1048576 AE1:AH1048576 AL1:AN1048576">
    <cfRule type="expression" dxfId="118" priority="1">
      <formula>AND(ROW(F1)&gt;14,LEFT($B1,4)="_Mil")</formula>
    </cfRule>
  </conditionalFormatting>
  <conditionalFormatting sqref="H1:H1048576 U1:U1048576 W1:Z1048576 AI1:AI1048576 AP1:AR1048576">
    <cfRule type="expression" dxfId="117" priority="7">
      <formula>AND(ISNUMBER(H1),H1&gt;1)</formula>
    </cfRule>
  </conditionalFormatting>
  <conditionalFormatting sqref="F1:R1048576 T1:BA1048576">
    <cfRule type="expression" dxfId="116" priority="2">
      <formula>AND(ISNUMBER(F1),F1&lt;0)</formula>
    </cfRule>
  </conditionalFormatting>
  <conditionalFormatting sqref="AQ1:AQ1048576">
    <cfRule type="expression" dxfId="115" priority="6">
      <formula>$AS1="ENTER YIELD RATE"</formula>
    </cfRule>
  </conditionalFormatting>
  <conditionalFormatting sqref="Z1:Z1048576">
    <cfRule type="expression" dxfId="114" priority="5">
      <formula>$AC1="ENTER YIELD RATE"</formula>
    </cfRule>
  </conditionalFormatting>
  <conditionalFormatting sqref="J1:J1048576">
    <cfRule type="expression" dxfId="113"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V:V" display="H.C. Est. HIV Prevalence (FY23) (%)" xr:uid="{5FF09F6B-1BA6-A247-A7AB-EF4027EBC38D}"/>
    <hyperlink ref="I3" location="Cascade!Y:Y" display="H.C. Est. # on ART (FY23)" xr:uid="{AE293FF8-6531-8E47-9771-94756A48F05D}"/>
    <hyperlink ref="J3" location="Cascade!Z:Z" display="H.C. Est. ART Coverage (ART/PLHIV) (FY23) (%)" xr:uid="{62172621-78AD-F245-A486-21A9FED7A825}"/>
    <hyperlink ref="AW3" location="Cascade!BE:BE"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0"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58" t="s">
        <v>774</v>
      </c>
      <c r="G2" s="258" t="s">
        <v>774</v>
      </c>
      <c r="H2" s="120"/>
      <c r="I2" s="121"/>
      <c r="J2" s="121"/>
      <c r="L2" s="258" t="s">
        <v>774</v>
      </c>
      <c r="N2" s="258" t="s">
        <v>774</v>
      </c>
      <c r="P2" s="258" t="s">
        <v>774</v>
      </c>
      <c r="R2" s="259"/>
      <c r="T2" s="258" t="s">
        <v>774</v>
      </c>
      <c r="V2" s="258" t="s">
        <v>774</v>
      </c>
    </row>
    <row r="3" spans="1:22" ht="117" customHeight="1" x14ac:dyDescent="0.2">
      <c r="A3" s="297"/>
      <c r="B3" s="17"/>
      <c r="C3" s="127" t="s">
        <v>664</v>
      </c>
      <c r="D3" s="224" t="s">
        <v>778</v>
      </c>
      <c r="E3" s="224" t="s">
        <v>779</v>
      </c>
      <c r="F3" s="30" t="s">
        <v>781</v>
      </c>
      <c r="G3" s="30" t="s">
        <v>780</v>
      </c>
      <c r="H3" s="157" t="s">
        <v>783</v>
      </c>
      <c r="I3" s="158" t="s">
        <v>784</v>
      </c>
      <c r="J3" s="228" t="s">
        <v>782</v>
      </c>
      <c r="K3" s="248" t="s">
        <v>785</v>
      </c>
      <c r="L3" s="31" t="s">
        <v>665</v>
      </c>
      <c r="M3" s="248" t="s">
        <v>655</v>
      </c>
      <c r="N3" s="31" t="s">
        <v>789</v>
      </c>
      <c r="O3" s="248" t="s">
        <v>666</v>
      </c>
      <c r="P3" s="31" t="s">
        <v>667</v>
      </c>
      <c r="Q3" s="228" t="s">
        <v>787</v>
      </c>
      <c r="R3" s="159" t="s">
        <v>668</v>
      </c>
      <c r="S3" s="228" t="s">
        <v>786</v>
      </c>
      <c r="T3" s="31" t="s">
        <v>669</v>
      </c>
      <c r="U3" s="228" t="s">
        <v>670</v>
      </c>
      <c r="V3" s="31" t="s">
        <v>671</v>
      </c>
    </row>
    <row r="4" spans="1:22" x14ac:dyDescent="0.2">
      <c r="A4" s="298"/>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0"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0"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0" t="s">
        <v>55</v>
      </c>
      <c r="S7" s="142" t="s">
        <v>56</v>
      </c>
      <c r="T7" s="33" t="s">
        <v>55</v>
      </c>
      <c r="U7" s="142" t="s">
        <v>56</v>
      </c>
      <c r="V7" s="33" t="s">
        <v>55</v>
      </c>
    </row>
    <row r="8" spans="1:22" x14ac:dyDescent="0.2">
      <c r="B8" s="5"/>
      <c r="F8" s="273" t="s">
        <v>83</v>
      </c>
      <c r="G8" s="273" t="s">
        <v>83</v>
      </c>
      <c r="H8" s="143"/>
      <c r="I8" s="270"/>
      <c r="J8" s="270"/>
      <c r="K8" s="144"/>
      <c r="M8" s="144"/>
      <c r="O8" s="144"/>
      <c r="Q8" s="144"/>
      <c r="R8" s="104"/>
      <c r="S8" s="144"/>
      <c r="U8" s="144"/>
    </row>
    <row r="9" spans="1:22" x14ac:dyDescent="0.2">
      <c r="B9" s="5"/>
      <c r="F9" s="273" t="s">
        <v>84</v>
      </c>
      <c r="G9" s="273" t="s">
        <v>84</v>
      </c>
      <c r="H9" s="143"/>
      <c r="I9" s="270"/>
      <c r="J9" s="270"/>
      <c r="K9" s="144"/>
      <c r="M9" s="144"/>
      <c r="O9" s="144"/>
      <c r="Q9" s="144"/>
      <c r="R9" s="104"/>
      <c r="S9" s="144"/>
      <c r="U9" s="144"/>
    </row>
    <row r="10" spans="1:22" x14ac:dyDescent="0.2">
      <c r="B10" s="5"/>
      <c r="F10" s="273" t="s">
        <v>85</v>
      </c>
      <c r="G10" s="273" t="s">
        <v>86</v>
      </c>
      <c r="H10" s="143"/>
      <c r="I10" s="270"/>
      <c r="J10" s="270"/>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9"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555</v>
      </c>
      <c r="P14" s="237" t="s">
        <v>552</v>
      </c>
      <c r="Q14" s="195" t="s">
        <v>556</v>
      </c>
      <c r="R14" s="194" t="s">
        <v>575</v>
      </c>
      <c r="S14" s="195" t="s">
        <v>898</v>
      </c>
      <c r="T14" s="237" t="s">
        <v>554</v>
      </c>
      <c r="U14" s="195" t="s">
        <v>899</v>
      </c>
      <c r="V14" s="237" t="s">
        <v>553</v>
      </c>
    </row>
    <row r="15" spans="1:22" x14ac:dyDescent="0.2">
      <c r="A15" s="302"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12" priority="1268">
      <formula>AND(ISNUMBER(D1),ROUND(D1,2)&lt;0.95)</formula>
    </cfRule>
  </conditionalFormatting>
  <conditionalFormatting sqref="D1:E1048576 H1:K1048576 M1:M1048576 O1:O1048576 Q1:Q1048576 S1:S1048576 U1:U1048576">
    <cfRule type="expression" dxfId="111" priority="3">
      <formula>AND(ISNUMBER(D1),D1&gt;1)</formula>
    </cfRule>
  </conditionalFormatting>
  <conditionalFormatting sqref="K1:K1048576">
    <cfRule type="expression" dxfId="110" priority="6">
      <formula>AND(SUM(G1)&gt;0,SUM(K1)=0)</formula>
    </cfRule>
  </conditionalFormatting>
  <conditionalFormatting sqref="J1:J1048576">
    <cfRule type="expression" dxfId="109" priority="14">
      <formula>AND(SUM(F1)&gt;0,SUM(J1)=0)</formula>
    </cfRule>
  </conditionalFormatting>
  <conditionalFormatting sqref="D1:E1048576">
    <cfRule type="expression" dxfId="108" priority="4">
      <formula>AND(ISNUMBER($D1),ROUND($E1,2)&lt;ROUND($D1,2))</formula>
    </cfRule>
  </conditionalFormatting>
  <conditionalFormatting sqref="C1:V1048576">
    <cfRule type="expression" dxfId="107" priority="1">
      <formula>AND(ISNUMBER(C1),C1&lt;0)</formula>
    </cfRule>
  </conditionalFormatting>
  <conditionalFormatting sqref="O1:O1048576">
    <cfRule type="expression" dxfId="106" priority="24">
      <formula>AND(ISNUMBER(O1),ROUND(O1,2)&lt;98%)</formula>
    </cfRule>
  </conditionalFormatting>
  <conditionalFormatting sqref="Q1:Q1048576">
    <cfRule type="expression" dxfId="105" priority="23">
      <formula>AND(ISNUMBER(Q1),ROUND(Q1,2)&lt;70%)</formula>
    </cfRule>
  </conditionalFormatting>
  <conditionalFormatting sqref="E1:E1048576">
    <cfRule type="expression" dxfId="104"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M:AM" display="HIV+ infants retained on ART at end of FY24" xr:uid="{89871460-7732-6748-8258-655A5F0C2B89}"/>
    <hyperlink ref="L3" location="Cascade!BE:BE"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5" customWidth="1"/>
    <col min="22" max="26" width="11.83203125" style="356" customWidth="1"/>
  </cols>
  <sheetData>
    <row r="1" spans="1:26" s="22" customFormat="1" ht="31" customHeight="1" thickBot="1" x14ac:dyDescent="0.35">
      <c r="A1" s="300" t="s">
        <v>27</v>
      </c>
      <c r="B1" s="4"/>
      <c r="C1" s="1"/>
      <c r="D1" s="1"/>
      <c r="E1" s="1"/>
      <c r="F1" s="215" t="s">
        <v>13</v>
      </c>
      <c r="G1" s="184"/>
      <c r="H1" s="181"/>
      <c r="I1" s="212" t="s">
        <v>14</v>
      </c>
      <c r="J1" s="186"/>
      <c r="K1" s="186"/>
      <c r="L1" s="186"/>
      <c r="M1" s="186"/>
      <c r="N1" s="181"/>
      <c r="O1" s="181"/>
      <c r="P1" s="181"/>
      <c r="Q1" s="181"/>
      <c r="R1" s="214" t="s">
        <v>15</v>
      </c>
      <c r="S1" s="181"/>
      <c r="T1" s="181"/>
      <c r="U1" s="349" t="s">
        <v>370</v>
      </c>
      <c r="V1" s="350"/>
      <c r="W1" s="350"/>
      <c r="X1" s="350"/>
      <c r="Y1" s="350"/>
      <c r="Z1" s="350"/>
    </row>
    <row r="2" spans="1:26" s="21" customFormat="1" ht="20" customHeight="1" x14ac:dyDescent="0.25">
      <c r="A2" s="419" t="s">
        <v>672</v>
      </c>
      <c r="B2" s="415"/>
      <c r="C2" s="2"/>
      <c r="D2" s="2"/>
      <c r="E2" s="2"/>
      <c r="F2" s="50"/>
      <c r="G2" s="3"/>
      <c r="H2" s="264" t="s">
        <v>774</v>
      </c>
      <c r="I2" s="52"/>
      <c r="J2" s="121"/>
      <c r="K2" s="121"/>
      <c r="L2" s="121"/>
      <c r="M2" s="121"/>
      <c r="N2" s="264" t="s">
        <v>774</v>
      </c>
      <c r="O2" s="264" t="s">
        <v>774</v>
      </c>
      <c r="P2" s="264" t="s">
        <v>774</v>
      </c>
      <c r="Q2" s="264" t="s">
        <v>774</v>
      </c>
      <c r="R2" s="120"/>
      <c r="S2" s="264" t="s">
        <v>774</v>
      </c>
      <c r="T2" s="264" t="s">
        <v>774</v>
      </c>
      <c r="U2" s="351"/>
      <c r="V2" s="352"/>
      <c r="W2" s="352"/>
      <c r="X2" s="352"/>
      <c r="Y2" s="352"/>
      <c r="Z2" s="352"/>
    </row>
    <row r="3" spans="1:26" ht="117" customHeight="1" thickBot="1" x14ac:dyDescent="0.25">
      <c r="A3" s="416"/>
      <c r="B3" s="417"/>
      <c r="C3" s="17"/>
      <c r="D3" s="17"/>
      <c r="E3" s="17"/>
      <c r="F3" s="72" t="s">
        <v>806</v>
      </c>
      <c r="G3" s="224" t="s">
        <v>807</v>
      </c>
      <c r="H3" s="30" t="s">
        <v>673</v>
      </c>
      <c r="I3" s="67" t="s">
        <v>808</v>
      </c>
      <c r="J3" s="122" t="s">
        <v>811</v>
      </c>
      <c r="K3" s="226" t="s">
        <v>810</v>
      </c>
      <c r="L3" s="122" t="s">
        <v>813</v>
      </c>
      <c r="M3" s="226" t="s">
        <v>815</v>
      </c>
      <c r="N3" s="59" t="s">
        <v>809</v>
      </c>
      <c r="O3" s="30" t="s">
        <v>816</v>
      </c>
      <c r="P3" s="30" t="s">
        <v>817</v>
      </c>
      <c r="Q3" s="30" t="s">
        <v>818</v>
      </c>
      <c r="R3" s="153" t="s">
        <v>655</v>
      </c>
      <c r="S3" s="30" t="s">
        <v>595</v>
      </c>
      <c r="T3" s="30" t="s">
        <v>596</v>
      </c>
      <c r="U3" s="127" t="s">
        <v>659</v>
      </c>
      <c r="V3" s="128" t="s">
        <v>819</v>
      </c>
      <c r="W3" s="128" t="s">
        <v>801</v>
      </c>
      <c r="X3" s="128" t="s">
        <v>802</v>
      </c>
      <c r="Y3" s="128" t="s">
        <v>776</v>
      </c>
      <c r="Z3" s="68" t="s">
        <v>661</v>
      </c>
    </row>
    <row r="4" spans="1:26" x14ac:dyDescent="0.2">
      <c r="A4" s="298"/>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3">
        <f>SUBTOTAL(109,U$15:INDEX(U:U,COUNTA($B:$B)+14-COUNTA($B$1:$B$14)))</f>
        <v>0</v>
      </c>
      <c r="V4" s="354">
        <f>SUBTOTAL(109,V$15:INDEX(V:V,COUNTA($B:$B)+14-COUNTA($B$1:$B$14)))</f>
        <v>0</v>
      </c>
      <c r="W4" s="354">
        <f>SUBTOTAL(109,W$15:INDEX(W:W,COUNTA($B:$B)+14-COUNTA($B$1:$B$14)))</f>
        <v>0</v>
      </c>
      <c r="X4" s="354">
        <f>SUBTOTAL(109,X$15:INDEX(X:X,COUNTA($B:$B)+14-COUNTA($B$1:$B$14)))</f>
        <v>0</v>
      </c>
      <c r="Y4" s="354">
        <f>SUBTOTAL(109,Y$15:INDEX(Y:Y,COUNTA($B:$B)+14-COUNTA($B$1:$B$14)))</f>
        <v>0</v>
      </c>
      <c r="Z4" s="354">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5" t="s">
        <v>59</v>
      </c>
      <c r="V5" s="356" t="s">
        <v>59</v>
      </c>
      <c r="W5" s="356" t="s">
        <v>59</v>
      </c>
      <c r="X5" s="356" t="s">
        <v>59</v>
      </c>
      <c r="Y5" s="356" t="s">
        <v>59</v>
      </c>
      <c r="Z5" s="356"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5" t="s">
        <v>54</v>
      </c>
      <c r="V6" s="356" t="s">
        <v>54</v>
      </c>
      <c r="W6" s="356" t="s">
        <v>54</v>
      </c>
      <c r="X6" s="356" t="s">
        <v>54</v>
      </c>
      <c r="Y6" s="356" t="s">
        <v>54</v>
      </c>
      <c r="Z6" s="356"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5" t="s">
        <v>55</v>
      </c>
      <c r="V7" s="356" t="s">
        <v>55</v>
      </c>
      <c r="W7" s="356" t="s">
        <v>55</v>
      </c>
      <c r="X7" s="356" t="s">
        <v>55</v>
      </c>
      <c r="Y7" s="356" t="s">
        <v>55</v>
      </c>
      <c r="Z7" s="356" t="s">
        <v>55</v>
      </c>
    </row>
    <row r="8" spans="1:26" x14ac:dyDescent="0.2">
      <c r="F8" s="279" t="s">
        <v>87</v>
      </c>
      <c r="G8" s="144"/>
      <c r="H8" s="273" t="s">
        <v>87</v>
      </c>
      <c r="I8" s="278" t="s">
        <v>89</v>
      </c>
      <c r="J8" s="270"/>
      <c r="K8" s="270"/>
      <c r="L8" s="270"/>
      <c r="M8" s="270"/>
      <c r="O8" s="273" t="s">
        <v>89</v>
      </c>
      <c r="P8" s="273" t="s">
        <v>89</v>
      </c>
      <c r="Q8" s="273" t="s">
        <v>89</v>
      </c>
      <c r="R8" s="143"/>
      <c r="S8" s="273" t="s">
        <v>159</v>
      </c>
      <c r="T8" s="273" t="s">
        <v>159</v>
      </c>
      <c r="U8" s="357"/>
      <c r="V8" s="358"/>
      <c r="W8" s="358"/>
      <c r="X8" s="358"/>
      <c r="Y8" s="358"/>
      <c r="Z8" s="358"/>
    </row>
    <row r="9" spans="1:26" x14ac:dyDescent="0.2">
      <c r="F9" s="279" t="s">
        <v>88</v>
      </c>
      <c r="G9" s="144"/>
      <c r="H9" s="273" t="s">
        <v>88</v>
      </c>
      <c r="I9" s="278" t="s">
        <v>90</v>
      </c>
      <c r="J9" s="270"/>
      <c r="K9" s="270"/>
      <c r="L9" s="270"/>
      <c r="M9" s="270"/>
      <c r="O9" s="273" t="s">
        <v>90</v>
      </c>
      <c r="P9" s="273" t="s">
        <v>90</v>
      </c>
      <c r="Q9" s="273" t="s">
        <v>90</v>
      </c>
      <c r="R9" s="143"/>
      <c r="S9" s="273" t="s">
        <v>160</v>
      </c>
      <c r="T9" s="273" t="s">
        <v>160</v>
      </c>
      <c r="U9" s="357"/>
      <c r="V9" s="358"/>
      <c r="W9" s="358"/>
      <c r="X9" s="358"/>
      <c r="Y9" s="358"/>
      <c r="Z9" s="358"/>
    </row>
    <row r="10" spans="1:26" x14ac:dyDescent="0.2">
      <c r="F10" s="279"/>
      <c r="G10" s="144"/>
      <c r="H10" s="273"/>
      <c r="I10" s="278" t="s">
        <v>63</v>
      </c>
      <c r="J10" s="270"/>
      <c r="K10" s="270"/>
      <c r="L10" s="270"/>
      <c r="M10" s="270"/>
      <c r="O10" s="273" t="s">
        <v>62</v>
      </c>
      <c r="P10" s="273" t="s">
        <v>63</v>
      </c>
      <c r="Q10" s="273" t="s">
        <v>64</v>
      </c>
      <c r="R10" s="143"/>
      <c r="S10" s="273" t="s">
        <v>81</v>
      </c>
      <c r="T10" s="273" t="s">
        <v>80</v>
      </c>
      <c r="U10" s="357"/>
      <c r="V10" s="358"/>
      <c r="W10" s="358"/>
      <c r="X10" s="358"/>
      <c r="Y10" s="358"/>
      <c r="Z10" s="358"/>
    </row>
    <row r="11" spans="1:26" x14ac:dyDescent="0.2">
      <c r="F11" s="47" t="s">
        <v>877</v>
      </c>
      <c r="G11" s="11" t="s">
        <v>877</v>
      </c>
      <c r="H11" s="33" t="s">
        <v>877</v>
      </c>
      <c r="I11" s="53" t="s">
        <v>877</v>
      </c>
      <c r="J11" s="124" t="s">
        <v>877</v>
      </c>
      <c r="K11" s="124" t="s">
        <v>877</v>
      </c>
      <c r="L11" s="124" t="s">
        <v>877</v>
      </c>
      <c r="M11" s="124" t="s">
        <v>877</v>
      </c>
      <c r="N11" s="33" t="s">
        <v>877</v>
      </c>
      <c r="O11" s="33" t="s">
        <v>877</v>
      </c>
      <c r="P11" s="33" t="s">
        <v>877</v>
      </c>
      <c r="Q11" s="33" t="s">
        <v>877</v>
      </c>
      <c r="R11" s="81" t="s">
        <v>877</v>
      </c>
      <c r="S11" s="33" t="s">
        <v>877</v>
      </c>
      <c r="T11" s="33" t="s">
        <v>877</v>
      </c>
      <c r="U11" s="355" t="s">
        <v>877</v>
      </c>
      <c r="V11" s="356" t="s">
        <v>877</v>
      </c>
      <c r="W11" s="356" t="s">
        <v>876</v>
      </c>
      <c r="X11" s="356" t="s">
        <v>876</v>
      </c>
      <c r="Y11" s="356" t="s">
        <v>875</v>
      </c>
      <c r="Z11" s="356" t="s">
        <v>877</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5" t="s">
        <v>138</v>
      </c>
      <c r="V12" s="356" t="s">
        <v>138</v>
      </c>
      <c r="W12" s="356" t="s">
        <v>460</v>
      </c>
      <c r="X12" s="356" t="s">
        <v>460</v>
      </c>
      <c r="Y12" s="356" t="s">
        <v>461</v>
      </c>
      <c r="Z12" s="356" t="s">
        <v>138</v>
      </c>
    </row>
    <row r="14" spans="1:26" x14ac:dyDescent="0.2">
      <c r="A14" s="301"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59" t="s">
        <v>318</v>
      </c>
      <c r="V14" s="360" t="s">
        <v>820</v>
      </c>
      <c r="W14" s="360" t="s">
        <v>803</v>
      </c>
      <c r="X14" s="360" t="s">
        <v>804</v>
      </c>
      <c r="Y14" s="360" t="s">
        <v>824</v>
      </c>
      <c r="Z14" s="360" t="s">
        <v>805</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IF(SUM($P15)=0,"",INDEX(Cascade!$BF:$BF,MATCH($E15,Cascade!$E:$E,0)))</f>
        <v/>
      </c>
      <c r="S15" s="33" t="str">
        <f>$O15</f>
        <v/>
      </c>
      <c r="T15" s="33" t="str">
        <f>IF(SUM($P15)=0,"",IF(AND($R15="",SUM($P15)&gt;0),"&lt;- Enter Linkage Rate",ROUND($P15*$R15,0)))</f>
        <v/>
      </c>
      <c r="U15" s="355" t="str">
        <f>IFERROR(1/(1/INDEX(Cascade!$BG:$BG,MATCH($E15,Cascade!$E:$E,0))),"")</f>
        <v/>
      </c>
      <c r="V15" s="356" t="str">
        <f>IF(SUM($P15)=0,"",$P15)</f>
        <v/>
      </c>
      <c r="W15" s="356" t="str">
        <f>IFERROR(1/(1/INDEX(PMTCT!$AC:$AC,MATCH($E15,PMTCT!$E:$E,0))),"")</f>
        <v/>
      </c>
      <c r="X15" s="356" t="str">
        <f>IFERROR(1/(1/INDEX(PMTCT!$AS:$AS,MATCH($E15,PMTCT!$E:$E,0))),"")</f>
        <v/>
      </c>
      <c r="Y15" s="356" t="str">
        <f>IFERROR(1/(1/INDEX(VMMC!$AA:$AA,MATCH($E15,VMMC!$E:$E,0))),"")</f>
        <v/>
      </c>
      <c r="Z15" s="356" t="str">
        <f>IFERROR(1/(1/(SUM($U15)-SUM($V15:$Y15))),"")</f>
        <v/>
      </c>
    </row>
  </sheetData>
  <mergeCells count="1">
    <mergeCell ref="A2:B3"/>
  </mergeCells>
  <conditionalFormatting sqref="G1:G1048576">
    <cfRule type="expression" dxfId="103" priority="17">
      <formula>AND(ISNUMBER(G1),G1&lt;&gt;0)</formula>
    </cfRule>
  </conditionalFormatting>
  <conditionalFormatting sqref="R1:R1048576">
    <cfRule type="expression" dxfId="102" priority="23">
      <formula>AND(ISNUMBER(R1),R1&lt;0.95)</formula>
    </cfRule>
  </conditionalFormatting>
  <conditionalFormatting sqref="M1:M1048576">
    <cfRule type="expression" dxfId="101" priority="10">
      <formula>AND(ROW($M1)&gt;14,$P1="ENTER YIELD RATE")</formula>
    </cfRule>
    <cfRule type="expression" dxfId="100" priority="690">
      <formula>AND(ISNUMBER($M1),SUM($M1)&gt;10%)</formula>
    </cfRule>
  </conditionalFormatting>
  <conditionalFormatting sqref="K1:K1048576">
    <cfRule type="expression" dxfId="99" priority="15">
      <formula>AND(ROW($K1)&gt;14,$O1="ENTER KNOWN POSITIVITY RATE")</formula>
    </cfRule>
    <cfRule type="expression" dxfId="98" priority="3819">
      <formula>AND(ISNUMBER($K1),ROUND(SUM($K1),2)&gt;=0.75)</formula>
    </cfRule>
  </conditionalFormatting>
  <conditionalFormatting sqref="F1:F1048576 H1:Z1048576">
    <cfRule type="expression" dxfId="97" priority="3">
      <formula>AND(ISNUMBER(F1),F1&lt;0)</formula>
    </cfRule>
  </conditionalFormatting>
  <conditionalFormatting sqref="U1:Z1048576">
    <cfRule type="expression" dxfId="96" priority="6">
      <formula>AND(ROW($Z1)&gt;14,$Z1&lt;0)</formula>
    </cfRule>
    <cfRule type="expression" dxfId="95" priority="8">
      <formula>AND(ROW($Z1)&gt;14,ISERROR($Z1))</formula>
    </cfRule>
  </conditionalFormatting>
  <conditionalFormatting sqref="P1:P1048576">
    <cfRule type="expression" dxfId="94" priority="18">
      <formula>AND(ISNUMBER($P1),ROUND(SUM($P1),2)&gt;ROUND(SUM($I1),2))</formula>
    </cfRule>
  </conditionalFormatting>
  <conditionalFormatting sqref="W1:X1048576">
    <cfRule type="expression" dxfId="93" priority="1">
      <formula>AND(ROW(W1)&gt;14,$B1&lt;&gt;"",OR($D1&lt;&gt;"Female",$C1="&lt;01",$C1="01-09"))</formula>
    </cfRule>
  </conditionalFormatting>
  <conditionalFormatting sqref="Y1:Y1048576">
    <cfRule type="expression" dxfId="92" priority="2">
      <formula>AND(ROW(Y1)&gt;14,$B1&lt;&gt;"",OR($D1&lt;&gt;"Male",$C1="&lt;01",$C1="01-09",$C1="10-14"))</formula>
    </cfRule>
  </conditionalFormatting>
  <conditionalFormatting sqref="J1:M1048576 R1:R1048576">
    <cfRule type="expression" dxfId="91" priority="4">
      <formula>AND(ISNUMBER(J1),J1&gt;1)</formula>
    </cfRule>
  </conditionalFormatting>
  <hyperlinks>
    <hyperlink ref="P3" location="Cascade!CF:CF" display="Newly Tested, Positive" xr:uid="{F41C5CBD-C2B6-7349-92F3-4B3EE0741D63}"/>
    <hyperlink ref="U3" location="Cascade!BE:BE"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5" customWidth="1"/>
    <col min="30" max="31" width="11.83203125" style="155" customWidth="1"/>
    <col min="32" max="32" width="11.83203125" style="324" customWidth="1"/>
  </cols>
  <sheetData>
    <row r="1" spans="1:32" s="22" customFormat="1" ht="31" customHeight="1" thickBot="1" x14ac:dyDescent="0.35">
      <c r="A1" s="300" t="s">
        <v>6</v>
      </c>
      <c r="B1" s="4"/>
      <c r="C1" s="1"/>
      <c r="D1" s="1"/>
      <c r="E1" s="1"/>
      <c r="F1" s="215" t="s">
        <v>30</v>
      </c>
      <c r="G1" s="181"/>
      <c r="H1" s="186"/>
      <c r="I1" s="181"/>
      <c r="J1" s="186"/>
      <c r="K1" s="181"/>
      <c r="L1" s="180"/>
      <c r="M1" s="181"/>
      <c r="N1" s="181"/>
      <c r="O1" s="184"/>
      <c r="P1" s="184"/>
      <c r="Q1" s="187"/>
      <c r="R1" s="187"/>
      <c r="S1" s="214" t="s">
        <v>18</v>
      </c>
      <c r="T1" s="185"/>
      <c r="U1" s="185"/>
      <c r="V1" s="185"/>
      <c r="W1" s="185"/>
      <c r="X1" s="185"/>
      <c r="Y1" s="181"/>
      <c r="Z1" s="181"/>
      <c r="AA1" s="181"/>
      <c r="AB1" s="181"/>
      <c r="AC1" s="349" t="s">
        <v>370</v>
      </c>
      <c r="AD1" s="320"/>
      <c r="AE1" s="320"/>
      <c r="AF1" s="320"/>
    </row>
    <row r="2" spans="1:32" s="21" customFormat="1" ht="19" customHeight="1" x14ac:dyDescent="0.25">
      <c r="A2" s="419" t="s">
        <v>512</v>
      </c>
      <c r="B2" s="415"/>
      <c r="C2" s="2"/>
      <c r="D2" s="2"/>
      <c r="E2" s="2"/>
      <c r="F2" s="50"/>
      <c r="G2" s="34"/>
      <c r="H2" s="121"/>
      <c r="I2" s="34"/>
      <c r="J2" s="121"/>
      <c r="K2" s="34"/>
      <c r="L2" s="34"/>
      <c r="M2" s="264" t="s">
        <v>774</v>
      </c>
      <c r="N2" s="264" t="s">
        <v>774</v>
      </c>
      <c r="O2" s="3"/>
      <c r="P2" s="3"/>
      <c r="Q2" s="258" t="s">
        <v>774</v>
      </c>
      <c r="R2" s="258" t="s">
        <v>774</v>
      </c>
      <c r="S2" s="120"/>
      <c r="T2" s="3"/>
      <c r="U2" s="3"/>
      <c r="V2" s="3"/>
      <c r="W2" s="3"/>
      <c r="X2" s="3"/>
      <c r="Y2" s="264" t="s">
        <v>774</v>
      </c>
      <c r="Z2" s="264" t="s">
        <v>774</v>
      </c>
      <c r="AA2" s="264" t="s">
        <v>774</v>
      </c>
      <c r="AB2" s="264" t="s">
        <v>774</v>
      </c>
      <c r="AC2" s="351"/>
      <c r="AD2" s="345"/>
      <c r="AE2" s="345"/>
      <c r="AF2" s="345"/>
    </row>
    <row r="3" spans="1:32" ht="117" customHeight="1" thickBot="1" x14ac:dyDescent="0.25">
      <c r="A3" s="416"/>
      <c r="B3" s="417"/>
      <c r="C3" s="17"/>
      <c r="D3" s="17"/>
      <c r="E3" s="17"/>
      <c r="F3" s="127" t="s">
        <v>1176</v>
      </c>
      <c r="G3" s="128" t="s">
        <v>1157</v>
      </c>
      <c r="H3" s="130" t="s">
        <v>1147</v>
      </c>
      <c r="I3" s="128" t="s">
        <v>1158</v>
      </c>
      <c r="J3" s="130" t="s">
        <v>1159</v>
      </c>
      <c r="K3" s="68" t="s">
        <v>891</v>
      </c>
      <c r="L3" s="68" t="s">
        <v>890</v>
      </c>
      <c r="M3" s="257" t="s">
        <v>1177</v>
      </c>
      <c r="N3" s="257" t="s">
        <v>1178</v>
      </c>
      <c r="O3" s="147" t="s">
        <v>1179</v>
      </c>
      <c r="P3" s="224" t="s">
        <v>1180</v>
      </c>
      <c r="Q3" s="261" t="s">
        <v>1181</v>
      </c>
      <c r="R3" s="261" t="s">
        <v>1182</v>
      </c>
      <c r="S3" s="247" t="s">
        <v>1183</v>
      </c>
      <c r="T3" s="202" t="s">
        <v>821</v>
      </c>
      <c r="U3" s="147" t="s">
        <v>823</v>
      </c>
      <c r="V3" s="202" t="s">
        <v>822</v>
      </c>
      <c r="W3" s="147" t="s">
        <v>813</v>
      </c>
      <c r="X3" s="202" t="s">
        <v>815</v>
      </c>
      <c r="Y3" s="257" t="s">
        <v>140</v>
      </c>
      <c r="Z3" s="30" t="s">
        <v>654</v>
      </c>
      <c r="AA3" s="30" t="s">
        <v>753</v>
      </c>
      <c r="AB3" s="30" t="s">
        <v>754</v>
      </c>
      <c r="AC3" s="127" t="s">
        <v>659</v>
      </c>
      <c r="AD3" s="131" t="s">
        <v>776</v>
      </c>
      <c r="AE3" s="131" t="s">
        <v>660</v>
      </c>
      <c r="AF3" s="68" t="s">
        <v>777</v>
      </c>
    </row>
    <row r="4" spans="1:32" x14ac:dyDescent="0.2">
      <c r="A4" s="298"/>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v>0</v>
      </c>
      <c r="AB4" s="32">
        <v>0</v>
      </c>
      <c r="AC4" s="353">
        <f>SUBTOTAL(109,AC$15:INDEX(AC:AC,COUNTA($B:$B)+14-COUNTA($B$1:$B$14)))</f>
        <v>0</v>
      </c>
      <c r="AD4" s="323">
        <f>SUBTOTAL(109,AD$15:INDEX(AD:AD,COUNTA($B:$B)+14-COUNTA($B$1:$B$14)))</f>
        <v>0</v>
      </c>
      <c r="AE4" s="323">
        <f>SUBTOTAL(109,AE$15:INDEX(AE:AE,COUNTA($B:$B)+14-COUNTA($B$1:$B$14)))</f>
        <v>0</v>
      </c>
      <c r="AF4" s="323">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5" t="s">
        <v>59</v>
      </c>
      <c r="AD5" s="155" t="s">
        <v>59</v>
      </c>
      <c r="AE5" s="155" t="s">
        <v>59</v>
      </c>
      <c r="AF5" s="324"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5" t="s">
        <v>54</v>
      </c>
      <c r="AD6" s="155" t="s">
        <v>54</v>
      </c>
      <c r="AE6" s="155" t="s">
        <v>54</v>
      </c>
      <c r="AF6" s="324"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5" t="s">
        <v>55</v>
      </c>
      <c r="AD7" s="155" t="s">
        <v>55</v>
      </c>
      <c r="AE7" s="155" t="s">
        <v>55</v>
      </c>
      <c r="AF7" s="324" t="s">
        <v>55</v>
      </c>
    </row>
    <row r="8" spans="1:32" x14ac:dyDescent="0.2">
      <c r="F8" s="47"/>
      <c r="G8" s="36"/>
      <c r="H8" s="11"/>
      <c r="I8" s="36"/>
      <c r="J8" s="11"/>
      <c r="K8" s="277" t="s">
        <v>379</v>
      </c>
      <c r="L8" s="277" t="s">
        <v>93</v>
      </c>
      <c r="M8" s="273" t="s">
        <v>91</v>
      </c>
      <c r="N8" s="273" t="s">
        <v>92</v>
      </c>
      <c r="O8" s="144"/>
      <c r="P8" s="144"/>
      <c r="Q8" s="281" t="s">
        <v>92</v>
      </c>
      <c r="R8" s="281" t="s">
        <v>91</v>
      </c>
      <c r="Z8" s="273" t="s">
        <v>93</v>
      </c>
      <c r="AA8" s="273" t="s">
        <v>93</v>
      </c>
      <c r="AB8" s="273" t="s">
        <v>93</v>
      </c>
    </row>
    <row r="9" spans="1:32" x14ac:dyDescent="0.2">
      <c r="F9" s="47"/>
      <c r="G9" s="36"/>
      <c r="H9" s="11"/>
      <c r="I9" s="36"/>
      <c r="J9" s="11"/>
      <c r="K9" s="277" t="s">
        <v>380</v>
      </c>
      <c r="L9" s="277" t="s">
        <v>94</v>
      </c>
      <c r="M9" s="273"/>
      <c r="N9" s="273"/>
      <c r="O9" s="144"/>
      <c r="P9" s="144"/>
      <c r="Q9" s="281"/>
      <c r="R9" s="281"/>
      <c r="Z9" s="273" t="s">
        <v>94</v>
      </c>
      <c r="AA9" s="273" t="s">
        <v>94</v>
      </c>
      <c r="AB9" s="273" t="s">
        <v>94</v>
      </c>
    </row>
    <row r="10" spans="1:32" x14ac:dyDescent="0.2">
      <c r="F10" s="47"/>
      <c r="G10" s="36"/>
      <c r="H10" s="11"/>
      <c r="I10" s="36"/>
      <c r="J10" s="11"/>
      <c r="K10" s="277"/>
      <c r="L10" s="277"/>
      <c r="M10" s="273"/>
      <c r="N10" s="273"/>
      <c r="O10" s="144"/>
      <c r="P10" s="144"/>
      <c r="Q10" s="281"/>
      <c r="R10" s="281"/>
      <c r="Z10" s="273" t="s">
        <v>95</v>
      </c>
      <c r="AA10" s="273" t="s">
        <v>65</v>
      </c>
      <c r="AB10" s="273" t="s">
        <v>82</v>
      </c>
    </row>
    <row r="11" spans="1:32" x14ac:dyDescent="0.2">
      <c r="F11" s="47" t="s">
        <v>875</v>
      </c>
      <c r="G11" s="36" t="s">
        <v>875</v>
      </c>
      <c r="H11" s="11" t="s">
        <v>875</v>
      </c>
      <c r="I11" s="36" t="s">
        <v>875</v>
      </c>
      <c r="J11" s="11" t="s">
        <v>875</v>
      </c>
      <c r="K11" s="36" t="s">
        <v>875</v>
      </c>
      <c r="L11" s="36" t="s">
        <v>875</v>
      </c>
      <c r="M11" s="33" t="s">
        <v>875</v>
      </c>
      <c r="N11" s="33" t="s">
        <v>875</v>
      </c>
      <c r="O11" s="11" t="s">
        <v>875</v>
      </c>
      <c r="P11" s="19" t="s">
        <v>875</v>
      </c>
      <c r="Q11" s="40" t="s">
        <v>875</v>
      </c>
      <c r="R11" s="40" t="s">
        <v>875</v>
      </c>
      <c r="S11" s="161" t="s">
        <v>875</v>
      </c>
      <c r="T11" s="98" t="s">
        <v>875</v>
      </c>
      <c r="U11" s="98" t="s">
        <v>875</v>
      </c>
      <c r="V11" s="98" t="s">
        <v>875</v>
      </c>
      <c r="W11" s="98" t="s">
        <v>875</v>
      </c>
      <c r="X11" s="98" t="s">
        <v>875</v>
      </c>
      <c r="Y11" s="33" t="s">
        <v>875</v>
      </c>
      <c r="Z11" s="33" t="s">
        <v>875</v>
      </c>
      <c r="AA11" s="33" t="s">
        <v>875</v>
      </c>
      <c r="AB11" s="33" t="s">
        <v>875</v>
      </c>
      <c r="AC11" s="355" t="s">
        <v>875</v>
      </c>
      <c r="AD11" s="155" t="s">
        <v>875</v>
      </c>
      <c r="AE11" s="155" t="s">
        <v>875</v>
      </c>
      <c r="AF11" s="324" t="s">
        <v>875</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5" t="s">
        <v>461</v>
      </c>
      <c r="AD12" s="155" t="s">
        <v>461</v>
      </c>
      <c r="AE12" s="155" t="s">
        <v>461</v>
      </c>
      <c r="AF12" s="324" t="s">
        <v>461</v>
      </c>
    </row>
    <row r="13" spans="1:32" x14ac:dyDescent="0.2">
      <c r="F13" s="47"/>
      <c r="G13" s="36"/>
      <c r="H13" s="11"/>
      <c r="I13" s="36"/>
      <c r="J13" s="11"/>
      <c r="K13" s="36"/>
    </row>
    <row r="14" spans="1:32" x14ac:dyDescent="0.2">
      <c r="A14" s="299" t="s">
        <v>44</v>
      </c>
      <c r="B14" s="207" t="s">
        <v>3</v>
      </c>
      <c r="C14" s="207" t="s">
        <v>25</v>
      </c>
      <c r="D14" s="207" t="s">
        <v>4</v>
      </c>
      <c r="E14" s="207" t="s">
        <v>47</v>
      </c>
      <c r="F14" s="218" t="s">
        <v>188</v>
      </c>
      <c r="G14" s="194" t="s">
        <v>189</v>
      </c>
      <c r="H14" s="195" t="s">
        <v>191</v>
      </c>
      <c r="I14" s="194" t="s">
        <v>192</v>
      </c>
      <c r="J14" s="195" t="s">
        <v>638</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195" t="s">
        <v>335</v>
      </c>
      <c r="Y14" s="217" t="s">
        <v>334</v>
      </c>
      <c r="Z14" s="217" t="s">
        <v>216</v>
      </c>
      <c r="AA14" s="217" t="s">
        <v>755</v>
      </c>
      <c r="AB14" s="217" t="s">
        <v>756</v>
      </c>
      <c r="AC14" s="359" t="s">
        <v>318</v>
      </c>
      <c r="AD14" s="346" t="s">
        <v>824</v>
      </c>
      <c r="AE14" s="346" t="s">
        <v>820</v>
      </c>
      <c r="AF14" s="346" t="s">
        <v>805</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IF(LEFT($B15,4)="_Mil","",IFERROR(1/(1/ROUND(INDEX(Spectrum!$N:$N,MATCH(RIGHT($B15,13)&amp;"|"&amp;$C15&amp;"|"&amp;$D15&amp;"|"&amp;M$14&amp;"|"&amp;"CY2023Q3",Spectrum!$R:$R,0)),0)),IF($L15="","",$L15)))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IF(SUM($Y15)=0,"",IF(AND((SUM($Y15)-SUM($Z15))&gt;0,$X15=""),"ENTER YIELD RATE",ROUND(($Y15-SUM($Z15))*$X15,0)))</f>
        <v/>
      </c>
      <c r="AB15" s="33" t="str">
        <f>IF(SUM($Y15)=0,"",$Y15-SUM($Z15)-SUM($AA15))</f>
        <v/>
      </c>
      <c r="AC15" s="355" t="str">
        <f>IFERROR(1/(1/INDEX(Cascade!$BG:$BG,MATCH($E15,Cascade!$E:$E,0))),"")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90" priority="3762">
      <formula>AND(ISNUMBER($P1),$P1&lt;0.8)</formula>
    </cfRule>
  </conditionalFormatting>
  <conditionalFormatting sqref="X1:X1048576">
    <cfRule type="expression" dxfId="89" priority="11">
      <formula>AND(ROW($X1)&gt;14,$AA1="ENTER YIELD RATE")</formula>
    </cfRule>
    <cfRule type="expression" dxfId="88" priority="17">
      <formula>AND(ROW($X1)&gt;14,ROUND(SUM($X1),2)&gt;0.01)</formula>
    </cfRule>
  </conditionalFormatting>
  <conditionalFormatting sqref="Q1:Q1048576">
    <cfRule type="expression" dxfId="87" priority="27">
      <formula>AND(ISNUMBER($Q1),$Q1&lt;$N1)</formula>
    </cfRule>
  </conditionalFormatting>
  <conditionalFormatting sqref="M1:N1048576">
    <cfRule type="expression" dxfId="86" priority="3763">
      <formula>AND(ISNUMBER($M1),ISNUMBER($N1),$N1&lt;$M1)</formula>
    </cfRule>
  </conditionalFormatting>
  <conditionalFormatting sqref="V1:V1048576">
    <cfRule type="expression" dxfId="85" priority="7">
      <formula>AND(ROW($V1)&gt;14,$Z1="ENTER INDETERMINATE RATE")</formula>
    </cfRule>
  </conditionalFormatting>
  <conditionalFormatting sqref="F1:S1048576 U1:AF1048576">
    <cfRule type="expression" dxfId="84" priority="5">
      <formula>AND(ISNUMBER(F1),F1&lt;0)</formula>
    </cfRule>
  </conditionalFormatting>
  <conditionalFormatting sqref="H1:H1048576 O1:P1048576 S1:S1048576 U1:X1048576">
    <cfRule type="expression" dxfId="83" priority="6">
      <formula>AND(ISNUMBER(H1),H1&gt;1)</formula>
    </cfRule>
  </conditionalFormatting>
  <conditionalFormatting sqref="AC1:AF1048576">
    <cfRule type="expression" dxfId="82" priority="16">
      <formula>AND(ISNUMBER($AF1),OR(ISERROR($AF1),$AF1&lt;0))</formula>
    </cfRule>
  </conditionalFormatting>
  <conditionalFormatting sqref="F1:J1048576 M1:S1048576">
    <cfRule type="expression" dxfId="81" priority="1">
      <formula>LEFT($B1,4)="_Mil"</formula>
    </cfRule>
  </conditionalFormatting>
  <conditionalFormatting sqref="T1:T1048576">
    <cfRule type="expression" dxfId="80" priority="2">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V:V" display="H.C. Est. HIV Prevalence (FY23) (%)" xr:uid="{5289F01F-A702-2040-B8A4-F3E42F6D1A29}"/>
    <hyperlink ref="I3" location="Cascade!Y:Y" display="H.C. Est. # on ART (FY23)" xr:uid="{0B9E2838-E36E-914B-ABB2-4D62A487F4F9}"/>
    <hyperlink ref="J3" location="Cascade!Z:Z" display="H.C. Est. ART Coverage (ART/PLHIV) (FY23) (%)" xr:uid="{A7D90546-FC05-1942-88B3-F73371278897}"/>
    <hyperlink ref="AC3" location="Cascade!BE:BE"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0" t="s">
        <v>10</v>
      </c>
      <c r="B1" s="4"/>
      <c r="C1" s="1"/>
      <c r="D1" s="1"/>
      <c r="E1" s="1"/>
      <c r="F1" s="215" t="s">
        <v>21</v>
      </c>
      <c r="G1" s="181"/>
      <c r="H1" s="181"/>
      <c r="I1" s="181"/>
      <c r="J1" s="181"/>
      <c r="K1" s="181"/>
      <c r="L1" s="181"/>
      <c r="M1" s="215" t="s">
        <v>531</v>
      </c>
      <c r="N1" s="181"/>
      <c r="O1" s="181"/>
      <c r="P1" s="215" t="s">
        <v>825</v>
      </c>
      <c r="Q1" s="181"/>
    </row>
    <row r="2" spans="1:17" s="21" customFormat="1" ht="19" x14ac:dyDescent="0.25">
      <c r="A2" s="13"/>
      <c r="B2" s="2"/>
      <c r="C2" s="2"/>
      <c r="D2" s="2"/>
      <c r="E2" s="2"/>
      <c r="F2" s="50"/>
      <c r="G2" s="34"/>
      <c r="H2" s="34"/>
      <c r="I2" s="34"/>
      <c r="J2" s="34"/>
      <c r="K2" s="34"/>
      <c r="L2" s="264" t="s">
        <v>774</v>
      </c>
      <c r="M2" s="50"/>
      <c r="N2" s="34"/>
      <c r="O2" s="264" t="s">
        <v>774</v>
      </c>
      <c r="P2" s="50"/>
      <c r="Q2" s="264" t="s">
        <v>774</v>
      </c>
    </row>
    <row r="3" spans="1:17" ht="117" customHeight="1" x14ac:dyDescent="0.2">
      <c r="A3" s="297"/>
      <c r="B3" s="17"/>
      <c r="C3" s="17"/>
      <c r="D3" s="17"/>
      <c r="E3" s="17"/>
      <c r="F3" s="127" t="s">
        <v>1157</v>
      </c>
      <c r="G3" s="128" t="s">
        <v>694</v>
      </c>
      <c r="H3" s="128" t="s">
        <v>695</v>
      </c>
      <c r="I3" s="128" t="s">
        <v>696</v>
      </c>
      <c r="J3" s="68" t="s">
        <v>758</v>
      </c>
      <c r="K3" s="68" t="s">
        <v>698</v>
      </c>
      <c r="L3" s="257" t="s">
        <v>697</v>
      </c>
      <c r="M3" s="72" t="s">
        <v>759</v>
      </c>
      <c r="N3" s="68" t="s">
        <v>757</v>
      </c>
      <c r="O3" s="257" t="s">
        <v>663</v>
      </c>
      <c r="P3" s="246" t="s">
        <v>826</v>
      </c>
      <c r="Q3" s="257" t="s">
        <v>827</v>
      </c>
    </row>
    <row r="4" spans="1:17"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6" t="s">
        <v>377</v>
      </c>
      <c r="K8" s="277" t="s">
        <v>131</v>
      </c>
      <c r="L8" s="273" t="s">
        <v>131</v>
      </c>
      <c r="M8" s="284" t="s">
        <v>895</v>
      </c>
      <c r="N8" s="277" t="s">
        <v>566</v>
      </c>
      <c r="O8" s="273" t="s">
        <v>566</v>
      </c>
      <c r="P8" s="267"/>
      <c r="Q8" s="273" t="s">
        <v>926</v>
      </c>
    </row>
    <row r="9" spans="1:17" x14ac:dyDescent="0.2">
      <c r="J9" s="286" t="s">
        <v>378</v>
      </c>
      <c r="K9" s="277" t="s">
        <v>132</v>
      </c>
      <c r="L9" s="273" t="s">
        <v>132</v>
      </c>
      <c r="M9" s="284" t="s">
        <v>894</v>
      </c>
      <c r="N9" s="277" t="s">
        <v>567</v>
      </c>
      <c r="O9" s="273" t="s">
        <v>567</v>
      </c>
      <c r="P9" s="267"/>
      <c r="Q9" s="273" t="s">
        <v>925</v>
      </c>
    </row>
    <row r="10" spans="1:17" x14ac:dyDescent="0.2">
      <c r="J10" s="277"/>
      <c r="K10" s="277"/>
      <c r="L10" s="273"/>
      <c r="M10" s="279"/>
      <c r="N10" s="277"/>
      <c r="O10" s="273"/>
      <c r="Q10" s="273" t="s">
        <v>82</v>
      </c>
    </row>
    <row r="11" spans="1:17" x14ac:dyDescent="0.2">
      <c r="F11" s="47" t="s">
        <v>875</v>
      </c>
      <c r="G11" s="36" t="s">
        <v>875</v>
      </c>
      <c r="H11" s="36" t="s">
        <v>924</v>
      </c>
      <c r="I11" s="36" t="s">
        <v>924</v>
      </c>
      <c r="J11" s="36" t="s">
        <v>875</v>
      </c>
      <c r="K11" s="36" t="s">
        <v>875</v>
      </c>
      <c r="L11" s="33" t="s">
        <v>875</v>
      </c>
      <c r="M11" s="47" t="s">
        <v>875</v>
      </c>
      <c r="N11" s="36" t="s">
        <v>875</v>
      </c>
      <c r="O11" s="33" t="s">
        <v>875</v>
      </c>
      <c r="P11" s="47" t="s">
        <v>875</v>
      </c>
      <c r="Q11" s="33" t="s">
        <v>875</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1" t="s">
        <v>44</v>
      </c>
      <c r="B14" s="190" t="s">
        <v>3</v>
      </c>
      <c r="C14" s="190" t="s">
        <v>25</v>
      </c>
      <c r="D14" s="190" t="s">
        <v>4</v>
      </c>
      <c r="E14" s="190" t="s">
        <v>47</v>
      </c>
      <c r="F14" s="218" t="s">
        <v>189</v>
      </c>
      <c r="G14" s="194" t="s">
        <v>345</v>
      </c>
      <c r="H14" s="194" t="s">
        <v>304</v>
      </c>
      <c r="I14" s="194" t="s">
        <v>305</v>
      </c>
      <c r="J14" s="194" t="s">
        <v>371</v>
      </c>
      <c r="K14" s="194" t="s">
        <v>280</v>
      </c>
      <c r="L14" s="217" t="s">
        <v>281</v>
      </c>
      <c r="M14" s="218" t="s">
        <v>828</v>
      </c>
      <c r="N14" s="194" t="s">
        <v>829</v>
      </c>
      <c r="O14" s="217" t="s">
        <v>532</v>
      </c>
      <c r="P14" s="218" t="s">
        <v>830</v>
      </c>
      <c r="Q14" s="217" t="s">
        <v>831</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IF(OR($C15="15-24",$C15="25-34"),IFERROR(1/(1/SUM(SUMIFS(AGYW!$P:$P,AGYW!$B:$B,$B15,AGYW!$C:$C,IF($C15="15-24",{"15-19","20-24"},{"25-29"}),AGYW!$D:$D,$D15))),""),"")</f>
        <v/>
      </c>
      <c r="I15" s="36" t="str" cm="1">
        <f t="array" ref="I15">IF(OR($C15="15-24",$C15="25-34"),IFERROR(1/(1/SUM(SUMIFS(AGYW!$Q:$Q,AGYW!$B:$B,$B15,AGYW!$C:$C,IF($C15="15-24",{"15-19","20-24"},{"25-29"}),AGYW!$D:$D,$D15))),""),"")</f>
        <v/>
      </c>
      <c r="L15" s="33" t="str">
        <f>IF(SUM($K15)=0,"",$K15)</f>
        <v/>
      </c>
      <c r="O15" s="33" t="str">
        <f>IF(SUM($N15)=0,"",$N15)</f>
        <v/>
      </c>
      <c r="P15" s="47">
        <v>4</v>
      </c>
      <c r="Q15" s="33" t="str">
        <f>IF(SUM($O15)=0,"",$O15*$P15)</f>
        <v/>
      </c>
    </row>
  </sheetData>
  <conditionalFormatting sqref="H1:I1048576">
    <cfRule type="expression" dxfId="79" priority="3">
      <formula>AND(ROW(H1)&gt;14,$E1&lt;&gt;"",$D1&lt;&gt;"Female")</formula>
    </cfRule>
    <cfRule type="expression" dxfId="78" priority="4">
      <formula>AND(ROW(H1)&gt;14,$E1&lt;&gt;"",NOT(OR($C1="15-24",$C1="25-34")))</formula>
    </cfRule>
  </conditionalFormatting>
  <conditionalFormatting sqref="F1:F1048576">
    <cfRule type="expression" dxfId="77" priority="2">
      <formula>AND(ROW(F1)&gt;14,LEFT(B1,4)="_Mil")</formula>
    </cfRule>
  </conditionalFormatting>
  <conditionalFormatting sqref="F1:Q1048576">
    <cfRule type="expression" dxfId="76"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P:P" display="AGYW_PREV (D) (FY24)" xr:uid="{1E374B3E-0AF6-4E45-BB8A-3B7A1A47825D}"/>
    <hyperlink ref="I3" location="AGYW!Q:Q"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0" t="s">
        <v>7</v>
      </c>
      <c r="B1" s="4"/>
      <c r="C1" s="1"/>
      <c r="D1" s="1"/>
      <c r="E1" s="1"/>
      <c r="F1" s="214" t="s">
        <v>381</v>
      </c>
      <c r="G1" s="181"/>
      <c r="H1" s="181"/>
      <c r="I1" s="181"/>
      <c r="J1" s="181"/>
      <c r="K1" s="181"/>
      <c r="L1" s="181"/>
      <c r="M1" s="214" t="s">
        <v>41</v>
      </c>
      <c r="N1" s="186"/>
      <c r="O1" s="186"/>
      <c r="P1" s="186"/>
      <c r="Q1" s="184"/>
      <c r="R1" s="184"/>
      <c r="S1" s="184"/>
      <c r="T1" s="184"/>
      <c r="U1" s="184"/>
      <c r="V1" s="184"/>
      <c r="W1" s="214" t="s">
        <v>847</v>
      </c>
      <c r="X1" s="181"/>
      <c r="Y1" s="181"/>
      <c r="Z1" s="214" t="s">
        <v>599</v>
      </c>
      <c r="AA1" s="181"/>
      <c r="AB1" s="181"/>
      <c r="AC1" s="214" t="s">
        <v>600</v>
      </c>
      <c r="AD1" s="181"/>
      <c r="AE1" s="181"/>
      <c r="AF1" s="214" t="s">
        <v>42</v>
      </c>
      <c r="AG1" s="181"/>
      <c r="AH1" s="181"/>
      <c r="AI1" s="214" t="s">
        <v>848</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19" t="s">
        <v>514</v>
      </c>
      <c r="B2" s="415"/>
      <c r="C2" s="2"/>
      <c r="D2" s="2"/>
      <c r="E2" s="2"/>
      <c r="F2" s="120"/>
      <c r="G2" s="34"/>
      <c r="H2" s="34"/>
      <c r="I2" s="34"/>
      <c r="J2" s="34"/>
      <c r="K2" s="34"/>
      <c r="L2" s="34"/>
      <c r="M2" s="120"/>
      <c r="N2" s="121"/>
      <c r="O2" s="121"/>
      <c r="P2" s="121"/>
      <c r="Q2" s="121"/>
      <c r="R2" s="121"/>
      <c r="S2" s="3"/>
      <c r="T2" s="3"/>
      <c r="U2" s="3"/>
      <c r="V2" s="3"/>
      <c r="W2" s="120"/>
      <c r="X2" s="264" t="s">
        <v>774</v>
      </c>
      <c r="Y2" s="264" t="s">
        <v>774</v>
      </c>
      <c r="Z2" s="120"/>
      <c r="AA2" s="264" t="s">
        <v>774</v>
      </c>
      <c r="AB2" s="264" t="s">
        <v>774</v>
      </c>
      <c r="AC2" s="120"/>
      <c r="AD2" s="264" t="s">
        <v>774</v>
      </c>
      <c r="AE2" s="264" t="s">
        <v>774</v>
      </c>
      <c r="AF2" s="120"/>
      <c r="AG2" s="264" t="s">
        <v>774</v>
      </c>
      <c r="AH2" s="264" t="s">
        <v>774</v>
      </c>
      <c r="AI2" s="120"/>
      <c r="AJ2" s="264" t="s">
        <v>774</v>
      </c>
      <c r="AK2" s="264" t="s">
        <v>774</v>
      </c>
      <c r="AL2" s="52"/>
      <c r="AM2" s="138"/>
      <c r="AN2" s="55"/>
      <c r="AO2" s="55"/>
      <c r="AP2" s="55"/>
      <c r="AQ2" s="55"/>
      <c r="AR2" s="55"/>
      <c r="AS2" s="55"/>
      <c r="AT2" s="138"/>
      <c r="AU2" s="138"/>
      <c r="AV2" s="3"/>
      <c r="AW2" s="50"/>
      <c r="AX2" s="3"/>
      <c r="AY2" s="264" t="s">
        <v>774</v>
      </c>
      <c r="AZ2" s="120"/>
      <c r="BA2" s="255" t="s">
        <v>774</v>
      </c>
    </row>
    <row r="3" spans="1:53" ht="117" customHeight="1" thickBot="1" x14ac:dyDescent="0.25">
      <c r="A3" s="416"/>
      <c r="B3" s="417"/>
      <c r="C3" s="17"/>
      <c r="D3" s="17"/>
      <c r="E3" s="17"/>
      <c r="F3" s="133" t="s">
        <v>1159</v>
      </c>
      <c r="G3" s="131" t="s">
        <v>659</v>
      </c>
      <c r="H3" s="131" t="s">
        <v>699</v>
      </c>
      <c r="I3" s="131" t="s">
        <v>700</v>
      </c>
      <c r="J3" s="131" t="s">
        <v>701</v>
      </c>
      <c r="K3" s="131" t="s">
        <v>762</v>
      </c>
      <c r="L3" s="68" t="s">
        <v>702</v>
      </c>
      <c r="M3" s="133" t="s">
        <v>496</v>
      </c>
      <c r="N3" s="132" t="s">
        <v>648</v>
      </c>
      <c r="O3" s="132" t="s">
        <v>495</v>
      </c>
      <c r="P3" s="132" t="s">
        <v>842</v>
      </c>
      <c r="Q3" s="245" t="s">
        <v>843</v>
      </c>
      <c r="R3" s="245" t="s">
        <v>649</v>
      </c>
      <c r="S3" s="245" t="s">
        <v>650</v>
      </c>
      <c r="T3" s="245" t="s">
        <v>651</v>
      </c>
      <c r="U3" s="245" t="s">
        <v>652</v>
      </c>
      <c r="V3" s="154" t="s">
        <v>51</v>
      </c>
      <c r="W3" s="225" t="s">
        <v>38</v>
      </c>
      <c r="X3" s="31" t="s">
        <v>39</v>
      </c>
      <c r="Y3" s="257" t="s">
        <v>40</v>
      </c>
      <c r="Z3" s="225" t="s">
        <v>38</v>
      </c>
      <c r="AA3" s="31" t="s">
        <v>39</v>
      </c>
      <c r="AB3" s="257" t="s">
        <v>40</v>
      </c>
      <c r="AC3" s="225" t="s">
        <v>38</v>
      </c>
      <c r="AD3" s="31" t="s">
        <v>39</v>
      </c>
      <c r="AE3" s="257" t="s">
        <v>40</v>
      </c>
      <c r="AF3" s="225" t="s">
        <v>38</v>
      </c>
      <c r="AG3" s="31" t="s">
        <v>39</v>
      </c>
      <c r="AH3" s="257" t="s">
        <v>40</v>
      </c>
      <c r="AI3" s="225" t="s">
        <v>38</v>
      </c>
      <c r="AJ3" s="31" t="s">
        <v>39</v>
      </c>
      <c r="AK3" s="257" t="s">
        <v>40</v>
      </c>
      <c r="AL3" s="127" t="s">
        <v>703</v>
      </c>
      <c r="AM3" s="126" t="s">
        <v>704</v>
      </c>
      <c r="AN3" s="56" t="s">
        <v>158</v>
      </c>
      <c r="AO3" s="131" t="s">
        <v>705</v>
      </c>
      <c r="AP3" s="131" t="s">
        <v>706</v>
      </c>
      <c r="AQ3" s="131" t="s">
        <v>707</v>
      </c>
      <c r="AR3" s="131" t="s">
        <v>763</v>
      </c>
      <c r="AS3" s="131" t="s">
        <v>751</v>
      </c>
      <c r="AT3" s="126" t="s">
        <v>708</v>
      </c>
      <c r="AU3" s="126" t="s">
        <v>674</v>
      </c>
      <c r="AV3" s="154" t="s">
        <v>709</v>
      </c>
      <c r="AW3" s="72" t="s">
        <v>711</v>
      </c>
      <c r="AX3" s="224" t="s">
        <v>157</v>
      </c>
      <c r="AY3" s="257" t="s">
        <v>710</v>
      </c>
      <c r="AZ3" s="225" t="s">
        <v>864</v>
      </c>
      <c r="BA3" s="126" t="s">
        <v>653</v>
      </c>
    </row>
    <row r="4" spans="1:53" x14ac:dyDescent="0.2">
      <c r="A4" s="298"/>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3" t="s">
        <v>880</v>
      </c>
      <c r="Y8" s="273" t="s">
        <v>880</v>
      </c>
      <c r="Z8" s="143"/>
      <c r="AA8" s="273" t="s">
        <v>881</v>
      </c>
      <c r="AB8" s="273" t="s">
        <v>881</v>
      </c>
      <c r="AC8" s="143"/>
      <c r="AD8" s="273" t="s">
        <v>882</v>
      </c>
      <c r="AE8" s="273" t="s">
        <v>882</v>
      </c>
      <c r="AF8" s="143"/>
      <c r="AG8" s="273" t="s">
        <v>105</v>
      </c>
      <c r="AH8" s="273" t="s">
        <v>105</v>
      </c>
      <c r="AI8" s="143"/>
      <c r="AJ8" s="273" t="s">
        <v>883</v>
      </c>
      <c r="AK8" s="273" t="s">
        <v>883</v>
      </c>
      <c r="AV8" s="11"/>
      <c r="AW8" s="284" t="s">
        <v>161</v>
      </c>
      <c r="AX8" s="144"/>
      <c r="AY8" s="273" t="s">
        <v>161</v>
      </c>
      <c r="AZ8" s="143"/>
      <c r="BA8" s="281" t="s">
        <v>888</v>
      </c>
    </row>
    <row r="9" spans="1:53" x14ac:dyDescent="0.2">
      <c r="B9" s="5"/>
      <c r="C9" s="5"/>
      <c r="D9" s="5"/>
      <c r="E9" s="5"/>
      <c r="F9" s="81"/>
      <c r="M9" s="81"/>
      <c r="N9" s="11"/>
      <c r="O9" s="11"/>
      <c r="P9" s="11"/>
      <c r="Q9" s="144"/>
      <c r="R9" s="144"/>
      <c r="S9" s="144"/>
      <c r="T9" s="144"/>
      <c r="U9" s="144"/>
      <c r="V9" s="144"/>
      <c r="W9" s="143"/>
      <c r="X9" s="273" t="s">
        <v>884</v>
      </c>
      <c r="Y9" s="273" t="s">
        <v>884</v>
      </c>
      <c r="Z9" s="143"/>
      <c r="AA9" s="273" t="s">
        <v>885</v>
      </c>
      <c r="AB9" s="273" t="s">
        <v>885</v>
      </c>
      <c r="AC9" s="143"/>
      <c r="AD9" s="273" t="s">
        <v>886</v>
      </c>
      <c r="AE9" s="273" t="s">
        <v>886</v>
      </c>
      <c r="AF9" s="143"/>
      <c r="AG9" s="273" t="s">
        <v>106</v>
      </c>
      <c r="AH9" s="273" t="s">
        <v>106</v>
      </c>
      <c r="AI9" s="143"/>
      <c r="AJ9" s="273" t="s">
        <v>887</v>
      </c>
      <c r="AK9" s="273" t="s">
        <v>887</v>
      </c>
      <c r="AV9" s="11"/>
      <c r="AW9" s="284" t="s">
        <v>162</v>
      </c>
      <c r="AX9" s="144"/>
      <c r="AY9" s="273" t="s">
        <v>162</v>
      </c>
      <c r="AZ9" s="143"/>
      <c r="BA9" s="281" t="s">
        <v>889</v>
      </c>
    </row>
    <row r="10" spans="1:53" x14ac:dyDescent="0.2">
      <c r="B10" s="5"/>
      <c r="C10" s="5"/>
      <c r="D10" s="5"/>
      <c r="E10" s="5"/>
      <c r="F10" s="81"/>
      <c r="M10" s="81"/>
      <c r="N10" s="11"/>
      <c r="O10" s="11"/>
      <c r="P10" s="11"/>
      <c r="Q10" s="144"/>
      <c r="R10" s="144"/>
      <c r="S10" s="144"/>
      <c r="T10" s="144"/>
      <c r="U10" s="144"/>
      <c r="V10" s="144"/>
      <c r="W10" s="143"/>
      <c r="X10" s="273" t="s">
        <v>63</v>
      </c>
      <c r="Y10" s="273" t="s">
        <v>64</v>
      </c>
      <c r="Z10" s="143"/>
      <c r="AA10" s="273" t="s">
        <v>65</v>
      </c>
      <c r="AB10" s="273" t="s">
        <v>82</v>
      </c>
      <c r="AC10" s="143"/>
      <c r="AD10" s="273" t="s">
        <v>65</v>
      </c>
      <c r="AE10" s="273" t="s">
        <v>82</v>
      </c>
      <c r="AF10" s="143"/>
      <c r="AG10" s="273" t="s">
        <v>65</v>
      </c>
      <c r="AH10" s="273" t="s">
        <v>82</v>
      </c>
      <c r="AI10" s="143"/>
      <c r="AJ10" s="273" t="s">
        <v>65</v>
      </c>
      <c r="AK10" s="273" t="s">
        <v>82</v>
      </c>
      <c r="AV10" s="11"/>
      <c r="AW10" s="279"/>
      <c r="AX10" s="144"/>
      <c r="AY10" s="273"/>
      <c r="AZ10" s="143"/>
      <c r="BA10" s="281" t="s">
        <v>65</v>
      </c>
    </row>
    <row r="11" spans="1:53" x14ac:dyDescent="0.2">
      <c r="B11" s="5"/>
      <c r="C11" s="5"/>
      <c r="D11" s="5"/>
      <c r="E11" s="5"/>
      <c r="F11" s="81" t="s">
        <v>877</v>
      </c>
      <c r="G11" s="36" t="s">
        <v>877</v>
      </c>
      <c r="H11" s="36" t="s">
        <v>876</v>
      </c>
      <c r="I11" s="36" t="s">
        <v>876</v>
      </c>
      <c r="J11" s="36" t="s">
        <v>877</v>
      </c>
      <c r="K11" s="36" t="s">
        <v>875</v>
      </c>
      <c r="L11" s="36" t="s">
        <v>877</v>
      </c>
      <c r="M11" s="81" t="s">
        <v>876</v>
      </c>
      <c r="N11" s="11" t="s">
        <v>876</v>
      </c>
      <c r="O11" s="11" t="s">
        <v>877</v>
      </c>
      <c r="P11" s="11" t="s">
        <v>875</v>
      </c>
      <c r="Q11" s="11" t="s">
        <v>877</v>
      </c>
      <c r="R11" s="11" t="s">
        <v>877</v>
      </c>
      <c r="S11" s="11" t="s">
        <v>877</v>
      </c>
      <c r="T11" s="11" t="s">
        <v>877</v>
      </c>
      <c r="U11" s="11" t="s">
        <v>877</v>
      </c>
      <c r="V11" s="11" t="s">
        <v>877</v>
      </c>
      <c r="W11" s="81" t="s">
        <v>877</v>
      </c>
      <c r="X11" s="33" t="s">
        <v>877</v>
      </c>
      <c r="Y11" s="33" t="s">
        <v>877</v>
      </c>
      <c r="Z11" s="81" t="s">
        <v>877</v>
      </c>
      <c r="AA11" s="54" t="s">
        <v>877</v>
      </c>
      <c r="AB11" s="54" t="s">
        <v>877</v>
      </c>
      <c r="AC11" s="81" t="s">
        <v>877</v>
      </c>
      <c r="AD11" s="54" t="s">
        <v>877</v>
      </c>
      <c r="AE11" s="54" t="s">
        <v>877</v>
      </c>
      <c r="AF11" s="81" t="s">
        <v>877</v>
      </c>
      <c r="AG11" s="33" t="s">
        <v>877</v>
      </c>
      <c r="AH11" s="33" t="s">
        <v>877</v>
      </c>
      <c r="AI11" s="81" t="s">
        <v>877</v>
      </c>
      <c r="AJ11" s="33" t="s">
        <v>877</v>
      </c>
      <c r="AK11" s="33" t="s">
        <v>877</v>
      </c>
      <c r="AL11" s="47" t="s">
        <v>877</v>
      </c>
      <c r="AM11" s="33" t="s">
        <v>877</v>
      </c>
      <c r="AN11" s="36" t="s">
        <v>877</v>
      </c>
      <c r="AO11" s="36" t="s">
        <v>876</v>
      </c>
      <c r="AP11" s="36" t="s">
        <v>876</v>
      </c>
      <c r="AQ11" s="36" t="s">
        <v>877</v>
      </c>
      <c r="AR11" s="36" t="s">
        <v>875</v>
      </c>
      <c r="AS11" s="36" t="s">
        <v>875</v>
      </c>
      <c r="AT11" s="33" t="s">
        <v>877</v>
      </c>
      <c r="AU11" s="33" t="s">
        <v>877</v>
      </c>
      <c r="AV11" s="11" t="s">
        <v>877</v>
      </c>
      <c r="AW11" s="47" t="s">
        <v>876</v>
      </c>
      <c r="AX11" s="11" t="s">
        <v>876</v>
      </c>
      <c r="AY11" s="33" t="s">
        <v>876</v>
      </c>
      <c r="AZ11" s="81" t="s">
        <v>875</v>
      </c>
      <c r="BA11" s="40" t="s">
        <v>875</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9" t="s">
        <v>44</v>
      </c>
      <c r="B14" s="207" t="s">
        <v>3</v>
      </c>
      <c r="C14" s="190" t="s">
        <v>25</v>
      </c>
      <c r="D14" s="190" t="s">
        <v>4</v>
      </c>
      <c r="E14" s="190" t="s">
        <v>47</v>
      </c>
      <c r="F14" s="223" t="s">
        <v>638</v>
      </c>
      <c r="G14" s="191" t="s">
        <v>318</v>
      </c>
      <c r="H14" s="191" t="s">
        <v>229</v>
      </c>
      <c r="I14" s="191" t="s">
        <v>231</v>
      </c>
      <c r="J14" s="191" t="s">
        <v>227</v>
      </c>
      <c r="K14" s="191" t="s">
        <v>755</v>
      </c>
      <c r="L14" s="191" t="s">
        <v>366</v>
      </c>
      <c r="M14" s="223" t="s">
        <v>222</v>
      </c>
      <c r="N14" s="195" t="s">
        <v>223</v>
      </c>
      <c r="O14" s="195" t="s">
        <v>221</v>
      </c>
      <c r="P14" s="195" t="s">
        <v>844</v>
      </c>
      <c r="Q14" s="195" t="s">
        <v>872</v>
      </c>
      <c r="R14" s="195" t="s">
        <v>840</v>
      </c>
      <c r="S14" s="195" t="s">
        <v>841</v>
      </c>
      <c r="T14" s="195" t="s">
        <v>224</v>
      </c>
      <c r="U14" s="195" t="s">
        <v>225</v>
      </c>
      <c r="V14" s="195" t="s">
        <v>226</v>
      </c>
      <c r="W14" s="223" t="s">
        <v>849</v>
      </c>
      <c r="X14" s="217" t="s">
        <v>850</v>
      </c>
      <c r="Y14" s="217" t="s">
        <v>851</v>
      </c>
      <c r="Z14" s="223" t="s">
        <v>852</v>
      </c>
      <c r="AA14" s="217" t="s">
        <v>853</v>
      </c>
      <c r="AB14" s="217" t="s">
        <v>854</v>
      </c>
      <c r="AC14" s="223" t="s">
        <v>856</v>
      </c>
      <c r="AD14" s="217" t="s">
        <v>857</v>
      </c>
      <c r="AE14" s="217" t="s">
        <v>858</v>
      </c>
      <c r="AF14" s="223" t="s">
        <v>233</v>
      </c>
      <c r="AG14" s="217" t="s">
        <v>234</v>
      </c>
      <c r="AH14" s="217" t="s">
        <v>235</v>
      </c>
      <c r="AI14" s="223" t="s">
        <v>855</v>
      </c>
      <c r="AJ14" s="217" t="s">
        <v>859</v>
      </c>
      <c r="AK14" s="217" t="s">
        <v>860</v>
      </c>
      <c r="AL14" s="218" t="s">
        <v>236</v>
      </c>
      <c r="AM14" s="217" t="s">
        <v>237</v>
      </c>
      <c r="AN14" s="194" t="s">
        <v>238</v>
      </c>
      <c r="AO14" s="194" t="s">
        <v>230</v>
      </c>
      <c r="AP14" s="194" t="s">
        <v>232</v>
      </c>
      <c r="AQ14" s="194" t="s">
        <v>228</v>
      </c>
      <c r="AR14" s="194" t="s">
        <v>756</v>
      </c>
      <c r="AS14" s="194" t="s">
        <v>752</v>
      </c>
      <c r="AT14" s="217" t="s">
        <v>239</v>
      </c>
      <c r="AU14" s="217" t="s">
        <v>240</v>
      </c>
      <c r="AV14" s="195" t="s">
        <v>241</v>
      </c>
      <c r="AW14" s="218" t="s">
        <v>470</v>
      </c>
      <c r="AX14" s="195" t="s">
        <v>242</v>
      </c>
      <c r="AY14" s="217" t="s">
        <v>243</v>
      </c>
      <c r="AZ14" s="223" t="s">
        <v>342</v>
      </c>
      <c r="BA14" s="217" t="s">
        <v>943</v>
      </c>
    </row>
    <row r="15" spans="1:53" x14ac:dyDescent="0.2">
      <c r="A15" t="e">
        <f>INDEX(Prioritization!$D:$D,MATCH($B15,Prioritization!$A:$A,0))</f>
        <v>#N/A</v>
      </c>
      <c r="B15" s="5"/>
      <c r="C15" s="5"/>
      <c r="D15" s="5"/>
      <c r="E15" t="str">
        <f>$B15&amp;"|"&amp;$C15&amp;"|"&amp;$D15</f>
        <v>||</v>
      </c>
      <c r="F15" s="81" t="str">
        <f>IF(LEFT($B15,4)="_Mil","",INDEX(Cascade!$AA:$AA,MATCH($E15,Cascade!$E:$E,0)))</f>
        <v/>
      </c>
      <c r="G15" s="57">
        <f>INDEX(Cascade!$BG:$BG,MATCH($E15,Cascade!$E:$E,0))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IF(OR($C15="01-09",AND(SUM($G15)=0,SUM($H15)=0)),"",SUM($H15)/SUM($G15))</f>
        <v/>
      </c>
      <c r="N15" s="124" t="str">
        <f>IF(OR($C15="01-09",AND(SUM($G15)=0,SUM($I15)=0)),"",SUM($I15)/SUM($G15))</f>
        <v/>
      </c>
      <c r="O15" s="124" t="str">
        <f>IF(AND(SUM($G15)=0,SUM($J15)=0),"",SUM($J15)/SUM($G15))</f>
        <v/>
      </c>
      <c r="P15" s="124" t="str">
        <f>IF(OR($C15="01-09",$C15="10-14",AND(SUM($G15)=0,SUM($K15)=0)),"",SUM($K15)/SUM($G15))</f>
        <v/>
      </c>
      <c r="Q15" s="11"/>
      <c r="R15" s="11"/>
      <c r="S15" s="11"/>
      <c r="T15" s="11"/>
      <c r="U15" s="11"/>
      <c r="V15" s="11" t="str">
        <f>IFERROR(1/(1/SUM($M15:$U15)),"")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75" priority="2">
      <formula>OR($D1="Female",$C1="01-09",$C1="10-14")</formula>
    </cfRule>
  </conditionalFormatting>
  <conditionalFormatting sqref="AW1:AY1048576">
    <cfRule type="expression" dxfId="74" priority="19">
      <formula>OR($C1="01-09")</formula>
    </cfRule>
  </conditionalFormatting>
  <conditionalFormatting sqref="H1:I1048576 M1:N1048576 AO1:AP1048576">
    <cfRule type="expression" dxfId="73" priority="1">
      <formula>OR($D1="Male",$C1="01-09")</formula>
    </cfRule>
  </conditionalFormatting>
  <conditionalFormatting sqref="AN1:AN1048576">
    <cfRule type="expression" dxfId="72" priority="55">
      <formula>AND(ISNUMBER($AN1),ROUND(SUM($AN1),0)&lt;&gt;0)</formula>
    </cfRule>
  </conditionalFormatting>
  <conditionalFormatting sqref="Y1:Y1048576 AB1:AB1048576 AE1:AE1048576 AH1:AH1048576 AK1:AK1048576">
    <cfRule type="containsText" dxfId="71" priority="46" operator="containsText" text="ENTER YIELD">
      <formula>NOT(ISERROR(SEARCH("ENTER YIELD",Y1)))</formula>
    </cfRule>
  </conditionalFormatting>
  <conditionalFormatting sqref="F1:F1048576">
    <cfRule type="expression" dxfId="70" priority="23">
      <formula>LEFT($B1,4)="_Mil"</formula>
    </cfRule>
  </conditionalFormatting>
  <conditionalFormatting sqref="F1:AW1048576 AY1:BA1048576">
    <cfRule type="expression" dxfId="69" priority="26">
      <formula>AND(ISNUMBER(F1),F1&lt;0)</formula>
    </cfRule>
  </conditionalFormatting>
  <conditionalFormatting sqref="AZ1:AZ1048576">
    <cfRule type="expression" dxfId="68" priority="701">
      <formula>AND(ISNUMBER(AZ1),AZ1&lt;1)</formula>
    </cfRule>
  </conditionalFormatting>
  <conditionalFormatting sqref="M1:V1048576">
    <cfRule type="expression" dxfId="67" priority="218">
      <formula>AND(ISNUMBER($V1),IF(SUM($G1)=0,$V1&lt;&gt;0,$V1&lt;&gt;1))</formula>
    </cfRule>
  </conditionalFormatting>
  <conditionalFormatting sqref="AS1:AS1048576 AZ1:BA1048576">
    <cfRule type="expression" dxfId="66" priority="22">
      <formula>OR($C1="01-09",$C1="10-14")</formula>
    </cfRule>
  </conditionalFormatting>
  <conditionalFormatting sqref="M1:W1048576 Z1:Z1048576 AC1:AC1048576 AF1:AF1048576 AI1:AI1048576 AV1:AV1048576 AZ1:AZ1048576">
    <cfRule type="expression" dxfId="65"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Z:Z" display="H.C. Est. ART Coverage (ART/PLHIV) (FY23) (%)" xr:uid="{62E0A0AF-20D9-6845-8B29-307EB64A2270}"/>
    <hyperlink ref="G3" location="Cascade!BE:BE"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0" t="s">
        <v>5</v>
      </c>
      <c r="B1" s="4"/>
      <c r="C1" s="1"/>
      <c r="D1" s="1"/>
      <c r="E1" s="1"/>
      <c r="F1" s="212" t="s">
        <v>12</v>
      </c>
      <c r="G1" s="187"/>
      <c r="H1" s="187"/>
      <c r="I1" s="187"/>
      <c r="J1" s="184"/>
      <c r="K1" s="184"/>
      <c r="L1" s="184"/>
      <c r="M1" s="181"/>
    </row>
    <row r="2" spans="1:13" s="21" customFormat="1" ht="19" customHeight="1" x14ac:dyDescent="0.25">
      <c r="A2" s="419" t="s">
        <v>511</v>
      </c>
      <c r="B2" s="415"/>
      <c r="C2" s="2"/>
      <c r="D2" s="2"/>
      <c r="E2" s="2"/>
      <c r="F2" s="52"/>
      <c r="G2" s="46"/>
      <c r="H2" s="46"/>
      <c r="I2" s="46"/>
      <c r="J2" s="3"/>
      <c r="K2" s="3"/>
      <c r="L2" s="3"/>
      <c r="M2" s="264" t="s">
        <v>774</v>
      </c>
    </row>
    <row r="3" spans="1:13" ht="117" customHeight="1" thickBot="1" x14ac:dyDescent="0.25">
      <c r="A3" s="416"/>
      <c r="B3" s="417"/>
      <c r="C3" s="17"/>
      <c r="D3" s="17"/>
      <c r="E3" s="17"/>
      <c r="F3" s="72" t="s">
        <v>715</v>
      </c>
      <c r="G3" s="68" t="s">
        <v>714</v>
      </c>
      <c r="H3" s="128" t="s">
        <v>833</v>
      </c>
      <c r="I3" s="128" t="s">
        <v>621</v>
      </c>
      <c r="J3" s="164" t="s">
        <v>832</v>
      </c>
      <c r="K3" s="224" t="s">
        <v>835</v>
      </c>
      <c r="L3" s="224" t="s">
        <v>836</v>
      </c>
      <c r="M3" s="30" t="s">
        <v>713</v>
      </c>
    </row>
    <row r="4" spans="1:13"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8" t="s">
        <v>289</v>
      </c>
      <c r="G8" s="277" t="s">
        <v>103</v>
      </c>
      <c r="H8" s="269"/>
      <c r="I8" s="269"/>
      <c r="J8" s="144"/>
      <c r="K8" s="144"/>
      <c r="L8" s="144"/>
      <c r="M8" s="273" t="s">
        <v>103</v>
      </c>
    </row>
    <row r="9" spans="1:13" x14ac:dyDescent="0.2">
      <c r="F9" s="278" t="s">
        <v>290</v>
      </c>
      <c r="G9" s="277" t="s">
        <v>104</v>
      </c>
      <c r="H9" s="269"/>
      <c r="I9" s="269"/>
      <c r="J9" s="144"/>
      <c r="K9" s="144"/>
      <c r="L9" s="144"/>
      <c r="M9" s="273" t="s">
        <v>104</v>
      </c>
    </row>
    <row r="10" spans="1:13" x14ac:dyDescent="0.2">
      <c r="F10" s="279" t="s">
        <v>65</v>
      </c>
      <c r="G10" s="277" t="s">
        <v>65</v>
      </c>
      <c r="H10" s="269"/>
      <c r="I10" s="269"/>
      <c r="J10" s="144"/>
      <c r="K10" s="144"/>
      <c r="L10" s="144"/>
      <c r="M10" s="273" t="s">
        <v>65</v>
      </c>
    </row>
    <row r="11" spans="1:13" x14ac:dyDescent="0.2">
      <c r="F11" s="53" t="s">
        <v>874</v>
      </c>
      <c r="G11" s="38" t="s">
        <v>874</v>
      </c>
      <c r="H11" s="38" t="s">
        <v>874</v>
      </c>
      <c r="I11" s="38" t="s">
        <v>874</v>
      </c>
      <c r="J11" s="11" t="s">
        <v>874</v>
      </c>
      <c r="K11" s="11" t="s">
        <v>874</v>
      </c>
      <c r="L11" s="11" t="s">
        <v>874</v>
      </c>
      <c r="M11" s="33" t="s">
        <v>874</v>
      </c>
    </row>
    <row r="12" spans="1:13" x14ac:dyDescent="0.2">
      <c r="F12" s="53" t="s">
        <v>460</v>
      </c>
      <c r="G12" s="38" t="s">
        <v>460</v>
      </c>
      <c r="H12" s="38" t="s">
        <v>460</v>
      </c>
      <c r="I12" s="38" t="s">
        <v>460</v>
      </c>
      <c r="J12" s="11" t="s">
        <v>460</v>
      </c>
      <c r="K12" s="11" t="s">
        <v>460</v>
      </c>
      <c r="L12" s="11" t="s">
        <v>460</v>
      </c>
      <c r="M12" s="33" t="s">
        <v>460</v>
      </c>
    </row>
    <row r="14" spans="1:13" x14ac:dyDescent="0.2">
      <c r="A14" s="299" t="s">
        <v>44</v>
      </c>
      <c r="B14" s="207" t="s">
        <v>3</v>
      </c>
      <c r="C14" s="207" t="s">
        <v>25</v>
      </c>
      <c r="D14" s="207" t="s">
        <v>4</v>
      </c>
      <c r="E14" s="207" t="s">
        <v>47</v>
      </c>
      <c r="F14" s="218" t="s">
        <v>339</v>
      </c>
      <c r="G14" s="194" t="s">
        <v>340</v>
      </c>
      <c r="H14" s="194" t="s">
        <v>200</v>
      </c>
      <c r="I14" s="194" t="s">
        <v>201</v>
      </c>
      <c r="J14" s="195" t="s">
        <v>341</v>
      </c>
      <c r="K14" s="195" t="s">
        <v>837</v>
      </c>
      <c r="L14" s="195" t="s">
        <v>838</v>
      </c>
      <c r="M14" s="217" t="s">
        <v>244</v>
      </c>
    </row>
    <row r="15" spans="1:13" x14ac:dyDescent="0.2">
      <c r="A15" t="e">
        <f>INDEX(Prioritization!$D:$D,MATCH($B15,Prioritization!$A:$A,0))</f>
        <v>#N/A</v>
      </c>
      <c r="E15" s="5" t="str">
        <f>B15&amp;"|"&amp;C15&amp;"|"&amp;D15</f>
        <v>||</v>
      </c>
      <c r="H15" s="38" t="str">
        <f>IFERROR(1/(1/INDEX(Cascade!$O:$O,MATCH($E15,Cascade!$E:$E,0))),"")</f>
        <v/>
      </c>
      <c r="I15" s="38" t="str">
        <f>IFERROR(1/(1/INDEX(Cascade!$AU:$AU,MATCH($E15,Cascade!$E:$E,0))),"")</f>
        <v/>
      </c>
      <c r="K15" s="11">
        <f>1/3</f>
        <v>0.33333333333333331</v>
      </c>
      <c r="L15" s="11">
        <v>1</v>
      </c>
      <c r="M15" s="33" t="str">
        <f>IF(SUM($H15)=0,"",ROUND($H15*$K15+$I15*$L15,0))</f>
        <v/>
      </c>
    </row>
  </sheetData>
  <mergeCells count="1">
    <mergeCell ref="A2:B3"/>
  </mergeCells>
  <conditionalFormatting sqref="K1:K1048576">
    <cfRule type="expression" dxfId="64" priority="3">
      <formula>AND(ISNUMBER($K1),$K1&lt;33%)</formula>
    </cfRule>
  </conditionalFormatting>
  <conditionalFormatting sqref="J1:L1048576">
    <cfRule type="expression" dxfId="63" priority="2">
      <formula>AND(ISNUMBER(J1),J1&gt;1)</formula>
    </cfRule>
  </conditionalFormatting>
  <conditionalFormatting sqref="F1:M1048576">
    <cfRule type="expression" dxfId="62" priority="1">
      <formula>AND(ISNUMBER(F1),F1&lt;0)</formula>
    </cfRule>
  </conditionalFormatting>
  <conditionalFormatting sqref="L1:L1048576">
    <cfRule type="expression" dxfId="61" priority="7">
      <formula>AND(ISNUMBER($L1),$L1&lt;100%)</formula>
    </cfRule>
  </conditionalFormatting>
  <hyperlinks>
    <hyperlink ref="H3" location="Cascade!O:O" display="TX_CURR (FY23)" xr:uid="{C5312933-D9B2-F74B-8895-8CDF64C56415}"/>
    <hyperlink ref="I3" location="Cascade!AS:AS"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0"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64" t="s">
        <v>774</v>
      </c>
      <c r="M2" s="264" t="s">
        <v>774</v>
      </c>
      <c r="N2" s="264" t="s">
        <v>774</v>
      </c>
      <c r="O2" s="264" t="s">
        <v>774</v>
      </c>
      <c r="P2" s="50"/>
      <c r="Q2" s="46"/>
      <c r="R2" s="55"/>
      <c r="S2" s="55"/>
      <c r="T2" s="121"/>
      <c r="U2" s="3"/>
      <c r="V2" s="121"/>
      <c r="W2" s="264" t="s">
        <v>774</v>
      </c>
      <c r="X2" s="264" t="s">
        <v>774</v>
      </c>
      <c r="Y2" s="120"/>
      <c r="Z2" s="264" t="s">
        <v>774</v>
      </c>
      <c r="AA2" s="264" t="s">
        <v>774</v>
      </c>
      <c r="AB2" s="3"/>
      <c r="AC2" s="3"/>
    </row>
    <row r="3" spans="1:29" ht="117" customHeight="1" x14ac:dyDescent="0.2">
      <c r="A3" s="297"/>
      <c r="B3" s="17"/>
      <c r="C3" s="17"/>
      <c r="D3" s="17"/>
      <c r="E3" s="17"/>
      <c r="F3" s="127" t="s">
        <v>833</v>
      </c>
      <c r="G3" s="131" t="s">
        <v>712</v>
      </c>
      <c r="H3" s="224" t="s">
        <v>717</v>
      </c>
      <c r="I3" s="224" t="s">
        <v>716</v>
      </c>
      <c r="J3" s="224" t="s">
        <v>719</v>
      </c>
      <c r="K3" s="224" t="s">
        <v>718</v>
      </c>
      <c r="L3" s="30" t="s">
        <v>912</v>
      </c>
      <c r="M3" s="30" t="s">
        <v>913</v>
      </c>
      <c r="N3" s="30" t="s">
        <v>910</v>
      </c>
      <c r="O3" s="30" t="s">
        <v>911</v>
      </c>
      <c r="P3" s="72" t="s">
        <v>873</v>
      </c>
      <c r="Q3" s="73" t="s">
        <v>761</v>
      </c>
      <c r="R3" s="56" t="s">
        <v>760</v>
      </c>
      <c r="S3" s="373" t="s">
        <v>944</v>
      </c>
      <c r="T3" s="226" t="s">
        <v>945</v>
      </c>
      <c r="U3" s="224" t="s">
        <v>721</v>
      </c>
      <c r="V3" s="226" t="s">
        <v>720</v>
      </c>
      <c r="W3" s="30" t="s">
        <v>595</v>
      </c>
      <c r="X3" s="30" t="s">
        <v>596</v>
      </c>
      <c r="Y3" s="225" t="s">
        <v>722</v>
      </c>
      <c r="Z3" s="30" t="s">
        <v>595</v>
      </c>
      <c r="AA3" s="30" t="s">
        <v>596</v>
      </c>
      <c r="AB3" s="154" t="s">
        <v>914</v>
      </c>
      <c r="AC3" s="154" t="s">
        <v>915</v>
      </c>
    </row>
    <row r="4" spans="1:29" x14ac:dyDescent="0.2">
      <c r="A4" s="298"/>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3" t="s">
        <v>107</v>
      </c>
      <c r="M8" s="273" t="s">
        <v>107</v>
      </c>
      <c r="N8" s="273" t="s">
        <v>107</v>
      </c>
      <c r="O8" s="273" t="s">
        <v>107</v>
      </c>
      <c r="Q8" s="277" t="s">
        <v>143</v>
      </c>
      <c r="R8" s="277" t="s">
        <v>143</v>
      </c>
      <c r="S8" s="271"/>
      <c r="T8" s="270"/>
      <c r="U8" s="144"/>
      <c r="V8" s="270"/>
      <c r="W8" s="273" t="s">
        <v>142</v>
      </c>
      <c r="X8" s="273" t="s">
        <v>142</v>
      </c>
      <c r="Y8" s="143"/>
      <c r="Z8" s="273" t="s">
        <v>143</v>
      </c>
      <c r="AA8" s="273" t="s">
        <v>143</v>
      </c>
      <c r="AB8" s="144"/>
      <c r="AC8" s="144"/>
    </row>
    <row r="9" spans="1:29" x14ac:dyDescent="0.2">
      <c r="L9" s="273" t="s">
        <v>108</v>
      </c>
      <c r="M9" s="273" t="s">
        <v>108</v>
      </c>
      <c r="N9" s="273" t="s">
        <v>108</v>
      </c>
      <c r="O9" s="273" t="s">
        <v>108</v>
      </c>
      <c r="Q9" s="277" t="s">
        <v>144</v>
      </c>
      <c r="R9" s="277" t="s">
        <v>144</v>
      </c>
      <c r="S9" s="271"/>
      <c r="T9" s="270"/>
      <c r="U9" s="144"/>
      <c r="V9" s="270"/>
      <c r="W9" s="273" t="s">
        <v>141</v>
      </c>
      <c r="X9" s="273" t="s">
        <v>141</v>
      </c>
      <c r="Y9" s="143"/>
      <c r="Z9" s="273" t="s">
        <v>144</v>
      </c>
      <c r="AA9" s="273" t="s">
        <v>144</v>
      </c>
      <c r="AB9" s="144"/>
      <c r="AC9" s="144"/>
    </row>
    <row r="10" spans="1:29" x14ac:dyDescent="0.2">
      <c r="L10" s="273" t="s">
        <v>111</v>
      </c>
      <c r="M10" s="273" t="s">
        <v>112</v>
      </c>
      <c r="N10" s="273" t="s">
        <v>109</v>
      </c>
      <c r="O10" s="273" t="s">
        <v>110</v>
      </c>
      <c r="Q10" s="277" t="s">
        <v>81</v>
      </c>
      <c r="R10" s="277" t="s">
        <v>80</v>
      </c>
      <c r="S10" s="271"/>
      <c r="T10" s="270"/>
      <c r="U10" s="144"/>
      <c r="V10" s="270"/>
      <c r="W10" s="273" t="s">
        <v>81</v>
      </c>
      <c r="X10" s="273" t="s">
        <v>80</v>
      </c>
      <c r="Y10" s="143"/>
      <c r="Z10" s="273" t="s">
        <v>81</v>
      </c>
      <c r="AA10" s="273"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9" t="s">
        <v>44</v>
      </c>
      <c r="B14" s="207" t="s">
        <v>3</v>
      </c>
      <c r="C14" s="190" t="s">
        <v>25</v>
      </c>
      <c r="D14" s="190" t="s">
        <v>4</v>
      </c>
      <c r="E14" s="190" t="s">
        <v>47</v>
      </c>
      <c r="F14" s="218" t="s">
        <v>200</v>
      </c>
      <c r="G14" s="191" t="s">
        <v>202</v>
      </c>
      <c r="H14" s="195" t="s">
        <v>558</v>
      </c>
      <c r="I14" s="195" t="s">
        <v>557</v>
      </c>
      <c r="J14" s="195" t="s">
        <v>246</v>
      </c>
      <c r="K14" s="195" t="s">
        <v>245</v>
      </c>
      <c r="L14" s="217" t="s">
        <v>249</v>
      </c>
      <c r="M14" s="217" t="s">
        <v>250</v>
      </c>
      <c r="N14" s="217" t="s">
        <v>247</v>
      </c>
      <c r="O14" s="217" t="s">
        <v>248</v>
      </c>
      <c r="P14" s="218" t="s">
        <v>576</v>
      </c>
      <c r="Q14" s="194" t="s">
        <v>256</v>
      </c>
      <c r="R14" s="191" t="s">
        <v>255</v>
      </c>
      <c r="S14" s="191" t="s">
        <v>900</v>
      </c>
      <c r="T14" s="196" t="s">
        <v>901</v>
      </c>
      <c r="U14" s="195" t="s">
        <v>252</v>
      </c>
      <c r="V14" s="196" t="s">
        <v>251</v>
      </c>
      <c r="W14" s="217" t="s">
        <v>254</v>
      </c>
      <c r="X14" s="217" t="s">
        <v>253</v>
      </c>
      <c r="Y14" s="223" t="s">
        <v>902</v>
      </c>
      <c r="Z14" s="217" t="s">
        <v>258</v>
      </c>
      <c r="AA14" s="217" t="s">
        <v>257</v>
      </c>
      <c r="AB14" s="195" t="s">
        <v>904</v>
      </c>
      <c r="AC14" s="195" t="s">
        <v>903</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IFERROR(1/(1/SUM(SUMIFS(Cascade!$AW:$AW,Cascade!$B:$B,$B15,Cascade!$C:$C,IF($C15="&lt;15",{"=&lt;01","01-09","10-14"},{"15-24","25-34","35-49","50+"}),Cascade!$D:$D,$D15))),"")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60" priority="1">
      <formula>OR(Z1="ENTER COMPLETION RATE",AA1="ENTER COMPLETION RATE")</formula>
    </cfRule>
    <cfRule type="expression" dxfId="59" priority="3853">
      <formula>AND(ISNUMBER(Y1),ROUND(SUM(Y1),2)&lt;90%)</formula>
    </cfRule>
  </conditionalFormatting>
  <conditionalFormatting sqref="H1:K1048576 T1:V1048576 Y1:Y1048576">
    <cfRule type="expression" dxfId="58" priority="4">
      <formula>AND(ISNUMBER(H1),H1&gt;1)</formula>
    </cfRule>
  </conditionalFormatting>
  <conditionalFormatting sqref="H1:H1048576 J1:J1048576">
    <cfRule type="expression" dxfId="57" priority="5">
      <formula>AND(SUM($F1)&gt;0,H1="",ROW(H1)&gt;14)</formula>
    </cfRule>
  </conditionalFormatting>
  <conditionalFormatting sqref="H1:I1048576 U1:V1048576">
    <cfRule type="expression" dxfId="56" priority="3849">
      <formula>AND(ISNUMBER(H1),ROUND(SUM(H1),2)&lt;100%)</formula>
    </cfRule>
  </conditionalFormatting>
  <conditionalFormatting sqref="F1:AA1048576">
    <cfRule type="expression" dxfId="55" priority="2">
      <formula>AND(ISNUMBER(F1),F1&lt;0)</formula>
    </cfRule>
  </conditionalFormatting>
  <conditionalFormatting sqref="U1:V1048576">
    <cfRule type="expression" dxfId="54" priority="2167">
      <formula>W1="ENTER INITIATION RATE"</formula>
    </cfRule>
  </conditionalFormatting>
  <conditionalFormatting sqref="T1:T1048576">
    <cfRule type="expression" dxfId="53" priority="3285">
      <formula>W1="ENTER ELIGIBILITY RATE"</formula>
    </cfRule>
  </conditionalFormatting>
  <conditionalFormatting sqref="K1:K1048576 I1:I1048576">
    <cfRule type="expression" dxfId="52" priority="8">
      <formula>AND(SUM($G1)&lt;&gt;0,I1="",ROW(I1)&gt;14)</formula>
    </cfRule>
  </conditionalFormatting>
  <hyperlinks>
    <hyperlink ref="G3" location="Cascade!AU:AU"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0" t="s">
        <v>9</v>
      </c>
      <c r="B1" s="4"/>
      <c r="C1" s="1"/>
      <c r="D1" s="1"/>
      <c r="E1" s="1"/>
      <c r="F1" s="215" t="s">
        <v>32</v>
      </c>
      <c r="G1" s="184"/>
      <c r="H1" s="181"/>
    </row>
    <row r="2" spans="1:8" s="21" customFormat="1" ht="19" x14ac:dyDescent="0.25">
      <c r="A2" s="13"/>
      <c r="B2" s="2"/>
      <c r="C2" s="2"/>
      <c r="D2" s="2"/>
      <c r="E2" s="2"/>
      <c r="F2" s="50"/>
      <c r="G2" s="3"/>
      <c r="H2" s="264" t="s">
        <v>774</v>
      </c>
    </row>
    <row r="3" spans="1:8" ht="117" customHeight="1" x14ac:dyDescent="0.2">
      <c r="A3" s="297"/>
      <c r="B3" s="17"/>
      <c r="C3" s="17"/>
      <c r="D3" s="17"/>
      <c r="E3" s="17"/>
      <c r="F3" s="72" t="s">
        <v>845</v>
      </c>
      <c r="G3" s="224" t="s">
        <v>155</v>
      </c>
      <c r="H3" s="30" t="s">
        <v>723</v>
      </c>
    </row>
    <row r="4" spans="1:8" x14ac:dyDescent="0.2">
      <c r="A4" s="298"/>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9" t="s">
        <v>129</v>
      </c>
      <c r="G8" s="144"/>
      <c r="H8" s="273" t="s">
        <v>129</v>
      </c>
    </row>
    <row r="9" spans="1:8" x14ac:dyDescent="0.2">
      <c r="F9" s="279" t="s">
        <v>130</v>
      </c>
      <c r="G9" s="144"/>
      <c r="H9" s="273" t="s">
        <v>130</v>
      </c>
    </row>
    <row r="10" spans="1:8" x14ac:dyDescent="0.2">
      <c r="F10" s="279"/>
      <c r="G10" s="144"/>
      <c r="H10" s="273"/>
    </row>
    <row r="11" spans="1:8" x14ac:dyDescent="0.2">
      <c r="F11" s="47" t="s">
        <v>876</v>
      </c>
      <c r="G11" s="19" t="s">
        <v>876</v>
      </c>
      <c r="H11" s="33" t="s">
        <v>876</v>
      </c>
    </row>
    <row r="12" spans="1:8" x14ac:dyDescent="0.2">
      <c r="F12" s="47" t="s">
        <v>138</v>
      </c>
      <c r="G12" s="11" t="s">
        <v>138</v>
      </c>
      <c r="H12" s="33" t="s">
        <v>138</v>
      </c>
    </row>
    <row r="14" spans="1:8" x14ac:dyDescent="0.2">
      <c r="A14" s="301"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51"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36" customWidth="1"/>
    <col min="7" max="7" width="11.83203125" customWidth="1"/>
    <col min="8" max="9" width="11.83203125" style="36" customWidth="1"/>
    <col min="10" max="14" width="11.83203125" style="19" customWidth="1"/>
    <col min="15" max="19" width="11.83203125" style="36" customWidth="1"/>
    <col min="20" max="20" width="11.83203125" style="19" customWidth="1"/>
    <col min="21" max="21" width="11.83203125" style="36" customWidth="1"/>
  </cols>
  <sheetData>
    <row r="1" spans="1:21" s="22" customFormat="1" ht="31" customHeight="1" x14ac:dyDescent="0.3">
      <c r="A1" s="300" t="s">
        <v>8</v>
      </c>
      <c r="B1" s="4"/>
      <c r="C1" s="1"/>
      <c r="D1" s="1"/>
      <c r="E1" s="296"/>
      <c r="F1" s="231" t="s">
        <v>31</v>
      </c>
      <c r="G1" s="367"/>
      <c r="H1" s="231"/>
      <c r="I1" s="181"/>
      <c r="J1" s="184"/>
      <c r="K1" s="184"/>
      <c r="L1" s="184"/>
      <c r="M1" s="184"/>
      <c r="N1" s="184"/>
      <c r="O1" s="181"/>
      <c r="P1" s="181"/>
      <c r="Q1" s="181"/>
      <c r="R1" s="181"/>
      <c r="S1" s="181"/>
      <c r="T1" s="214" t="s">
        <v>33</v>
      </c>
      <c r="U1" s="181"/>
    </row>
    <row r="2" spans="1:21" s="21" customFormat="1" ht="19" x14ac:dyDescent="0.25">
      <c r="A2" s="13"/>
      <c r="B2" s="2"/>
      <c r="C2" s="2"/>
      <c r="D2" s="2"/>
      <c r="E2" s="13"/>
      <c r="F2" s="84"/>
      <c r="G2" s="368"/>
      <c r="H2" s="84"/>
      <c r="I2" s="34"/>
      <c r="J2" s="3"/>
      <c r="K2" s="3"/>
      <c r="L2" s="3"/>
      <c r="M2" s="3"/>
      <c r="N2" s="3"/>
      <c r="O2" s="29"/>
      <c r="P2" s="264" t="s">
        <v>774</v>
      </c>
      <c r="Q2" s="264" t="s">
        <v>774</v>
      </c>
      <c r="R2" s="264" t="s">
        <v>774</v>
      </c>
      <c r="S2" s="264" t="s">
        <v>774</v>
      </c>
      <c r="T2" s="120"/>
      <c r="U2" s="264" t="s">
        <v>774</v>
      </c>
    </row>
    <row r="3" spans="1:21" ht="117" customHeight="1" x14ac:dyDescent="0.2">
      <c r="A3" s="297"/>
      <c r="B3" s="17"/>
      <c r="C3" s="17"/>
      <c r="D3" s="17"/>
      <c r="E3" s="297"/>
      <c r="F3" s="128" t="s">
        <v>1157</v>
      </c>
      <c r="G3" s="369" t="s">
        <v>303</v>
      </c>
      <c r="H3" s="68" t="s">
        <v>916</v>
      </c>
      <c r="I3" s="68" t="s">
        <v>917</v>
      </c>
      <c r="J3" s="224" t="s">
        <v>918</v>
      </c>
      <c r="K3" s="224" t="s">
        <v>724</v>
      </c>
      <c r="L3" s="224" t="s">
        <v>725</v>
      </c>
      <c r="M3" s="154" t="s">
        <v>728</v>
      </c>
      <c r="N3" s="224" t="s">
        <v>726</v>
      </c>
      <c r="O3" s="257" t="s">
        <v>919</v>
      </c>
      <c r="P3" s="257" t="s">
        <v>920</v>
      </c>
      <c r="Q3" s="257" t="s">
        <v>921</v>
      </c>
      <c r="R3" s="257" t="s">
        <v>922</v>
      </c>
      <c r="S3" s="257" t="s">
        <v>923</v>
      </c>
      <c r="T3" s="225" t="s">
        <v>727</v>
      </c>
      <c r="U3" s="30" t="s">
        <v>729</v>
      </c>
    </row>
    <row r="4" spans="1:21" x14ac:dyDescent="0.2">
      <c r="A4" s="298"/>
      <c r="B4" s="15"/>
      <c r="C4" s="15"/>
      <c r="D4" s="15" t="s">
        <v>2</v>
      </c>
      <c r="E4" s="298"/>
      <c r="F4" s="44">
        <f>SUBTOTAL(109,F$15:INDEX(F:F,COUNTA($B:$B)+14-COUNTA($B$1:$B$14)))</f>
        <v>0</v>
      </c>
      <c r="G4" s="86"/>
      <c r="H4" s="35">
        <f>SUBTOTAL(109,H$15:INDEX(H:H,COUNTA($B:$B)+14-COUNTA($B$1:$B$14)))</f>
        <v>0</v>
      </c>
      <c r="I4" s="35">
        <f>SUBTOTAL(109,I$15:INDEX(I:I,COUNTA($B:$B)+14-COUNTA($B$1:$B$14)))</f>
        <v>0</v>
      </c>
      <c r="J4" s="18" t="str">
        <f>IF($I$4=0,"",$O$4/$I$4-1)</f>
        <v/>
      </c>
      <c r="K4" s="18" t="str">
        <f>IF($O$4=0,"",$P$4/$O$4)</f>
        <v/>
      </c>
      <c r="L4" s="18" t="str">
        <f>IF($O$4=0,"",$Q$4/$O$4)</f>
        <v/>
      </c>
      <c r="M4" s="18" t="str">
        <f>IF($O$4=0,"",SUM($R$4,$S$4)/$O$4)</f>
        <v/>
      </c>
      <c r="N4" s="18" t="str">
        <f>IF(SUM($R$4,$S$4)=0,"",$R$4/SUM($R$4,$S$4))</f>
        <v/>
      </c>
      <c r="O4" s="32">
        <f>SUBTOTAL(109,O$15:INDEX(O:O,COUNTA($B:$B)+14-COUNTA($B$1:$B$14)))</f>
        <v>0</v>
      </c>
      <c r="P4" s="32">
        <f>SUBTOTAL(109,P$15:INDEX(P:P,COUNTA($B:$B)+14-COUNTA($B$1:$B$14)))</f>
        <v>0</v>
      </c>
      <c r="Q4" s="32">
        <f>SUBTOTAL(109,Q$15:INDEX(Q:Q,COUNTA($B:$B)+14-COUNTA($B$1:$B$14)))</f>
        <v>0</v>
      </c>
      <c r="R4" s="32">
        <f>SUBTOTAL(109,R$15:INDEX(R:R,COUNTA($B:$B)+14-COUNTA($B$1:$B$14)))</f>
        <v>0</v>
      </c>
      <c r="S4" s="32">
        <f>SUBTOTAL(109,S$15:INDEX(S:S,COUNTA($B:$B)+14-COUNTA($B$1:$B$14)))</f>
        <v>0</v>
      </c>
      <c r="T4" s="80" t="str">
        <f>IF(SUM($R$4,$S$4)=0,"",$U$4/SUM($R$4,$S$4))</f>
        <v/>
      </c>
      <c r="U4" s="32">
        <f>SUBTOTAL(109,U$15:INDEX(U:U,COUNTA($B:$B)+14-COUNTA($B$1:$B$14)))</f>
        <v>0</v>
      </c>
    </row>
    <row r="5" spans="1:21" x14ac:dyDescent="0.2">
      <c r="A5" t="s">
        <v>59</v>
      </c>
      <c r="B5" s="5" t="s">
        <v>59</v>
      </c>
      <c r="C5" s="5" t="s">
        <v>59</v>
      </c>
      <c r="D5" s="5" t="s">
        <v>59</v>
      </c>
      <c r="E5" t="s">
        <v>59</v>
      </c>
      <c r="F5" s="99" t="s">
        <v>59</v>
      </c>
      <c r="G5" s="23" t="s">
        <v>59</v>
      </c>
      <c r="H5" s="99" t="s">
        <v>70</v>
      </c>
      <c r="I5" s="99" t="s">
        <v>70</v>
      </c>
      <c r="J5" s="11" t="s">
        <v>59</v>
      </c>
      <c r="K5" s="11" t="s">
        <v>59</v>
      </c>
      <c r="L5" s="11" t="s">
        <v>59</v>
      </c>
      <c r="M5" s="11" t="s">
        <v>59</v>
      </c>
      <c r="N5" s="11" t="s">
        <v>59</v>
      </c>
      <c r="O5" s="33" t="s">
        <v>59</v>
      </c>
      <c r="P5" s="33" t="s">
        <v>70</v>
      </c>
      <c r="Q5" s="33" t="s">
        <v>70</v>
      </c>
      <c r="R5" s="33" t="s">
        <v>70</v>
      </c>
      <c r="S5" s="33" t="s">
        <v>70</v>
      </c>
      <c r="T5" s="81" t="s">
        <v>59</v>
      </c>
      <c r="U5" s="33" t="s">
        <v>70</v>
      </c>
    </row>
    <row r="6" spans="1:21" x14ac:dyDescent="0.2">
      <c r="A6" t="s">
        <v>137</v>
      </c>
      <c r="B6" s="5" t="s">
        <v>137</v>
      </c>
      <c r="C6" s="5" t="s">
        <v>137</v>
      </c>
      <c r="D6" s="5" t="s">
        <v>137</v>
      </c>
      <c r="E6" t="s">
        <v>137</v>
      </c>
      <c r="F6" s="99" t="s">
        <v>54</v>
      </c>
      <c r="G6" s="23" t="s">
        <v>72</v>
      </c>
      <c r="H6" s="99" t="s">
        <v>71</v>
      </c>
      <c r="I6" s="99" t="s">
        <v>71</v>
      </c>
      <c r="J6" s="11" t="s">
        <v>73</v>
      </c>
      <c r="K6" s="11" t="s">
        <v>73</v>
      </c>
      <c r="L6" s="11" t="s">
        <v>73</v>
      </c>
      <c r="M6" s="11" t="s">
        <v>73</v>
      </c>
      <c r="N6" s="11" t="s">
        <v>73</v>
      </c>
      <c r="O6" s="33" t="s">
        <v>73</v>
      </c>
      <c r="P6" s="33" t="s">
        <v>53</v>
      </c>
      <c r="Q6" s="33" t="s">
        <v>53</v>
      </c>
      <c r="R6" s="33" t="s">
        <v>53</v>
      </c>
      <c r="S6" s="33" t="s">
        <v>53</v>
      </c>
      <c r="T6" s="81" t="s">
        <v>73</v>
      </c>
      <c r="U6" s="33" t="s">
        <v>53</v>
      </c>
    </row>
    <row r="7" spans="1:21" x14ac:dyDescent="0.2">
      <c r="A7" t="s">
        <v>69</v>
      </c>
      <c r="B7" s="5" t="s">
        <v>69</v>
      </c>
      <c r="C7" s="5" t="s">
        <v>69</v>
      </c>
      <c r="D7" s="5" t="s">
        <v>69</v>
      </c>
      <c r="E7" t="s">
        <v>69</v>
      </c>
      <c r="F7" s="99" t="s">
        <v>55</v>
      </c>
      <c r="G7" s="23" t="s">
        <v>69</v>
      </c>
      <c r="H7" s="99" t="s">
        <v>55</v>
      </c>
      <c r="I7" s="36" t="s">
        <v>55</v>
      </c>
      <c r="J7" s="11" t="s">
        <v>56</v>
      </c>
      <c r="K7" s="11" t="s">
        <v>56</v>
      </c>
      <c r="L7" s="11" t="s">
        <v>56</v>
      </c>
      <c r="M7" s="11" t="s">
        <v>56</v>
      </c>
      <c r="N7" s="11" t="s">
        <v>56</v>
      </c>
      <c r="O7" s="33" t="s">
        <v>55</v>
      </c>
      <c r="P7" s="33" t="s">
        <v>55</v>
      </c>
      <c r="Q7" s="33" t="s">
        <v>55</v>
      </c>
      <c r="R7" s="33" t="s">
        <v>55</v>
      </c>
      <c r="S7" s="33" t="s">
        <v>55</v>
      </c>
      <c r="T7" s="81" t="s">
        <v>56</v>
      </c>
      <c r="U7" s="33" t="s">
        <v>55</v>
      </c>
    </row>
    <row r="8" spans="1:21" x14ac:dyDescent="0.2">
      <c r="B8" s="5"/>
      <c r="C8" s="5"/>
      <c r="D8" s="5"/>
      <c r="F8" s="99"/>
      <c r="G8" s="86"/>
      <c r="H8" s="294" t="s">
        <v>896</v>
      </c>
      <c r="I8" s="286" t="s">
        <v>475</v>
      </c>
      <c r="J8" s="144"/>
      <c r="K8" s="144"/>
      <c r="L8" s="144"/>
      <c r="M8" s="144"/>
      <c r="N8" s="144"/>
      <c r="O8" s="33"/>
      <c r="P8" s="285" t="s">
        <v>473</v>
      </c>
      <c r="Q8" s="285" t="s">
        <v>471</v>
      </c>
      <c r="R8" s="273" t="s">
        <v>475</v>
      </c>
      <c r="S8" s="273" t="s">
        <v>475</v>
      </c>
      <c r="T8" s="143"/>
      <c r="U8" s="273" t="s">
        <v>115</v>
      </c>
    </row>
    <row r="9" spans="1:21" x14ac:dyDescent="0.2">
      <c r="B9" s="5"/>
      <c r="C9" s="5"/>
      <c r="D9" s="5"/>
      <c r="F9" s="99"/>
      <c r="G9" s="86"/>
      <c r="H9" s="294" t="s">
        <v>897</v>
      </c>
      <c r="I9" s="286" t="s">
        <v>476</v>
      </c>
      <c r="J9" s="144"/>
      <c r="K9" s="144"/>
      <c r="L9" s="144"/>
      <c r="M9" s="144"/>
      <c r="N9" s="144"/>
      <c r="O9" s="33"/>
      <c r="P9" s="285" t="s">
        <v>474</v>
      </c>
      <c r="Q9" s="285" t="s">
        <v>472</v>
      </c>
      <c r="R9" s="273" t="s">
        <v>476</v>
      </c>
      <c r="S9" s="273" t="s">
        <v>476</v>
      </c>
      <c r="T9" s="143"/>
      <c r="U9" s="273" t="s">
        <v>116</v>
      </c>
    </row>
    <row r="10" spans="1:21" x14ac:dyDescent="0.2">
      <c r="B10" s="5"/>
      <c r="C10" s="5"/>
      <c r="D10" s="5"/>
      <c r="F10" s="99"/>
      <c r="G10" s="86"/>
      <c r="H10" s="295"/>
      <c r="I10" s="277"/>
      <c r="J10" s="144"/>
      <c r="K10" s="144"/>
      <c r="L10" s="144"/>
      <c r="M10" s="144"/>
      <c r="N10" s="144"/>
      <c r="O10" s="33"/>
      <c r="P10" s="273"/>
      <c r="Q10" s="273"/>
      <c r="R10" s="273" t="s">
        <v>114</v>
      </c>
      <c r="S10" s="273" t="s">
        <v>113</v>
      </c>
      <c r="T10" s="143"/>
      <c r="U10" s="273"/>
    </row>
    <row r="11" spans="1:21" x14ac:dyDescent="0.2">
      <c r="B11" s="5"/>
      <c r="C11" s="5"/>
      <c r="D11" s="5"/>
      <c r="F11" s="99" t="s">
        <v>463</v>
      </c>
      <c r="G11" s="86"/>
      <c r="H11" s="99" t="s">
        <v>463</v>
      </c>
      <c r="I11" s="36" t="s">
        <v>463</v>
      </c>
      <c r="J11" s="19" t="s">
        <v>463</v>
      </c>
      <c r="K11" s="19" t="s">
        <v>464</v>
      </c>
      <c r="L11" s="19" t="s">
        <v>465</v>
      </c>
      <c r="M11" s="19" t="s">
        <v>463</v>
      </c>
      <c r="N11" s="11" t="s">
        <v>463</v>
      </c>
      <c r="O11" s="33" t="s">
        <v>463</v>
      </c>
      <c r="P11" s="33" t="s">
        <v>464</v>
      </c>
      <c r="Q11" s="33" t="s">
        <v>465</v>
      </c>
      <c r="R11" s="33" t="s">
        <v>463</v>
      </c>
      <c r="S11" s="33" t="s">
        <v>463</v>
      </c>
      <c r="T11" s="81" t="s">
        <v>466</v>
      </c>
      <c r="U11" s="33" t="s">
        <v>466</v>
      </c>
    </row>
    <row r="12" spans="1:21" x14ac:dyDescent="0.2">
      <c r="B12" s="5"/>
      <c r="C12" s="5"/>
      <c r="D12" s="5"/>
      <c r="F12" s="99" t="s">
        <v>138</v>
      </c>
      <c r="G12" s="86"/>
      <c r="H12" s="99" t="s">
        <v>138</v>
      </c>
      <c r="I12" s="36" t="s">
        <v>138</v>
      </c>
      <c r="J12" s="19" t="s">
        <v>138</v>
      </c>
      <c r="K12" s="19" t="s">
        <v>460</v>
      </c>
      <c r="L12" s="19" t="s">
        <v>138</v>
      </c>
      <c r="M12" s="19" t="s">
        <v>138</v>
      </c>
      <c r="N12" s="11" t="s">
        <v>138</v>
      </c>
      <c r="O12" s="33" t="s">
        <v>138</v>
      </c>
      <c r="P12" s="33" t="s">
        <v>460</v>
      </c>
      <c r="Q12" s="33" t="s">
        <v>138</v>
      </c>
      <c r="R12" s="33" t="s">
        <v>138</v>
      </c>
      <c r="S12" s="33" t="s">
        <v>138</v>
      </c>
      <c r="T12" s="81" t="s">
        <v>138</v>
      </c>
      <c r="U12" s="33" t="s">
        <v>138</v>
      </c>
    </row>
    <row r="13" spans="1:21" x14ac:dyDescent="0.2">
      <c r="B13" s="5"/>
      <c r="C13" s="5"/>
      <c r="D13" s="5"/>
      <c r="F13" s="99"/>
      <c r="G13" s="86"/>
      <c r="H13" s="99"/>
      <c r="J13" s="11"/>
      <c r="K13" s="11"/>
      <c r="L13" s="11"/>
      <c r="M13" s="11"/>
      <c r="N13" s="11"/>
      <c r="O13" s="33"/>
      <c r="P13" s="33"/>
      <c r="Q13" s="33"/>
      <c r="R13" s="33"/>
      <c r="S13" s="33"/>
      <c r="T13" s="81"/>
      <c r="U13" s="33"/>
    </row>
    <row r="14" spans="1:21" x14ac:dyDescent="0.2">
      <c r="A14" s="299" t="s">
        <v>44</v>
      </c>
      <c r="B14" s="207" t="s">
        <v>3</v>
      </c>
      <c r="C14" s="207" t="s">
        <v>25</v>
      </c>
      <c r="D14" s="207" t="s">
        <v>4</v>
      </c>
      <c r="E14" s="299" t="s">
        <v>47</v>
      </c>
      <c r="F14" s="240" t="s">
        <v>189</v>
      </c>
      <c r="G14" s="370" t="s">
        <v>348</v>
      </c>
      <c r="H14" s="240" t="s">
        <v>369</v>
      </c>
      <c r="I14" s="194" t="s">
        <v>277</v>
      </c>
      <c r="J14" s="195" t="s">
        <v>351</v>
      </c>
      <c r="K14" s="195" t="s">
        <v>352</v>
      </c>
      <c r="L14" s="195" t="s">
        <v>354</v>
      </c>
      <c r="M14" s="195" t="s">
        <v>353</v>
      </c>
      <c r="N14" s="195" t="s">
        <v>355</v>
      </c>
      <c r="O14" s="217" t="s">
        <v>357</v>
      </c>
      <c r="P14" s="217" t="s">
        <v>302</v>
      </c>
      <c r="Q14" s="217" t="s">
        <v>358</v>
      </c>
      <c r="R14" s="217" t="s">
        <v>356</v>
      </c>
      <c r="S14" s="217" t="s">
        <v>278</v>
      </c>
      <c r="T14" s="223" t="s">
        <v>359</v>
      </c>
      <c r="U14" s="217" t="s">
        <v>279</v>
      </c>
    </row>
    <row r="15" spans="1:21" x14ac:dyDescent="0.2">
      <c r="A15" t="e">
        <f>INDEX(Prioritization!$D:$D,MATCH($B15,Prioritization!$A:$A,0))</f>
        <v>#N/A</v>
      </c>
      <c r="B15" s="5"/>
      <c r="C15" s="5"/>
      <c r="D15" s="5"/>
      <c r="E15" t="str">
        <f>$B15&amp;"|"&amp;$C15&amp;"|"&amp;$D15</f>
        <v>||</v>
      </c>
      <c r="F15" s="36" t="str" cm="1">
        <f t="array" ref="F15">IF(
LEFT($B15,4)="_Mil",
"",
IFERROR(
1/(
1/
IF(OR($C15="15-17",$C15="18-20"),ROUND(INDEX(Cascade!$U:$U,MATCH($B15&amp;"|"&amp;"15-19"&amp;"|"&amp;$D15,Cascade!$E:$E,0))/2,0),IF($C15="18+",SUM(SUMIFS(Cascade!$U:$U,Cascade!$B:$B,$B15,Cascade!$C:$C,{"20-24","25-29","30-34","35-39","40-44","45-49","50-54","55-59","60-64","65+"},Cascade!$D:$D,$D15)),INDEX(Cascade!$U:$U,MATCH($E15,Cascade!$E:$E,0))))
),
""))</f>
        <v/>
      </c>
      <c r="G15" s="86"/>
      <c r="H15" s="83"/>
      <c r="J15" s="11" t="str">
        <f>IF(SUM($I15)=0,"",0%)</f>
        <v/>
      </c>
      <c r="K15" s="11"/>
      <c r="L15" s="11"/>
      <c r="M15" s="11">
        <f>1-IF(NOT(AND($D15="Female",OR($C15="10-14",$C15="15-17",$G15="Y"))),0,$K15)-IF(NOT(OR($C15="05-09",$C15="10-14")),0,$L15)</f>
        <v>1</v>
      </c>
      <c r="N15" s="11">
        <f>IF(SUM($M15)=0,"",20%)</f>
        <v>0.2</v>
      </c>
      <c r="O15" s="33" t="str">
        <f>IF(SUM($I15)=0,"",ROUND($I15*(1+$J15),0))</f>
        <v/>
      </c>
      <c r="P15" s="33" t="str">
        <f>IF(OR(SUM($O15)=0,SUM($K15)=0,NOT(AND($D15="Female",$G15="Y",OR($C15="10-14",$C15="15-17")))),"",ROUND($O15*$K15,0))</f>
        <v/>
      </c>
      <c r="Q15" s="33" t="str">
        <f>IF(OR(SUM($O15)=0,SUM($L15)=0,NOT(OR($C15="10-14",$C15="05-09"))),"",ROUND($O15*$L15,0))</f>
        <v/>
      </c>
      <c r="R15" s="33" t="str">
        <f>IFERROR(1/(1/ROUND($O15*$M15*$N15,0)),"")</f>
        <v/>
      </c>
      <c r="S15" s="33" t="str">
        <f>IFERROR(1/(1/(ROUND($O15*$M15,0)-$R15)),"")</f>
        <v/>
      </c>
      <c r="T15" s="81" t="str">
        <f>IF(OR($C15="18+",$C15="18-20",SUM($R15,$S15)=0),"",100%)</f>
        <v/>
      </c>
      <c r="U15" s="40" t="str">
        <f>IF(OR($C15="18+",$C15="18-20",SUM($R15,$S15)=0),"",ROUND(SUM($R15,$S15)*$T15,0))</f>
        <v/>
      </c>
    </row>
  </sheetData>
  <conditionalFormatting sqref="T1:U1048576">
    <cfRule type="expression" dxfId="50" priority="26">
      <formula>OR($C1="18-20",$C1="18+")</formula>
    </cfRule>
  </conditionalFormatting>
  <conditionalFormatting sqref="N1:N1048576">
    <cfRule type="expression" dxfId="49" priority="24">
      <formula>AND(ISNUMBER($N1),ROUND(SUM($N1),2)&lt;20%)</formula>
    </cfRule>
  </conditionalFormatting>
  <conditionalFormatting sqref="K1:K1048576 P1:P1048576">
    <cfRule type="expression" dxfId="48" priority="18">
      <formula>AND($B1&lt;&gt;"",ROW(K1)&gt;14,NOT(AND($D1="Female",$G1="Y",OR($C1="10-14",$C1="15-17"))))</formula>
    </cfRule>
  </conditionalFormatting>
  <conditionalFormatting sqref="Q1:Q1048576 L1:L1048576">
    <cfRule type="expression" dxfId="47" priority="17">
      <formula>AND($E1&lt;&gt;"",ROW(L1)&gt;14,NOT(OR($C1="05-09",$C1="10-14")))</formula>
    </cfRule>
  </conditionalFormatting>
  <conditionalFormatting sqref="F1:F1048576">
    <cfRule type="expression" dxfId="46" priority="4">
      <formula>AND(ROW(F1)&gt;14,LEFT(B1,4)="_Mil")</formula>
    </cfRule>
  </conditionalFormatting>
  <conditionalFormatting sqref="F1:I1048576 K1:U1048576">
    <cfRule type="expression" dxfId="45" priority="1">
      <formula>AND(ISNUMBER(F1),F1&lt;0)</formula>
    </cfRule>
  </conditionalFormatting>
  <conditionalFormatting sqref="K1:N1048576 T1:T1048576">
    <cfRule type="expression" dxfId="44" priority="2">
      <formula>AND(ISNUMBER(K1),OR(ROUND(SUM(K1),2)&lt;0,ROUND(SUM(K1),2)&gt;1))</formula>
    </cfRule>
  </conditionalFormatting>
  <conditionalFormatting sqref="T1:T1048576">
    <cfRule type="expression" dxfId="43" priority="25">
      <formula>AND(ISNUMBER($T1),SUM($R1,$S1)&gt;0,ROUND(SUM($T1),2)&lt;1)</formula>
    </cfRule>
  </conditionalFormatting>
  <hyperlinks>
    <hyperlink ref="F3" location="Cascade!U:U" display="H.C. Est. PLHIV (FY23)" xr:uid="{E49CE538-4BEA-0D40-9E3C-81F7C46E1E54}"/>
  </hyperlinks>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64" t="s">
        <v>774</v>
      </c>
      <c r="H2" s="264" t="s">
        <v>774</v>
      </c>
    </row>
    <row r="3" spans="1:8" ht="117" customHeight="1" x14ac:dyDescent="0.2">
      <c r="C3" s="72" t="s">
        <v>732</v>
      </c>
      <c r="D3" s="68" t="s">
        <v>733</v>
      </c>
      <c r="E3" s="224" t="s">
        <v>559</v>
      </c>
      <c r="F3" s="224" t="s">
        <v>560</v>
      </c>
      <c r="G3" s="30" t="s">
        <v>730</v>
      </c>
      <c r="H3" s="30" t="s">
        <v>731</v>
      </c>
    </row>
    <row r="4" spans="1:8" x14ac:dyDescent="0.2">
      <c r="A4" s="298"/>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8" t="s">
        <v>59</v>
      </c>
      <c r="B5" s="15" t="s">
        <v>59</v>
      </c>
      <c r="C5" s="47" t="s">
        <v>70</v>
      </c>
      <c r="D5" s="36" t="s">
        <v>70</v>
      </c>
      <c r="E5" s="11" t="s">
        <v>59</v>
      </c>
      <c r="F5" s="11" t="s">
        <v>59</v>
      </c>
      <c r="G5" s="33" t="s">
        <v>70</v>
      </c>
      <c r="H5" s="33" t="s">
        <v>70</v>
      </c>
    </row>
    <row r="6" spans="1:8" x14ac:dyDescent="0.2">
      <c r="A6" s="298" t="s">
        <v>137</v>
      </c>
      <c r="B6" s="15" t="s">
        <v>137</v>
      </c>
      <c r="C6" s="47" t="s">
        <v>71</v>
      </c>
      <c r="D6" s="36" t="s">
        <v>71</v>
      </c>
      <c r="E6" s="11" t="s">
        <v>73</v>
      </c>
      <c r="F6" s="11" t="s">
        <v>73</v>
      </c>
      <c r="G6" s="33" t="s">
        <v>53</v>
      </c>
      <c r="H6" s="33" t="s">
        <v>53</v>
      </c>
    </row>
    <row r="7" spans="1:8" x14ac:dyDescent="0.2">
      <c r="A7" s="298" t="s">
        <v>69</v>
      </c>
      <c r="B7" s="15" t="s">
        <v>69</v>
      </c>
      <c r="C7" s="47" t="s">
        <v>55</v>
      </c>
      <c r="D7" s="36" t="s">
        <v>55</v>
      </c>
      <c r="E7" s="11" t="s">
        <v>56</v>
      </c>
      <c r="F7" s="11" t="s">
        <v>56</v>
      </c>
      <c r="G7" s="33" t="s">
        <v>55</v>
      </c>
      <c r="H7" s="33" t="s">
        <v>55</v>
      </c>
    </row>
    <row r="8" spans="1:8" x14ac:dyDescent="0.2">
      <c r="A8" s="298"/>
      <c r="B8" s="15"/>
      <c r="C8" s="279" t="s">
        <v>133</v>
      </c>
      <c r="D8" s="277" t="s">
        <v>133</v>
      </c>
      <c r="E8" s="144"/>
      <c r="F8" s="144"/>
      <c r="G8" s="273" t="s">
        <v>133</v>
      </c>
      <c r="H8" s="273" t="s">
        <v>133</v>
      </c>
    </row>
    <row r="9" spans="1:8" x14ac:dyDescent="0.2">
      <c r="A9" s="298"/>
      <c r="B9" s="15"/>
      <c r="C9" s="279" t="s">
        <v>134</v>
      </c>
      <c r="D9" s="277" t="s">
        <v>134</v>
      </c>
      <c r="E9" s="144"/>
      <c r="F9" s="144"/>
      <c r="G9" s="273" t="s">
        <v>134</v>
      </c>
      <c r="H9" s="273" t="s">
        <v>134</v>
      </c>
    </row>
    <row r="10" spans="1:8" x14ac:dyDescent="0.2">
      <c r="A10" s="298"/>
      <c r="B10" s="15"/>
      <c r="C10" s="279" t="s">
        <v>135</v>
      </c>
      <c r="D10" s="277" t="s">
        <v>136</v>
      </c>
      <c r="E10" s="144"/>
      <c r="F10" s="144"/>
      <c r="G10" s="273" t="s">
        <v>135</v>
      </c>
      <c r="H10" s="273" t="s">
        <v>136</v>
      </c>
    </row>
    <row r="11" spans="1:8" x14ac:dyDescent="0.2">
      <c r="A11" s="298"/>
      <c r="B11" s="15"/>
    </row>
    <row r="12" spans="1:8" x14ac:dyDescent="0.2">
      <c r="A12" s="298"/>
      <c r="B12" s="15"/>
    </row>
    <row r="13" spans="1:8" x14ac:dyDescent="0.2">
      <c r="A13" s="298"/>
      <c r="B13" s="15"/>
    </row>
    <row r="14" spans="1:8" x14ac:dyDescent="0.2">
      <c r="A14" s="299"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42"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Q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6" width="11.83203125" style="47" customWidth="1"/>
    <col min="7" max="12" width="11.83203125" style="36" customWidth="1"/>
    <col min="13" max="15" width="11.83203125" style="98" customWidth="1"/>
    <col min="16" max="17" width="12.6640625" style="33" customWidth="1"/>
  </cols>
  <sheetData>
    <row r="1" spans="1:17" s="22" customFormat="1" ht="31" customHeight="1" thickBot="1" x14ac:dyDescent="0.35">
      <c r="A1" s="300" t="s">
        <v>291</v>
      </c>
      <c r="B1" s="4"/>
      <c r="C1" s="1"/>
      <c r="D1" s="1"/>
      <c r="E1" s="1"/>
      <c r="F1" s="215" t="s">
        <v>292</v>
      </c>
      <c r="G1" s="180"/>
      <c r="H1" s="180"/>
      <c r="I1" s="180"/>
      <c r="J1" s="180"/>
      <c r="K1" s="180"/>
      <c r="L1" s="180"/>
      <c r="M1" s="185"/>
      <c r="N1" s="185"/>
      <c r="O1" s="185"/>
      <c r="P1" s="181"/>
      <c r="Q1" s="181"/>
    </row>
    <row r="2" spans="1:17" s="21" customFormat="1" ht="19" x14ac:dyDescent="0.25">
      <c r="A2" s="419" t="s">
        <v>561</v>
      </c>
      <c r="B2" s="415"/>
      <c r="C2" s="2"/>
      <c r="D2" s="2"/>
      <c r="E2" s="2"/>
      <c r="F2" s="50"/>
      <c r="G2" s="34"/>
      <c r="H2" s="34"/>
      <c r="I2" s="34"/>
      <c r="J2" s="34"/>
      <c r="K2" s="34"/>
      <c r="L2" s="34"/>
      <c r="M2" s="3"/>
      <c r="N2" s="3"/>
      <c r="O2" s="3"/>
      <c r="P2" s="264" t="s">
        <v>774</v>
      </c>
      <c r="Q2" s="264" t="s">
        <v>774</v>
      </c>
    </row>
    <row r="3" spans="1:17" ht="117" customHeight="1" thickBot="1" x14ac:dyDescent="0.25">
      <c r="A3" s="416"/>
      <c r="B3" s="417"/>
      <c r="C3" s="17"/>
      <c r="D3" s="17"/>
      <c r="E3" s="17"/>
      <c r="F3" s="127" t="s">
        <v>1156</v>
      </c>
      <c r="G3" s="244" t="s">
        <v>1184</v>
      </c>
      <c r="H3" s="68" t="s">
        <v>737</v>
      </c>
      <c r="I3" s="68" t="s">
        <v>738</v>
      </c>
      <c r="J3" s="68" t="s">
        <v>739</v>
      </c>
      <c r="K3" s="68" t="s">
        <v>740</v>
      </c>
      <c r="L3" s="68" t="s">
        <v>741</v>
      </c>
      <c r="M3" s="147" t="s">
        <v>742</v>
      </c>
      <c r="N3" s="202" t="s">
        <v>734</v>
      </c>
      <c r="O3" s="202" t="s">
        <v>743</v>
      </c>
      <c r="P3" s="257" t="s">
        <v>735</v>
      </c>
      <c r="Q3" s="257" t="s">
        <v>736</v>
      </c>
    </row>
    <row r="4" spans="1:17"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96" t="str">
        <f>IF($L$4=0,"",SUM($J$4,$K$4)/$L$4)</f>
        <v/>
      </c>
      <c r="N4" s="96" t="str">
        <f>IF($P$4=0,"",$Q$4/$P$4)</f>
        <v/>
      </c>
      <c r="O4" s="96" t="str">
        <f>IF($L$4=0,"",$P$4/$L$4-1)</f>
        <v/>
      </c>
      <c r="P4" s="32">
        <f>SUBTOTAL(109,P$15:INDEX(P:P,COUNTA($B:$B)+14-COUNTA($B$1:$B$14)))</f>
        <v>0</v>
      </c>
      <c r="Q4" s="32">
        <f>SUBTOTAL(109,Q$15:INDEX(Q:Q,COUNTA($B:$B)+14-COUNTA($B$1:$B$14)))</f>
        <v>0</v>
      </c>
    </row>
    <row r="5" spans="1:17" x14ac:dyDescent="0.2">
      <c r="A5" t="s">
        <v>59</v>
      </c>
      <c r="B5" s="5" t="s">
        <v>59</v>
      </c>
      <c r="C5" s="5" t="s">
        <v>59</v>
      </c>
      <c r="D5" s="5" t="s">
        <v>59</v>
      </c>
      <c r="E5" s="5" t="s">
        <v>59</v>
      </c>
      <c r="F5" s="47" t="s">
        <v>59</v>
      </c>
      <c r="G5" s="36" t="s">
        <v>59</v>
      </c>
      <c r="H5" s="36" t="s">
        <v>70</v>
      </c>
      <c r="I5" s="36" t="s">
        <v>70</v>
      </c>
      <c r="J5" s="36" t="s">
        <v>70</v>
      </c>
      <c r="K5" s="36" t="s">
        <v>70</v>
      </c>
      <c r="L5" s="36" t="s">
        <v>59</v>
      </c>
      <c r="M5" s="98" t="s">
        <v>59</v>
      </c>
      <c r="N5" s="98" t="s">
        <v>59</v>
      </c>
      <c r="O5" s="98" t="s">
        <v>59</v>
      </c>
      <c r="P5" s="33" t="s">
        <v>70</v>
      </c>
      <c r="Q5" s="33" t="s">
        <v>70</v>
      </c>
    </row>
    <row r="6" spans="1:17" x14ac:dyDescent="0.2">
      <c r="A6" t="s">
        <v>137</v>
      </c>
      <c r="B6" s="5" t="s">
        <v>137</v>
      </c>
      <c r="C6" s="5" t="s">
        <v>137</v>
      </c>
      <c r="D6" s="5" t="s">
        <v>137</v>
      </c>
      <c r="E6" s="5" t="s">
        <v>137</v>
      </c>
      <c r="F6" s="47" t="s">
        <v>54</v>
      </c>
      <c r="G6" s="36" t="s">
        <v>73</v>
      </c>
      <c r="H6" s="36" t="s">
        <v>71</v>
      </c>
      <c r="I6" s="36" t="s">
        <v>71</v>
      </c>
      <c r="J6" s="36" t="s">
        <v>71</v>
      </c>
      <c r="K6" s="36" t="s">
        <v>71</v>
      </c>
      <c r="L6" s="36" t="s">
        <v>54</v>
      </c>
      <c r="M6" s="98" t="s">
        <v>54</v>
      </c>
      <c r="N6" s="98" t="s">
        <v>73</v>
      </c>
      <c r="O6" s="98" t="s">
        <v>73</v>
      </c>
      <c r="P6" s="33" t="s">
        <v>53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6" t="s">
        <v>55</v>
      </c>
      <c r="M7" s="98" t="s">
        <v>56</v>
      </c>
      <c r="N7" s="98" t="s">
        <v>56</v>
      </c>
      <c r="O7" s="98" t="s">
        <v>56</v>
      </c>
      <c r="P7" s="33" t="s">
        <v>55</v>
      </c>
      <c r="Q7" s="33" t="s">
        <v>55</v>
      </c>
    </row>
    <row r="8" spans="1:17" x14ac:dyDescent="0.2">
      <c r="H8" s="277" t="s">
        <v>297</v>
      </c>
      <c r="I8" s="277" t="s">
        <v>296</v>
      </c>
      <c r="J8" s="277" t="s">
        <v>295</v>
      </c>
      <c r="K8" s="277" t="s">
        <v>294</v>
      </c>
      <c r="M8" s="166"/>
      <c r="N8" s="166"/>
      <c r="O8" s="166"/>
      <c r="P8" s="273" t="s">
        <v>477</v>
      </c>
      <c r="Q8" s="273" t="s">
        <v>478</v>
      </c>
    </row>
    <row r="9" spans="1:17" x14ac:dyDescent="0.2">
      <c r="H9" s="286"/>
      <c r="I9" s="286"/>
      <c r="J9" s="286"/>
      <c r="K9" s="286"/>
      <c r="L9" s="101"/>
      <c r="M9" s="165"/>
      <c r="N9" s="166"/>
      <c r="O9" s="166"/>
      <c r="P9" s="273"/>
      <c r="Q9" s="273"/>
    </row>
    <row r="10" spans="1:17" x14ac:dyDescent="0.2">
      <c r="H10" s="277" t="s">
        <v>564</v>
      </c>
      <c r="I10" s="277" t="s">
        <v>562</v>
      </c>
      <c r="J10" s="277" t="s">
        <v>565</v>
      </c>
      <c r="K10" s="277" t="s">
        <v>563</v>
      </c>
      <c r="M10" s="166"/>
      <c r="N10" s="166"/>
      <c r="O10" s="166"/>
      <c r="P10" s="273" t="s">
        <v>486</v>
      </c>
      <c r="Q10" s="273" t="s">
        <v>487</v>
      </c>
    </row>
    <row r="11" spans="1:17" x14ac:dyDescent="0.2">
      <c r="F11" s="47" t="s">
        <v>293</v>
      </c>
      <c r="G11" s="36" t="s">
        <v>293</v>
      </c>
      <c r="H11" s="36" t="s">
        <v>293</v>
      </c>
      <c r="I11" s="36" t="s">
        <v>293</v>
      </c>
      <c r="J11" s="36" t="s">
        <v>293</v>
      </c>
      <c r="K11" s="36" t="s">
        <v>293</v>
      </c>
      <c r="L11" s="36" t="s">
        <v>293</v>
      </c>
      <c r="M11" s="98" t="s">
        <v>293</v>
      </c>
      <c r="N11" s="19" t="s">
        <v>293</v>
      </c>
      <c r="O11" s="19" t="s">
        <v>293</v>
      </c>
      <c r="P11" s="33" t="s">
        <v>293</v>
      </c>
      <c r="Q11" s="33" t="s">
        <v>293</v>
      </c>
    </row>
    <row r="12" spans="1:17" x14ac:dyDescent="0.2">
      <c r="F12" s="47" t="s">
        <v>460</v>
      </c>
      <c r="G12" s="36" t="s">
        <v>460</v>
      </c>
      <c r="H12" s="36" t="s">
        <v>460</v>
      </c>
      <c r="I12" s="36" t="s">
        <v>460</v>
      </c>
      <c r="J12" s="36" t="s">
        <v>460</v>
      </c>
      <c r="K12" s="36" t="s">
        <v>460</v>
      </c>
      <c r="L12" s="36" t="s">
        <v>460</v>
      </c>
      <c r="M12" s="98" t="s">
        <v>460</v>
      </c>
      <c r="N12" s="19" t="s">
        <v>460</v>
      </c>
      <c r="O12" s="19" t="s">
        <v>460</v>
      </c>
      <c r="P12" s="33" t="s">
        <v>460</v>
      </c>
      <c r="Q12" s="33" t="s">
        <v>460</v>
      </c>
    </row>
    <row r="14" spans="1:17" x14ac:dyDescent="0.2">
      <c r="A14" s="301" t="s">
        <v>44</v>
      </c>
      <c r="B14" s="190" t="s">
        <v>3</v>
      </c>
      <c r="C14" s="190" t="s">
        <v>25</v>
      </c>
      <c r="D14" s="190" t="s">
        <v>4</v>
      </c>
      <c r="E14" s="190" t="s">
        <v>47</v>
      </c>
      <c r="F14" s="218" t="s">
        <v>188</v>
      </c>
      <c r="G14" s="194" t="s">
        <v>349</v>
      </c>
      <c r="H14" s="194" t="s">
        <v>298</v>
      </c>
      <c r="I14" s="194" t="s">
        <v>299</v>
      </c>
      <c r="J14" s="194" t="s">
        <v>300</v>
      </c>
      <c r="K14" s="194" t="s">
        <v>301</v>
      </c>
      <c r="L14" s="194" t="s">
        <v>492</v>
      </c>
      <c r="M14" s="195" t="s">
        <v>491</v>
      </c>
      <c r="N14" s="195" t="s">
        <v>350</v>
      </c>
      <c r="O14" s="195" t="s">
        <v>493</v>
      </c>
      <c r="P14" s="217" t="s">
        <v>304</v>
      </c>
      <c r="Q14" s="217" t="s">
        <v>305</v>
      </c>
    </row>
    <row r="15" spans="1:17" x14ac:dyDescent="0.2">
      <c r="A15" t="e">
        <f>INDEX(Prioritization!$D:$D,MATCH($B15,Prioritization!$A:$A,0))</f>
        <v>#N/A</v>
      </c>
      <c r="E15" s="5" t="str">
        <f>B15&amp;"|"&amp;C15&amp;"|"&amp;D15</f>
        <v>||</v>
      </c>
      <c r="F15" s="47" t="str">
        <f>IF(LEFT($B15,4)="_Mil","",INDEX(Cascade!$T:$T,MATCH($E15,Cascade!$E:$E,0)))</f>
        <v/>
      </c>
      <c r="L15" s="36" t="str">
        <f>IF(SUM($H15:$K15)=0,"",SUM($H15:$K15))</f>
        <v/>
      </c>
      <c r="M15" s="98" t="str">
        <f>IF(SUM($L15)=0,"",SUM($J15,$K15)/SUM($L15))</f>
        <v/>
      </c>
      <c r="N15" s="98" t="str">
        <f>IF(SUM($L15)=0,"",MAX(60%,SUM($M15)))</f>
        <v/>
      </c>
      <c r="O15" s="98" t="str">
        <f>IF(SUM($L15)=0,"",0%)</f>
        <v/>
      </c>
      <c r="P15" s="33" t="str">
        <f>IF(SUM($L15)=0,"",ROUND(SUM($L15)*(1+$O15),0))</f>
        <v/>
      </c>
      <c r="Q15" s="33" t="str">
        <f>IF(SUM($P15)=0,"",ROUND(SUM($P15)*N15,0))</f>
        <v/>
      </c>
    </row>
  </sheetData>
  <mergeCells count="1">
    <mergeCell ref="A2:B3"/>
  </mergeCells>
  <phoneticPr fontId="18" type="noConversion"/>
  <conditionalFormatting sqref="P1:Q1048576">
    <cfRule type="expression" dxfId="41" priority="14">
      <formula>AND(ISNUMBER(P1),SUM($Q1)&gt;SUM($P1))</formula>
    </cfRule>
  </conditionalFormatting>
  <conditionalFormatting sqref="F1:G1048576">
    <cfRule type="expression" dxfId="40" priority="1">
      <formula>AND(ROW(F1)&gt;14,LEFT(B1,4)="_Mil")</formula>
    </cfRule>
  </conditionalFormatting>
  <conditionalFormatting sqref="F1:N1048576 P1:Q1048576">
    <cfRule type="expression" dxfId="39" priority="2">
      <formula>AND(ISNUMBER(F1),F1&lt;0)</formula>
    </cfRule>
  </conditionalFormatting>
  <conditionalFormatting sqref="M1:N1048576">
    <cfRule type="expression" dxfId="38" priority="3">
      <formula>AND(ISNUMBER(M1),M1&gt;1)</formula>
    </cfRule>
  </conditionalFormatting>
  <conditionalFormatting sqref="N1:N1048576">
    <cfRule type="expression" dxfId="37" priority="2997">
      <formula>AND(ROUND(SUM($N1),2)&lt;60%,SUM($P1)&gt;0)</formula>
    </cfRule>
  </conditionalFormatting>
  <hyperlinks>
    <hyperlink ref="F3" location="Cascade!T:T" display="H.C. Est. Female Population (FY23)" xr:uid="{B0948E47-F018-1840-8619-0BC178046A95}"/>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activeCell="E1" sqref="E1"/>
      <selection pane="bottomLeft" activeCell="A15" sqref="A15"/>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0" t="s">
        <v>20</v>
      </c>
      <c r="B1" s="4"/>
      <c r="C1" s="1"/>
      <c r="D1" s="1"/>
      <c r="E1" s="215" t="s">
        <v>20</v>
      </c>
      <c r="F1" s="181"/>
      <c r="G1" s="229"/>
      <c r="H1" s="184"/>
      <c r="I1" s="184"/>
      <c r="J1" s="181"/>
      <c r="K1" s="181"/>
    </row>
    <row r="2" spans="1:11" ht="19" x14ac:dyDescent="0.25">
      <c r="A2" s="13"/>
      <c r="B2" s="2"/>
      <c r="C2" s="2"/>
      <c r="D2" s="2"/>
      <c r="E2" s="52"/>
      <c r="F2" s="46"/>
      <c r="G2" s="3"/>
      <c r="H2" s="3"/>
      <c r="I2" s="3"/>
      <c r="J2" s="264" t="s">
        <v>774</v>
      </c>
      <c r="K2" s="264" t="s">
        <v>774</v>
      </c>
    </row>
    <row r="3" spans="1:11" ht="117" customHeight="1" x14ac:dyDescent="0.2">
      <c r="D3" s="26"/>
      <c r="E3" s="243" t="s">
        <v>1185</v>
      </c>
      <c r="F3" s="75" t="s">
        <v>746</v>
      </c>
      <c r="G3" s="94" t="s">
        <v>747</v>
      </c>
      <c r="H3" s="202" t="s">
        <v>744</v>
      </c>
      <c r="I3" s="202" t="s">
        <v>846</v>
      </c>
      <c r="J3" s="257" t="s">
        <v>745</v>
      </c>
      <c r="K3" s="257" t="s">
        <v>1186</v>
      </c>
    </row>
    <row r="4" spans="1:11" x14ac:dyDescent="0.2">
      <c r="A4" s="304"/>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9" t="s">
        <v>120</v>
      </c>
      <c r="F8" s="287" t="s">
        <v>121</v>
      </c>
      <c r="G8" s="97"/>
      <c r="H8" s="166"/>
      <c r="I8" s="166"/>
      <c r="J8" s="273" t="s">
        <v>121</v>
      </c>
      <c r="K8" s="273" t="s">
        <v>120</v>
      </c>
    </row>
    <row r="9" spans="1:11" x14ac:dyDescent="0.2">
      <c r="A9" s="25"/>
      <c r="B9" s="28"/>
      <c r="C9" s="28"/>
      <c r="D9" s="28"/>
      <c r="E9" s="279"/>
      <c r="F9" s="287" t="s">
        <v>122</v>
      </c>
      <c r="G9" s="97"/>
      <c r="H9" s="166"/>
      <c r="I9" s="166"/>
      <c r="J9" s="273" t="s">
        <v>122</v>
      </c>
      <c r="K9" s="273"/>
    </row>
    <row r="10" spans="1:11" x14ac:dyDescent="0.2">
      <c r="A10" s="25"/>
      <c r="B10" s="28"/>
      <c r="C10" s="28"/>
      <c r="D10" s="28"/>
      <c r="E10" s="279"/>
      <c r="F10" s="287"/>
      <c r="G10" s="97"/>
      <c r="H10" s="166"/>
      <c r="I10" s="166"/>
      <c r="J10" s="273"/>
      <c r="K10" s="273"/>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9"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2"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6" priority="1">
      <formula>LEFT($B1,4)="_Mil"</formula>
    </cfRule>
  </conditionalFormatting>
  <conditionalFormatting sqref="H1:H1048576">
    <cfRule type="expression" dxfId="35" priority="7">
      <formula>AND(ISNUMBER(H1),H1&lt;&gt;G1)</formula>
    </cfRule>
  </conditionalFormatting>
  <conditionalFormatting sqref="E1:H1048576 J1:K1048576">
    <cfRule type="expression" dxfId="34" priority="2">
      <formula>AND(ISNUMBER(E1),E1&lt;0)</formula>
    </cfRule>
  </conditionalFormatting>
  <conditionalFormatting sqref="G1:H1048576">
    <cfRule type="expression" dxfId="33"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0" t="s">
        <v>525</v>
      </c>
      <c r="B1" s="4"/>
      <c r="C1" s="215" t="s">
        <v>531</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19" t="s">
        <v>577</v>
      </c>
      <c r="B2" s="415"/>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16"/>
      <c r="B3" s="417"/>
      <c r="C3" s="127" t="s">
        <v>748</v>
      </c>
      <c r="D3" s="131" t="s">
        <v>927</v>
      </c>
      <c r="E3" s="134" t="s">
        <v>749</v>
      </c>
      <c r="F3" s="170" t="s">
        <v>372</v>
      </c>
      <c r="G3" s="159" t="s">
        <v>373</v>
      </c>
      <c r="H3" s="159" t="s">
        <v>376</v>
      </c>
      <c r="I3" s="31" t="s">
        <v>374</v>
      </c>
      <c r="J3" s="31" t="s">
        <v>375</v>
      </c>
      <c r="K3" s="127" t="s">
        <v>748</v>
      </c>
      <c r="L3" s="131" t="s">
        <v>927</v>
      </c>
      <c r="M3" s="134" t="s">
        <v>749</v>
      </c>
      <c r="N3" s="170" t="s">
        <v>372</v>
      </c>
      <c r="O3" s="159" t="s">
        <v>373</v>
      </c>
      <c r="P3" s="159" t="s">
        <v>376</v>
      </c>
      <c r="Q3" s="31" t="s">
        <v>374</v>
      </c>
      <c r="R3" s="31" t="s">
        <v>375</v>
      </c>
      <c r="S3" s="127" t="s">
        <v>748</v>
      </c>
      <c r="T3" s="134" t="s">
        <v>749</v>
      </c>
      <c r="U3" s="170" t="s">
        <v>372</v>
      </c>
      <c r="V3" s="159" t="s">
        <v>373</v>
      </c>
      <c r="W3" s="159" t="s">
        <v>376</v>
      </c>
      <c r="X3" s="31" t="s">
        <v>374</v>
      </c>
      <c r="Y3" s="31" t="s">
        <v>375</v>
      </c>
      <c r="Z3" s="127" t="s">
        <v>748</v>
      </c>
      <c r="AA3" s="134" t="s">
        <v>749</v>
      </c>
      <c r="AB3" s="170" t="s">
        <v>372</v>
      </c>
      <c r="AC3" s="159" t="s">
        <v>373</v>
      </c>
      <c r="AD3" s="159" t="s">
        <v>376</v>
      </c>
      <c r="AE3" s="31" t="s">
        <v>374</v>
      </c>
      <c r="AF3" s="31" t="s">
        <v>375</v>
      </c>
      <c r="AG3" s="127" t="s">
        <v>748</v>
      </c>
      <c r="AH3" s="134" t="s">
        <v>749</v>
      </c>
      <c r="AI3" s="170" t="s">
        <v>372</v>
      </c>
      <c r="AJ3" s="159" t="s">
        <v>373</v>
      </c>
      <c r="AK3" s="159" t="s">
        <v>376</v>
      </c>
      <c r="AL3" s="31" t="s">
        <v>374</v>
      </c>
      <c r="AM3" s="31" t="s">
        <v>375</v>
      </c>
      <c r="AN3" s="127" t="s">
        <v>748</v>
      </c>
      <c r="AO3" s="134" t="s">
        <v>749</v>
      </c>
      <c r="AP3" s="170" t="s">
        <v>372</v>
      </c>
      <c r="AQ3" s="159" t="s">
        <v>373</v>
      </c>
      <c r="AR3" s="159" t="s">
        <v>376</v>
      </c>
      <c r="AS3" s="31" t="s">
        <v>374</v>
      </c>
      <c r="AT3" s="31" t="s">
        <v>375</v>
      </c>
      <c r="AU3" s="127" t="s">
        <v>748</v>
      </c>
      <c r="AV3" s="134" t="s">
        <v>749</v>
      </c>
      <c r="AW3" s="170" t="s">
        <v>372</v>
      </c>
      <c r="AX3" s="159" t="s">
        <v>373</v>
      </c>
      <c r="AY3" s="159" t="s">
        <v>376</v>
      </c>
      <c r="AZ3" s="31" t="s">
        <v>374</v>
      </c>
      <c r="BA3" s="31" t="s">
        <v>375</v>
      </c>
      <c r="BB3" s="127" t="s">
        <v>748</v>
      </c>
      <c r="BC3" s="134" t="s">
        <v>749</v>
      </c>
      <c r="BD3" s="170" t="s">
        <v>372</v>
      </c>
      <c r="BE3" s="159" t="s">
        <v>373</v>
      </c>
      <c r="BF3" s="159" t="s">
        <v>376</v>
      </c>
      <c r="BG3" s="31" t="s">
        <v>374</v>
      </c>
      <c r="BH3" s="31" t="s">
        <v>375</v>
      </c>
      <c r="BI3" s="127" t="s">
        <v>748</v>
      </c>
      <c r="BJ3" s="134" t="s">
        <v>749</v>
      </c>
      <c r="BK3" s="170" t="s">
        <v>372</v>
      </c>
      <c r="BL3" s="159" t="s">
        <v>373</v>
      </c>
      <c r="BM3" s="159" t="s">
        <v>376</v>
      </c>
      <c r="BN3" s="31" t="s">
        <v>374</v>
      </c>
      <c r="BO3" s="31" t="s">
        <v>375</v>
      </c>
      <c r="BP3" s="127" t="s">
        <v>748</v>
      </c>
      <c r="BQ3" s="134" t="s">
        <v>749</v>
      </c>
      <c r="BR3" s="170" t="s">
        <v>372</v>
      </c>
      <c r="BS3" s="159" t="s">
        <v>373</v>
      </c>
      <c r="BT3" s="159" t="s">
        <v>376</v>
      </c>
      <c r="BU3" s="31" t="s">
        <v>374</v>
      </c>
      <c r="BV3" s="31" t="s">
        <v>375</v>
      </c>
    </row>
    <row r="4" spans="1:74" x14ac:dyDescent="0.2">
      <c r="A4" s="304"/>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9" t="s">
        <v>44</v>
      </c>
      <c r="B14" s="207" t="s">
        <v>3</v>
      </c>
      <c r="C14" s="218" t="s">
        <v>534</v>
      </c>
      <c r="D14" s="191" t="s">
        <v>535</v>
      </c>
      <c r="E14" s="241" t="s">
        <v>536</v>
      </c>
      <c r="F14" s="242" t="s">
        <v>537</v>
      </c>
      <c r="G14" s="197" t="s">
        <v>538</v>
      </c>
      <c r="H14" s="197" t="s">
        <v>539</v>
      </c>
      <c r="I14" s="217" t="s">
        <v>540</v>
      </c>
      <c r="J14" s="217" t="s">
        <v>541</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2"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SUM(SUMIFS(Cascade!$AO:$AO,Cascade!$B:$B,$B15,Cascade!$C:$C,{"15-24","25-34","35-49","50+"},Cascade!$D:$D,"Female"))</f>
        <v>0</v>
      </c>
      <c r="T15" s="160" cm="1">
        <f t="array" ref="T15">SUM(SUMIFS(Cascade!$AO:$AO,Cascade!$B:$B,$B15,Cascade!$C:$C,{"15-24","25-34","35-49","50+"},Cascade!$D:$D,"Male"))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SUM(SUMIFS(Cascade!$AW:$AW,Cascade!$B:$B,$B15,Cascade!$C:$C,{"15-24","25-34","35-49","50+"},Cascade!$D:$D,"Female"))</f>
        <v>0</v>
      </c>
      <c r="AA15" s="160" cm="1">
        <f t="array" ref="AA15">SUM(SUMIFS(Cascade!$AW:$AW,Cascade!$B:$B,$B15,Cascade!$C:$C,{"15-24","25-34","35-49","50+"},Cascade!$D:$D,"Male"))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SUM(SUMIFS(Cascade!$BA:$BA,Cascade!$B:$B,$B15,Cascade!$C:$C,{"15-24","25-34","35-49","50+"},Cascade!$D:$D,"Female"))</f>
        <v>0</v>
      </c>
      <c r="AH15" s="160" cm="1">
        <f t="array" ref="AH15">SUM(SUMIFS(Cascade!$BA:$BA,Cascade!$B:$B,$B15,Cascade!$C:$C,{"15-24","25-34","35-49","50+"},Cascade!$D:$D,"Male"))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SUM(SUMIFS(Cascade!$BD:$BD,Cascade!$B:$B,$B15,Cascade!$C:$C,{"15-24","25-34","35-49","50+"},Cascade!$D:$D,"Female"))</f>
        <v>0</v>
      </c>
      <c r="AO15" s="160" cm="1">
        <f t="array" ref="AO15">SUM(SUMIFS(Cascade!$BD:$BD,Cascade!$B:$B,$B15,Cascade!$C:$C,{"15-24","25-34","35-49","50+"},Cascade!$D:$D,"Male"))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2"/>
      <c r="B16" s="20"/>
    </row>
    <row r="17" spans="1:2" x14ac:dyDescent="0.2">
      <c r="A17" s="302"/>
      <c r="B17" s="20"/>
    </row>
    <row r="18" spans="1:2" x14ac:dyDescent="0.2">
      <c r="A18" s="302"/>
      <c r="B18" s="20"/>
    </row>
    <row r="19" spans="1:2" x14ac:dyDescent="0.2">
      <c r="A19" s="302"/>
      <c r="B19" s="20"/>
    </row>
    <row r="20" spans="1:2" x14ac:dyDescent="0.2">
      <c r="A20" s="302"/>
      <c r="B20" s="20"/>
    </row>
    <row r="21" spans="1:2" x14ac:dyDescent="0.2">
      <c r="A21" s="302"/>
      <c r="B21" s="20"/>
    </row>
    <row r="22" spans="1:2" x14ac:dyDescent="0.2">
      <c r="A22" s="302"/>
      <c r="B22" s="20"/>
    </row>
    <row r="23" spans="1:2" x14ac:dyDescent="0.2">
      <c r="A23" s="302"/>
      <c r="B23" s="20"/>
    </row>
    <row r="24" spans="1:2" x14ac:dyDescent="0.2">
      <c r="A24" s="302"/>
      <c r="B24" s="20"/>
    </row>
    <row r="25" spans="1:2" x14ac:dyDescent="0.2">
      <c r="A25" s="302"/>
      <c r="B25" s="20"/>
    </row>
    <row r="26" spans="1:2" x14ac:dyDescent="0.2">
      <c r="A26" s="302"/>
      <c r="B26" s="20"/>
    </row>
    <row r="27" spans="1:2" x14ac:dyDescent="0.2">
      <c r="A27" s="302"/>
      <c r="B27" s="20"/>
    </row>
    <row r="28" spans="1:2" x14ac:dyDescent="0.2">
      <c r="A28" s="302"/>
      <c r="B28" s="20"/>
    </row>
    <row r="29" spans="1:2" x14ac:dyDescent="0.2">
      <c r="A29" s="302"/>
      <c r="B29" s="20"/>
    </row>
    <row r="30" spans="1:2" x14ac:dyDescent="0.2">
      <c r="A30" s="302"/>
      <c r="B30" s="20"/>
    </row>
    <row r="31" spans="1:2" x14ac:dyDescent="0.2">
      <c r="A31" s="302"/>
      <c r="B31" s="20"/>
    </row>
    <row r="32" spans="1:2" x14ac:dyDescent="0.2">
      <c r="A32" s="302"/>
      <c r="B32" s="20"/>
    </row>
    <row r="33" spans="1:2" x14ac:dyDescent="0.2">
      <c r="A33" s="302"/>
      <c r="B33" s="20"/>
    </row>
    <row r="34" spans="1:2" x14ac:dyDescent="0.2">
      <c r="A34" s="302"/>
      <c r="B34" s="20"/>
    </row>
    <row r="35" spans="1:2" x14ac:dyDescent="0.2">
      <c r="A35" s="302"/>
      <c r="B35" s="20"/>
    </row>
    <row r="36" spans="1:2" x14ac:dyDescent="0.2">
      <c r="A36" s="302"/>
      <c r="B36" s="20"/>
    </row>
    <row r="37" spans="1:2" x14ac:dyDescent="0.2">
      <c r="A37" s="302"/>
      <c r="B37" s="20"/>
    </row>
    <row r="38" spans="1:2" x14ac:dyDescent="0.2">
      <c r="A38" s="302"/>
      <c r="B38" s="20"/>
    </row>
    <row r="39" spans="1:2" x14ac:dyDescent="0.2">
      <c r="A39" s="302"/>
      <c r="B39" s="20"/>
    </row>
    <row r="40" spans="1:2" x14ac:dyDescent="0.2">
      <c r="A40" s="302"/>
      <c r="B40" s="20"/>
    </row>
    <row r="41" spans="1:2" x14ac:dyDescent="0.2">
      <c r="A41" s="302"/>
      <c r="B41" s="20"/>
    </row>
    <row r="42" spans="1:2" x14ac:dyDescent="0.2">
      <c r="A42" s="302"/>
      <c r="B42" s="20"/>
    </row>
    <row r="43" spans="1:2" x14ac:dyDescent="0.2">
      <c r="A43" s="302"/>
      <c r="B43" s="20"/>
    </row>
    <row r="44" spans="1:2" x14ac:dyDescent="0.2">
      <c r="A44" s="302"/>
      <c r="B44" s="20"/>
    </row>
    <row r="45" spans="1:2" x14ac:dyDescent="0.2">
      <c r="A45" s="302"/>
      <c r="B45" s="20"/>
    </row>
    <row r="46" spans="1:2" x14ac:dyDescent="0.2">
      <c r="A46" s="302"/>
      <c r="B46" s="20"/>
    </row>
    <row r="47" spans="1:2" x14ac:dyDescent="0.2">
      <c r="A47" s="302"/>
      <c r="B47" s="20"/>
    </row>
    <row r="48" spans="1:2" x14ac:dyDescent="0.2">
      <c r="A48" s="302"/>
      <c r="B48" s="20"/>
    </row>
    <row r="49" spans="1:2" x14ac:dyDescent="0.2">
      <c r="A49" s="302"/>
      <c r="B49" s="20"/>
    </row>
    <row r="50" spans="1:2" x14ac:dyDescent="0.2">
      <c r="A50" s="302"/>
      <c r="B50" s="20"/>
    </row>
    <row r="51" spans="1:2" x14ac:dyDescent="0.2">
      <c r="A51" s="302"/>
      <c r="B51" s="20"/>
    </row>
    <row r="52" spans="1:2" x14ac:dyDescent="0.2">
      <c r="A52" s="302"/>
      <c r="B52" s="20"/>
    </row>
    <row r="53" spans="1:2" x14ac:dyDescent="0.2">
      <c r="A53" s="302"/>
      <c r="B53" s="20"/>
    </row>
    <row r="54" spans="1:2" x14ac:dyDescent="0.2">
      <c r="A54" s="302"/>
      <c r="B54" s="20"/>
    </row>
    <row r="55" spans="1:2" x14ac:dyDescent="0.2">
      <c r="A55" s="302"/>
      <c r="B55" s="20"/>
    </row>
    <row r="56" spans="1:2" x14ac:dyDescent="0.2">
      <c r="A56" s="302"/>
      <c r="B56" s="20"/>
    </row>
    <row r="57" spans="1:2" x14ac:dyDescent="0.2">
      <c r="A57" s="302"/>
      <c r="B57" s="20"/>
    </row>
    <row r="58" spans="1:2" x14ac:dyDescent="0.2">
      <c r="A58" s="302"/>
      <c r="B58" s="20"/>
    </row>
    <row r="59" spans="1:2" x14ac:dyDescent="0.2">
      <c r="A59" s="302"/>
      <c r="B59" s="20"/>
    </row>
    <row r="60" spans="1:2" x14ac:dyDescent="0.2">
      <c r="A60" s="302"/>
      <c r="B60" s="20"/>
    </row>
    <row r="61" spans="1:2" x14ac:dyDescent="0.2">
      <c r="A61" s="302"/>
      <c r="B61" s="20"/>
    </row>
    <row r="62" spans="1:2" x14ac:dyDescent="0.2">
      <c r="A62" s="302"/>
      <c r="B62" s="20"/>
    </row>
    <row r="63" spans="1:2" x14ac:dyDescent="0.2">
      <c r="A63" s="302"/>
      <c r="B63" s="20"/>
    </row>
  </sheetData>
  <mergeCells count="1">
    <mergeCell ref="A2:B3"/>
  </mergeCells>
  <conditionalFormatting sqref="S1:S1048576 U1:U1048576">
    <cfRule type="expression" dxfId="32" priority="10">
      <formula>AND(ROW($U1)&gt;14,SUM($U1)&gt;$S1)</formula>
    </cfRule>
  </conditionalFormatting>
  <conditionalFormatting sqref="T1:T1048576 V1:V1048576">
    <cfRule type="expression" dxfId="31" priority="9">
      <formula>AND(ROW($V1)&gt;14,SUM($V1)&gt;$T1)</formula>
    </cfRule>
  </conditionalFormatting>
  <conditionalFormatting sqref="S1:T1048576 W1:Y1048576">
    <cfRule type="expression" dxfId="30" priority="12">
      <formula>(($S1-$U1)+($T1-$V1))&lt;SUM($W1:$Y1)</formula>
    </cfRule>
  </conditionalFormatting>
  <conditionalFormatting sqref="Z1:Z1048576 AB1:AB1048576">
    <cfRule type="expression" dxfId="29" priority="13">
      <formula>AND(ROW($AB1)&gt;14,SUM($AB1)&gt;$Z1)</formula>
    </cfRule>
  </conditionalFormatting>
  <conditionalFormatting sqref="AA1:AA1048576 AC1:AC1048576">
    <cfRule type="expression" dxfId="28" priority="14">
      <formula>AND(ROW($AC1)&gt;14,SUM($AC1)&gt;$AA1)</formula>
    </cfRule>
  </conditionalFormatting>
  <conditionalFormatting sqref="Z1:AA1048576 AD1:AF1048576">
    <cfRule type="expression" dxfId="27" priority="16">
      <formula>(($Z1-$AB1)+($AA1-$AC1))&lt;SUM($AD1:$AF1)</formula>
    </cfRule>
  </conditionalFormatting>
  <conditionalFormatting sqref="AG1:AG1048576 AI1:AI1048576">
    <cfRule type="expression" dxfId="26" priority="17">
      <formula>AND(ROW($AI1)&gt;14,SUM($AI1)&gt;$AG1)</formula>
    </cfRule>
  </conditionalFormatting>
  <conditionalFormatting sqref="AH1:AH1048576 AJ1:AJ1048576">
    <cfRule type="expression" dxfId="25" priority="18">
      <formula>AND(ROW($AJ1)&gt;14,SUM($AJ1)&gt;$AH1)</formula>
    </cfRule>
  </conditionalFormatting>
  <conditionalFormatting sqref="AG1:AH1048576 AK1:AM1048576">
    <cfRule type="expression" dxfId="24" priority="20">
      <formula>(($AG1-$AI1)+($AH1-$AJ1))&lt;SUM($AK1:$AM1)</formula>
    </cfRule>
  </conditionalFormatting>
  <conditionalFormatting sqref="AN1:AN1048576 AP1:AP1048576">
    <cfRule type="expression" dxfId="23" priority="21">
      <formula>AND(ROW($AP1)&gt;14,SUM($AP1)&gt;$AN1)</formula>
    </cfRule>
  </conditionalFormatting>
  <conditionalFormatting sqref="AO1:AO1048576 AQ1:AQ1048576">
    <cfRule type="expression" dxfId="22" priority="22">
      <formula>AND(ROW($AQ1)&gt;14,SUM($AQ1)&gt;$AO1)</formula>
    </cfRule>
  </conditionalFormatting>
  <conditionalFormatting sqref="AN1:AO1048576 AR1:AT1048576">
    <cfRule type="expression" dxfId="21" priority="24">
      <formula>(($AN1-$AP1)+($AO1-$AQ1))&lt;SUM($AR1:$AT1)</formula>
    </cfRule>
  </conditionalFormatting>
  <conditionalFormatting sqref="AU1:AU1048576 AW1:AW1048576">
    <cfRule type="expression" dxfId="20" priority="25">
      <formula>AND(ROW($AW1)&gt;14,SUM($AW1)&gt;$AU1)</formula>
    </cfRule>
  </conditionalFormatting>
  <conditionalFormatting sqref="AV1:AV1048576 AX1:AX1048576">
    <cfRule type="expression" dxfId="19" priority="26">
      <formula>AND(ROW($AX1)&gt;14,SUM($AX1)&gt;$AV1)</formula>
    </cfRule>
  </conditionalFormatting>
  <conditionalFormatting sqref="AU1:AV1048576 AY1:BA1048576">
    <cfRule type="expression" dxfId="18" priority="28">
      <formula>(($AU1-$AW1)+($AV1-$AX1))&lt;SUM($AY1:$BA1)</formula>
    </cfRule>
  </conditionalFormatting>
  <conditionalFormatting sqref="BB1:BB1048576 BD1:BD1048576">
    <cfRule type="expression" dxfId="17" priority="29">
      <formula>AND(ROW($BD1)&gt;14,SUM($BD1)&gt;$BB1)</formula>
    </cfRule>
  </conditionalFormatting>
  <conditionalFormatting sqref="BC1:BC1048576 BE1:BE1048576">
    <cfRule type="expression" dxfId="16" priority="30">
      <formula>AND(ROW($BE1)&gt;14,SUM($BE1)&gt;$BC1)</formula>
    </cfRule>
  </conditionalFormatting>
  <conditionalFormatting sqref="BB1:BC1048576 BF1:BH1048576">
    <cfRule type="expression" dxfId="15" priority="32">
      <formula>(($BB1-$BD1)+($BC1-$BE1))&lt;SUM($BF1:$BH1)</formula>
    </cfRule>
  </conditionalFormatting>
  <conditionalFormatting sqref="BI1:BI1048576 BK1:BK1048576">
    <cfRule type="expression" dxfId="14" priority="33">
      <formula>AND(ROW($BK1)&gt;14,SUM($BK1)&gt;$BI1)</formula>
    </cfRule>
  </conditionalFormatting>
  <conditionalFormatting sqref="BL1:BL1048576 BJ1:BJ1048576">
    <cfRule type="expression" dxfId="13" priority="34">
      <formula>AND(ROW($BL1)&gt;14,SUM($BL1)&gt;$BJ1)</formula>
    </cfRule>
  </conditionalFormatting>
  <conditionalFormatting sqref="BI1:BJ1048576 BM1:BO1048576">
    <cfRule type="expression" dxfId="12" priority="36">
      <formula>(($BI1-$BK1)+($BJ1-$BL1))&lt;SUM($BM1:$BO1)</formula>
    </cfRule>
  </conditionalFormatting>
  <conditionalFormatting sqref="BP1:BP1048576 BR1:BR1048576">
    <cfRule type="expression" dxfId="11" priority="45">
      <formula>AND(ROW($BR1)&gt;14,SUM($BR1)&gt;$BP1)</formula>
    </cfRule>
  </conditionalFormatting>
  <conditionalFormatting sqref="BQ1:BQ1048576 BS1:BS1048576">
    <cfRule type="expression" dxfId="10" priority="1135">
      <formula>AND(ROW($BS1)&gt;14,SUM($BS1)&gt;$BQ1)</formula>
    </cfRule>
  </conditionalFormatting>
  <conditionalFormatting sqref="BP1:BQ1048576 BT1:BV1048576">
    <cfRule type="expression" dxfId="9" priority="1136">
      <formula>(($BP1-$BR1)+($BQ1-$BS1))&lt;SUM($BT1:$BV1)</formula>
    </cfRule>
  </conditionalFormatting>
  <conditionalFormatting sqref="C1:D1048576 F1:F1048576">
    <cfRule type="expression" dxfId="8" priority="2">
      <formula>AND(ISNUMBER($F1),SUM($F1)&gt;$C1)</formula>
    </cfRule>
  </conditionalFormatting>
  <conditionalFormatting sqref="G1:G1048576 E1:E1048576">
    <cfRule type="expression" dxfId="7" priority="1">
      <formula>AND(ISNUMBER($G1),SUM($G1)&gt;$E1)</formula>
    </cfRule>
  </conditionalFormatting>
  <conditionalFormatting sqref="H1:J1048576 C1:E1048576">
    <cfRule type="expression" dxfId="6" priority="4">
      <formula>(($C1-$F1)+($E1-$G1))&lt;SUM($H1:$J1)</formula>
    </cfRule>
  </conditionalFormatting>
  <conditionalFormatting sqref="K1:L1048576 N1:N1048576">
    <cfRule type="expression" dxfId="5" priority="6">
      <formula>AND(ROW($N1)&gt;14,SUM($N1)&gt;$K1)</formula>
    </cfRule>
  </conditionalFormatting>
  <conditionalFormatting sqref="M1:M1048576 O1:O1048576">
    <cfRule type="expression" dxfId="4" priority="5">
      <formula>AND(ROW($O1)&gt;14,SUM($O1)&gt;$M1)</formula>
    </cfRule>
  </conditionalFormatting>
  <conditionalFormatting sqref="K1:M1048576 P1:R1048576">
    <cfRule type="expression" dxfId="3"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2023-01-11T01:10:44Z</dcterms:modified>
</cp:coreProperties>
</file>