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406A0C41-95E0-4B42-9BBD-54D10B843B5A}" xr6:coauthVersionLast="47" xr6:coauthVersionMax="47" xr10:uidLastSave="{00000000-0000-0000-0000-000000000000}"/>
  <bookViews>
    <workbookView xWindow="-108" yWindow="-108" windowWidth="23256" windowHeight="12576" activeTab="10" xr2:uid="{35D0834B-83BC-CC4F-BCCA-B5B2ECED3698}"/>
  </bookViews>
  <sheets>
    <sheet name="Home" sheetId="1" r:id="rId1"/>
    <sheet name="Spectrum" sheetId="3" r:id="rId2"/>
    <sheet name="Prioritization" sheetId="45" r:id="rId3"/>
    <sheet name="Cascade" sheetId="5" r:id="rId4"/>
    <sheet name="KP" sheetId="13" r:id="rId5"/>
    <sheet name="PMTCT" sheetId="7" r:id="rId6"/>
    <sheet name="EID" sheetId="20" r:id="rId7"/>
    <sheet name="VMMC" sheetId="10" r:id="rId8"/>
    <sheet name="PrEP" sheetId="16" r:id="rId9"/>
    <sheet name="HTS" sheetId="12" r:id="rId10"/>
    <sheet name="CXCA" sheetId="6" r:id="rId11"/>
    <sheet name="TX_TB_PREV" sheetId="9" r:id="rId12"/>
    <sheet name="PP" sheetId="15" r:id="rId13"/>
    <sheet name="OVC" sheetId="14" r:id="rId14"/>
    <sheet name="GEND" sheetId="34" r:id="rId15"/>
    <sheet name="AGYW" sheetId="44" r:id="rId16"/>
    <sheet name="KP_MAT" sheetId="40" r:id="rId17"/>
    <sheet name="KP Validation" sheetId="46" r:id="rId18"/>
  </sheets>
  <definedNames>
    <definedName name="_xlnm._FilterDatabase" localSheetId="15" hidden="1">AGYW!$B$14:$L$39</definedName>
    <definedName name="_xlnm._FilterDatabase" localSheetId="3" hidden="1">Cascade!$B$14:$E$3876</definedName>
    <definedName name="_xlnm._FilterDatabase" localSheetId="10" hidden="1">CXCA!$C$1:$C$51</definedName>
    <definedName name="_xlnm._FilterDatabase" localSheetId="6" hidden="1">EID!$B$14:$G$15</definedName>
    <definedName name="_xlnm._FilterDatabase" localSheetId="9" hidden="1">HTS!$B$14:$AX$3548</definedName>
    <definedName name="_xlnm._FilterDatabase" localSheetId="4" hidden="1">KP!$B$14:$I$66</definedName>
    <definedName name="_xlnm._FilterDatabase" localSheetId="17" hidden="1">'KP Validation'!$B$14:$BG$63</definedName>
    <definedName name="_xlnm._FilterDatabase" localSheetId="16" hidden="1">KP_MAT!$B$14:$J$75</definedName>
    <definedName name="_xlnm._FilterDatabase" localSheetId="13" hidden="1">OVC!$B$14:$T$1911</definedName>
    <definedName name="_xlnm._FilterDatabase" localSheetId="5" hidden="1">PMTCT!$B$14:$AY$15</definedName>
    <definedName name="_xlnm._FilterDatabase" localSheetId="12" hidden="1">PP!$B$14:$H$51</definedName>
    <definedName name="_xlnm._FilterDatabase" localSheetId="8" hidden="1">PrEP!$B$14:$L$39</definedName>
    <definedName name="_xlnm._FilterDatabase" localSheetId="1" hidden="1">Spectrum!#REF!</definedName>
    <definedName name="_xlnm._FilterDatabase" localSheetId="11" hidden="1">TX_TB_PREV!$B$14:$Z$15</definedName>
    <definedName name="_xlnm._FilterDatabase" localSheetId="7" hidden="1">VMMC!$B$14:$AC$15</definedName>
    <definedName name="HTS_RECENT.N.KeyPop_HIVStatus.T" localSheetId="17">'KP Validation'!#REF!</definedName>
    <definedName name="HTS_RECENT.N.KeyPop_HIVStatus.T" localSheetId="16">KP_MAT!#REF!</definedName>
    <definedName name="HTS_SELF.N.KeyPop.T" localSheetId="17">'KP Validation'!#REF!</definedName>
    <definedName name="HTS_SELF.N.KeyPop.T" localSheetId="16">KP_MAT!#REF!</definedName>
    <definedName name="HTS_TST.N.KeyPop_Result.T.Negative" localSheetId="17">'KP Validation'!#REF!</definedName>
    <definedName name="HTS_TST.N.KeyPop_Result.T.Negative" localSheetId="16">KP_MAT!#REF!</definedName>
    <definedName name="HTS_TST.N.KeyPop_Result.T.Positive" localSheetId="17">'KP Validation'!#REF!</definedName>
    <definedName name="HTS_TST.N.KeyPop_Result.T.Positive" localSheetId="16">KP_MAT!#REF!</definedName>
    <definedName name="KP_MAT.N.Sex.T" localSheetId="17">'KP Validation'!#REF!</definedName>
    <definedName name="KP_MAT.N.Sex.T" localSheetId="16">KP_MAT!$J:$J</definedName>
    <definedName name="KP_PREV.N.KeyPop.T" localSheetId="17">'KP Validation'!#REF!</definedName>
    <definedName name="KP_PREV.N.KeyPop.T" localSheetId="16">KP_MAT!#REF!</definedName>
    <definedName name="MIN_DSD">ROUND(MAX(IF(ISNUMBER(FIND("DSD",#REF!)),#REF!)),1)</definedName>
    <definedName name="MIN_TA">ROUND(MAX(IF(ISNUMBER(FIND("TA",#REF!)),#REF!)),1)</definedName>
    <definedName name="PrEP_CURR.N.Age_Sex.T" localSheetId="15">AGYW!#REF!</definedName>
    <definedName name="PrEP_CURR.N.KeyPop.T" localSheetId="17">'KP Validation'!#REF!</definedName>
    <definedName name="PrEP_CURR.N.KeyPop.T" localSheetId="16">KP_MAT!#REF!</definedName>
    <definedName name="PrEP_NEW.N.Age_Sex.T" localSheetId="15">AGYW!#REF!</definedName>
    <definedName name="PrEP_NEW.N.KeyPop.T" localSheetId="17">'KP Validation'!#REF!</definedName>
    <definedName name="PrEP_NEW.N.KeyPop.T" localSheetId="16">KP_MAT!#REF!</definedName>
    <definedName name="TX_CURR.N.KeyPop_HIVStatus.T" localSheetId="17">'KP Validation'!$M:$M</definedName>
    <definedName name="TX_CURR.N.KeyPop_HIVStatus.T" localSheetId="16">KP_MAT!#REF!</definedName>
    <definedName name="TX_NEW.N.KeyPop_HIVStatus.T" localSheetId="17">'KP Validation'!#REF!</definedName>
    <definedName name="TX_NEW.N.KeyPop_HIVStatus.T" localSheetId="16">KP_MAT!#REF!</definedName>
    <definedName name="TX_PVLS.D.KeyPop_HIVStatus.T" localSheetId="17">'KP Validation'!#REF!</definedName>
    <definedName name="TX_PVLS.D.KeyPop_HIVStatus.T" localSheetId="16">KP_MAT!#REF!</definedName>
    <definedName name="TX_PVLS.N.KeyPop_HIVStatus.T" localSheetId="17">'KP Validation'!#REF!</definedName>
    <definedName name="TX_PVLS.N.KeyPop_HIVStatus.T" localSheetId="16">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10" l="1"/>
  <c r="M15" i="10"/>
  <c r="Q15" i="7"/>
  <c r="P15" i="7"/>
  <c r="O15" i="7"/>
  <c r="N15" i="7"/>
  <c r="M15" i="7"/>
  <c r="L15" i="7"/>
  <c r="K15" i="7"/>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G15" i="40" l="1"/>
  <c r="N15" i="13"/>
  <c r="Q15" i="13"/>
  <c r="P4" i="13"/>
  <c r="AC4" i="5"/>
  <c r="V4" i="5"/>
  <c r="Q2" i="3"/>
  <c r="O15" i="13" l="1"/>
  <c r="V15" i="13" s="1"/>
  <c r="X15" i="13" s="1"/>
  <c r="S15" i="9"/>
  <c r="S4" i="9" s="1"/>
  <c r="Z15" i="13" l="1"/>
  <c r="E15" i="46" a="1"/>
  <c r="E15" i="46" s="1"/>
  <c r="D15" i="46" a="1"/>
  <c r="D15" i="46" s="1"/>
  <c r="C15" i="46" a="1"/>
  <c r="C15" i="46" s="1"/>
  <c r="I15" i="16" a="1"/>
  <c r="I15" i="16" s="1"/>
  <c r="H15" i="16" a="1"/>
  <c r="H15" i="16" s="1"/>
  <c r="A15" i="46"/>
  <c r="A15" i="40"/>
  <c r="A15" i="44"/>
  <c r="A15" i="34"/>
  <c r="A15" i="14"/>
  <c r="A15" i="15"/>
  <c r="A15" i="9"/>
  <c r="A15" i="6"/>
  <c r="A15" i="12"/>
  <c r="A15" i="16"/>
  <c r="A15" i="13"/>
  <c r="A15" i="10"/>
  <c r="A15" i="20"/>
  <c r="A15" i="7"/>
  <c r="A15" i="5"/>
  <c r="BH15" i="5"/>
  <c r="BE15" i="5"/>
  <c r="BB15" i="5"/>
  <c r="AZ15" i="5"/>
  <c r="O15" i="5"/>
  <c r="R15" i="5" s="1"/>
  <c r="E15" i="5"/>
  <c r="F15" i="9" a="1"/>
  <c r="F15" i="9" s="1"/>
  <c r="T15" i="9" s="1"/>
  <c r="G15" i="9" a="1"/>
  <c r="G15" i="9" s="1"/>
  <c r="AW15" i="12"/>
  <c r="AX15" i="12"/>
  <c r="E15" i="14"/>
  <c r="L15" i="14"/>
  <c r="N15" i="14"/>
  <c r="O15" i="14" l="1"/>
  <c r="P15" i="14"/>
  <c r="AK4" i="13"/>
  <c r="AN15" i="46" a="1"/>
  <c r="AN15" i="46" s="1"/>
  <c r="AM15" i="46" a="1"/>
  <c r="AM15" i="46" s="1"/>
  <c r="L15" i="46" a="1"/>
  <c r="L15" i="46" s="1"/>
  <c r="K15" i="46" a="1"/>
  <c r="K15" i="46" s="1"/>
  <c r="U15" i="13" l="1"/>
  <c r="N4" i="13"/>
  <c r="E15" i="12"/>
  <c r="AI15" i="13" l="1"/>
  <c r="AJ15" i="13" s="1"/>
  <c r="V4" i="13"/>
  <c r="Y4" i="13" s="1"/>
  <c r="M15" i="9"/>
  <c r="W15" i="9" s="1"/>
  <c r="Z15" i="9" s="1"/>
  <c r="N15" i="9"/>
  <c r="V15" i="10"/>
  <c r="S15" i="10"/>
  <c r="AQ15" i="7"/>
  <c r="T15" i="7"/>
  <c r="AA15" i="7" s="1"/>
  <c r="Z15" i="7"/>
  <c r="AO15" i="5"/>
  <c r="AB15" i="7" l="1"/>
  <c r="AJ15" i="7" s="1"/>
  <c r="AC15" i="7"/>
  <c r="AX15" i="7" s="1"/>
  <c r="AJ4" i="5"/>
  <c r="AS4" i="5" s="1"/>
  <c r="AB15" i="13"/>
  <c r="AD15" i="13" s="1"/>
  <c r="Z4" i="13"/>
  <c r="AA4" i="13" s="1"/>
  <c r="W4" i="13"/>
  <c r="U15" i="7"/>
  <c r="L15" i="9"/>
  <c r="O15" i="9"/>
  <c r="X15" i="9" s="1"/>
  <c r="AA15" i="9" s="1"/>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C15" i="9"/>
  <c r="P4" i="9"/>
  <c r="X15" i="10"/>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L15" i="20" l="1"/>
  <c r="N15" i="20" s="1"/>
  <c r="P15" i="20" s="1"/>
  <c r="P4" i="20" s="1"/>
  <c r="R15" i="20" l="1"/>
  <c r="T15" i="20" s="1"/>
  <c r="V15" i="20" s="1"/>
  <c r="R4" i="20" l="1"/>
  <c r="S4" i="20" s="1"/>
  <c r="G4" i="14"/>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K4" i="40"/>
  <c r="H4" i="40" s="1"/>
  <c r="E15" i="15"/>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D15" i="40" l="1"/>
  <c r="J4" i="40"/>
  <c r="F4" i="40"/>
  <c r="I4" i="40" s="1"/>
  <c r="E4" i="40"/>
  <c r="G4" i="40" s="1"/>
  <c r="P4" i="14" l="1"/>
  <c r="O4" i="14"/>
  <c r="N4" i="14" l="1"/>
  <c r="J4" i="14" l="1"/>
  <c r="L4" i="14"/>
  <c r="K4" i="14"/>
  <c r="E15" i="16" l="1"/>
  <c r="F15" i="16" l="1"/>
  <c r="F4" i="16" s="1"/>
  <c r="I4" i="16"/>
  <c r="H4" i="16"/>
  <c r="Q4" i="9"/>
  <c r="AB4" i="9" s="1"/>
  <c r="R4" i="9"/>
  <c r="AC4" i="9" s="1"/>
  <c r="D4" i="34" l="1"/>
  <c r="F4" i="34" s="1"/>
  <c r="C4" i="34"/>
  <c r="E4" i="34" s="1"/>
  <c r="L4" i="16"/>
  <c r="K4" i="16"/>
  <c r="F4" i="15"/>
  <c r="G4" i="15" s="1"/>
  <c r="I4" i="13"/>
  <c r="H4" i="13"/>
  <c r="AD4" i="13"/>
  <c r="AB4" i="13"/>
  <c r="AC4" i="13" s="1"/>
  <c r="O4" i="13"/>
  <c r="X4" i="13"/>
  <c r="R4" i="13"/>
  <c r="AJ4" i="13"/>
  <c r="AI4" i="13"/>
  <c r="F4" i="13"/>
  <c r="Q4" i="13" s="1"/>
  <c r="E4" i="13"/>
  <c r="G4" i="13" s="1"/>
  <c r="Q4" i="14"/>
  <c r="H4" i="14"/>
  <c r="I4" i="14" s="1"/>
  <c r="AV4" i="12"/>
  <c r="AW4" i="12" s="1"/>
  <c r="R4" i="7"/>
  <c r="S4" i="7" s="1"/>
  <c r="AH4" i="13" l="1"/>
  <c r="AG4" i="13"/>
  <c r="H4" i="34" l="1"/>
  <c r="G4" i="34"/>
  <c r="T4" i="7"/>
  <c r="E15" i="9"/>
  <c r="AX4" i="12"/>
  <c r="E15" i="6"/>
  <c r="E15" i="10"/>
  <c r="E15" i="7"/>
  <c r="H4" i="15"/>
  <c r="R4" i="14"/>
  <c r="AE15" i="10" l="1"/>
  <c r="AE4" i="10" s="1"/>
  <c r="AZ15" i="7"/>
  <c r="AZ4" i="7" s="1"/>
  <c r="AQ15" i="12"/>
  <c r="H15" i="6"/>
  <c r="M15" i="6" s="1"/>
  <c r="I15" i="6"/>
  <c r="H15" i="12"/>
  <c r="H15" i="7"/>
  <c r="F15" i="7"/>
  <c r="F4" i="7" s="1"/>
  <c r="H4" i="7" s="1"/>
  <c r="G15" i="7"/>
  <c r="G4" i="7" s="1"/>
  <c r="J4" i="7" s="1"/>
  <c r="I15" i="7"/>
  <c r="I4" i="7" s="1"/>
  <c r="J15" i="7"/>
  <c r="AO15" i="12"/>
  <c r="AO4" i="12" s="1"/>
  <c r="AP15" i="12"/>
  <c r="AP4" i="12" s="1"/>
  <c r="I15" i="12"/>
  <c r="F15" i="12"/>
  <c r="J15" i="12"/>
  <c r="H15" i="10"/>
  <c r="F15" i="10"/>
  <c r="P15" i="10" s="1"/>
  <c r="I15" i="10"/>
  <c r="I4" i="10" s="1"/>
  <c r="G15" i="10"/>
  <c r="G4" i="10" s="1"/>
  <c r="J15" i="10"/>
  <c r="AQ4" i="12"/>
  <c r="S4" i="14"/>
  <c r="M4" i="14"/>
  <c r="T4" i="14"/>
  <c r="Q15" i="10" l="1"/>
  <c r="R15" i="10" s="1"/>
  <c r="Y15" i="10" s="1"/>
  <c r="AA15" i="10" s="1"/>
  <c r="O15" i="10"/>
  <c r="J4" i="10"/>
  <c r="F4" i="10"/>
  <c r="Z15" i="10" l="1"/>
  <c r="AA4" i="10"/>
  <c r="AB15" i="10"/>
  <c r="P4" i="10"/>
  <c r="O4" i="10"/>
  <c r="H4" i="10"/>
  <c r="Q4" i="10"/>
  <c r="AR15" i="12" l="1"/>
  <c r="AR4" i="12" s="1"/>
  <c r="AB4" i="10"/>
  <c r="AD15" i="10"/>
  <c r="AD4" i="10" s="1"/>
  <c r="K15" i="12"/>
  <c r="R4" i="10"/>
  <c r="S4" i="10" s="1"/>
  <c r="K4" i="12" l="1"/>
  <c r="Y4" i="10"/>
  <c r="Z4" i="10"/>
  <c r="X4" i="10" l="1"/>
  <c r="V4" i="10"/>
  <c r="AU4" i="46" l="1"/>
  <c r="AA4" i="7" l="1"/>
  <c r="AB4" i="7"/>
  <c r="X4" i="7" l="1"/>
  <c r="Z4" i="7"/>
  <c r="AC4" i="7" l="1"/>
  <c r="AI4" i="7" l="1"/>
  <c r="AK4" i="7"/>
  <c r="AD4" i="7"/>
  <c r="H4" i="12" l="1"/>
  <c r="AO4" i="7"/>
  <c r="AQ4" i="7" s="1"/>
  <c r="AS4" i="7"/>
  <c r="AR4" i="7" l="1"/>
  <c r="AT4" i="46"/>
  <c r="AT4" i="7"/>
  <c r="AV4" i="7"/>
  <c r="AU4" i="7"/>
  <c r="I4" i="12" l="1"/>
  <c r="C4" i="20"/>
  <c r="F4" i="20"/>
  <c r="E4" i="20" l="1"/>
  <c r="D4" i="20"/>
  <c r="G4" i="20"/>
  <c r="V4" i="20" l="1"/>
  <c r="T4" i="20"/>
  <c r="J4" i="12"/>
  <c r="L4" i="20"/>
  <c r="U4" i="20" l="1"/>
  <c r="M4" i="20"/>
  <c r="AN4" i="46"/>
  <c r="AM4" i="46"/>
  <c r="N4" i="20"/>
  <c r="Q4" i="20" l="1"/>
  <c r="O4" i="20"/>
  <c r="G4" i="9"/>
  <c r="I4" i="9" s="1"/>
  <c r="N4" i="9"/>
  <c r="O4" i="9"/>
  <c r="V4" i="9" s="1"/>
  <c r="K4" i="9" l="1"/>
  <c r="F4" i="9"/>
  <c r="T4" i="9" s="1"/>
  <c r="L4" i="9"/>
  <c r="X4" i="9"/>
  <c r="H4" i="9" l="1"/>
  <c r="AA4" i="9"/>
  <c r="M4" i="9"/>
  <c r="U4" i="9" s="1"/>
  <c r="Z4" i="9"/>
  <c r="W4" i="9"/>
  <c r="Y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G15" i="12"/>
  <c r="V15" i="12" s="1"/>
  <c r="AC15" i="10"/>
  <c r="AC4" i="10" s="1"/>
  <c r="AW15" i="7"/>
  <c r="BA15" i="7" s="1"/>
  <c r="BA4" i="7" s="1"/>
  <c r="BF4" i="5" l="1"/>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S15" i="12"/>
  <c r="U4" i="12" l="1"/>
  <c r="V4" i="12" s="1"/>
  <c r="AC4" i="12"/>
  <c r="Z4" i="12"/>
  <c r="W4" i="12"/>
  <c r="AM4" i="12"/>
  <c r="AN15" i="12"/>
  <c r="AN4" i="12" s="1"/>
  <c r="AF4" i="12"/>
  <c r="AT15" i="12"/>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<sst xmlns="http://schemas.openxmlformats.org/spreadsheetml/2006/main" count="3227" uniqueCount="916">
  <si>
    <t>TX_CURR</t>
  </si>
  <si>
    <t>TX_NEW</t>
  </si>
  <si>
    <t>Roll-up</t>
  </si>
  <si>
    <t>PSNU</t>
  </si>
  <si>
    <t>Sex</t>
  </si>
  <si>
    <t>CXCA</t>
  </si>
  <si>
    <t>VMMC</t>
  </si>
  <si>
    <t>HTS</t>
  </si>
  <si>
    <t>OVC</t>
  </si>
  <si>
    <t>PP</t>
  </si>
  <si>
    <t>PrEP</t>
  </si>
  <si>
    <t>GEND</t>
  </si>
  <si>
    <t>CXCA_SCRN</t>
  </si>
  <si>
    <t>TX_TB (D)</t>
  </si>
  <si>
    <t>TB_PREV (D)</t>
  </si>
  <si>
    <t>VMMC_CIRC</t>
  </si>
  <si>
    <t>KP_PREV</t>
  </si>
  <si>
    <t>KP_MAT</t>
  </si>
  <si>
    <t>PrEP_NEW</t>
  </si>
  <si>
    <t>GEND_GBV</t>
  </si>
  <si>
    <t>PEPFAR</t>
  </si>
  <si>
    <t>PMTCT_EID</t>
  </si>
  <si>
    <t>Age</t>
  </si>
  <si>
    <t>&lt;01</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</si>
  <si>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</si>
  <si>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</si>
  <si>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</si>
  <si>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</si>
  <si>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</si>
  <si>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</si>
  <si>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</si>
  <si>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</si>
  <si>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</si>
  <si>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</si>
  <si>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</si>
  <si>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</si>
  <si>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</si>
  <si>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</si>
  <si>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</si>
  <si>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</si>
  <si>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</si>
  <si>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</si>
  <si>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</si>
  <si>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</si>
  <si>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</si>
  <si>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</si>
  <si>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</si>
  <si>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</si>
  <si>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</si>
  <si>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</si>
  <si>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</si>
  <si>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</si>
  <si>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</si>
  <si>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</si>
  <si>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</si>
  <si>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</si>
  <si>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</si>
  <si>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</si>
  <si>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</si>
  <si>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</si>
  <si>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</si>
  <si>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</si>
  <si>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</si>
  <si>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</si>
  <si>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</si>
  <si>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</si>
  <si>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</si>
  <si>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</si>
  <si>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</si>
  <si>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</si>
  <si>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</si>
  <si>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</si>
  <si>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</si>
  <si>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</si>
  <si>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</si>
  <si>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</si>
  <si>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</si>
  <si>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</si>
  <si>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</si>
  <si>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</si>
  <si>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</si>
  <si>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</si>
  <si>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</si>
  <si>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</si>
  <si>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</si>
  <si>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</si>
  <si>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</si>
  <si>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</si>
  <si>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</si>
  <si>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</si>
  <si>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</si>
  <si>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</si>
  <si>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</si>
  <si>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</si>
  <si>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</si>
  <si>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</si>
  <si>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</si>
  <si>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</si>
  <si>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</si>
  <si>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</si>
  <si>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</si>
  <si>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</si>
  <si>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</si>
  <si>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</si>
  <si>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</si>
  <si>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</si>
  <si>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</si>
  <si>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</si>
  <si>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</si>
  <si>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</si>
  <si>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</si>
  <si>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</si>
  <si>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</si>
  <si>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</si>
  <si>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</si>
  <si>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</si>
  <si>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</si>
  <si>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</si>
  <si>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</si>
  <si>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</si>
  <si>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</si>
  <si>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</si>
  <si>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</si>
  <si>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</si>
  <si>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</si>
  <si>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</si>
  <si>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</si>
  <si>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</si>
  <si>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</si>
  <si>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</si>
  <si>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</si>
  <si>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</si>
  <si>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</si>
  <si>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</si>
  <si>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</si>
  <si>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</si>
  <si>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</si>
  <si>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</si>
  <si>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</si>
  <si>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</si>
  <si>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</si>
  <si>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</si>
  <si>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</si>
  <si>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</si>
  <si>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</si>
  <si>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</si>
  <si>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</si>
  <si>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</si>
  <si>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</si>
  <si>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</si>
  <si>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</si>
  <si>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</si>
  <si>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</si>
  <si>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</si>
  <si>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</si>
  <si>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</si>
  <si>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</si>
  <si>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</si>
  <si>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</si>
  <si>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</si>
  <si>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</si>
  <si>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</si>
  <si>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</si>
  <si>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</si>
  <si>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</si>
  <si>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</si>
  <si>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</si>
  <si>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</si>
  <si>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</si>
  <si>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</si>
  <si>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</si>
  <si>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</si>
  <si>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</si>
  <si>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</si>
  <si>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</si>
  <si>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</si>
  <si>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</si>
  <si>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</si>
  <si>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</si>
  <si>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</si>
  <si>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</si>
  <si>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</si>
  <si>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</si>
  <si>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</si>
  <si>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</si>
  <si>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</si>
  <si>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</si>
  <si>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</si>
  <si>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PMTCT_ART.Already.T</t>
  </si>
  <si>
    <t>PMTCT_EID.N.2.T</t>
  </si>
  <si>
    <t>PMTCT_EID.N.12.T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</si>
  <si>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</si>
  <si>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</si>
  <si>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</si>
  <si>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</si>
  <si>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</si>
  <si>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</si>
  <si>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</si>
  <si>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</si>
  <si>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</si>
  <si>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</si>
  <si>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</si>
  <si>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</si>
  <si>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</si>
  <si>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</si>
  <si>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</si>
  <si>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</si>
  <si>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</si>
  <si>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</si>
  <si>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</si>
  <si>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</si>
  <si>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</si>
  <si>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</si>
  <si>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</si>
  <si>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</si>
  <si>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</si>
  <si>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</si>
  <si>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</si>
  <si>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</si>
  <si>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</si>
  <si>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</si>
  <si>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</si>
  <si>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</si>
  <si>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</si>
  <si>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</si>
  <si>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</si>
  <si>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</si>
  <si>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</si>
  <si>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</si>
  <si>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</si>
  <si>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</si>
  <si>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</si>
  <si>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</si>
  <si>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</si>
  <si>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</si>
  <si>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</si>
  <si>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</si>
  <si>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</si>
  <si>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</si>
  <si>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</si>
  <si>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</si>
  <si>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</si>
  <si>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</si>
  <si>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</si>
  <si>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</si>
  <si>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</si>
  <si>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</si>
  <si>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</si>
  <si>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</si>
  <si>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</si>
  <si>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</si>
  <si>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</si>
  <si>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</si>
  <si>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</si>
  <si>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</si>
  <si>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</si>
  <si>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</si>
  <si>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</si>
  <si>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</si>
  <si>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</si>
  <si>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</si>
  <si>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</si>
  <si>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</si>
  <si>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</si>
  <si>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</si>
  <si>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</si>
  <si>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</si>
  <si>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</si>
  <si>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</si>
  <si>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</si>
  <si>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</si>
  <si>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</si>
  <si>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</si>
  <si>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</si>
  <si>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</si>
  <si>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</si>
  <si>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</si>
  <si>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</si>
  <si>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</si>
  <si>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</si>
  <si>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</si>
  <si>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</si>
  <si>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</si>
  <si>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</si>
  <si>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</si>
  <si>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</si>
  <si>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</si>
  <si>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</si>
  <si>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</si>
  <si>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</si>
  <si>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</si>
  <si>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</si>
  <si>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</si>
  <si>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</si>
  <si>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</si>
  <si>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</si>
  <si>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</si>
  <si>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</si>
  <si>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</si>
  <si>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</si>
  <si>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PMTCT_STAT.Linkage.T</t>
  </si>
  <si>
    <t>VMMC_CIRC.Unk.Rt.T</t>
  </si>
  <si>
    <t>VMMC_CIRC.T</t>
  </si>
  <si>
    <t>VMMC_CIRC.Yield.T</t>
  </si>
  <si>
    <t>VMMC_CIRC.NatlContr.T</t>
  </si>
  <si>
    <t>VMMC_TOTALCIRC_SUBNAT.Rt.T</t>
  </si>
  <si>
    <t>VMMC_TOTALCIRC_SUBNAT.Rt.T_1</t>
  </si>
  <si>
    <t>CXCA_SCRN.R</t>
  </si>
  <si>
    <t>CXCA_SCRN.T_1</t>
  </si>
  <si>
    <t>CXCA_SCRN.Rt.R</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</si>
  <si>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</si>
  <si>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</si>
  <si>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</si>
  <si>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</si>
  <si>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</si>
  <si>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</si>
  <si>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</si>
  <si>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</si>
  <si>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</si>
  <si>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</si>
  <si>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</si>
  <si>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</si>
  <si>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</si>
  <si>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</si>
  <si>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</si>
  <si>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</si>
  <si>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</si>
  <si>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</si>
  <si>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</si>
  <si>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</si>
  <si>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</si>
  <si>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</si>
  <si>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</si>
  <si>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</si>
  <si>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</si>
  <si>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</si>
  <si>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</si>
  <si>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</si>
  <si>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</si>
  <si>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</si>
  <si>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</si>
  <si>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</si>
  <si>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</si>
  <si>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</si>
  <si>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</si>
  <si>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</si>
  <si>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</si>
  <si>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</si>
  <si>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</si>
  <si>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</si>
  <si>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</si>
  <si>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</si>
  <si>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</si>
  <si>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</si>
  <si>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</si>
  <si>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</si>
  <si>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</si>
  <si>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</si>
  <si>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</si>
  <si>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</si>
  <si>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</si>
  <si>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</si>
  <si>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</si>
  <si>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</si>
  <si>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</si>
  <si>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</si>
  <si>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</si>
  <si>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</si>
  <si>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</si>
  <si>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</si>
  <si>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</si>
  <si>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</si>
  <si>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</si>
  <si>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</si>
  <si>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</si>
  <si>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</si>
  <si>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</si>
  <si>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</si>
  <si>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</si>
  <si>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</si>
  <si>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</si>
  <si>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</si>
  <si>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</si>
  <si>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</si>
  <si>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</si>
  <si>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</si>
  <si>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</si>
  <si>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</si>
  <si>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</si>
  <si>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</si>
  <si>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</si>
  <si>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</si>
  <si>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</si>
  <si>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</si>
  <si>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</si>
  <si>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</si>
  <si>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</si>
  <si>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</si>
  <si>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</si>
  <si>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</si>
  <si>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</si>
  <si>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</si>
  <si>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</si>
  <si>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</si>
  <si>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</si>
  <si>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</si>
  <si>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</si>
  <si>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</si>
  <si>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</si>
  <si>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</si>
  <si>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</si>
  <si>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</si>
  <si>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</si>
  <si>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</si>
  <si>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</si>
  <si>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</si>
  <si>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</si>
  <si>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</si>
  <si>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</si>
  <si>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</si>
  <si>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</si>
  <si>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</si>
  <si>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</si>
  <si>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</si>
  <si>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</si>
  <si>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</si>
  <si>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</si>
  <si>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</si>
  <si>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</si>
  <si>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</si>
  <si>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</si>
  <si>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</si>
  <si>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</si>
  <si>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</si>
  <si>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</si>
  <si>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</si>
  <si>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</si>
  <si>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</si>
  <si>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</si>
  <si>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</si>
  <si>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</si>
  <si>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</si>
  <si>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</si>
  <si>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</si>
  <si>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</si>
  <si>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</si>
  <si>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</si>
  <si>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</si>
  <si>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</si>
  <si>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</si>
  <si>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</si>
  <si>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</si>
  <si>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</si>
  <si>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</si>
  <si>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</si>
  <si>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</si>
  <si>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</si>
  <si>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</si>
  <si>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</si>
  <si>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</si>
  <si>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</si>
  <si>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</si>
  <si>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</si>
  <si>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</si>
  <si>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</si>
  <si>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</si>
  <si>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</si>
  <si>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</si>
  <si>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</si>
  <si>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</si>
  <si>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</si>
  <si>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</si>
  <si>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</si>
  <si>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</si>
  <si>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</si>
  <si>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</si>
  <si>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</si>
  <si>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</si>
  <si>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</si>
  <si>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</si>
  <si>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</si>
  <si>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</si>
  <si>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</si>
  <si>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</si>
  <si>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</si>
  <si>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</si>
  <si>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</si>
  <si>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</si>
  <si>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</si>
  <si>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</si>
  <si>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</si>
  <si>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</si>
  <si>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</si>
  <si>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</si>
  <si>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</si>
  <si>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</si>
  <si>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</si>
  <si>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</si>
  <si>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</si>
  <si>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</si>
  <si>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</si>
  <si>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</si>
  <si>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</si>
  <si>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</si>
  <si>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</si>
  <si>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</si>
  <si>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</si>
  <si>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</si>
  <si>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</si>
  <si>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</si>
  <si>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</si>
  <si>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</si>
  <si>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</si>
  <si>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</si>
  <si>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</si>
  <si>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</si>
  <si>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</si>
  <si>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</si>
  <si>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</si>
  <si>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</si>
  <si>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</si>
  <si>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Active SNS (Facility and Community SNS)</t>
  </si>
  <si>
    <t>Active Other (Community Other and Community Mobile)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</si>
  <si>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</si>
  <si>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</si>
  <si>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</si>
  <si>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</si>
  <si>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</si>
  <si>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</si>
  <si>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</si>
  <si>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</si>
  <si>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</si>
  <si>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</si>
  <si>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</si>
  <si>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</si>
  <si>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</si>
  <si>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</si>
  <si>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</si>
  <si>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</si>
  <si>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</si>
  <si>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</si>
  <si>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</si>
  <si>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</si>
  <si>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</si>
  <si>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</si>
  <si>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</si>
  <si>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</si>
  <si>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</si>
  <si>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</si>
  <si>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</si>
  <si>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</si>
  <si>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</si>
  <si>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</si>
  <si>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</si>
  <si>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</si>
  <si>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</si>
  <si>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</si>
  <si>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</si>
  <si>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</si>
  <si>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</si>
  <si>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</si>
  <si>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</si>
  <si>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</si>
  <si>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</si>
  <si>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</si>
  <si>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</si>
  <si>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</si>
  <si>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</si>
  <si>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</si>
  <si>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</si>
  <si>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</si>
  <si>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</si>
  <si>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</si>
  <si>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</si>
  <si>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</si>
  <si>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</si>
  <si>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</si>
  <si>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</si>
  <si>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</si>
  <si>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</si>
  <si>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</si>
  <si>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</si>
  <si>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</si>
  <si>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</si>
  <si>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</si>
  <si>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</si>
  <si>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</si>
  <si>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</si>
  <si>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</si>
  <si>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</si>
  <si>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</si>
  <si>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</si>
  <si>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</si>
  <si>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</si>
  <si>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</si>
  <si>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</si>
  <si>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</si>
  <si>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</si>
  <si>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</si>
  <si>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</si>
  <si>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</si>
  <si>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</si>
  <si>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</si>
  <si>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</si>
  <si>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</si>
  <si>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</si>
  <si>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</si>
  <si>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</si>
  <si>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</si>
  <si>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</si>
  <si>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</si>
  <si>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</si>
  <si>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</si>
  <si>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</si>
  <si>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</si>
  <si>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</si>
  <si>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</si>
  <si>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</si>
  <si>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</si>
  <si>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</si>
  <si>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</si>
  <si>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</si>
  <si>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</si>
  <si>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PP_PREV (FY25)</t>
  </si>
  <si>
    <t>KP_MAT (FY25)</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</si>
  <si>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</si>
  <si>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</si>
  <si>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</si>
  <si>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</si>
  <si>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</si>
  <si>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</si>
  <si>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</si>
  <si>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</si>
  <si>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</si>
  <si>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</si>
  <si>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</si>
  <si>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</si>
  <si>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</si>
  <si>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</si>
  <si>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</si>
  <si>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</si>
  <si>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</si>
  <si>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</si>
  <si>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</si>
  <si>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</si>
  <si>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</si>
  <si>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</si>
  <si>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</si>
  <si>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</si>
  <si>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</si>
  <si>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</si>
  <si>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</si>
  <si>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</si>
  <si>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</si>
  <si>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</si>
  <si>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</si>
  <si>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</si>
  <si>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</si>
  <si>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</si>
  <si>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</si>
  <si>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</si>
  <si>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</si>
  <si>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</si>
  <si>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</si>
  <si>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</si>
  <si>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</si>
  <si>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</si>
  <si>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</si>
  <si>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</si>
  <si>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</si>
  <si>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</si>
  <si>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PrEP_NEW (FY26)</t>
  </si>
  <si>
    <t>PP_PREV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</si>
  <si>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</si>
  <si>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</si>
  <si>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</si>
  <si>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</si>
  <si>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</si>
  <si>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</si>
  <si>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</si>
  <si>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</si>
  <si>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</si>
  <si>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</si>
  <si>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</si>
  <si>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</si>
  <si>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</si>
  <si>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</si>
  <si>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</si>
  <si>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</si>
  <si>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</si>
  <si>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</si>
  <si>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</si>
  <si>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</si>
  <si>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</si>
  <si>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PMTCT_STAT.N.Known.PosRt.R</t>
  </si>
  <si>
    <t>PMTCT_STAT.N.Known.PosRt.T</t>
  </si>
  <si>
    <t>PMTCT_STAT_SUBNAT.N.Known.Pos.T</t>
  </si>
  <si>
    <t>&lt;01-20 (OVC)</t>
  </si>
  <si>
    <t>aXwcGB1xILs</t>
  </si>
  <si>
    <t>J4SQd7SnDi2.fELDwOVs9TV</t>
  </si>
  <si>
    <t>pbXCUjm50XK.fELDwOVs9TV</t>
  </si>
  <si>
    <t>pEQUH1BXyEt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</si>
  <si>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</si>
  <si>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</si>
  <si>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</si>
  <si>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</si>
  <si>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</si>
  <si>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</si>
  <si>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</si>
  <si>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</si>
  <si>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</si>
  <si>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</si>
  <si>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</si>
  <si>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</si>
  <si>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</si>
  <si>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</si>
  <si>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</si>
  <si>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</si>
  <si>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</si>
  <si>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</si>
  <si>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</si>
  <si>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</si>
  <si>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</si>
  <si>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</si>
  <si>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</si>
  <si>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</si>
  <si>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</si>
  <si>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</si>
  <si>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</si>
  <si>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</si>
  <si>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</si>
  <si>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</si>
  <si>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</si>
  <si>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</si>
  <si>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</si>
  <si>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</si>
  <si>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</si>
  <si>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</si>
  <si>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</si>
  <si>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</si>
  <si>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</si>
  <si>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</si>
  <si>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</si>
  <si>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</si>
  <si>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</si>
  <si>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</si>
  <si>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</si>
  <si>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</si>
  <si>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</si>
  <si>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</si>
  <si>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</si>
  <si>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</si>
  <si>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</si>
  <si>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</si>
  <si>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</si>
  <si>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</si>
  <si>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</si>
  <si>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</si>
  <si>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</si>
  <si>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</si>
  <si>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</si>
  <si>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</si>
  <si>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</si>
  <si>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</si>
  <si>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</si>
  <si>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</si>
  <si>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</si>
  <si>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</si>
  <si>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</si>
  <si>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</si>
  <si>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</si>
  <si>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</si>
  <si>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</si>
  <si>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</si>
  <si>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</si>
  <si>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</si>
  <si>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</si>
  <si>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</si>
  <si>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</si>
  <si>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</si>
  <si>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</si>
  <si>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</si>
  <si>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</si>
  <si>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</si>
  <si>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</si>
  <si>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</si>
  <si>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</si>
  <si>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</si>
  <si>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</si>
  <si>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</si>
  <si>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</si>
  <si>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</si>
  <si>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</si>
  <si>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</si>
  <si>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</si>
  <si>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</si>
  <si>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</si>
  <si>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</si>
  <si>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</si>
  <si>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</si>
  <si>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</si>
  <si>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</si>
  <si>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</si>
  <si>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</si>
  <si>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</si>
  <si>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</si>
  <si>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</si>
  <si>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</si>
  <si>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</si>
  <si>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</si>
  <si>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</si>
  <si>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</si>
  <si>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</si>
  <si>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</si>
  <si>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</si>
  <si>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</si>
  <si>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</si>
  <si>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</si>
  <si>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</si>
  <si>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</si>
  <si>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</si>
  <si>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</si>
  <si>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Yield among Newly Tested (FY26) (%)</t>
  </si>
  <si>
    <t>Total Positives from VMMC_CIRC (FY26)</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</si>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</sst>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0" fillId="7" borderId="0" xfId="1" applyNumberFormat="1" applyFont="1" applyFill="1" applyBorder="1" applyAlignment="1">
      <alignment horizontal="center" vertical="center" wrapText="1"/>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3" fontId="30" fillId="10" borderId="2" xfId="0" applyNumberFormat="1" applyFont="1" applyFill="1" applyBorder="1" applyAlignment="1">
      <alignment vertical="center"/>
    </xf>
    <xf numFmtId="9" fontId="30" fillId="10" borderId="0" xfId="1" applyFont="1" applyFill="1" applyBorder="1" applyAlignment="1">
      <alignment vertical="center"/>
    </xf>
    <xf numFmtId="3" fontId="30" fillId="10" borderId="0" xfId="4" applyNumberFormat="1" applyFont="1" applyFill="1" applyBorder="1" applyAlignment="1">
      <alignment vertical="center"/>
    </xf>
    <xf numFmtId="3" fontId="7" fillId="10" borderId="2" xfId="0" applyNumberFormat="1" applyFont="1" applyFill="1" applyBorder="1"/>
    <xf numFmtId="9" fontId="7" fillId="10" borderId="0" xfId="1" applyFont="1" applyFill="1" applyBorder="1"/>
    <xf numFmtId="3" fontId="7" fillId="10" borderId="0" xfId="1" applyNumberFormat="1" applyFont="1" applyFill="1"/>
    <xf numFmtId="3" fontId="7" fillId="10" borderId="0" xfId="0" applyNumberFormat="1" applyFont="1" applyFill="1"/>
    <xf numFmtId="3" fontId="7" fillId="10" borderId="0" xfId="4" applyNumberFormat="1" applyFont="1" applyFill="1" applyBorder="1"/>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3" fontId="0" fillId="10" borderId="0" xfId="0" applyNumberFormat="1" applyFill="1" applyAlignment="1">
      <alignment horizontal="center" vertical="center" wrapText="1"/>
    </xf>
    <xf numFmtId="3" fontId="0" fillId="10" borderId="2" xfId="0" applyNumberFormat="1" applyFill="1" applyBorder="1" applyAlignment="1">
      <alignment horizontal="center" vertical="center" wrapText="1"/>
    </xf>
    <xf numFmtId="3" fontId="15" fillId="10" borderId="0" xfId="5" applyNumberFormat="1" applyFill="1" applyBorder="1" applyAlignment="1">
      <alignment horizontal="center" vertical="center" wrapText="1"/>
    </xf>
    <xf numFmtId="3" fontId="21" fillId="10" borderId="2" xfId="1" applyNumberFormat="1" applyFont="1" applyFill="1" applyBorder="1" applyAlignment="1">
      <alignment horizontal="right"/>
    </xf>
    <xf numFmtId="9" fontId="3" fillId="10" borderId="0" xfId="1" applyFont="1" applyFill="1" applyAlignment="1">
      <alignment horizontal="right"/>
    </xf>
    <xf numFmtId="3" fontId="19" fillId="10" borderId="0" xfId="1" applyNumberFormat="1" applyFont="1" applyFill="1" applyBorder="1" applyAlignment="1">
      <alignment horizontal="right"/>
    </xf>
    <xf numFmtId="3" fontId="19" fillId="10" borderId="0" xfId="1" applyNumberFormat="1" applyFont="1" applyFill="1" applyAlignment="1">
      <alignment horizontal="right"/>
    </xf>
    <xf numFmtId="3" fontId="21" fillId="10" borderId="0" xfId="1" applyNumberFormat="1" applyFont="1" applyFill="1" applyAlignment="1">
      <alignment horizontal="right"/>
    </xf>
    <xf numFmtId="3" fontId="21" fillId="10" borderId="0" xfId="1" applyNumberFormat="1" applyFont="1" applyFill="1" applyBorder="1" applyAlignment="1">
      <alignment horizontal="right"/>
    </xf>
    <xf numFmtId="3" fontId="0" fillId="10" borderId="0" xfId="4" applyNumberFormat="1" applyFont="1" applyFill="1" applyBorder="1"/>
    <xf numFmtId="3" fontId="0" fillId="10" borderId="2" xfId="0" applyNumberFormat="1" applyFill="1" applyBorder="1"/>
    <xf numFmtId="9" fontId="0" fillId="10" borderId="0" xfId="1" applyFont="1" applyFill="1"/>
    <xf numFmtId="3" fontId="0" fillId="10" borderId="0" xfId="0" applyNumberFormat="1" applyFill="1"/>
    <xf numFmtId="3" fontId="32" fillId="10" borderId="2" xfId="0" applyNumberFormat="1" applyFont="1" applyFill="1" applyBorder="1"/>
    <xf numFmtId="9" fontId="32" fillId="10" borderId="0" xfId="1" applyFont="1" applyFill="1"/>
    <xf numFmtId="3" fontId="33" fillId="10" borderId="0" xfId="0" applyNumberFormat="1" applyFont="1" applyFill="1"/>
    <xf numFmtId="3" fontId="32" fillId="10" borderId="0" xfId="0" applyNumberFormat="1" applyFont="1" applyFill="1"/>
    <xf numFmtId="3" fontId="32" fillId="10" borderId="0" xfId="4" applyNumberFormat="1" applyFont="1" applyFill="1" applyBorder="1"/>
    <xf numFmtId="9" fontId="0" fillId="10" borderId="0" xfId="1" applyFont="1" applyFill="1" applyBorder="1"/>
    <xf numFmtId="9" fontId="30" fillId="10" borderId="2" xfId="1" applyFont="1" applyFill="1" applyBorder="1" applyAlignment="1">
      <alignment vertical="center"/>
    </xf>
    <xf numFmtId="3" fontId="30" fillId="10" borderId="0" xfId="1" applyNumberFormat="1" applyFont="1" applyFill="1" applyBorder="1" applyAlignment="1">
      <alignment vertical="center"/>
    </xf>
    <xf numFmtId="3" fontId="30" fillId="10" borderId="0" xfId="1" applyNumberFormat="1" applyFont="1" applyFill="1" applyAlignment="1">
      <alignment vertical="center"/>
    </xf>
    <xf numFmtId="9" fontId="7" fillId="10" borderId="2" xfId="1" applyFont="1" applyFill="1" applyBorder="1"/>
    <xf numFmtId="9" fontId="20" fillId="10" borderId="2" xfId="1" applyFont="1" applyFill="1" applyBorder="1" applyAlignment="1">
      <alignment horizontal="center" vertical="center" wrapText="1"/>
    </xf>
    <xf numFmtId="9" fontId="0" fillId="10" borderId="2" xfId="1" applyFont="1" applyFill="1" applyBorder="1" applyAlignment="1">
      <alignment horizontal="right"/>
    </xf>
    <xf numFmtId="9" fontId="0" fillId="10" borderId="2" xfId="1" applyFont="1" applyFill="1" applyBorder="1"/>
    <xf numFmtId="9" fontId="32" fillId="10" borderId="2" xfId="1" applyFont="1" applyFill="1" applyBorder="1"/>
    <xf numFmtId="9" fontId="13" fillId="10" borderId="2" xfId="1" applyFont="1" applyFill="1" applyBorder="1"/>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4" fillId="10" borderId="0" xfId="5" applyNumberFormat="1" applyFont="1" applyFill="1" applyAlignment="1">
      <alignment horizontal="center" vertical="center" wrapText="1"/>
    </xf>
    <xf numFmtId="9" fontId="0" fillId="10" borderId="0" xfId="1" applyFont="1" applyFill="1" applyBorder="1" applyAlignment="1">
      <alignment horizontal="right"/>
    </xf>
    <xf numFmtId="3" fontId="19" fillId="10" borderId="0" xfId="1" applyNumberFormat="1" applyFont="1" applyFill="1" applyAlignment="1">
      <alignment horizontal="right" vertical="center"/>
    </xf>
    <xf numFmtId="3" fontId="13" fillId="10" borderId="0" xfId="0" applyNumberFormat="1" applyFont="1" applyFill="1" applyAlignment="1">
      <alignment vertical="center"/>
    </xf>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0" fillId="10" borderId="2" xfId="4" applyNumberFormat="1" applyFont="1" applyFill="1" applyBorder="1" applyAlignment="1">
      <alignment vertical="center"/>
    </xf>
    <xf numFmtId="3" fontId="31" fillId="10" borderId="0" xfId="4" applyNumberFormat="1" applyFont="1" applyFill="1" applyBorder="1" applyAlignment="1">
      <alignment vertical="center"/>
    </xf>
    <xf numFmtId="3" fontId="7" fillId="10" borderId="2" xfId="4" applyNumberFormat="1" applyFont="1" applyFill="1" applyBorder="1"/>
    <xf numFmtId="3" fontId="15" fillId="10" borderId="2" xfId="5" applyNumberFormat="1" applyFill="1" applyBorder="1" applyAlignment="1">
      <alignment horizontal="center" vertical="center" wrapText="1"/>
    </xf>
    <xf numFmtId="3" fontId="0" fillId="10" borderId="2" xfId="4" applyNumberFormat="1" applyFont="1" applyFill="1" applyBorder="1" applyAlignment="1">
      <alignment horizontal="right"/>
    </xf>
    <xf numFmtId="3" fontId="1" fillId="10" borderId="0" xfId="4" applyNumberFormat="1" applyFont="1" applyFill="1" applyBorder="1" applyAlignment="1">
      <alignment horizontal="right"/>
    </xf>
    <xf numFmtId="3" fontId="0" fillId="10" borderId="2" xfId="4" applyNumberFormat="1" applyFont="1" applyFill="1" applyBorder="1"/>
    <xf numFmtId="3" fontId="1" fillId="10" borderId="0" xfId="4" applyNumberFormat="1" applyFont="1" applyFill="1" applyBorder="1"/>
    <xf numFmtId="3" fontId="32" fillId="10" borderId="2" xfId="4" applyNumberFormat="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20</v>
      </c>
    </row>
    <row r="10" spans="2:2" ht="97.2">
      <c r="B10" s="6" t="s">
        <v>915</v>
      </c>
    </row>
    <row r="20" spans="2:2" ht="82.2">
      <c r="B20" s="226" t="s">
        <v>281</v>
      </c>
    </row>
    <row r="25" spans="2:2">
      <c r="B25"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defaultColWidth="10.796875" defaultRowHeight="15.6"/>
  <cols>
    <col min="1" max="1" width="1.796875" style="239" customWidth="1"/>
    <col min="2" max="2" width="49" style="239" customWidth="1"/>
    <col min="3" max="3" width="3.19921875" style="239"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150</v>
      </c>
      <c r="E1" s="8" t="s">
        <v>282</v>
      </c>
      <c r="F1" s="8" t="s">
        <v>446</v>
      </c>
      <c r="G1" s="8" t="s">
        <v>165</v>
      </c>
      <c r="H1" s="8" t="s">
        <v>465</v>
      </c>
      <c r="I1" s="9" t="s">
        <v>166</v>
      </c>
      <c r="J1" s="8" t="s">
        <v>167</v>
      </c>
      <c r="K1" s="8" t="s">
        <v>168</v>
      </c>
      <c r="L1" s="8" t="s">
        <v>169</v>
      </c>
      <c r="M1" s="8" t="s">
        <v>445</v>
      </c>
      <c r="N1" s="8" t="s">
        <v>44</v>
      </c>
      <c r="O1" s="8" t="s">
        <v>163</v>
      </c>
      <c r="P1" s="8" t="s">
        <v>162</v>
      </c>
      <c r="Q1" s="8" t="s">
        <v>637</v>
      </c>
      <c r="R1" s="8" t="s">
        <v>43</v>
      </c>
      <c r="S1" s="8"/>
    </row>
    <row r="2" spans="2:19" ht="16.2" thickBot="1">
      <c r="B2" s="10" t="s">
        <v>158</v>
      </c>
      <c r="C2" s="242" t="s">
        <v>45</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40" t="s">
        <v>46</v>
      </c>
      <c r="D4" s="5"/>
      <c r="E4" s="5"/>
      <c r="F4" s="5"/>
      <c r="G4" s="5"/>
      <c r="H4" s="5"/>
      <c r="J4" s="5"/>
      <c r="K4" s="5"/>
      <c r="L4" s="5"/>
    </row>
    <row r="5" spans="2:19">
      <c r="D5" s="5"/>
      <c r="E5" s="5"/>
      <c r="F5" s="5"/>
      <c r="G5" s="5"/>
      <c r="H5" s="5"/>
      <c r="J5" s="5"/>
      <c r="K5" s="5"/>
      <c r="L5" s="5"/>
    </row>
    <row r="6" spans="2:19">
      <c r="B6" s="376" t="s">
        <v>151</v>
      </c>
      <c r="D6" s="5"/>
      <c r="E6" s="5"/>
      <c r="F6" s="5"/>
      <c r="G6" s="5"/>
      <c r="H6" s="5"/>
      <c r="J6" s="5"/>
      <c r="K6" s="5"/>
      <c r="L6" s="5"/>
    </row>
    <row r="7" spans="2:19">
      <c r="B7" s="376"/>
      <c r="D7" s="5"/>
      <c r="E7" s="5"/>
      <c r="F7" s="5"/>
      <c r="G7" s="5"/>
      <c r="H7" s="5"/>
      <c r="J7" s="5"/>
      <c r="K7" s="5"/>
      <c r="L7" s="5"/>
    </row>
    <row r="8" spans="2:19">
      <c r="B8" s="241"/>
      <c r="D8" s="5"/>
      <c r="E8" s="5"/>
      <c r="F8" s="5"/>
      <c r="G8" s="5"/>
      <c r="H8" s="5"/>
      <c r="J8" s="5"/>
      <c r="K8" s="5"/>
      <c r="L8" s="5"/>
    </row>
    <row r="9" spans="2:19">
      <c r="B9" s="241" t="s">
        <v>152</v>
      </c>
      <c r="D9" s="5"/>
      <c r="E9" s="5"/>
      <c r="F9" s="5"/>
      <c r="G9" s="5"/>
      <c r="H9" s="5"/>
      <c r="J9" s="5"/>
      <c r="K9" s="5"/>
      <c r="L9" s="5"/>
    </row>
    <row r="10" spans="2:19">
      <c r="B10" s="241"/>
      <c r="D10" s="5"/>
      <c r="E10" s="5"/>
      <c r="F10" s="5"/>
      <c r="G10" s="5"/>
      <c r="H10" s="5"/>
      <c r="J10" s="5"/>
      <c r="K10" s="5"/>
      <c r="L10" s="5"/>
    </row>
    <row r="11" spans="2:19">
      <c r="B11" s="376" t="s">
        <v>153</v>
      </c>
      <c r="D11" s="5"/>
      <c r="E11" s="5"/>
      <c r="F11" s="5"/>
      <c r="G11" s="5"/>
      <c r="H11" s="5"/>
      <c r="J11" s="5"/>
      <c r="K11" s="5"/>
      <c r="L11" s="5"/>
    </row>
    <row r="12" spans="2:19">
      <c r="B12" s="376"/>
      <c r="D12" s="5"/>
      <c r="E12" s="5"/>
      <c r="F12" s="5"/>
      <c r="G12" s="5"/>
      <c r="H12" s="5"/>
      <c r="J12" s="5"/>
      <c r="K12" s="5"/>
      <c r="L12" s="5"/>
    </row>
    <row r="13" spans="2:19">
      <c r="B13" s="241"/>
      <c r="D13" s="5"/>
      <c r="E13" s="5"/>
      <c r="F13" s="5"/>
      <c r="G13" s="5"/>
      <c r="H13" s="5"/>
      <c r="J13" s="5"/>
      <c r="K13" s="5"/>
      <c r="L13" s="5"/>
    </row>
    <row r="14" spans="2:19" ht="31.2">
      <c r="B14" s="241" t="s">
        <v>154</v>
      </c>
      <c r="D14" s="5"/>
      <c r="E14" s="5"/>
      <c r="F14" s="5"/>
      <c r="G14" s="5"/>
      <c r="H14" s="5"/>
      <c r="J14" s="5"/>
      <c r="K14" s="5"/>
      <c r="L14" s="5"/>
    </row>
    <row r="15" spans="2:19">
      <c r="B15" s="241"/>
      <c r="D15" s="5"/>
      <c r="E15" s="5"/>
      <c r="F15" s="5"/>
      <c r="G15" s="5"/>
      <c r="H15" s="5"/>
      <c r="J15" s="5"/>
      <c r="K15" s="5"/>
      <c r="L15" s="5"/>
    </row>
    <row r="16" spans="2:19">
      <c r="B16" s="376" t="s">
        <v>155</v>
      </c>
      <c r="D16" s="5"/>
      <c r="E16" s="5"/>
      <c r="F16" s="5"/>
      <c r="G16" s="5"/>
      <c r="H16" s="5"/>
      <c r="J16" s="5"/>
      <c r="K16" s="5"/>
      <c r="L16" s="5"/>
    </row>
    <row r="17" spans="2:12">
      <c r="B17" s="376"/>
      <c r="D17" s="5"/>
      <c r="E17" s="5"/>
      <c r="F17" s="5"/>
      <c r="G17" s="5"/>
      <c r="H17" s="5"/>
      <c r="J17" s="5"/>
      <c r="K17" s="5"/>
      <c r="L17" s="5"/>
    </row>
    <row r="18" spans="2:12">
      <c r="B18" s="241"/>
      <c r="D18" s="5"/>
      <c r="E18" s="5"/>
      <c r="F18" s="5"/>
      <c r="G18" s="5"/>
      <c r="H18" s="5"/>
      <c r="J18" s="5"/>
      <c r="K18" s="5"/>
      <c r="L18" s="5"/>
    </row>
    <row r="19" spans="2:12">
      <c r="B19" s="376" t="s">
        <v>156</v>
      </c>
      <c r="D19" s="5"/>
      <c r="E19" s="5"/>
      <c r="F19" s="5"/>
      <c r="G19" s="5"/>
      <c r="H19" s="5"/>
      <c r="J19" s="5"/>
      <c r="K19" s="5"/>
      <c r="L19" s="5"/>
    </row>
    <row r="20" spans="2:12">
      <c r="B20" s="376"/>
      <c r="D20" s="5"/>
      <c r="E20" s="5"/>
      <c r="F20" s="5"/>
      <c r="G20" s="5"/>
      <c r="H20" s="5"/>
      <c r="J20" s="5"/>
      <c r="K20" s="5"/>
      <c r="L20" s="5"/>
    </row>
    <row r="21" spans="2:12">
      <c r="D21" s="5"/>
      <c r="E21" s="5"/>
      <c r="F21" s="5"/>
      <c r="G21" s="5"/>
      <c r="H21" s="5"/>
      <c r="J21" s="5"/>
      <c r="K21" s="5"/>
      <c r="L21" s="5"/>
    </row>
    <row r="22" spans="2:12" ht="16.05" customHeight="1">
      <c r="B22" s="241" t="s">
        <v>469</v>
      </c>
      <c r="D22" s="5"/>
      <c r="E22" s="5"/>
      <c r="F22" s="5"/>
      <c r="G22" s="5"/>
      <c r="H22" s="5"/>
      <c r="J22" s="5"/>
      <c r="K22" s="5"/>
      <c r="L22" s="5"/>
    </row>
    <row r="23" spans="2:12">
      <c r="B23" s="241"/>
      <c r="D23" s="5"/>
      <c r="E23" s="5"/>
      <c r="F23" s="5"/>
      <c r="G23" s="5"/>
      <c r="H23" s="5"/>
      <c r="J23" s="5"/>
      <c r="K23" s="5"/>
      <c r="L23" s="5"/>
    </row>
    <row r="24" spans="2:12">
      <c r="B24" s="239" t="s">
        <v>157</v>
      </c>
      <c r="D24" s="5"/>
      <c r="E24" s="5"/>
      <c r="F24" s="5"/>
      <c r="G24" s="5"/>
      <c r="H24" s="5"/>
      <c r="J24" s="5"/>
      <c r="K24" s="5"/>
      <c r="L24" s="5"/>
    </row>
    <row r="25" spans="2:12">
      <c r="D25" s="5"/>
      <c r="E25" s="5"/>
      <c r="F25" s="5"/>
      <c r="G25" s="5"/>
      <c r="H25" s="5"/>
      <c r="J25" s="5"/>
      <c r="K25" s="5"/>
      <c r="L25" s="5"/>
    </row>
    <row r="26" spans="2:12">
      <c r="B26" s="376" t="s">
        <v>638</v>
      </c>
      <c r="D26" s="5"/>
      <c r="E26" s="5"/>
      <c r="F26" s="5"/>
      <c r="G26" s="5"/>
      <c r="H26" s="5"/>
      <c r="J26" s="5"/>
      <c r="K26" s="5"/>
      <c r="L26" s="5"/>
    </row>
    <row r="27" spans="2:12">
      <c r="B27" s="376"/>
      <c r="D27" s="5"/>
      <c r="E27" s="5"/>
      <c r="F27" s="5"/>
      <c r="G27" s="5"/>
      <c r="H27" s="5"/>
      <c r="J27" s="5"/>
      <c r="K27" s="5"/>
      <c r="L27" s="5"/>
    </row>
    <row r="28" spans="2:12">
      <c r="D28" s="5"/>
      <c r="E28" s="5"/>
      <c r="F28" s="5"/>
      <c r="G28" s="5"/>
      <c r="H28" s="5"/>
      <c r="J28" s="5"/>
      <c r="K28" s="5"/>
      <c r="L28" s="5"/>
    </row>
    <row r="29" spans="2:12">
      <c r="B29" s="241"/>
      <c r="D29" s="5"/>
      <c r="E29" s="5"/>
      <c r="F29" s="5"/>
      <c r="G29" s="5"/>
      <c r="H29" s="5"/>
      <c r="J29" s="5"/>
      <c r="K29" s="5"/>
      <c r="L29" s="5"/>
    </row>
    <row r="30" spans="2:12">
      <c r="B30" s="241"/>
      <c r="D30" s="5"/>
      <c r="E30" s="5"/>
      <c r="F30" s="5"/>
      <c r="G30" s="5"/>
      <c r="H30" s="5"/>
      <c r="J30" s="5"/>
      <c r="K30" s="5"/>
      <c r="L30" s="5"/>
    </row>
    <row r="31" spans="2:12">
      <c r="B31" s="241"/>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61" customWidth="1"/>
    <col min="3" max="3" width="13.19921875" style="82" customWidth="1"/>
    <col min="4" max="4" width="28" customWidth="1"/>
  </cols>
  <sheetData>
    <row r="1" spans="1:4" s="22" customFormat="1" ht="31.05" customHeight="1">
      <c r="A1" s="4" t="s">
        <v>40</v>
      </c>
      <c r="B1" s="194" t="s">
        <v>40</v>
      </c>
      <c r="C1" s="195"/>
      <c r="D1" s="196"/>
    </row>
    <row r="2" spans="1:4" s="80" customFormat="1" ht="18">
      <c r="A2" s="14"/>
      <c r="B2" s="159"/>
      <c r="C2" s="256" t="s">
        <v>554</v>
      </c>
      <c r="D2" s="71"/>
    </row>
    <row r="3" spans="1:4" ht="117" customHeight="1">
      <c r="A3" s="17"/>
      <c r="B3" s="144" t="s">
        <v>650</v>
      </c>
      <c r="C3" s="197" t="s">
        <v>711</v>
      </c>
      <c r="D3" s="72" t="s">
        <v>651</v>
      </c>
    </row>
    <row r="4" spans="1:4">
      <c r="A4" s="15"/>
      <c r="B4" s="160"/>
      <c r="C4" s="83"/>
      <c r="D4" s="81" t="str">
        <f>IF(COUNTIF(C$15:INDEX($C:$C,COUNTA($A:$A)+14-COUNTA($A$1:$A$14)),"")&gt;0,"BLANK PRIORITIZATIONS","")</f>
        <v>BLANK PRIORITIZATIONS</v>
      </c>
    </row>
    <row r="5" spans="1:4">
      <c r="A5" s="5" t="s">
        <v>55</v>
      </c>
      <c r="B5" s="160" t="s">
        <v>63</v>
      </c>
      <c r="C5" s="83" t="s">
        <v>63</v>
      </c>
      <c r="D5" t="s">
        <v>55</v>
      </c>
    </row>
    <row r="6" spans="1:4">
      <c r="A6" s="5" t="s">
        <v>125</v>
      </c>
      <c r="B6" s="160" t="s">
        <v>67</v>
      </c>
      <c r="C6" s="83" t="s">
        <v>49</v>
      </c>
      <c r="D6" t="s">
        <v>50</v>
      </c>
    </row>
    <row r="7" spans="1:4">
      <c r="A7" s="5" t="s">
        <v>65</v>
      </c>
      <c r="B7" s="160" t="s">
        <v>51</v>
      </c>
      <c r="C7" s="83" t="s">
        <v>51</v>
      </c>
      <c r="D7" t="s">
        <v>65</v>
      </c>
    </row>
    <row r="8" spans="1:4">
      <c r="B8" s="275" t="s">
        <v>62</v>
      </c>
      <c r="C8" s="276" t="s">
        <v>62</v>
      </c>
    </row>
    <row r="9" spans="1:4">
      <c r="B9" s="275"/>
      <c r="C9" s="276"/>
    </row>
    <row r="10" spans="1:4">
      <c r="B10" s="275"/>
      <c r="C10" s="276"/>
    </row>
    <row r="11" spans="1:4">
      <c r="B11" s="160"/>
      <c r="C11" s="83"/>
    </row>
    <row r="12" spans="1:4">
      <c r="B12" s="160"/>
      <c r="C12" s="83"/>
    </row>
    <row r="13" spans="1:4">
      <c r="B13" s="160"/>
      <c r="C13" s="83"/>
    </row>
    <row r="14" spans="1:4">
      <c r="A14" s="198" t="s">
        <v>3</v>
      </c>
      <c r="B14" s="199" t="s">
        <v>331</v>
      </c>
      <c r="C14" s="200" t="s">
        <v>332</v>
      </c>
      <c r="D14" s="201" t="s">
        <v>441</v>
      </c>
    </row>
    <row r="15" spans="1:4">
      <c r="C15" s="82"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28" priority="2">
      <formula>AND(ROW(B1)&gt;14,LEFT($A1,4)&lt;&gt;"_Mil",$A1&lt;&gt;"",B1&lt;&gt;1,B1&lt;&gt;2,B1&lt;&gt;4,B1&lt;&gt;5,B1&lt;&gt;6,B1&lt;&gt;7,B1&lt;&gt;8,B1&lt;&gt;"M",B1&lt;&gt;"NA")</formula>
    </cfRule>
  </conditionalFormatting>
  <conditionalFormatting sqref="C1:C1048576">
    <cfRule type="expression" dxfId="127" priority="729">
      <formula>AND(LEFT($A1,4)&lt;&gt;"_Mil",ROW($C1)&gt;14,$C1&lt;&gt;$B1,$A1&lt;&gt;"")</formula>
    </cfRule>
  </conditionalFormatting>
  <conditionalFormatting sqref="D4">
    <cfRule type="containsText" dxfId="126"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6" customWidth="1"/>
    <col min="16" max="18" width="13.19921875" style="36" customWidth="1"/>
    <col min="19" max="19" width="13.19921875" style="47" customWidth="1"/>
    <col min="20" max="22" width="13.19921875" style="36" customWidth="1"/>
    <col min="23" max="23" width="13.19921875" style="77" customWidth="1"/>
    <col min="24" max="24" width="13.19921875" style="36" customWidth="1"/>
    <col min="25" max="25" width="13.19921875" style="19" customWidth="1"/>
    <col min="26" max="26" width="13.19921875" style="36" customWidth="1"/>
    <col min="27" max="27" width="13.19921875" style="118" customWidth="1"/>
    <col min="28" max="28" width="13.19921875" style="19" customWidth="1"/>
    <col min="29" max="30" width="13.19921875" style="351" customWidth="1"/>
    <col min="31" max="31" width="13.19921875" style="135" customWidth="1"/>
    <col min="32" max="32" width="13.19921875" style="36" customWidth="1"/>
    <col min="33" max="33" width="13.19921875" style="135" customWidth="1"/>
    <col min="34" max="34" width="13.19921875" style="77" customWidth="1"/>
    <col min="35" max="38" width="13.19921875" style="36" customWidth="1"/>
    <col min="39" max="39" width="13.19921875" style="76" customWidth="1"/>
    <col min="40" max="42" width="13.19921875" style="36" customWidth="1"/>
    <col min="43" max="43" width="13.19921875" style="58" customWidth="1"/>
    <col min="44" max="44" width="13.19921875" style="33" customWidth="1"/>
    <col min="45" max="45" width="13.19921875" style="118" customWidth="1"/>
    <col min="46" max="46" width="13.19921875" style="76" customWidth="1"/>
    <col min="47" max="47" width="13.19921875" style="118" customWidth="1"/>
    <col min="48" max="49" width="13.19921875" style="36" customWidth="1"/>
    <col min="50" max="50" width="13.19921875" style="19" customWidth="1"/>
    <col min="51" max="51" width="13.19921875" style="47" customWidth="1"/>
    <col min="52" max="52" width="13.19921875" style="143" customWidth="1"/>
    <col min="53" max="53" width="13.19921875" style="311" customWidth="1"/>
    <col min="54" max="54" width="13.19921875" style="19" customWidth="1"/>
    <col min="55" max="55" width="13.19921875" style="33" customWidth="1"/>
    <col min="56" max="56" width="13.19921875" style="356" customWidth="1"/>
    <col min="57" max="57" width="13.19921875" style="76" customWidth="1"/>
    <col min="58" max="58" width="13.19921875" style="36" customWidth="1"/>
    <col min="59" max="59" width="13.19921875" style="33" customWidth="1"/>
    <col min="60" max="60" width="13.19921875" style="143" customWidth="1"/>
    <col min="61" max="61" width="13.19921875" style="33" customWidth="1"/>
  </cols>
  <sheetData>
    <row r="1" spans="1:61" ht="31.05" customHeight="1" thickBot="1">
      <c r="A1" s="287" t="s">
        <v>170</v>
      </c>
      <c r="B1" s="4"/>
      <c r="C1" s="4"/>
      <c r="D1" s="4"/>
      <c r="E1" s="287"/>
      <c r="F1" s="203" t="s">
        <v>657</v>
      </c>
      <c r="G1" s="203" t="s">
        <v>745</v>
      </c>
      <c r="H1" s="171"/>
      <c r="I1" s="172"/>
      <c r="J1" s="173"/>
      <c r="K1" s="172"/>
      <c r="L1" s="203" t="s">
        <v>730</v>
      </c>
      <c r="M1" s="171"/>
      <c r="N1" s="171"/>
      <c r="O1" s="170"/>
      <c r="P1" s="174"/>
      <c r="Q1" s="172"/>
      <c r="R1" s="172"/>
      <c r="S1" s="203" t="s">
        <v>632</v>
      </c>
      <c r="T1" s="170"/>
      <c r="U1" s="172"/>
      <c r="V1" s="172"/>
      <c r="W1" s="220"/>
      <c r="X1" s="172"/>
      <c r="Y1" s="176"/>
      <c r="Z1" s="172"/>
      <c r="AA1" s="319"/>
      <c r="AB1" s="176"/>
      <c r="AC1" s="344"/>
      <c r="AD1" s="363"/>
      <c r="AE1" s="319"/>
      <c r="AF1" s="178"/>
      <c r="AG1" s="319"/>
      <c r="AH1" s="220"/>
      <c r="AI1" s="178"/>
      <c r="AJ1" s="173"/>
      <c r="AK1" s="173"/>
      <c r="AL1" s="173"/>
      <c r="AM1" s="205" t="s">
        <v>528</v>
      </c>
      <c r="AN1" s="173"/>
      <c r="AO1" s="173"/>
      <c r="AP1" s="173"/>
      <c r="AQ1" s="203" t="s">
        <v>526</v>
      </c>
      <c r="AR1" s="170"/>
      <c r="AS1" s="319"/>
      <c r="AT1" s="205" t="s">
        <v>527</v>
      </c>
      <c r="AU1" s="319"/>
      <c r="AV1" s="173"/>
      <c r="AW1" s="173"/>
      <c r="AX1" s="177"/>
      <c r="AY1" s="178"/>
      <c r="AZ1" s="297" t="s">
        <v>525</v>
      </c>
      <c r="BA1" s="307"/>
      <c r="BB1" s="179"/>
      <c r="BC1" s="172"/>
      <c r="BD1" s="331"/>
      <c r="BE1" s="205" t="s">
        <v>524</v>
      </c>
      <c r="BF1" s="172"/>
      <c r="BG1" s="172"/>
      <c r="BH1" s="205" t="s">
        <v>520</v>
      </c>
      <c r="BI1" s="172"/>
    </row>
    <row r="2" spans="1:61" ht="18">
      <c r="A2" s="377" t="s">
        <v>634</v>
      </c>
      <c r="B2" s="378"/>
      <c r="C2" s="2"/>
      <c r="D2" s="2"/>
      <c r="E2" s="13"/>
      <c r="F2" s="51"/>
      <c r="G2" s="51"/>
      <c r="H2" s="43"/>
      <c r="I2" s="43"/>
      <c r="J2" s="54"/>
      <c r="K2" s="43"/>
      <c r="L2" s="51"/>
      <c r="M2" s="43"/>
      <c r="N2" s="43"/>
      <c r="O2" s="54"/>
      <c r="P2" s="46"/>
      <c r="Q2" s="43"/>
      <c r="R2" s="43"/>
      <c r="S2" s="51" t="s">
        <v>746</v>
      </c>
      <c r="T2" s="54" t="s">
        <v>731</v>
      </c>
      <c r="U2" s="46"/>
      <c r="V2" s="46"/>
      <c r="W2" s="84"/>
      <c r="X2" s="46"/>
      <c r="Y2" s="3"/>
      <c r="Z2" s="46"/>
      <c r="AA2" s="116"/>
      <c r="AB2" s="3"/>
      <c r="AC2" s="345"/>
      <c r="AD2" s="345"/>
      <c r="AE2" s="116"/>
      <c r="AF2" s="46"/>
      <c r="AG2" s="116"/>
      <c r="AH2" s="84" t="s">
        <v>712</v>
      </c>
      <c r="AI2" s="46"/>
      <c r="AJ2" s="54"/>
      <c r="AK2" s="54"/>
      <c r="AL2" s="54"/>
      <c r="AM2" s="115" t="s">
        <v>529</v>
      </c>
      <c r="AN2" s="54"/>
      <c r="AO2" s="54"/>
      <c r="AP2" s="54"/>
      <c r="AQ2" s="295" t="s">
        <v>554</v>
      </c>
      <c r="AR2" s="244" t="s">
        <v>554</v>
      </c>
      <c r="AS2" s="116"/>
      <c r="AT2" s="115"/>
      <c r="AU2" s="116"/>
      <c r="AV2" s="54"/>
      <c r="AW2" s="54"/>
      <c r="AX2" s="327"/>
      <c r="AY2" s="245" t="s">
        <v>554</v>
      </c>
      <c r="AZ2" s="298"/>
      <c r="BA2" s="308"/>
      <c r="BB2" s="238"/>
      <c r="BC2" s="243" t="s">
        <v>554</v>
      </c>
      <c r="BD2" s="353"/>
      <c r="BE2" s="329"/>
      <c r="BF2" s="243" t="s">
        <v>554</v>
      </c>
      <c r="BG2" s="243" t="s">
        <v>554</v>
      </c>
      <c r="BH2" s="303"/>
      <c r="BI2" s="243" t="s">
        <v>554</v>
      </c>
    </row>
    <row r="3" spans="1:61" ht="133.94999999999999" customHeight="1" thickBot="1">
      <c r="A3" s="379"/>
      <c r="B3" s="380"/>
      <c r="C3" s="17"/>
      <c r="D3" s="17"/>
      <c r="E3" s="284"/>
      <c r="F3" s="292" t="s">
        <v>747</v>
      </c>
      <c r="G3" s="100" t="s">
        <v>513</v>
      </c>
      <c r="H3" s="139" t="s">
        <v>1</v>
      </c>
      <c r="I3" s="139" t="s">
        <v>0</v>
      </c>
      <c r="J3" s="134" t="s">
        <v>32</v>
      </c>
      <c r="K3" s="139" t="s">
        <v>31</v>
      </c>
      <c r="L3" s="100" t="s">
        <v>513</v>
      </c>
      <c r="M3" s="139" t="s">
        <v>1</v>
      </c>
      <c r="N3" s="139" t="s">
        <v>0</v>
      </c>
      <c r="O3" s="306" t="s">
        <v>732</v>
      </c>
      <c r="P3" s="69" t="s">
        <v>32</v>
      </c>
      <c r="Q3" s="139" t="s">
        <v>31</v>
      </c>
      <c r="R3" s="139" t="s">
        <v>523</v>
      </c>
      <c r="S3" s="293" t="s">
        <v>652</v>
      </c>
      <c r="T3" s="191" t="s">
        <v>733</v>
      </c>
      <c r="U3" s="192" t="s">
        <v>653</v>
      </c>
      <c r="V3" s="192" t="s">
        <v>654</v>
      </c>
      <c r="W3" s="314" t="s">
        <v>734</v>
      </c>
      <c r="X3" s="192" t="s">
        <v>735</v>
      </c>
      <c r="Y3" s="193" t="s">
        <v>736</v>
      </c>
      <c r="Z3" s="192" t="s">
        <v>737</v>
      </c>
      <c r="AA3" s="320" t="s">
        <v>738</v>
      </c>
      <c r="AB3" s="193" t="s">
        <v>739</v>
      </c>
      <c r="AC3" s="346" t="s">
        <v>740</v>
      </c>
      <c r="AD3" s="346" t="s">
        <v>741</v>
      </c>
      <c r="AE3" s="320" t="s">
        <v>742</v>
      </c>
      <c r="AF3" s="192" t="s">
        <v>743</v>
      </c>
      <c r="AG3" s="320" t="s">
        <v>744</v>
      </c>
      <c r="AH3" s="314" t="s">
        <v>713</v>
      </c>
      <c r="AI3" s="192" t="s">
        <v>655</v>
      </c>
      <c r="AJ3" s="234" t="s">
        <v>714</v>
      </c>
      <c r="AK3" s="234" t="s">
        <v>715</v>
      </c>
      <c r="AL3" s="234" t="s">
        <v>656</v>
      </c>
      <c r="AM3" s="236" t="s">
        <v>716</v>
      </c>
      <c r="AN3" s="70" t="s">
        <v>717</v>
      </c>
      <c r="AO3" s="63" t="s">
        <v>718</v>
      </c>
      <c r="AP3" s="191" t="s">
        <v>719</v>
      </c>
      <c r="AQ3" s="296" t="s">
        <v>657</v>
      </c>
      <c r="AR3" s="246" t="s">
        <v>720</v>
      </c>
      <c r="AS3" s="326" t="s">
        <v>721</v>
      </c>
      <c r="AT3" s="236" t="s">
        <v>722</v>
      </c>
      <c r="AU3" s="320" t="s">
        <v>723</v>
      </c>
      <c r="AV3" s="70" t="s">
        <v>724</v>
      </c>
      <c r="AW3" s="70" t="s">
        <v>725</v>
      </c>
      <c r="AX3" s="320" t="s">
        <v>726</v>
      </c>
      <c r="AY3" s="30" t="s">
        <v>727</v>
      </c>
      <c r="AZ3" s="299" t="s">
        <v>658</v>
      </c>
      <c r="BA3" s="309" t="s">
        <v>659</v>
      </c>
      <c r="BB3" s="169" t="s">
        <v>660</v>
      </c>
      <c r="BC3" s="30" t="s">
        <v>709</v>
      </c>
      <c r="BD3" s="354" t="s">
        <v>728</v>
      </c>
      <c r="BE3" s="236" t="s">
        <v>661</v>
      </c>
      <c r="BF3" s="30" t="s">
        <v>710</v>
      </c>
      <c r="BG3" s="246" t="s">
        <v>729</v>
      </c>
      <c r="BH3" s="299" t="s">
        <v>662</v>
      </c>
      <c r="BI3" s="30" t="s">
        <v>663</v>
      </c>
    </row>
    <row r="4" spans="1:61">
      <c r="A4" s="285"/>
      <c r="B4" s="15"/>
      <c r="C4" s="15"/>
      <c r="D4" s="15" t="s">
        <v>2</v>
      </c>
      <c r="E4" s="285"/>
      <c r="F4" s="57"/>
      <c r="G4" s="57">
        <f>SUBTOTAL(109,G$15:INDEX(G:G,COUNTA($B:$B)+14-COUNTA($B$1:$B$14)))</f>
        <v>0</v>
      </c>
      <c r="H4" s="48">
        <f>SUBTOTAL(109,H$15:INDEX(H:H,COUNTA($B:$B)+14-COUNTA($B$1:$B$14)))</f>
        <v>0</v>
      </c>
      <c r="I4" s="48">
        <f>SUBTOTAL(109,I$15:INDEX(I:I,COUNTA($B:$B)+14-COUNTA($B$1:$B$14)))</f>
        <v>0</v>
      </c>
      <c r="J4" s="142">
        <f>SUBTOTAL(109,J$15:INDEX(J:J,COUNTA($B:$B)+14-COUNTA($B$1:$B$14)))</f>
        <v>0</v>
      </c>
      <c r="K4" s="35">
        <f>SUBTOTAL(109,K$15:INDEX(K:K,COUNTA($B:$B)+14-COUNTA($B$1:$B$14)))</f>
        <v>0</v>
      </c>
      <c r="L4" s="57">
        <f>SUBTOTAL(109,L$15:INDEX(L:L,COUNTA($B:$B)+14-COUNTA($B$1:$B$14)))</f>
        <v>0</v>
      </c>
      <c r="M4" s="48">
        <f>SUBTOTAL(109,M$15:INDEX(M:M,COUNTA($B:$B)+14-COUNTA($B$1:$B$14)))</f>
        <v>0</v>
      </c>
      <c r="N4" s="48">
        <f>SUBTOTAL(109,N$15:INDEX(N:N,COUNTA($B:$B)+14-COUNTA($B$1:$B$14)))</f>
        <v>0</v>
      </c>
      <c r="O4" s="48">
        <f>SUBTOTAL(109,O$15:INDEX(O:O,COUNTA($B:$B)+14-COUNTA($B$1:$B$14)))</f>
        <v>0</v>
      </c>
      <c r="P4" s="62">
        <f>SUBTOTAL(109,P$15:INDEX(P:P,COUNTA($B:$B)+14-COUNTA($B$1:$B$14)))</f>
        <v>0</v>
      </c>
      <c r="Q4" s="35">
        <f>SUBTOTAL(109,Q$15:INDEX(Q:Q,COUNTA($B:$B)+14-COUNTA($B$1:$B$14)))</f>
        <v>0</v>
      </c>
      <c r="R4" s="35">
        <f>SUBTOTAL(109,R$15:INDEX(R:R,COUNTA($B:$B)+14-COUNTA($B$1:$B$14)))</f>
        <v>0</v>
      </c>
      <c r="S4" s="60">
        <f>SUBTOTAL(109,S$15:INDEX(S:S,COUNTA($B:$B)+14-COUNTA($B$1:$B$14)))</f>
        <v>0</v>
      </c>
      <c r="T4" s="74">
        <f>SUBTOTAL(109,T$15:INDEX(T:T,COUNTA($B:$B)+14-COUNTA($B$1:$B$14)))</f>
        <v>0</v>
      </c>
      <c r="U4" s="44">
        <f>SUBTOTAL(109,U$15:INDEX(U:U,COUNTA($B:$B)+14-COUNTA($B$1:$B$14)))</f>
        <v>0</v>
      </c>
      <c r="V4" s="44">
        <f>SUBTOTAL(109,V$15:INDEX(V:V,COUNTA($B:$B)+14-COUNTA($B$1:$B$14)))</f>
        <v>0</v>
      </c>
      <c r="W4" s="315" t="str">
        <f>IF(SUM($T4)=0,"",SUM($U4)/$T4)</f>
        <v/>
      </c>
      <c r="X4" s="44">
        <f>SUBTOTAL(109,X$15:INDEX(X:X,COUNTA($B:$B)+14-COUNTA($B$1:$B$14)))</f>
        <v>0</v>
      </c>
      <c r="Y4" s="145" t="str">
        <f>IF(SUM($U4)=0,"",SUM($X4)/$U4)</f>
        <v/>
      </c>
      <c r="Z4" s="44">
        <f>SUBTOTAL(109,Z$15:INDEX(Z:Z,COUNTA($B:$B)+14-COUNTA($B$1:$B$14)))</f>
        <v>0</v>
      </c>
      <c r="AA4" s="321" t="str">
        <f>IF(SUM($U4)=0,"",SUM($Z4)/$U4)</f>
        <v/>
      </c>
      <c r="AB4" s="145" t="str">
        <f>IF(SUM($X4)=0,"",SUM($Z4)/$X4)</f>
        <v/>
      </c>
      <c r="AC4" s="347">
        <f>SUBTOTAL(109,AC$15:INDEX(AC:AC,COUNTA($B:$B)+14-COUNTA($B$1:$B$14)))</f>
        <v>0</v>
      </c>
      <c r="AD4" s="347">
        <f>SUBTOTAL(109,AD$15:INDEX(AD:AD,COUNTA($B:$B)+14-COUNTA($B$1:$B$14)))</f>
        <v>0</v>
      </c>
      <c r="AE4" s="321" t="str">
        <f>IF(SUM($Z4)=0,"",SUM($AD4)/$Z4)</f>
        <v/>
      </c>
      <c r="AF4" s="44">
        <f>SUBTOTAL(109,AF$15:INDEX(AF:AF,COUNTA($B:$B)+14-COUNTA($B$1:$B$14)))</f>
        <v>0</v>
      </c>
      <c r="AG4" s="321" t="str">
        <f>IF(SUM($AD4)=0,"",SUM($AF4)/$AD4)</f>
        <v/>
      </c>
      <c r="AH4" s="315" t="str">
        <f>IF(SUM($T4)=0,"",SUM($AI4)/$T4)</f>
        <v/>
      </c>
      <c r="AI4" s="98">
        <f>SUBTOTAL(109,AI$15:INDEX(AI:AI,COUNTA($B:$B)+14-COUNTA($B$1:$B$14)))</f>
        <v>0</v>
      </c>
      <c r="AJ4" s="74">
        <f>SUBTOTAL(109,AJ$15:INDEX(AJ:AJ,COUNTA($B:$B)+14-COUNTA($B$1:$B$14)))</f>
        <v>0</v>
      </c>
      <c r="AK4" s="74">
        <f>SUBTOTAL(109,AK$15:INDEX(AK:AK,COUNTA($B:$B)+14-COUNTA($B$1:$B$14)))</f>
        <v>0</v>
      </c>
      <c r="AL4" s="74">
        <f>SUBTOTAL(109,AL$15:INDEX(AL:AL,COUNTA($B:$B)+14-COUNTA($B$1:$B$14)))</f>
        <v>0</v>
      </c>
      <c r="AM4" s="324" t="str">
        <f>IF(SUM($AJ4)=0,"",SUM($AN4)/$AJ4)</f>
        <v/>
      </c>
      <c r="AN4" s="74">
        <f>SUBTOTAL(109,AN$15:INDEX(AN:AN,COUNTA($B:$B)+14-COUNTA($B$1:$B$14)))</f>
        <v>0</v>
      </c>
      <c r="AO4" s="74">
        <f>SUBTOTAL(109,AO$15:INDEX(AO:AO,COUNTA($B:$B)+14-COUNTA($B$1:$B$14)))</f>
        <v>0</v>
      </c>
      <c r="AP4" s="74">
        <f>SUBTOTAL(109,AP$15:INDEX(AP:AP,COUNTA($B:$B)+14-COUNTA($B$1:$B$14)))</f>
        <v>0</v>
      </c>
      <c r="AQ4" s="58">
        <f>SUBTOTAL(109,AQ$15:INDEX(AQ:AQ,COUNTA($B:$B)+14-COUNTA($B$1:$B$14)))</f>
        <v>0</v>
      </c>
      <c r="AR4" s="33">
        <f>SUBTOTAL(109,AR$15:INDEX(AR:AR,COUNTA($B:$B)+14-COUNTA($B$1:$B$14)))</f>
        <v>0</v>
      </c>
      <c r="AS4" s="321" t="str">
        <f>IF(SUM($AJ4)=0,"",SUM($AR4)/$AJ4)</f>
        <v/>
      </c>
      <c r="AT4" s="324"/>
      <c r="AU4" s="321"/>
      <c r="AV4" s="48">
        <f>SUBTOTAL(109,AV$15:INDEX(AV:AV,COUNTA($B:$B)+14-COUNTA($B$1:$B$14)))</f>
        <v>0</v>
      </c>
      <c r="AW4" s="48">
        <f>SUBTOTAL(109,AW$15:INDEX(AW:AW,COUNTA($B:$B)+14-COUNTA($B$1:$B$14)))</f>
        <v>0</v>
      </c>
      <c r="AX4" s="321" t="str">
        <f>IF(SUM($AW4)=0,"",SUM($AY4)/$AW4)</f>
        <v/>
      </c>
      <c r="AY4" s="41">
        <f>SUBTOTAL(109,AY$15:INDEX(AY:AY,COUNTA($B:$B)+14-COUNTA($B$1:$B$14)))</f>
        <v>0</v>
      </c>
      <c r="AZ4" s="300" t="str">
        <f>IF(SUM($AW4)=0,"",(SUM($BA4)-SUM($O4))/$AW4)</f>
        <v/>
      </c>
      <c r="BA4" s="310">
        <f>SUBTOTAL(109,BA$15:INDEX(BA:BA,COUNTA($B:$B)+14-COUNTA($B$1:$B$14)))</f>
        <v>0</v>
      </c>
      <c r="BB4" s="168" t="str">
        <f>IF(SUM($BA4)=0,"",SUM($BC4)/$BA4)</f>
        <v/>
      </c>
      <c r="BC4" s="165">
        <f>SUBTOTAL(109,BC$15:INDEX(BC:BC,COUNTA($B:$B)+14-COUNTA($B$1:$B$14)))</f>
        <v>0</v>
      </c>
      <c r="BD4" s="355">
        <f>SUBTOTAL(109,BD$15:INDEX(BD:BD,COUNTA($B:$B)+14-COUNTA($B$1:$B$14)))</f>
        <v>0</v>
      </c>
      <c r="BE4" s="75" t="str">
        <f>IF(SUM($BC4)=0,"",SUM($BF4)/$BC4)</f>
        <v/>
      </c>
      <c r="BF4" s="165">
        <f>SUBTOTAL(109,BF$15:INDEX(BF:BF,COUNTA($B:$B)+14-COUNTA($B$1:$B$14)))</f>
        <v>0</v>
      </c>
      <c r="BG4" s="165">
        <f>SUBTOTAL(109,BG$15:INDEX(BG:BG,COUNTA($B:$B)+14-COUNTA($B$1:$B$14)))</f>
        <v>0</v>
      </c>
      <c r="BH4" s="304" t="str">
        <f>IF(SUM($BI4)=0,"",SUM($AY4)/$BI4)</f>
        <v/>
      </c>
      <c r="BI4" s="165">
        <f>SUBTOTAL(109,BI$15:INDEX(BI:BI,COUNTA($B:$B)+14-COUNTA($B$1:$B$14)))</f>
        <v>0</v>
      </c>
    </row>
    <row r="5" spans="1:61">
      <c r="A5" t="s">
        <v>55</v>
      </c>
      <c r="B5" s="5" t="s">
        <v>55</v>
      </c>
      <c r="C5" s="5" t="s">
        <v>55</v>
      </c>
      <c r="D5" s="5" t="s">
        <v>55</v>
      </c>
      <c r="E5" t="s">
        <v>55</v>
      </c>
      <c r="F5" s="47" t="s">
        <v>55</v>
      </c>
      <c r="G5" s="47" t="s">
        <v>55</v>
      </c>
      <c r="H5" s="148" t="s">
        <v>66</v>
      </c>
      <c r="I5" s="148" t="s">
        <v>66</v>
      </c>
      <c r="J5" s="36" t="s">
        <v>66</v>
      </c>
      <c r="K5" s="36" t="s">
        <v>66</v>
      </c>
      <c r="L5" s="47" t="s">
        <v>55</v>
      </c>
      <c r="M5" s="148" t="s">
        <v>66</v>
      </c>
      <c r="N5" s="148" t="s">
        <v>66</v>
      </c>
      <c r="O5" s="56" t="s">
        <v>55</v>
      </c>
      <c r="P5" s="36" t="s">
        <v>66</v>
      </c>
      <c r="Q5" s="36" t="s">
        <v>66</v>
      </c>
      <c r="R5" s="36" t="s">
        <v>55</v>
      </c>
      <c r="S5" s="47" t="s">
        <v>64</v>
      </c>
      <c r="T5" s="36" t="s">
        <v>63</v>
      </c>
      <c r="U5" s="36" t="s">
        <v>63</v>
      </c>
      <c r="V5" s="36" t="s">
        <v>55</v>
      </c>
      <c r="W5" s="77" t="s">
        <v>63</v>
      </c>
      <c r="X5" s="36" t="s">
        <v>64</v>
      </c>
      <c r="Y5" s="93" t="s">
        <v>55</v>
      </c>
      <c r="Z5" s="36" t="s">
        <v>64</v>
      </c>
      <c r="AA5" s="118" t="s">
        <v>55</v>
      </c>
      <c r="AB5" s="93" t="s">
        <v>55</v>
      </c>
      <c r="AC5" s="348" t="s">
        <v>55</v>
      </c>
      <c r="AD5" s="36" t="s">
        <v>64</v>
      </c>
      <c r="AE5" s="135" t="s">
        <v>55</v>
      </c>
      <c r="AF5" s="36" t="s">
        <v>64</v>
      </c>
      <c r="AG5" s="135" t="s">
        <v>55</v>
      </c>
      <c r="AH5" s="88" t="s">
        <v>55</v>
      </c>
      <c r="AI5" s="37" t="s">
        <v>63</v>
      </c>
      <c r="AJ5" s="36" t="s">
        <v>55</v>
      </c>
      <c r="AK5" s="36" t="s">
        <v>55</v>
      </c>
      <c r="AL5" s="36" t="s">
        <v>63</v>
      </c>
      <c r="AM5" s="76" t="s">
        <v>55</v>
      </c>
      <c r="AN5" s="36" t="s">
        <v>55</v>
      </c>
      <c r="AO5" s="36" t="s">
        <v>55</v>
      </c>
      <c r="AP5" s="36" t="s">
        <v>55</v>
      </c>
      <c r="AQ5" s="58" t="s">
        <v>66</v>
      </c>
      <c r="AR5" s="33" t="s">
        <v>64</v>
      </c>
      <c r="AS5" s="118" t="s">
        <v>55</v>
      </c>
      <c r="AT5" s="76" t="s">
        <v>55</v>
      </c>
      <c r="AU5" s="118" t="s">
        <v>55</v>
      </c>
      <c r="AV5" s="36" t="s">
        <v>55</v>
      </c>
      <c r="AW5" s="36" t="s">
        <v>55</v>
      </c>
      <c r="AX5" s="135" t="s">
        <v>55</v>
      </c>
      <c r="AY5" s="97" t="s">
        <v>66</v>
      </c>
      <c r="AZ5" s="143" t="s">
        <v>55</v>
      </c>
      <c r="BA5" s="311" t="s">
        <v>55</v>
      </c>
      <c r="BB5" s="19" t="s">
        <v>55</v>
      </c>
      <c r="BC5" s="33" t="s">
        <v>66</v>
      </c>
      <c r="BD5" s="356" t="s">
        <v>55</v>
      </c>
      <c r="BE5" s="76" t="s">
        <v>55</v>
      </c>
      <c r="BF5" s="33" t="s">
        <v>66</v>
      </c>
      <c r="BG5" s="33" t="s">
        <v>64</v>
      </c>
      <c r="BH5" s="143" t="s">
        <v>55</v>
      </c>
      <c r="BI5" s="33" t="s">
        <v>55</v>
      </c>
    </row>
    <row r="6" spans="1:61">
      <c r="A6" t="s">
        <v>125</v>
      </c>
      <c r="B6" s="5" t="s">
        <v>125</v>
      </c>
      <c r="C6" s="5" t="s">
        <v>125</v>
      </c>
      <c r="D6" s="5" t="s">
        <v>125</v>
      </c>
      <c r="E6" t="s">
        <v>125</v>
      </c>
      <c r="F6" s="47" t="s">
        <v>69</v>
      </c>
      <c r="G6" s="47" t="s">
        <v>68</v>
      </c>
      <c r="H6" s="148" t="s">
        <v>67</v>
      </c>
      <c r="I6" s="148" t="s">
        <v>67</v>
      </c>
      <c r="J6" s="36" t="s">
        <v>67</v>
      </c>
      <c r="K6" s="36" t="s">
        <v>67</v>
      </c>
      <c r="L6" s="47" t="s">
        <v>68</v>
      </c>
      <c r="M6" s="148" t="s">
        <v>67</v>
      </c>
      <c r="N6" s="148" t="s">
        <v>67</v>
      </c>
      <c r="O6" s="56" t="s">
        <v>69</v>
      </c>
      <c r="P6" s="36" t="s">
        <v>67</v>
      </c>
      <c r="Q6" s="36" t="s">
        <v>67</v>
      </c>
      <c r="R6" s="36" t="s">
        <v>50</v>
      </c>
      <c r="S6" s="47" t="s">
        <v>476</v>
      </c>
      <c r="T6" s="36" t="s">
        <v>49</v>
      </c>
      <c r="U6" s="36" t="s">
        <v>49</v>
      </c>
      <c r="V6" s="36" t="s">
        <v>69</v>
      </c>
      <c r="W6" s="77" t="s">
        <v>49</v>
      </c>
      <c r="X6" s="36" t="s">
        <v>49</v>
      </c>
      <c r="Y6" s="93" t="s">
        <v>50</v>
      </c>
      <c r="Z6" s="36" t="s">
        <v>49</v>
      </c>
      <c r="AA6" s="118" t="s">
        <v>50</v>
      </c>
      <c r="AB6" s="93" t="s">
        <v>50</v>
      </c>
      <c r="AC6" s="348" t="s">
        <v>69</v>
      </c>
      <c r="AD6" s="36" t="s">
        <v>49</v>
      </c>
      <c r="AE6" s="135" t="s">
        <v>50</v>
      </c>
      <c r="AF6" s="36" t="s">
        <v>49</v>
      </c>
      <c r="AG6" s="135" t="s">
        <v>50</v>
      </c>
      <c r="AH6" s="88" t="s">
        <v>50</v>
      </c>
      <c r="AI6" s="37" t="s">
        <v>49</v>
      </c>
      <c r="AJ6" s="36" t="s">
        <v>69</v>
      </c>
      <c r="AK6" s="36" t="s">
        <v>69</v>
      </c>
      <c r="AL6" s="36" t="s">
        <v>49</v>
      </c>
      <c r="AM6" s="76" t="s">
        <v>69</v>
      </c>
      <c r="AN6" s="36" t="s">
        <v>50</v>
      </c>
      <c r="AO6" s="36" t="s">
        <v>50</v>
      </c>
      <c r="AP6" s="36" t="s">
        <v>69</v>
      </c>
      <c r="AQ6" s="58" t="s">
        <v>49</v>
      </c>
      <c r="AR6" s="33" t="s">
        <v>49</v>
      </c>
      <c r="AS6" s="118" t="s">
        <v>50</v>
      </c>
      <c r="AT6" s="76" t="s">
        <v>69</v>
      </c>
      <c r="AU6" s="118" t="s">
        <v>69</v>
      </c>
      <c r="AV6" s="36" t="s">
        <v>50</v>
      </c>
      <c r="AW6" s="36" t="s">
        <v>50</v>
      </c>
      <c r="AX6" s="135" t="s">
        <v>69</v>
      </c>
      <c r="AY6" s="97" t="s">
        <v>49</v>
      </c>
      <c r="AZ6" s="143" t="s">
        <v>69</v>
      </c>
      <c r="BA6" s="311" t="s">
        <v>50</v>
      </c>
      <c r="BB6" s="19" t="s">
        <v>69</v>
      </c>
      <c r="BC6" s="33" t="s">
        <v>49</v>
      </c>
      <c r="BD6" s="356" t="s">
        <v>69</v>
      </c>
      <c r="BE6" s="76" t="s">
        <v>69</v>
      </c>
      <c r="BF6" s="33" t="s">
        <v>49</v>
      </c>
      <c r="BG6" s="33" t="s">
        <v>49</v>
      </c>
      <c r="BH6" s="143" t="s">
        <v>69</v>
      </c>
      <c r="BI6" s="33" t="s">
        <v>50</v>
      </c>
    </row>
    <row r="7" spans="1:61">
      <c r="A7" t="s">
        <v>65</v>
      </c>
      <c r="B7" s="5" t="s">
        <v>65</v>
      </c>
      <c r="C7" s="5" t="s">
        <v>65</v>
      </c>
      <c r="D7" s="5" t="s">
        <v>65</v>
      </c>
      <c r="E7" t="s">
        <v>65</v>
      </c>
      <c r="F7" s="47" t="s">
        <v>51</v>
      </c>
      <c r="G7" s="47" t="s">
        <v>51</v>
      </c>
      <c r="H7" s="148" t="s">
        <v>51</v>
      </c>
      <c r="I7" s="148" t="s">
        <v>51</v>
      </c>
      <c r="J7" s="36" t="s">
        <v>51</v>
      </c>
      <c r="K7" s="36" t="s">
        <v>51</v>
      </c>
      <c r="L7" s="47" t="s">
        <v>51</v>
      </c>
      <c r="M7" s="148" t="s">
        <v>51</v>
      </c>
      <c r="N7" s="148" t="s">
        <v>51</v>
      </c>
      <c r="O7" s="56" t="s">
        <v>51</v>
      </c>
      <c r="P7" s="36" t="s">
        <v>51</v>
      </c>
      <c r="Q7" s="36" t="s">
        <v>51</v>
      </c>
      <c r="R7" s="36" t="s">
        <v>51</v>
      </c>
      <c r="S7" s="47" t="s">
        <v>51</v>
      </c>
      <c r="T7" s="36" t="s">
        <v>51</v>
      </c>
      <c r="U7" s="36" t="s">
        <v>51</v>
      </c>
      <c r="V7" s="36" t="s">
        <v>51</v>
      </c>
      <c r="W7" s="77" t="s">
        <v>52</v>
      </c>
      <c r="X7" s="36" t="s">
        <v>51</v>
      </c>
      <c r="Y7" s="93" t="s">
        <v>52</v>
      </c>
      <c r="Z7" s="36" t="s">
        <v>51</v>
      </c>
      <c r="AA7" s="118" t="s">
        <v>52</v>
      </c>
      <c r="AB7" s="93" t="s">
        <v>52</v>
      </c>
      <c r="AC7" s="348" t="s">
        <v>51</v>
      </c>
      <c r="AD7" s="36" t="s">
        <v>51</v>
      </c>
      <c r="AE7" s="135" t="s">
        <v>52</v>
      </c>
      <c r="AF7" s="36" t="s">
        <v>51</v>
      </c>
      <c r="AG7" s="135" t="s">
        <v>52</v>
      </c>
      <c r="AH7" s="88" t="s">
        <v>52</v>
      </c>
      <c r="AI7" s="37" t="s">
        <v>51</v>
      </c>
      <c r="AJ7" s="36" t="s">
        <v>51</v>
      </c>
      <c r="AK7" s="36" t="s">
        <v>51</v>
      </c>
      <c r="AL7" s="36" t="s">
        <v>51</v>
      </c>
      <c r="AM7" s="76" t="s">
        <v>52</v>
      </c>
      <c r="AN7" s="36" t="s">
        <v>51</v>
      </c>
      <c r="AO7" s="36" t="s">
        <v>51</v>
      </c>
      <c r="AP7" s="36" t="s">
        <v>51</v>
      </c>
      <c r="AQ7" s="58" t="s">
        <v>51</v>
      </c>
      <c r="AR7" s="33" t="s">
        <v>51</v>
      </c>
      <c r="AS7" s="118" t="s">
        <v>52</v>
      </c>
      <c r="AT7" s="76" t="s">
        <v>52</v>
      </c>
      <c r="AU7" s="118" t="s">
        <v>52</v>
      </c>
      <c r="AV7" s="36" t="s">
        <v>51</v>
      </c>
      <c r="AW7" s="36" t="s">
        <v>51</v>
      </c>
      <c r="AX7" s="135" t="s">
        <v>52</v>
      </c>
      <c r="AY7" s="97" t="s">
        <v>51</v>
      </c>
      <c r="AZ7" s="143" t="s">
        <v>52</v>
      </c>
      <c r="BA7" s="311" t="s">
        <v>51</v>
      </c>
      <c r="BB7" s="19" t="s">
        <v>52</v>
      </c>
      <c r="BC7" s="33" t="s">
        <v>51</v>
      </c>
      <c r="BD7" s="356" t="s">
        <v>51</v>
      </c>
      <c r="BE7" s="76" t="s">
        <v>52</v>
      </c>
      <c r="BF7" s="33" t="s">
        <v>51</v>
      </c>
      <c r="BG7" s="33" t="s">
        <v>51</v>
      </c>
      <c r="BH7" s="143" t="s">
        <v>52</v>
      </c>
      <c r="BI7" s="33" t="s">
        <v>51</v>
      </c>
    </row>
    <row r="8" spans="1:61">
      <c r="B8" s="5"/>
      <c r="D8" s="36"/>
      <c r="G8" s="266"/>
      <c r="H8" s="279" t="s">
        <v>490</v>
      </c>
      <c r="I8" s="279" t="s">
        <v>471</v>
      </c>
      <c r="J8" s="264" t="s">
        <v>609</v>
      </c>
      <c r="K8" s="264" t="s">
        <v>485</v>
      </c>
      <c r="L8" s="266"/>
      <c r="M8" s="279" t="s">
        <v>86</v>
      </c>
      <c r="N8" s="279" t="s">
        <v>84</v>
      </c>
      <c r="P8" s="264" t="s">
        <v>88</v>
      </c>
      <c r="Q8" s="264" t="s">
        <v>483</v>
      </c>
      <c r="S8" s="266" t="s">
        <v>354</v>
      </c>
      <c r="T8" s="264" t="s">
        <v>53</v>
      </c>
      <c r="U8" s="264" t="s">
        <v>161</v>
      </c>
      <c r="V8" s="264"/>
      <c r="W8" s="316" t="s">
        <v>54</v>
      </c>
      <c r="X8" s="264" t="s">
        <v>56</v>
      </c>
      <c r="Y8" s="158"/>
      <c r="Z8" s="264" t="s">
        <v>164</v>
      </c>
      <c r="AB8" s="158"/>
      <c r="AC8" s="349"/>
      <c r="AD8" s="369" t="s">
        <v>702</v>
      </c>
      <c r="AF8" s="264" t="s">
        <v>57</v>
      </c>
      <c r="AH8" s="317"/>
      <c r="AI8" s="264" t="s">
        <v>643</v>
      </c>
      <c r="AL8" s="264" t="s">
        <v>161</v>
      </c>
      <c r="AQ8" s="277" t="s">
        <v>84</v>
      </c>
      <c r="AR8" s="260" t="s">
        <v>164</v>
      </c>
      <c r="AX8" s="135"/>
      <c r="AY8" s="263" t="s">
        <v>86</v>
      </c>
      <c r="BC8" s="260" t="s">
        <v>705</v>
      </c>
      <c r="BF8" s="260" t="s">
        <v>707</v>
      </c>
      <c r="BG8" s="260" t="s">
        <v>57</v>
      </c>
    </row>
    <row r="9" spans="1:61">
      <c r="B9" s="5"/>
      <c r="D9" s="36"/>
      <c r="G9" s="266"/>
      <c r="H9" s="279" t="s">
        <v>491</v>
      </c>
      <c r="I9" s="279" t="s">
        <v>149</v>
      </c>
      <c r="J9" s="264" t="s">
        <v>608</v>
      </c>
      <c r="K9" s="264" t="s">
        <v>486</v>
      </c>
      <c r="L9" s="266"/>
      <c r="M9" s="279" t="s">
        <v>87</v>
      </c>
      <c r="N9" s="279" t="s">
        <v>85</v>
      </c>
      <c r="P9" s="264" t="s">
        <v>89</v>
      </c>
      <c r="Q9" s="264" t="s">
        <v>484</v>
      </c>
      <c r="S9" s="266"/>
      <c r="T9" s="264"/>
      <c r="U9" s="264"/>
      <c r="V9" s="264"/>
      <c r="W9" s="316"/>
      <c r="X9" s="264"/>
      <c r="Y9" s="158"/>
      <c r="Z9" s="264"/>
      <c r="AB9" s="158"/>
      <c r="AC9" s="349"/>
      <c r="AF9" s="264"/>
      <c r="AH9" s="317"/>
      <c r="AI9" s="99"/>
      <c r="AL9" s="264"/>
      <c r="AQ9" s="277" t="s">
        <v>85</v>
      </c>
      <c r="AR9" s="260"/>
      <c r="AX9" s="135"/>
      <c r="AY9" s="263" t="s">
        <v>87</v>
      </c>
      <c r="BC9" s="260" t="s">
        <v>706</v>
      </c>
      <c r="BF9" s="260" t="s">
        <v>708</v>
      </c>
      <c r="BG9" s="260"/>
    </row>
    <row r="10" spans="1:61">
      <c r="B10" s="5"/>
      <c r="D10" s="36"/>
      <c r="G10" s="266"/>
      <c r="H10" s="279" t="s">
        <v>61</v>
      </c>
      <c r="I10" s="279" t="s">
        <v>61</v>
      </c>
      <c r="J10" s="264" t="s">
        <v>90</v>
      </c>
      <c r="K10" s="264" t="s">
        <v>90</v>
      </c>
      <c r="L10" s="266"/>
      <c r="M10" s="279" t="s">
        <v>61</v>
      </c>
      <c r="N10" s="279" t="s">
        <v>61</v>
      </c>
      <c r="P10" s="279" t="s">
        <v>90</v>
      </c>
      <c r="Q10" s="279" t="s">
        <v>90</v>
      </c>
      <c r="R10" s="149"/>
      <c r="S10" s="266" t="s">
        <v>61</v>
      </c>
      <c r="T10" s="264"/>
      <c r="U10" s="264" t="s">
        <v>61</v>
      </c>
      <c r="V10" s="264"/>
      <c r="W10" s="316"/>
      <c r="X10" s="264" t="s">
        <v>61</v>
      </c>
      <c r="Y10" s="158"/>
      <c r="Z10" s="264" t="s">
        <v>61</v>
      </c>
      <c r="AB10" s="158"/>
      <c r="AC10" s="349"/>
      <c r="AD10" s="264" t="s">
        <v>61</v>
      </c>
      <c r="AF10" s="264" t="s">
        <v>61</v>
      </c>
      <c r="AH10" s="317"/>
      <c r="AI10" s="264" t="s">
        <v>61</v>
      </c>
      <c r="AL10" s="264" t="s">
        <v>61</v>
      </c>
      <c r="AQ10" s="277" t="s">
        <v>61</v>
      </c>
      <c r="AR10" s="260" t="s">
        <v>61</v>
      </c>
      <c r="AX10" s="135"/>
      <c r="AY10" s="263" t="s">
        <v>61</v>
      </c>
      <c r="BC10" s="260" t="s">
        <v>61</v>
      </c>
      <c r="BF10" s="260" t="s">
        <v>61</v>
      </c>
      <c r="BG10" s="260" t="s">
        <v>61</v>
      </c>
    </row>
    <row r="11" spans="1:61">
      <c r="B11" s="5"/>
      <c r="D11" s="36"/>
      <c r="F11" s="47" t="s">
        <v>597</v>
      </c>
      <c r="G11" s="47" t="s">
        <v>598</v>
      </c>
      <c r="H11" s="148" t="s">
        <v>598</v>
      </c>
      <c r="I11" s="148" t="s">
        <v>598</v>
      </c>
      <c r="J11" s="36" t="s">
        <v>598</v>
      </c>
      <c r="K11" s="36" t="s">
        <v>598</v>
      </c>
      <c r="L11" s="47" t="s">
        <v>598</v>
      </c>
      <c r="M11" s="148" t="s">
        <v>598</v>
      </c>
      <c r="N11" s="148" t="s">
        <v>598</v>
      </c>
      <c r="O11" s="56" t="s">
        <v>598</v>
      </c>
      <c r="P11" s="36" t="s">
        <v>598</v>
      </c>
      <c r="Q11" s="148" t="s">
        <v>598</v>
      </c>
      <c r="R11" s="148" t="s">
        <v>598</v>
      </c>
      <c r="S11" s="47" t="s">
        <v>598</v>
      </c>
      <c r="T11" s="36" t="s">
        <v>598</v>
      </c>
      <c r="U11" s="36" t="s">
        <v>598</v>
      </c>
      <c r="V11" s="36" t="s">
        <v>598</v>
      </c>
      <c r="W11" s="77" t="s">
        <v>598</v>
      </c>
      <c r="X11" s="36" t="s">
        <v>598</v>
      </c>
      <c r="Y11" s="93" t="s">
        <v>598</v>
      </c>
      <c r="Z11" s="36" t="s">
        <v>598</v>
      </c>
      <c r="AA11" s="118" t="s">
        <v>598</v>
      </c>
      <c r="AB11" s="93" t="s">
        <v>598</v>
      </c>
      <c r="AC11" s="348" t="s">
        <v>598</v>
      </c>
      <c r="AD11" s="351" t="s">
        <v>598</v>
      </c>
      <c r="AE11" s="135" t="s">
        <v>598</v>
      </c>
      <c r="AF11" s="36" t="s">
        <v>598</v>
      </c>
      <c r="AG11" s="135" t="s">
        <v>598</v>
      </c>
      <c r="AH11" s="88" t="s">
        <v>598</v>
      </c>
      <c r="AI11" s="37" t="s">
        <v>598</v>
      </c>
      <c r="AJ11" s="36" t="s">
        <v>598</v>
      </c>
      <c r="AK11" s="36" t="s">
        <v>598</v>
      </c>
      <c r="AL11" s="36" t="s">
        <v>598</v>
      </c>
      <c r="AM11" s="76" t="s">
        <v>597</v>
      </c>
      <c r="AN11" s="36" t="s">
        <v>597</v>
      </c>
      <c r="AO11" s="36" t="s">
        <v>23</v>
      </c>
      <c r="AP11" s="36" t="s">
        <v>598</v>
      </c>
      <c r="AQ11" s="58" t="s">
        <v>598</v>
      </c>
      <c r="AR11" s="33" t="s">
        <v>598</v>
      </c>
      <c r="AS11" s="118" t="s">
        <v>598</v>
      </c>
      <c r="AT11" s="76" t="s">
        <v>597</v>
      </c>
      <c r="AU11" s="118" t="s">
        <v>597</v>
      </c>
      <c r="AV11" s="36" t="s">
        <v>598</v>
      </c>
      <c r="AW11" s="36" t="s">
        <v>598</v>
      </c>
      <c r="AX11" s="135" t="s">
        <v>597</v>
      </c>
      <c r="AY11" s="97" t="s">
        <v>598</v>
      </c>
      <c r="AZ11" s="143" t="s">
        <v>597</v>
      </c>
      <c r="BA11" s="311" t="s">
        <v>598</v>
      </c>
      <c r="BB11" s="19" t="s">
        <v>597</v>
      </c>
      <c r="BC11" s="33" t="s">
        <v>598</v>
      </c>
      <c r="BD11" s="356" t="s">
        <v>598</v>
      </c>
      <c r="BE11" s="76" t="s">
        <v>597</v>
      </c>
      <c r="BF11" s="33" t="s">
        <v>598</v>
      </c>
      <c r="BG11" s="33" t="s">
        <v>598</v>
      </c>
      <c r="BH11" s="143" t="s">
        <v>597</v>
      </c>
      <c r="BI11" s="33" t="s">
        <v>598</v>
      </c>
    </row>
    <row r="12" spans="1:61">
      <c r="B12" s="5"/>
      <c r="D12" s="36"/>
      <c r="F12" s="47" t="s">
        <v>126</v>
      </c>
      <c r="G12" s="47" t="s">
        <v>126</v>
      </c>
      <c r="H12" s="148" t="s">
        <v>126</v>
      </c>
      <c r="I12" s="148" t="s">
        <v>126</v>
      </c>
      <c r="J12" s="36" t="s">
        <v>126</v>
      </c>
      <c r="K12" s="36" t="s">
        <v>126</v>
      </c>
      <c r="L12" s="47" t="s">
        <v>126</v>
      </c>
      <c r="M12" s="148" t="s">
        <v>126</v>
      </c>
      <c r="N12" s="148" t="s">
        <v>126</v>
      </c>
      <c r="O12" s="56" t="s">
        <v>126</v>
      </c>
      <c r="P12" s="36" t="s">
        <v>126</v>
      </c>
      <c r="Q12" s="148" t="s">
        <v>126</v>
      </c>
      <c r="R12" s="148" t="s">
        <v>126</v>
      </c>
      <c r="S12" s="47" t="s">
        <v>126</v>
      </c>
      <c r="T12" s="36" t="s">
        <v>126</v>
      </c>
      <c r="U12" s="36" t="s">
        <v>126</v>
      </c>
      <c r="V12" s="36" t="s">
        <v>126</v>
      </c>
      <c r="W12" s="77" t="s">
        <v>126</v>
      </c>
      <c r="X12" s="36" t="s">
        <v>126</v>
      </c>
      <c r="Y12" s="93" t="s">
        <v>126</v>
      </c>
      <c r="Z12" s="36" t="s">
        <v>126</v>
      </c>
      <c r="AA12" s="118" t="s">
        <v>126</v>
      </c>
      <c r="AB12" s="93" t="s">
        <v>126</v>
      </c>
      <c r="AC12" s="348" t="s">
        <v>126</v>
      </c>
      <c r="AD12" s="351" t="s">
        <v>126</v>
      </c>
      <c r="AE12" s="135" t="s">
        <v>126</v>
      </c>
      <c r="AF12" s="36" t="s">
        <v>126</v>
      </c>
      <c r="AG12" s="135" t="s">
        <v>126</v>
      </c>
      <c r="AH12" s="88" t="s">
        <v>126</v>
      </c>
      <c r="AI12" s="37" t="s">
        <v>126</v>
      </c>
      <c r="AJ12" s="36" t="s">
        <v>126</v>
      </c>
      <c r="AK12" s="36" t="s">
        <v>126</v>
      </c>
      <c r="AL12" s="36" t="s">
        <v>126</v>
      </c>
      <c r="AM12" s="76" t="s">
        <v>126</v>
      </c>
      <c r="AN12" s="36" t="s">
        <v>126</v>
      </c>
      <c r="AO12" s="36" t="s">
        <v>126</v>
      </c>
      <c r="AP12" s="36" t="s">
        <v>126</v>
      </c>
      <c r="AQ12" s="58" t="s">
        <v>126</v>
      </c>
      <c r="AR12" s="33" t="s">
        <v>126</v>
      </c>
      <c r="AS12" s="118" t="s">
        <v>126</v>
      </c>
      <c r="AT12" s="76" t="s">
        <v>126</v>
      </c>
      <c r="AU12" s="118" t="s">
        <v>126</v>
      </c>
      <c r="AV12" s="36" t="s">
        <v>126</v>
      </c>
      <c r="AW12" s="36" t="s">
        <v>126</v>
      </c>
      <c r="AX12" s="135" t="s">
        <v>126</v>
      </c>
      <c r="AY12" s="97" t="s">
        <v>126</v>
      </c>
      <c r="AZ12" s="143" t="s">
        <v>126</v>
      </c>
      <c r="BA12" s="311" t="s">
        <v>126</v>
      </c>
      <c r="BB12" s="19" t="s">
        <v>126</v>
      </c>
      <c r="BC12" s="33" t="s">
        <v>126</v>
      </c>
      <c r="BD12" s="356" t="s">
        <v>126</v>
      </c>
      <c r="BE12" s="76" t="s">
        <v>126</v>
      </c>
      <c r="BF12" s="33" t="s">
        <v>126</v>
      </c>
      <c r="BG12" s="33" t="s">
        <v>126</v>
      </c>
      <c r="BH12" s="143" t="s">
        <v>126</v>
      </c>
      <c r="BI12" s="33" t="s">
        <v>126</v>
      </c>
    </row>
    <row r="13" spans="1:61">
      <c r="B13" s="5"/>
      <c r="D13" s="36"/>
      <c r="H13" s="148"/>
      <c r="I13" s="148"/>
      <c r="M13" s="148"/>
      <c r="N13" s="148"/>
      <c r="Y13" s="93"/>
      <c r="AB13" s="93"/>
      <c r="AC13" s="348"/>
      <c r="AH13" s="88"/>
      <c r="AI13" s="37"/>
      <c r="AX13" s="135"/>
      <c r="AY13" s="40"/>
      <c r="BF13" s="33"/>
    </row>
    <row r="14" spans="1:61">
      <c r="A14" s="290" t="s">
        <v>40</v>
      </c>
      <c r="B14" s="180" t="s">
        <v>3</v>
      </c>
      <c r="C14" s="181" t="s">
        <v>22</v>
      </c>
      <c r="D14" s="181" t="s">
        <v>4</v>
      </c>
      <c r="E14" s="288" t="s">
        <v>43</v>
      </c>
      <c r="F14" s="209" t="s">
        <v>538</v>
      </c>
      <c r="G14" s="209" t="s">
        <v>511</v>
      </c>
      <c r="H14" s="183" t="s">
        <v>492</v>
      </c>
      <c r="I14" s="183" t="s">
        <v>182</v>
      </c>
      <c r="J14" s="182" t="s">
        <v>510</v>
      </c>
      <c r="K14" s="184" t="s">
        <v>488</v>
      </c>
      <c r="L14" s="209" t="s">
        <v>512</v>
      </c>
      <c r="M14" s="183" t="s">
        <v>493</v>
      </c>
      <c r="N14" s="183" t="s">
        <v>183</v>
      </c>
      <c r="O14" s="182" t="s">
        <v>565</v>
      </c>
      <c r="P14" s="185" t="s">
        <v>509</v>
      </c>
      <c r="Q14" s="184" t="s">
        <v>487</v>
      </c>
      <c r="R14" s="184" t="s">
        <v>517</v>
      </c>
      <c r="S14" s="209" t="s">
        <v>353</v>
      </c>
      <c r="T14" s="182" t="s">
        <v>171</v>
      </c>
      <c r="U14" s="185" t="s">
        <v>648</v>
      </c>
      <c r="V14" s="185" t="s">
        <v>635</v>
      </c>
      <c r="W14" s="207" t="s">
        <v>174</v>
      </c>
      <c r="X14" s="185" t="s">
        <v>173</v>
      </c>
      <c r="Y14" s="186" t="s">
        <v>530</v>
      </c>
      <c r="Z14" s="185" t="s">
        <v>175</v>
      </c>
      <c r="AA14" s="187" t="s">
        <v>534</v>
      </c>
      <c r="AB14" s="186" t="s">
        <v>280</v>
      </c>
      <c r="AC14" s="350" t="s">
        <v>636</v>
      </c>
      <c r="AD14" s="350" t="s">
        <v>482</v>
      </c>
      <c r="AE14" s="187" t="s">
        <v>531</v>
      </c>
      <c r="AF14" s="185" t="s">
        <v>620</v>
      </c>
      <c r="AG14" s="187" t="s">
        <v>619</v>
      </c>
      <c r="AH14" s="207" t="s">
        <v>626</v>
      </c>
      <c r="AI14" s="185" t="s">
        <v>625</v>
      </c>
      <c r="AJ14" s="182" t="s">
        <v>647</v>
      </c>
      <c r="AK14" s="182" t="s">
        <v>641</v>
      </c>
      <c r="AL14" s="182" t="s">
        <v>532</v>
      </c>
      <c r="AM14" s="214" t="s">
        <v>537</v>
      </c>
      <c r="AN14" s="182" t="s">
        <v>535</v>
      </c>
      <c r="AO14" s="182" t="s">
        <v>299</v>
      </c>
      <c r="AP14" s="182" t="s">
        <v>536</v>
      </c>
      <c r="AQ14" s="228" t="s">
        <v>184</v>
      </c>
      <c r="AR14" s="188" t="s">
        <v>494</v>
      </c>
      <c r="AS14" s="187" t="s">
        <v>533</v>
      </c>
      <c r="AT14" s="214" t="s">
        <v>261</v>
      </c>
      <c r="AU14" s="187" t="s">
        <v>260</v>
      </c>
      <c r="AV14" s="182" t="s">
        <v>518</v>
      </c>
      <c r="AW14" s="182" t="s">
        <v>539</v>
      </c>
      <c r="AX14" s="328" t="s">
        <v>540</v>
      </c>
      <c r="AY14" s="189" t="s">
        <v>185</v>
      </c>
      <c r="AZ14" s="301" t="s">
        <v>541</v>
      </c>
      <c r="BA14" s="312" t="s">
        <v>542</v>
      </c>
      <c r="BB14" s="190" t="s">
        <v>543</v>
      </c>
      <c r="BC14" s="184" t="s">
        <v>703</v>
      </c>
      <c r="BD14" s="357" t="s">
        <v>599</v>
      </c>
      <c r="BE14" s="330" t="s">
        <v>489</v>
      </c>
      <c r="BF14" s="184" t="s">
        <v>704</v>
      </c>
      <c r="BG14" s="184" t="s">
        <v>621</v>
      </c>
      <c r="BH14" s="305" t="s">
        <v>283</v>
      </c>
      <c r="BI14" s="184" t="s">
        <v>327</v>
      </c>
    </row>
    <row r="15" spans="1:61">
      <c r="A15" t="e">
        <f>INDEX(Prioritization!$D:$D,MATCH($B15,Prioritization!$A:$A,0))</f>
        <v>#N/A</v>
      </c>
      <c r="B15" s="5"/>
      <c r="D15" s="5"/>
      <c r="E15" t="str">
        <f>$B15&amp;"|"&amp;$C15&amp;"|"&amp;$D15</f>
        <v>||</v>
      </c>
      <c r="F15" s="52"/>
      <c r="G15" s="52"/>
      <c r="H15" s="140"/>
      <c r="I15" s="140"/>
      <c r="J15" s="56"/>
      <c r="K15" s="140"/>
      <c r="L15" s="52"/>
      <c r="M15" s="140"/>
      <c r="N15" s="140"/>
      <c r="O15" s="140" t="str">
        <f>IFERROR(1/(1/MAX($I15,$N15)),"")</f>
        <v/>
      </c>
      <c r="P15" s="38"/>
      <c r="Q15" s="140"/>
      <c r="R15" s="140" t="str">
        <f>IF(AND(SUM($I15)=0,SUM($O15)=0),"",SUM($O15)-$I15)</f>
        <v/>
      </c>
      <c r="S15" s="29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7" t="str">
        <f>IF(LEFT($B15,4)="_Mil","",_xlfn.IFNA(INDEX(Spectrum!$N:$N,MATCH(RIGHT($B15,13)&amp;"|"&amp;$C15&amp;"|"&amp;$D15&amp;"|"&amp;W$14&amp;"|"&amp;"CY2025Q3",Spectrum!$R:$R,0)),""))</f>
        <v/>
      </c>
      <c r="X15" s="37" t="str">
        <f>IF(LEFT($B15,4)="_Mil","",_xlfn.IFNA(ROUND(INDEX(Spectrum!$N:$N,MATCH(RIGHT($B15,13)&amp;"|"&amp;$C15&amp;"|"&amp;$D15&amp;"|"&amp;X$14&amp;"|"&amp;"CY2025Q3",Spectrum!$R:$R,0)),0),""))</f>
        <v/>
      </c>
      <c r="Y15" s="93" t="str">
        <f>IF(OR(SUM($U15)=0,LEFT($B15,4)="_Mil"),"",ROUND(SUM($X15)/$U15,2))</f>
        <v/>
      </c>
      <c r="Z15" s="36" t="str">
        <f>IF(LEFT($B15,4)="_Mil","",_xlfn.IFNA(ROUND(INDEX(Spectrum!$N:$N,MATCH(RIGHT($B15,13)&amp;"|"&amp;$C15&amp;"|"&amp;$D15&amp;"|"&amp;Z$14&amp;"|"&amp;"CY2025Q3",Spectrum!$R:$R,0)),0),""))</f>
        <v/>
      </c>
      <c r="AA15" s="322" t="str">
        <f>IF(LEFT($B15,4)="_Mil","",IFERROR(1/(1/INDEX(Spectrum!$N:$N,MATCH(RIGHT($B15,13)&amp;"|"&amp;$C15&amp;"|"&amp;$D15&amp;"|"&amp;AA$14&amp;"|"&amp;"CY2025Q3",Spectrum!$R:$R,0))),IF(SUM($U15)=0,"",SUM($Z15)/$U15)))</f>
        <v/>
      </c>
      <c r="AB15" s="93" t="str">
        <f>IF(OR(LEFT($B15,4)="_Mil",SUM($X15)=0),"",SUM($Z15)/$X15)</f>
        <v/>
      </c>
      <c r="AC15" s="348" t="str">
        <f>IF(LEFT($B15,4)="_Mil","",_xlfn.IFNA(ROUND(INDEX(Spectrum!$N:$N,MATCH(RIGHT($B15,13)&amp;"|"&amp;$C15&amp;"|"&amp;$D15&amp;"|"&amp;AC$14&amp;"|"&amp;"CY2025Q3",Spectrum!$R:$R,0)),0),""))</f>
        <v/>
      </c>
      <c r="AD15" s="364" t="str">
        <f>IF(LEFT($B15,4)="_Mil","",_xlfn.IFNA(ROUND(INDEX(Spectrum!$N:$N,MATCH(RIGHT($B15,13)&amp;"|"&amp;$C15&amp;"|"&amp;$D15&amp;"|"&amp;AD$14&amp;"|"&amp;"CY2025Q3",Spectrum!$R:$R,0)),0),""))</f>
        <v/>
      </c>
      <c r="AE15" s="322" t="str">
        <f>IF(OR(LEFT($B15,4)="_Mil",SUM($Z15)=0),"",ROUND(SUM($AD15)/$Z15,2))</f>
        <v/>
      </c>
      <c r="AF15" s="37" t="str">
        <f>IF(LEFT($B15,4)="_Mil","",_xlfn.IFNA(ROUND(INDEX(Spectrum!$N:$N,MATCH(RIGHT($B15,13)&amp;"|"&amp;$C15&amp;"|"&amp;$D15&amp;"|"&amp;AF$14&amp;"|"&amp;"CY2025Q3",Spectrum!$R:$R,0)),0),""))</f>
        <v/>
      </c>
      <c r="AG15" s="322" t="str">
        <f>IF(OR(LEFT($B15,4)="_Mil",SUM($AD15)=0),"",SUM($AF15)/$AD15)</f>
        <v/>
      </c>
      <c r="AH15" s="318" t="str">
        <f>IF(LEFT($B15,4)="_Mil","",_xlfn.IFNA(INDEX(Spectrum!$N:$N,MATCH(RIGHT($B15,13)&amp;"|"&amp;$C15&amp;"|"&amp;$D15&amp;"|"&amp;AH$14&amp;"|"&amp;"CY2025Q3",Spectrum!$R:$R,0)),""))</f>
        <v/>
      </c>
      <c r="AI15" s="166" t="str">
        <f>IF(LEFT($B15,4)="_Mil","",_xlfn.IFNA(ROUND(INDEX(Spectrum!$N:$N,MATCH(RIGHT($B15,13)&amp;"|"&amp;$C15&amp;"|"&amp;$D15&amp;"|"&amp;AI$14&amp;"|"&amp;"CY2026Q3",Spectrum!$R:$R,0)),0),""))</f>
        <v/>
      </c>
      <c r="AJ15" s="45" t="str">
        <f>IF(LEFT($B15,4)="_Mil","",_xlfn.IFNA(ROUND(INDEX(Spectrum!$N:$N,MATCH(RIGHT($B15,13)&amp;"|"&amp;$C15&amp;"|"&amp;$D15&amp;"|"&amp;AJ$14&amp;"|"&amp;"CY2026Q3",Spectrum!$R:$R,0)),0),""))</f>
        <v/>
      </c>
      <c r="AK15" s="166" t="str">
        <f>IF(LEFT($B15,4)="_Mil","",_xlfn.IFNA(ROUND(INDEX(Spectrum!$N:$N,MATCH(RIGHT($B15,13)&amp;"|"&amp;$C15&amp;"|"&amp;$D15&amp;"|"&amp;AK$14&amp;"|"&amp;"CY2026Q3",Spectrum!$R:$R,0)),0),""))</f>
        <v/>
      </c>
      <c r="AL15" s="166" t="str">
        <f>AK15</f>
        <v/>
      </c>
      <c r="AM15" s="325">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64">
        <f>IF(OR($F15="",$C15="&lt;01"),$AP15,ROUND($F15,0))</f>
        <v>0</v>
      </c>
      <c r="AR15" s="42">
        <f>IF(LEFT($B15,4)="_Mil","",IF(SUM($AQ15)=0,SUM($Z15),IF(OR(SUM($Z15)=0,SUM($O15)=0),MAX($AQ15,$Z15),ROUND($AQ15*$Z15/$O15,0))))</f>
        <v>0</v>
      </c>
      <c r="AS15" s="322" t="str">
        <f>IF(OR(LEFT($B15,4)="_Mil",SUM($AL15)=0),"",SUM($AR15)/$AL15)</f>
        <v/>
      </c>
      <c r="AT15" s="325">
        <f>IF($C15="&lt;01","",98%)</f>
        <v>0.98</v>
      </c>
      <c r="AU15" s="322">
        <f>IF($C15="&lt;01","",98%)</f>
        <v>0.98</v>
      </c>
      <c r="AV15" s="45">
        <f>IF($C15="&lt;01","",SUM($AQ15)-SUM($O15))</f>
        <v>0</v>
      </c>
      <c r="AW15" s="45">
        <f>IF($C15="&lt;01",ROUND(INDEX(EID!$N:$N,MATCH($B15,EID!$B:$B,0))/2,0),IF(SUM($AU15)=0,"",ROUND((SUM($AQ15)-(SUM($O15)*SUM($AT15)))/$AU15,0)))</f>
        <v>0</v>
      </c>
      <c r="AX15" s="322">
        <f>IF($C15="&lt;01","",100%)</f>
        <v>1</v>
      </c>
      <c r="AY15" s="163">
        <f>IF($C15="&lt;01",SUM($AW15),ROUND(SUM($AW15)*SUM($AX15),0))</f>
        <v>0</v>
      </c>
      <c r="AZ15" s="325">
        <f>IF($C15="&lt;01","",70%)</f>
        <v>0.7</v>
      </c>
      <c r="BA15" s="313">
        <f>IF($C15="&lt;01",ROUND(INDEX(EID!$R:$R,MATCH($B15,EID!$B:$B,0))/2,0),ROUND(SUM($O15)+(SUM($AW15)*$AZ15),0))</f>
        <v>0</v>
      </c>
      <c r="BB15" s="167">
        <f>IF($C15="&lt;01","",95%)</f>
        <v>0.95</v>
      </c>
      <c r="BC15" s="42">
        <f>IF($C15="&lt;01",ROUND(INDEX(EID!$T:$T,MATCH($B15,EID!$B:$B,0))/2,0),ROUND($BA15*$BB15,0))</f>
        <v>0</v>
      </c>
      <c r="BD15" s="358">
        <f>IF(LEFT($B15,4)="_Mil","",IF(SUM($BC15)=0,SUM($AD15),IF(OR(SUM($AQ15)=0,SUM($AR15)=0),MAX($BC15,$AD15),ROUND($BC15*$AR15/$AQ15,0))))</f>
        <v>0</v>
      </c>
      <c r="BE15" s="325">
        <f>IF($C15="&lt;01","",95%)</f>
        <v>0.95</v>
      </c>
      <c r="BF15" s="163">
        <f>IF($C15="&lt;01",ROUND(INDEX(EID!$V:$V,MATCH($B15,EID!$B:$B,0))/2,0),ROUND($BE15*$BC15,0))</f>
        <v>0</v>
      </c>
      <c r="BG15" s="163">
        <f>IF(LEFT($B15,4)="_Mil","",IF(SUM($BF15)=0,SUM($AF15),IF(OR(SUM($AQ15)=0,SUM($AR15)=0),MAX($BF15,$AF15),ROUND($BF15*$AR15/$AQ15,0))))</f>
        <v>0</v>
      </c>
      <c r="BH15" s="302">
        <f>IF($C15="&lt;01","",95%)</f>
        <v>0.95</v>
      </c>
      <c r="BI15" s="42">
        <f>IF($C15="&lt;01",ROUND(INDEX(EID!$L:$L,MATCH($B15,EID!$B:$B,0)),0)/2,IF(SUM($BH15)=0,"",ROUND($AY15/$BH15,0)))</f>
        <v>0</v>
      </c>
    </row>
    <row r="16" spans="1:61">
      <c r="O16" s="140"/>
      <c r="R16" s="140"/>
      <c r="Y16" s="93"/>
      <c r="AB16" s="93"/>
      <c r="AC16" s="348"/>
      <c r="AE16" s="322"/>
      <c r="AG16" s="322"/>
      <c r="AJ16" s="45"/>
      <c r="AK16" s="166"/>
      <c r="AL16" s="166"/>
      <c r="AM16" s="325"/>
      <c r="AN16" s="45"/>
      <c r="AO16" s="45"/>
      <c r="AP16" s="45"/>
      <c r="AQ16" s="164"/>
      <c r="AR16" s="42"/>
      <c r="AS16" s="322"/>
      <c r="AT16" s="325"/>
      <c r="AU16" s="322"/>
      <c r="AV16" s="45"/>
      <c r="AW16" s="45"/>
      <c r="AX16" s="322"/>
      <c r="AY16" s="163"/>
      <c r="AZ16" s="325"/>
      <c r="BA16" s="313"/>
      <c r="BB16" s="167"/>
      <c r="BC16" s="42"/>
      <c r="BD16" s="358"/>
      <c r="BF16" s="163"/>
      <c r="BG16" s="163"/>
      <c r="BH16" s="302"/>
      <c r="BI16" s="42"/>
    </row>
    <row r="17" spans="36:61">
      <c r="AJ17" s="45"/>
      <c r="AK17" s="166"/>
      <c r="AL17" s="166"/>
      <c r="AZ17" s="302"/>
      <c r="BA17" s="313"/>
      <c r="BB17" s="167"/>
      <c r="BC17" s="42"/>
      <c r="BD17" s="358"/>
      <c r="BH17" s="302"/>
      <c r="BI17" s="42"/>
    </row>
    <row r="18" spans="36:61">
      <c r="AJ18" s="45"/>
      <c r="AK18" s="166"/>
      <c r="AL18" s="166"/>
      <c r="AZ18" s="302"/>
      <c r="BA18" s="313"/>
      <c r="BB18" s="167"/>
      <c r="BC18" s="42"/>
      <c r="BD18" s="358"/>
      <c r="BH18" s="302"/>
      <c r="BI18" s="42"/>
    </row>
    <row r="19" spans="36:61">
      <c r="AZ19" s="302"/>
      <c r="BA19" s="313"/>
      <c r="BB19" s="167"/>
      <c r="BC19" s="42"/>
      <c r="BD19" s="358"/>
      <c r="BH19" s="302"/>
      <c r="BI19" s="42"/>
    </row>
    <row r="20" spans="36:61">
      <c r="AZ20" s="302"/>
      <c r="BA20" s="313"/>
      <c r="BB20" s="167"/>
      <c r="BC20" s="42"/>
      <c r="BD20" s="358"/>
      <c r="BH20" s="302"/>
      <c r="BI20" s="42"/>
    </row>
    <row r="21" spans="36:61">
      <c r="AZ21" s="302"/>
      <c r="BA21" s="313"/>
      <c r="BB21" s="167"/>
      <c r="BC21" s="42"/>
      <c r="BD21" s="358"/>
      <c r="BH21" s="302"/>
      <c r="BI21" s="42"/>
    </row>
    <row r="22" spans="36:61">
      <c r="AZ22" s="302"/>
      <c r="BA22" s="313"/>
      <c r="BB22" s="167"/>
      <c r="BC22" s="42"/>
      <c r="BD22" s="358"/>
      <c r="BH22" s="302"/>
      <c r="BI22" s="42"/>
    </row>
    <row r="23" spans="36:61">
      <c r="AZ23" s="302"/>
      <c r="BA23" s="313"/>
      <c r="BB23" s="167"/>
      <c r="BC23" s="42"/>
      <c r="BD23" s="358"/>
      <c r="BH23" s="302"/>
      <c r="BI23" s="42"/>
    </row>
    <row r="24" spans="36:61">
      <c r="AZ24" s="302"/>
      <c r="BA24" s="313"/>
      <c r="BB24" s="167"/>
      <c r="BC24" s="42"/>
      <c r="BD24" s="358"/>
      <c r="BH24" s="302"/>
      <c r="BI24" s="42"/>
    </row>
    <row r="25" spans="36:61">
      <c r="AZ25" s="302"/>
      <c r="BA25" s="313"/>
      <c r="BB25" s="167"/>
      <c r="BC25" s="42"/>
      <c r="BD25" s="358"/>
      <c r="BH25" s="302"/>
      <c r="BI25" s="42"/>
    </row>
    <row r="26" spans="36:61">
      <c r="AZ26" s="302"/>
      <c r="BA26" s="313"/>
      <c r="BB26" s="167"/>
      <c r="BC26" s="42"/>
      <c r="BD26" s="358"/>
      <c r="BH26" s="302"/>
      <c r="BI26" s="42"/>
    </row>
    <row r="27" spans="36:61">
      <c r="AZ27" s="302"/>
      <c r="BA27" s="313"/>
      <c r="BB27" s="167"/>
      <c r="BC27" s="42"/>
      <c r="BD27" s="358"/>
      <c r="BH27" s="302"/>
      <c r="BI27" s="42"/>
    </row>
    <row r="28" spans="36:61">
      <c r="AZ28" s="302"/>
      <c r="BA28" s="313"/>
      <c r="BB28" s="167"/>
      <c r="BC28" s="42"/>
      <c r="BD28" s="358"/>
      <c r="BH28" s="302"/>
      <c r="BI28" s="42"/>
    </row>
    <row r="29" spans="36:61">
      <c r="AZ29" s="302"/>
      <c r="BA29" s="313"/>
      <c r="BB29" s="167"/>
      <c r="BC29" s="42"/>
      <c r="BD29" s="358"/>
      <c r="BH29" s="302"/>
      <c r="BI29" s="42"/>
    </row>
    <row r="30" spans="36:61">
      <c r="AZ30" s="302"/>
      <c r="BA30" s="313"/>
      <c r="BB30" s="167"/>
      <c r="BC30" s="42"/>
      <c r="BD30" s="358"/>
      <c r="BH30" s="302"/>
      <c r="BI30" s="42"/>
    </row>
    <row r="31" spans="36:61">
      <c r="AZ31" s="302"/>
      <c r="BA31" s="313"/>
      <c r="BB31" s="167"/>
      <c r="BC31" s="42"/>
      <c r="BD31" s="358"/>
      <c r="BH31" s="302"/>
      <c r="BI31" s="42"/>
    </row>
    <row r="32" spans="36:61">
      <c r="AZ32" s="302"/>
      <c r="BA32" s="313"/>
      <c r="BB32" s="167"/>
      <c r="BC32" s="42"/>
      <c r="BD32" s="358"/>
      <c r="BH32" s="302"/>
      <c r="BI32" s="42"/>
    </row>
    <row r="33" spans="52:61">
      <c r="AZ33" s="302"/>
      <c r="BA33" s="313"/>
      <c r="BB33" s="167"/>
      <c r="BC33" s="42"/>
      <c r="BD33" s="358"/>
      <c r="BH33" s="302"/>
      <c r="BI33" s="42"/>
    </row>
    <row r="34" spans="52:61">
      <c r="AZ34" s="302"/>
      <c r="BA34" s="313"/>
      <c r="BB34" s="167"/>
      <c r="BC34" s="42"/>
      <c r="BD34" s="358"/>
      <c r="BH34" s="302"/>
      <c r="BI34" s="42"/>
    </row>
    <row r="35" spans="52:61">
      <c r="AZ35" s="302"/>
      <c r="BA35" s="313"/>
      <c r="BB35" s="167"/>
      <c r="BC35" s="42"/>
      <c r="BD35" s="358"/>
      <c r="BH35" s="302"/>
      <c r="BI35" s="42"/>
    </row>
    <row r="36" spans="52:61">
      <c r="AZ36" s="302"/>
      <c r="BA36" s="313"/>
      <c r="BB36" s="167"/>
      <c r="BC36" s="42"/>
      <c r="BD36" s="358"/>
      <c r="BH36" s="302"/>
      <c r="BI36" s="42"/>
    </row>
    <row r="37" spans="52:61">
      <c r="AZ37" s="302"/>
      <c r="BA37" s="313"/>
      <c r="BB37" s="167"/>
      <c r="BC37" s="42"/>
      <c r="BD37" s="358"/>
      <c r="BH37" s="302"/>
      <c r="BI37" s="42"/>
    </row>
    <row r="38" spans="52:61">
      <c r="AZ38" s="302"/>
      <c r="BA38" s="313"/>
      <c r="BB38" s="167"/>
      <c r="BC38" s="42"/>
      <c r="BD38" s="358"/>
      <c r="BH38" s="302"/>
      <c r="BI38" s="42"/>
    </row>
    <row r="39" spans="52:61">
      <c r="AZ39" s="302"/>
      <c r="BA39" s="313"/>
      <c r="BB39" s="167"/>
      <c r="BC39" s="42"/>
      <c r="BD39" s="358"/>
      <c r="BH39" s="302"/>
      <c r="BI39" s="42"/>
    </row>
    <row r="40" spans="52:61">
      <c r="AZ40" s="302"/>
      <c r="BA40" s="313"/>
      <c r="BB40" s="167"/>
      <c r="BC40" s="42"/>
      <c r="BD40" s="358"/>
      <c r="BH40" s="302"/>
      <c r="BI40" s="42"/>
    </row>
    <row r="41" spans="52:61">
      <c r="AZ41" s="302"/>
      <c r="BA41" s="313"/>
      <c r="BB41" s="167"/>
      <c r="BC41" s="42"/>
      <c r="BD41" s="358"/>
      <c r="BH41" s="302"/>
      <c r="BI41" s="42"/>
    </row>
    <row r="42" spans="52:61">
      <c r="AZ42" s="302"/>
      <c r="BA42" s="313"/>
      <c r="BB42" s="167"/>
      <c r="BC42" s="42"/>
      <c r="BD42" s="358"/>
      <c r="BH42" s="302"/>
      <c r="BI42" s="42"/>
    </row>
    <row r="43" spans="52:61">
      <c r="AZ43" s="302"/>
      <c r="BA43" s="313"/>
      <c r="BB43" s="167"/>
      <c r="BC43" s="42"/>
      <c r="BD43" s="358"/>
      <c r="BH43" s="302"/>
      <c r="BI43" s="42"/>
    </row>
    <row r="44" spans="52:61">
      <c r="AZ44" s="302"/>
      <c r="BA44" s="313"/>
      <c r="BB44" s="167"/>
      <c r="BC44" s="42"/>
      <c r="BD44" s="358"/>
      <c r="BH44" s="302"/>
      <c r="BI44" s="42"/>
    </row>
    <row r="45" spans="52:61">
      <c r="AZ45" s="302"/>
      <c r="BA45" s="313"/>
      <c r="BB45" s="167"/>
      <c r="BC45" s="42"/>
      <c r="BD45" s="358"/>
      <c r="BH45" s="302"/>
      <c r="BI45" s="42"/>
    </row>
    <row r="46" spans="52:61">
      <c r="AZ46" s="302"/>
      <c r="BA46" s="313"/>
      <c r="BB46" s="167"/>
      <c r="BC46" s="42"/>
      <c r="BD46" s="358"/>
      <c r="BH46" s="302"/>
      <c r="BI46" s="42"/>
    </row>
    <row r="47" spans="52:61">
      <c r="AZ47" s="302"/>
      <c r="BA47" s="313"/>
      <c r="BB47" s="167"/>
      <c r="BC47" s="42"/>
      <c r="BD47" s="358"/>
      <c r="BH47" s="302"/>
      <c r="BI47" s="42"/>
    </row>
    <row r="48" spans="52:61">
      <c r="AZ48" s="302"/>
      <c r="BA48" s="313"/>
      <c r="BB48" s="167"/>
      <c r="BC48" s="42"/>
      <c r="BD48" s="358"/>
      <c r="BH48" s="302"/>
      <c r="BI48" s="42"/>
    </row>
    <row r="49" spans="52:61">
      <c r="AZ49" s="302"/>
      <c r="BA49" s="313"/>
      <c r="BB49" s="167"/>
      <c r="BC49" s="42"/>
      <c r="BD49" s="358"/>
      <c r="BH49" s="302"/>
      <c r="BI49" s="42"/>
    </row>
    <row r="50" spans="52:61">
      <c r="AZ50" s="302"/>
      <c r="BA50" s="313"/>
      <c r="BB50" s="167"/>
      <c r="BC50" s="42"/>
      <c r="BD50" s="358"/>
      <c r="BH50" s="302"/>
      <c r="BI50" s="42"/>
    </row>
    <row r="51" spans="52:61">
      <c r="AZ51" s="302"/>
      <c r="BA51" s="313"/>
      <c r="BB51" s="167"/>
      <c r="BC51" s="42"/>
      <c r="BD51" s="358"/>
      <c r="BH51" s="302"/>
      <c r="BI51" s="42"/>
    </row>
    <row r="52" spans="52:61">
      <c r="AZ52" s="302"/>
      <c r="BA52" s="313"/>
      <c r="BB52" s="167"/>
      <c r="BC52" s="42"/>
      <c r="BD52" s="358"/>
      <c r="BH52" s="302"/>
      <c r="BI52" s="42"/>
    </row>
    <row r="53" spans="52:61">
      <c r="AZ53" s="302"/>
      <c r="BA53" s="313"/>
      <c r="BB53" s="167"/>
      <c r="BC53" s="42"/>
      <c r="BD53" s="358"/>
      <c r="BH53" s="302"/>
      <c r="BI53" s="42"/>
    </row>
    <row r="54" spans="52:61">
      <c r="AZ54" s="302"/>
      <c r="BA54" s="313"/>
      <c r="BB54" s="167"/>
      <c r="BC54" s="42"/>
      <c r="BD54" s="358"/>
      <c r="BH54" s="302"/>
      <c r="BI54" s="42"/>
    </row>
    <row r="55" spans="52:61">
      <c r="AZ55" s="302"/>
      <c r="BA55" s="313"/>
      <c r="BB55" s="167"/>
      <c r="BC55" s="42"/>
      <c r="BD55" s="358"/>
      <c r="BH55" s="302"/>
      <c r="BI55" s="42"/>
    </row>
    <row r="56" spans="52:61">
      <c r="AZ56" s="302"/>
      <c r="BA56" s="313"/>
      <c r="BB56" s="167"/>
      <c r="BC56" s="42"/>
      <c r="BD56" s="358"/>
      <c r="BH56" s="302"/>
      <c r="BI56" s="42"/>
    </row>
    <row r="57" spans="52:61">
      <c r="AZ57" s="302"/>
      <c r="BA57" s="313"/>
      <c r="BB57" s="167"/>
      <c r="BC57" s="42"/>
      <c r="BD57" s="358"/>
      <c r="BH57" s="302"/>
      <c r="BI57" s="42"/>
    </row>
    <row r="58" spans="52:61">
      <c r="AZ58" s="302"/>
      <c r="BA58" s="313"/>
      <c r="BB58" s="167"/>
      <c r="BC58" s="42"/>
      <c r="BD58" s="358"/>
      <c r="BH58" s="302"/>
      <c r="BI58" s="42"/>
    </row>
    <row r="59" spans="52:61">
      <c r="AZ59" s="302"/>
      <c r="BA59" s="313"/>
      <c r="BB59" s="167"/>
      <c r="BC59" s="42"/>
      <c r="BD59" s="358"/>
      <c r="BH59" s="302"/>
      <c r="BI59" s="42"/>
    </row>
    <row r="60" spans="52:61">
      <c r="AZ60" s="302"/>
      <c r="BA60" s="313"/>
      <c r="BB60" s="167"/>
      <c r="BC60" s="42"/>
      <c r="BD60" s="358"/>
      <c r="BH60" s="302"/>
      <c r="BI60" s="42"/>
    </row>
    <row r="61" spans="52:61">
      <c r="AZ61" s="302"/>
      <c r="BA61" s="313"/>
      <c r="BB61" s="167"/>
      <c r="BC61" s="42"/>
      <c r="BD61" s="358"/>
      <c r="BH61" s="302"/>
      <c r="BI61" s="42"/>
    </row>
    <row r="62" spans="52:61">
      <c r="AZ62" s="302"/>
      <c r="BA62" s="313"/>
      <c r="BB62" s="167"/>
      <c r="BC62" s="42"/>
      <c r="BD62" s="358"/>
      <c r="BH62" s="302"/>
      <c r="BI62" s="42"/>
    </row>
    <row r="63" spans="52:61">
      <c r="AZ63" s="302"/>
      <c r="BA63" s="313"/>
      <c r="BB63" s="167"/>
      <c r="BC63" s="42"/>
      <c r="BD63" s="358"/>
      <c r="BH63" s="302"/>
      <c r="BI63" s="42"/>
    </row>
    <row r="64" spans="52:61">
      <c r="AZ64" s="302"/>
      <c r="BA64" s="313"/>
      <c r="BB64" s="167"/>
      <c r="BC64" s="42"/>
      <c r="BD64" s="358"/>
      <c r="BH64" s="302"/>
      <c r="BI64" s="42"/>
    </row>
    <row r="65" spans="52:61">
      <c r="AZ65" s="302"/>
      <c r="BA65" s="313"/>
      <c r="BB65" s="167"/>
      <c r="BC65" s="42"/>
      <c r="BD65" s="358"/>
      <c r="BH65" s="302"/>
      <c r="BI65" s="42"/>
    </row>
    <row r="66" spans="52:61">
      <c r="AZ66" s="302"/>
      <c r="BA66" s="313"/>
      <c r="BB66" s="167"/>
      <c r="BC66" s="42"/>
      <c r="BD66" s="358"/>
      <c r="BH66" s="302"/>
      <c r="BI66" s="42"/>
    </row>
    <row r="67" spans="52:61">
      <c r="AZ67" s="302"/>
      <c r="BA67" s="313"/>
      <c r="BB67" s="167"/>
      <c r="BC67" s="42"/>
      <c r="BD67" s="358"/>
      <c r="BH67" s="302"/>
      <c r="BI67" s="42"/>
    </row>
    <row r="68" spans="52:61">
      <c r="AZ68" s="302"/>
      <c r="BA68" s="313"/>
      <c r="BB68" s="167"/>
      <c r="BC68" s="42"/>
      <c r="BD68" s="358"/>
      <c r="BH68" s="302"/>
      <c r="BI68" s="42"/>
    </row>
    <row r="69" spans="52:61">
      <c r="AZ69" s="302"/>
      <c r="BA69" s="313"/>
      <c r="BB69" s="167"/>
      <c r="BC69" s="42"/>
      <c r="BD69" s="358"/>
      <c r="BH69" s="302"/>
      <c r="BI69" s="42"/>
    </row>
    <row r="70" spans="52:61">
      <c r="AZ70" s="302"/>
      <c r="BA70" s="313"/>
      <c r="BB70" s="167"/>
      <c r="BC70" s="42"/>
      <c r="BD70" s="358"/>
      <c r="BH70" s="302"/>
      <c r="BI70" s="42"/>
    </row>
    <row r="71" spans="52:61">
      <c r="AZ71" s="302"/>
      <c r="BA71" s="313"/>
      <c r="BB71" s="167"/>
      <c r="BC71" s="42"/>
      <c r="BD71" s="358"/>
      <c r="BH71" s="302"/>
      <c r="BI71" s="42"/>
    </row>
    <row r="72" spans="52:61">
      <c r="AZ72" s="302"/>
      <c r="BA72" s="313"/>
      <c r="BB72" s="167"/>
      <c r="BC72" s="42"/>
      <c r="BD72" s="358"/>
      <c r="BH72" s="302"/>
      <c r="BI72" s="42"/>
    </row>
    <row r="73" spans="52:61">
      <c r="AZ73" s="302"/>
      <c r="BA73" s="313"/>
      <c r="BB73" s="167"/>
      <c r="BC73" s="42"/>
      <c r="BD73" s="358"/>
      <c r="BH73" s="302"/>
      <c r="BI73" s="42"/>
    </row>
    <row r="74" spans="52:61">
      <c r="AZ74" s="302"/>
      <c r="BA74" s="313"/>
      <c r="BB74" s="167"/>
      <c r="BC74" s="42"/>
      <c r="BD74" s="358"/>
      <c r="BH74" s="302"/>
      <c r="BI74" s="42"/>
    </row>
    <row r="75" spans="52:61">
      <c r="AZ75" s="302"/>
      <c r="BA75" s="313"/>
      <c r="BB75" s="167"/>
      <c r="BC75" s="42"/>
      <c r="BD75" s="358"/>
      <c r="BH75" s="302"/>
      <c r="BI75" s="42"/>
    </row>
    <row r="76" spans="52:61">
      <c r="AZ76" s="302"/>
      <c r="BA76" s="313"/>
      <c r="BB76" s="167"/>
      <c r="BC76" s="42"/>
      <c r="BD76" s="358"/>
      <c r="BH76" s="302"/>
      <c r="BI76" s="42"/>
    </row>
    <row r="77" spans="52:61">
      <c r="AZ77" s="302"/>
      <c r="BA77" s="313"/>
      <c r="BB77" s="167"/>
      <c r="BC77" s="42"/>
      <c r="BD77" s="358"/>
      <c r="BH77" s="302"/>
      <c r="BI77" s="42"/>
    </row>
    <row r="78" spans="52:61">
      <c r="AZ78" s="302"/>
      <c r="BA78" s="313"/>
      <c r="BB78" s="167"/>
      <c r="BC78" s="42"/>
      <c r="BD78" s="358"/>
      <c r="BH78" s="302"/>
      <c r="BI78" s="42"/>
    </row>
    <row r="79" spans="52:61">
      <c r="AZ79" s="302"/>
      <c r="BA79" s="313"/>
      <c r="BB79" s="167"/>
      <c r="BC79" s="42"/>
      <c r="BD79" s="358"/>
      <c r="BH79" s="302"/>
      <c r="BI79" s="42"/>
    </row>
    <row r="80" spans="52:61">
      <c r="AZ80" s="302"/>
      <c r="BA80" s="313"/>
      <c r="BB80" s="167"/>
      <c r="BC80" s="42"/>
      <c r="BD80" s="358"/>
      <c r="BH80" s="302"/>
      <c r="BI80" s="42"/>
    </row>
    <row r="81" spans="52:61">
      <c r="AZ81" s="302"/>
      <c r="BA81" s="313"/>
      <c r="BB81" s="167"/>
      <c r="BC81" s="42"/>
      <c r="BD81" s="358"/>
      <c r="BH81" s="302"/>
      <c r="BI81" s="42"/>
    </row>
    <row r="82" spans="52:61">
      <c r="AZ82" s="302"/>
      <c r="BA82" s="313"/>
      <c r="BB82" s="167"/>
      <c r="BC82" s="42"/>
      <c r="BD82" s="358"/>
      <c r="BH82" s="302"/>
      <c r="BI82" s="42"/>
    </row>
    <row r="83" spans="52:61">
      <c r="AZ83" s="302"/>
      <c r="BA83" s="313"/>
      <c r="BB83" s="167"/>
      <c r="BC83" s="42"/>
      <c r="BD83" s="358"/>
      <c r="BH83" s="302"/>
      <c r="BI83" s="42"/>
    </row>
    <row r="84" spans="52:61">
      <c r="AZ84" s="302"/>
      <c r="BA84" s="313"/>
      <c r="BB84" s="167"/>
      <c r="BC84" s="42"/>
      <c r="BD84" s="358"/>
      <c r="BH84" s="302"/>
      <c r="BI84" s="42"/>
    </row>
    <row r="85" spans="52:61">
      <c r="AZ85" s="302"/>
      <c r="BA85" s="313"/>
      <c r="BB85" s="167"/>
      <c r="BC85" s="42"/>
      <c r="BD85" s="358"/>
      <c r="BH85" s="302"/>
      <c r="BI85" s="42"/>
    </row>
    <row r="86" spans="52:61">
      <c r="AZ86" s="302"/>
      <c r="BA86" s="313"/>
      <c r="BB86" s="167"/>
      <c r="BC86" s="42"/>
      <c r="BD86" s="358"/>
      <c r="BH86" s="302"/>
      <c r="BI86" s="42"/>
    </row>
    <row r="87" spans="52:61">
      <c r="AZ87" s="302"/>
      <c r="BA87" s="313"/>
      <c r="BB87" s="167"/>
      <c r="BC87" s="42"/>
      <c r="BD87" s="358"/>
      <c r="BH87" s="302"/>
      <c r="BI87" s="42"/>
    </row>
    <row r="88" spans="52:61">
      <c r="AZ88" s="302"/>
      <c r="BA88" s="313"/>
      <c r="BB88" s="167"/>
      <c r="BC88" s="42"/>
      <c r="BD88" s="358"/>
      <c r="BH88" s="302"/>
      <c r="BI88" s="42"/>
    </row>
    <row r="89" spans="52:61">
      <c r="AZ89" s="302"/>
      <c r="BA89" s="313"/>
      <c r="BB89" s="167"/>
      <c r="BC89" s="42"/>
      <c r="BD89" s="358"/>
      <c r="BH89" s="302"/>
      <c r="BI89" s="42"/>
    </row>
    <row r="90" spans="52:61">
      <c r="AZ90" s="302"/>
      <c r="BA90" s="313"/>
      <c r="BB90" s="167"/>
      <c r="BC90" s="42"/>
      <c r="BD90" s="358"/>
      <c r="BH90" s="302"/>
      <c r="BI90" s="42"/>
    </row>
    <row r="91" spans="52:61">
      <c r="AZ91" s="302"/>
      <c r="BA91" s="313"/>
      <c r="BB91" s="167"/>
      <c r="BC91" s="42"/>
      <c r="BD91" s="358"/>
      <c r="BH91" s="302"/>
      <c r="BI91" s="42"/>
    </row>
    <row r="92" spans="52:61">
      <c r="AZ92" s="302"/>
      <c r="BA92" s="313"/>
      <c r="BB92" s="167"/>
      <c r="BC92" s="42"/>
      <c r="BD92" s="358"/>
      <c r="BH92" s="302"/>
      <c r="BI92" s="42"/>
    </row>
    <row r="93" spans="52:61">
      <c r="AZ93" s="302"/>
      <c r="BA93" s="313"/>
      <c r="BB93" s="167"/>
      <c r="BC93" s="42"/>
      <c r="BD93" s="358"/>
      <c r="BH93" s="302"/>
      <c r="BI93" s="42"/>
    </row>
    <row r="94" spans="52:61">
      <c r="AZ94" s="302"/>
      <c r="BA94" s="313"/>
      <c r="BB94" s="167"/>
      <c r="BC94" s="42"/>
      <c r="BD94" s="358"/>
      <c r="BH94" s="302"/>
      <c r="BI94" s="42"/>
    </row>
    <row r="95" spans="52:61">
      <c r="AZ95" s="302"/>
      <c r="BA95" s="313"/>
      <c r="BB95" s="167"/>
      <c r="BC95" s="42"/>
      <c r="BD95" s="358"/>
      <c r="BH95" s="302"/>
      <c r="BI95" s="42"/>
    </row>
    <row r="96" spans="52:61">
      <c r="AZ96" s="302"/>
      <c r="BA96" s="313"/>
      <c r="BB96" s="167"/>
      <c r="BC96" s="42"/>
      <c r="BD96" s="358"/>
      <c r="BH96" s="302"/>
      <c r="BI96" s="42"/>
    </row>
    <row r="97" spans="52:61">
      <c r="AZ97" s="302"/>
      <c r="BA97" s="313"/>
      <c r="BB97" s="167"/>
      <c r="BC97" s="42"/>
      <c r="BD97" s="358"/>
      <c r="BH97" s="302"/>
      <c r="BI97" s="42"/>
    </row>
    <row r="98" spans="52:61">
      <c r="AZ98" s="302"/>
      <c r="BA98" s="313"/>
      <c r="BB98" s="167"/>
      <c r="BC98" s="42"/>
      <c r="BD98" s="358"/>
      <c r="BH98" s="302"/>
      <c r="BI98" s="42"/>
    </row>
    <row r="99" spans="52:61">
      <c r="AZ99" s="302"/>
      <c r="BA99" s="313"/>
      <c r="BB99" s="167"/>
      <c r="BC99" s="42"/>
      <c r="BD99" s="358"/>
      <c r="BH99" s="302"/>
      <c r="BI99" s="42"/>
    </row>
    <row r="100" spans="52:61">
      <c r="AZ100" s="302"/>
      <c r="BA100" s="313"/>
      <c r="BB100" s="167"/>
      <c r="BC100" s="42"/>
      <c r="BD100" s="358"/>
      <c r="BH100" s="302"/>
      <c r="BI100" s="42"/>
    </row>
    <row r="101" spans="52:61">
      <c r="AZ101" s="302"/>
      <c r="BA101" s="313"/>
      <c r="BB101" s="167"/>
      <c r="BC101" s="42"/>
      <c r="BD101" s="358"/>
      <c r="BH101" s="302"/>
      <c r="BI101" s="42"/>
    </row>
    <row r="102" spans="52:61">
      <c r="AZ102" s="302"/>
      <c r="BA102" s="313"/>
      <c r="BB102" s="167"/>
      <c r="BC102" s="42"/>
      <c r="BD102" s="358"/>
      <c r="BH102" s="302"/>
      <c r="BI102" s="42"/>
    </row>
    <row r="103" spans="52:61">
      <c r="AZ103" s="302"/>
      <c r="BA103" s="313"/>
      <c r="BB103" s="167"/>
      <c r="BC103" s="42"/>
      <c r="BD103" s="358"/>
      <c r="BH103" s="302"/>
      <c r="BI103" s="42"/>
    </row>
    <row r="104" spans="52:61">
      <c r="AZ104" s="302"/>
      <c r="BA104" s="313"/>
      <c r="BB104" s="167"/>
      <c r="BC104" s="42"/>
      <c r="BD104" s="358"/>
      <c r="BH104" s="302"/>
      <c r="BI104" s="42"/>
    </row>
    <row r="105" spans="52:61">
      <c r="AZ105" s="302"/>
      <c r="BA105" s="313"/>
      <c r="BB105" s="167"/>
      <c r="BC105" s="42"/>
      <c r="BD105" s="358"/>
      <c r="BH105" s="302"/>
      <c r="BI105" s="42"/>
    </row>
    <row r="106" spans="52:61">
      <c r="AZ106" s="302"/>
      <c r="BA106" s="313"/>
      <c r="BB106" s="167"/>
      <c r="BC106" s="42"/>
      <c r="BD106" s="358"/>
      <c r="BH106" s="302"/>
      <c r="BI106" s="42"/>
    </row>
    <row r="107" spans="52:61">
      <c r="AZ107" s="302"/>
      <c r="BA107" s="313"/>
      <c r="BB107" s="167"/>
      <c r="BC107" s="42"/>
      <c r="BD107" s="358"/>
      <c r="BH107" s="302"/>
      <c r="BI107" s="42"/>
    </row>
    <row r="108" spans="52:61">
      <c r="AZ108" s="302"/>
      <c r="BA108" s="313"/>
      <c r="BB108" s="167"/>
      <c r="BC108" s="42"/>
      <c r="BD108" s="358"/>
      <c r="BH108" s="302"/>
      <c r="BI108" s="42"/>
    </row>
    <row r="109" spans="52:61">
      <c r="AZ109" s="302"/>
      <c r="BA109" s="313"/>
      <c r="BB109" s="167"/>
      <c r="BC109" s="42"/>
      <c r="BD109" s="358"/>
      <c r="BH109" s="302"/>
      <c r="BI109" s="42"/>
    </row>
    <row r="110" spans="52:61">
      <c r="AZ110" s="302"/>
      <c r="BA110" s="313"/>
      <c r="BB110" s="167"/>
      <c r="BC110" s="42"/>
      <c r="BD110" s="358"/>
      <c r="BH110" s="302"/>
      <c r="BI110" s="42"/>
    </row>
    <row r="111" spans="52:61">
      <c r="AZ111" s="302"/>
      <c r="BA111" s="313"/>
      <c r="BB111" s="167"/>
      <c r="BC111" s="42"/>
      <c r="BD111" s="358"/>
      <c r="BH111" s="302"/>
      <c r="BI111" s="42"/>
    </row>
    <row r="112" spans="52:61">
      <c r="AZ112" s="302"/>
      <c r="BA112" s="313"/>
      <c r="BB112" s="167"/>
      <c r="BC112" s="42"/>
      <c r="BD112" s="358"/>
      <c r="BH112" s="302"/>
      <c r="BI112" s="42"/>
    </row>
    <row r="113" spans="52:61">
      <c r="AZ113" s="302"/>
      <c r="BA113" s="313"/>
      <c r="BB113" s="167"/>
      <c r="BC113" s="42"/>
      <c r="BD113" s="358"/>
      <c r="BH113" s="302"/>
      <c r="BI113" s="42"/>
    </row>
    <row r="114" spans="52:61">
      <c r="AZ114" s="302"/>
      <c r="BA114" s="313"/>
      <c r="BB114" s="167"/>
      <c r="BC114" s="42"/>
      <c r="BD114" s="358"/>
      <c r="BH114" s="302"/>
      <c r="BI114" s="42"/>
    </row>
    <row r="115" spans="52:61">
      <c r="AZ115" s="302"/>
      <c r="BA115" s="313"/>
      <c r="BB115" s="167"/>
      <c r="BC115" s="42"/>
      <c r="BD115" s="358"/>
      <c r="BH115" s="302"/>
      <c r="BI115" s="42"/>
    </row>
    <row r="116" spans="52:61">
      <c r="AZ116" s="302"/>
      <c r="BA116" s="313"/>
      <c r="BB116" s="167"/>
      <c r="BC116" s="42"/>
      <c r="BD116" s="358"/>
      <c r="BH116" s="302"/>
      <c r="BI116" s="42"/>
    </row>
    <row r="117" spans="52:61">
      <c r="AZ117" s="302"/>
      <c r="BA117" s="313"/>
      <c r="BB117" s="167"/>
      <c r="BC117" s="42"/>
      <c r="BD117" s="358"/>
      <c r="BH117" s="302"/>
      <c r="BI117" s="42"/>
    </row>
    <row r="118" spans="52:61">
      <c r="AZ118" s="302"/>
      <c r="BA118" s="313"/>
      <c r="BB118" s="167"/>
      <c r="BC118" s="42"/>
      <c r="BD118" s="358"/>
      <c r="BH118" s="302"/>
      <c r="BI118" s="42"/>
    </row>
    <row r="119" spans="52:61">
      <c r="AZ119" s="302"/>
      <c r="BA119" s="313"/>
      <c r="BB119" s="167"/>
      <c r="BC119" s="42"/>
      <c r="BD119" s="358"/>
      <c r="BH119" s="302"/>
      <c r="BI119" s="42"/>
    </row>
    <row r="120" spans="52:61">
      <c r="AZ120" s="302"/>
      <c r="BA120" s="313"/>
      <c r="BB120" s="167"/>
      <c r="BC120" s="42"/>
      <c r="BD120" s="358"/>
      <c r="BH120" s="302"/>
      <c r="BI120" s="42"/>
    </row>
    <row r="121" spans="52:61">
      <c r="AZ121" s="302"/>
      <c r="BA121" s="313"/>
      <c r="BB121" s="167"/>
      <c r="BC121" s="42"/>
      <c r="BD121" s="358"/>
      <c r="BH121" s="302"/>
      <c r="BI121" s="42"/>
    </row>
    <row r="122" spans="52:61">
      <c r="AZ122" s="302"/>
      <c r="BA122" s="313"/>
      <c r="BB122" s="167"/>
      <c r="BC122" s="42"/>
      <c r="BD122" s="358"/>
      <c r="BH122" s="302"/>
      <c r="BI122" s="42"/>
    </row>
    <row r="123" spans="52:61">
      <c r="AZ123" s="302"/>
      <c r="BA123" s="313"/>
      <c r="BB123" s="167"/>
      <c r="BC123" s="42"/>
      <c r="BD123" s="358"/>
      <c r="BH123" s="302"/>
      <c r="BI123" s="42"/>
    </row>
    <row r="124" spans="52:61">
      <c r="AZ124" s="302"/>
      <c r="BA124" s="313"/>
      <c r="BB124" s="167"/>
      <c r="BC124" s="42"/>
      <c r="BD124" s="358"/>
      <c r="BH124" s="302"/>
      <c r="BI124" s="42"/>
    </row>
    <row r="125" spans="52:61">
      <c r="AZ125" s="302"/>
      <c r="BA125" s="313"/>
      <c r="BB125" s="167"/>
      <c r="BC125" s="42"/>
      <c r="BD125" s="358"/>
      <c r="BH125" s="302"/>
      <c r="BI125" s="42"/>
    </row>
    <row r="126" spans="52:61">
      <c r="AZ126" s="302"/>
      <c r="BA126" s="313"/>
      <c r="BB126" s="167"/>
      <c r="BC126" s="42"/>
      <c r="BD126" s="358"/>
      <c r="BH126" s="302"/>
      <c r="BI126" s="42"/>
    </row>
    <row r="127" spans="52:61">
      <c r="AZ127" s="302"/>
      <c r="BA127" s="313"/>
      <c r="BB127" s="167"/>
      <c r="BC127" s="42"/>
      <c r="BD127" s="358"/>
      <c r="BH127" s="302"/>
      <c r="BI127" s="42"/>
    </row>
    <row r="128" spans="52:61">
      <c r="AZ128" s="302"/>
      <c r="BA128" s="313"/>
      <c r="BB128" s="167"/>
      <c r="BC128" s="42"/>
      <c r="BD128" s="358"/>
      <c r="BH128" s="302"/>
      <c r="BI128" s="42"/>
    </row>
    <row r="129" spans="52:61">
      <c r="AZ129" s="302"/>
      <c r="BA129" s="313"/>
      <c r="BB129" s="167"/>
      <c r="BC129" s="42"/>
      <c r="BD129" s="358"/>
      <c r="BH129" s="302"/>
      <c r="BI129" s="42"/>
    </row>
    <row r="130" spans="52:61">
      <c r="AZ130" s="302"/>
      <c r="BA130" s="313"/>
      <c r="BB130" s="167"/>
      <c r="BC130" s="42"/>
      <c r="BD130" s="358"/>
      <c r="BH130" s="302"/>
      <c r="BI130" s="42"/>
    </row>
    <row r="131" spans="52:61">
      <c r="AZ131" s="302"/>
      <c r="BA131" s="313"/>
      <c r="BB131" s="167"/>
      <c r="BC131" s="42"/>
      <c r="BD131" s="358"/>
      <c r="BH131" s="302"/>
      <c r="BI131" s="42"/>
    </row>
    <row r="132" spans="52:61">
      <c r="AZ132" s="302"/>
      <c r="BA132" s="313"/>
      <c r="BB132" s="167"/>
      <c r="BC132" s="42"/>
      <c r="BD132" s="358"/>
      <c r="BH132" s="302"/>
      <c r="BI132" s="42"/>
    </row>
    <row r="133" spans="52:61">
      <c r="AZ133" s="302"/>
      <c r="BA133" s="313"/>
      <c r="BB133" s="167"/>
      <c r="BC133" s="42"/>
      <c r="BD133" s="358"/>
      <c r="BH133" s="302"/>
      <c r="BI133" s="42"/>
    </row>
    <row r="134" spans="52:61">
      <c r="AZ134" s="302"/>
      <c r="BA134" s="313"/>
      <c r="BB134" s="167"/>
      <c r="BC134" s="42"/>
      <c r="BD134" s="358"/>
      <c r="BH134" s="302"/>
      <c r="BI134" s="42"/>
    </row>
    <row r="135" spans="52:61">
      <c r="AZ135" s="302"/>
      <c r="BA135" s="313"/>
      <c r="BB135" s="167"/>
      <c r="BC135" s="42"/>
      <c r="BD135" s="358"/>
      <c r="BH135" s="302"/>
      <c r="BI135" s="42"/>
    </row>
    <row r="136" spans="52:61">
      <c r="AZ136" s="302"/>
      <c r="BA136" s="313"/>
      <c r="BB136" s="167"/>
      <c r="BC136" s="42"/>
      <c r="BD136" s="358"/>
      <c r="BH136" s="302"/>
      <c r="BI136" s="42"/>
    </row>
    <row r="137" spans="52:61">
      <c r="AZ137" s="302"/>
      <c r="BA137" s="313"/>
      <c r="BB137" s="167"/>
      <c r="BC137" s="42"/>
      <c r="BD137" s="358"/>
      <c r="BH137" s="302"/>
      <c r="BI137" s="42"/>
    </row>
    <row r="138" spans="52:61">
      <c r="AZ138" s="302"/>
      <c r="BA138" s="313"/>
      <c r="BB138" s="167"/>
      <c r="BC138" s="42"/>
      <c r="BD138" s="358"/>
      <c r="BH138" s="302"/>
      <c r="BI138" s="42"/>
    </row>
    <row r="139" spans="52:61">
      <c r="AZ139" s="302"/>
      <c r="BA139" s="313"/>
      <c r="BB139" s="167"/>
      <c r="BC139" s="42"/>
      <c r="BD139" s="358"/>
      <c r="BH139" s="302"/>
      <c r="BI139" s="42"/>
    </row>
    <row r="140" spans="52:61">
      <c r="AZ140" s="302"/>
      <c r="BA140" s="313"/>
      <c r="BB140" s="167"/>
      <c r="BC140" s="42"/>
      <c r="BD140" s="358"/>
      <c r="BH140" s="302"/>
      <c r="BI140" s="42"/>
    </row>
    <row r="141" spans="52:61">
      <c r="AZ141" s="302"/>
      <c r="BA141" s="313"/>
      <c r="BB141" s="167"/>
      <c r="BC141" s="42"/>
      <c r="BD141" s="358"/>
      <c r="BH141" s="302"/>
      <c r="BI141" s="42"/>
    </row>
    <row r="142" spans="52:61">
      <c r="AZ142" s="302"/>
      <c r="BA142" s="313"/>
      <c r="BB142" s="167"/>
      <c r="BC142" s="42"/>
      <c r="BD142" s="358"/>
      <c r="BH142" s="302"/>
      <c r="BI142" s="42"/>
    </row>
    <row r="143" spans="52:61">
      <c r="AZ143" s="302"/>
      <c r="BA143" s="313"/>
      <c r="BB143" s="167"/>
      <c r="BC143" s="42"/>
      <c r="BD143" s="358"/>
      <c r="BH143" s="302"/>
      <c r="BI143" s="42"/>
    </row>
    <row r="144" spans="52:61">
      <c r="AZ144" s="302"/>
      <c r="BA144" s="313"/>
      <c r="BB144" s="167"/>
      <c r="BC144" s="42"/>
      <c r="BD144" s="358"/>
      <c r="BH144" s="302"/>
      <c r="BI144" s="42"/>
    </row>
    <row r="145" spans="52:61">
      <c r="AZ145" s="302"/>
      <c r="BA145" s="313"/>
      <c r="BB145" s="167"/>
      <c r="BC145" s="42"/>
      <c r="BD145" s="358"/>
      <c r="BH145" s="302"/>
      <c r="BI145" s="42"/>
    </row>
    <row r="146" spans="52:61">
      <c r="AZ146" s="302"/>
      <c r="BA146" s="313"/>
      <c r="BB146" s="167"/>
      <c r="BC146" s="42"/>
      <c r="BD146" s="358"/>
      <c r="BH146" s="302"/>
      <c r="BI146" s="42"/>
    </row>
    <row r="147" spans="52:61">
      <c r="AZ147" s="302"/>
      <c r="BA147" s="313"/>
      <c r="BB147" s="167"/>
      <c r="BC147" s="42"/>
      <c r="BD147" s="358"/>
      <c r="BH147" s="302"/>
      <c r="BI147" s="42"/>
    </row>
    <row r="148" spans="52:61">
      <c r="AZ148" s="302"/>
      <c r="BA148" s="313"/>
      <c r="BB148" s="167"/>
      <c r="BC148" s="42"/>
      <c r="BD148" s="358"/>
      <c r="BH148" s="302"/>
      <c r="BI148" s="42"/>
    </row>
    <row r="149" spans="52:61">
      <c r="AZ149" s="302"/>
      <c r="BA149" s="313"/>
      <c r="BB149" s="167"/>
      <c r="BC149" s="42"/>
      <c r="BD149" s="358"/>
      <c r="BH149" s="302"/>
      <c r="BI149" s="42"/>
    </row>
    <row r="150" spans="52:61">
      <c r="AZ150" s="302"/>
      <c r="BA150" s="313"/>
      <c r="BB150" s="167"/>
      <c r="BC150" s="42"/>
      <c r="BD150" s="358"/>
      <c r="BH150" s="302"/>
      <c r="BI150" s="42"/>
    </row>
    <row r="151" spans="52:61">
      <c r="AZ151" s="302"/>
      <c r="BA151" s="313"/>
      <c r="BB151" s="167"/>
      <c r="BC151" s="42"/>
      <c r="BD151" s="358"/>
      <c r="BH151" s="302"/>
      <c r="BI151" s="42"/>
    </row>
    <row r="152" spans="52:61">
      <c r="AZ152" s="302"/>
      <c r="BA152" s="313"/>
      <c r="BB152" s="167"/>
      <c r="BC152" s="42"/>
      <c r="BD152" s="358"/>
      <c r="BH152" s="302"/>
      <c r="BI152" s="42"/>
    </row>
    <row r="153" spans="52:61">
      <c r="AZ153" s="302"/>
      <c r="BA153" s="313"/>
      <c r="BB153" s="167"/>
      <c r="BC153" s="42"/>
      <c r="BD153" s="358"/>
      <c r="BH153" s="302"/>
      <c r="BI153" s="42"/>
    </row>
    <row r="154" spans="52:61">
      <c r="AZ154" s="302"/>
      <c r="BA154" s="313"/>
      <c r="BB154" s="167"/>
      <c r="BC154" s="42"/>
      <c r="BD154" s="358"/>
      <c r="BH154" s="302"/>
      <c r="BI154" s="42"/>
    </row>
    <row r="155" spans="52:61">
      <c r="AZ155" s="302"/>
      <c r="BA155" s="313"/>
      <c r="BB155" s="167"/>
      <c r="BC155" s="42"/>
      <c r="BD155" s="358"/>
      <c r="BH155" s="302"/>
      <c r="BI155" s="42"/>
    </row>
    <row r="156" spans="52:61">
      <c r="AZ156" s="302"/>
      <c r="BA156" s="313"/>
      <c r="BB156" s="167"/>
      <c r="BC156" s="42"/>
      <c r="BD156" s="358"/>
      <c r="BH156" s="302"/>
      <c r="BI156" s="42"/>
    </row>
    <row r="157" spans="52:61">
      <c r="AZ157" s="302"/>
      <c r="BA157" s="313"/>
      <c r="BB157" s="167"/>
      <c r="BC157" s="42"/>
      <c r="BD157" s="358"/>
      <c r="BH157" s="302"/>
      <c r="BI157" s="42"/>
    </row>
    <row r="158" spans="52:61">
      <c r="AZ158" s="302"/>
      <c r="BA158" s="313"/>
      <c r="BB158" s="167"/>
      <c r="BC158" s="42"/>
      <c r="BD158" s="358"/>
      <c r="BH158" s="302"/>
      <c r="BI158" s="42"/>
    </row>
    <row r="159" spans="52:61">
      <c r="AZ159" s="302"/>
      <c r="BA159" s="313"/>
      <c r="BB159" s="167"/>
      <c r="BC159" s="42"/>
      <c r="BD159" s="358"/>
      <c r="BH159" s="302"/>
      <c r="BI159" s="42"/>
    </row>
    <row r="160" spans="52:61">
      <c r="AZ160" s="302"/>
      <c r="BA160" s="313"/>
      <c r="BB160" s="167"/>
      <c r="BC160" s="42"/>
      <c r="BD160" s="358"/>
      <c r="BH160" s="302"/>
      <c r="BI160" s="42"/>
    </row>
    <row r="161" spans="52:61">
      <c r="AZ161" s="302"/>
      <c r="BA161" s="313"/>
      <c r="BB161" s="167"/>
      <c r="BC161" s="42"/>
      <c r="BD161" s="358"/>
      <c r="BH161" s="302"/>
      <c r="BI161" s="42"/>
    </row>
    <row r="162" spans="52:61">
      <c r="AZ162" s="302"/>
      <c r="BA162" s="313"/>
      <c r="BB162" s="167"/>
      <c r="BC162" s="42"/>
      <c r="BD162" s="358"/>
      <c r="BH162" s="302"/>
      <c r="BI162" s="42"/>
    </row>
    <row r="163" spans="52:61">
      <c r="AZ163" s="302"/>
      <c r="BA163" s="313"/>
      <c r="BB163" s="167"/>
      <c r="BC163" s="42"/>
      <c r="BD163" s="358"/>
      <c r="BH163" s="302"/>
      <c r="BI163" s="42"/>
    </row>
    <row r="164" spans="52:61">
      <c r="AZ164" s="302"/>
      <c r="BA164" s="313"/>
      <c r="BB164" s="167"/>
      <c r="BC164" s="42"/>
      <c r="BD164" s="358"/>
      <c r="BH164" s="302"/>
      <c r="BI164" s="42"/>
    </row>
    <row r="165" spans="52:61">
      <c r="AZ165" s="302"/>
      <c r="BA165" s="313"/>
      <c r="BB165" s="167"/>
      <c r="BC165" s="42"/>
      <c r="BD165" s="358"/>
      <c r="BH165" s="302"/>
      <c r="BI165" s="42"/>
    </row>
    <row r="166" spans="52:61">
      <c r="AZ166" s="302"/>
      <c r="BA166" s="313"/>
      <c r="BB166" s="167"/>
      <c r="BC166" s="42"/>
      <c r="BD166" s="358"/>
      <c r="BH166" s="302"/>
      <c r="BI166" s="42"/>
    </row>
    <row r="167" spans="52:61">
      <c r="AZ167" s="302"/>
      <c r="BA167" s="313"/>
      <c r="BB167" s="167"/>
      <c r="BC167" s="42"/>
      <c r="BD167" s="358"/>
      <c r="BH167" s="302"/>
      <c r="BI167" s="42"/>
    </row>
    <row r="168" spans="52:61">
      <c r="AZ168" s="302"/>
      <c r="BA168" s="313"/>
      <c r="BB168" s="167"/>
      <c r="BC168" s="42"/>
      <c r="BD168" s="358"/>
      <c r="BH168" s="302"/>
      <c r="BI168" s="42"/>
    </row>
    <row r="169" spans="52:61">
      <c r="AZ169" s="302"/>
      <c r="BA169" s="313"/>
      <c r="BB169" s="167"/>
      <c r="BC169" s="42"/>
      <c r="BD169" s="358"/>
      <c r="BH169" s="302"/>
      <c r="BI169" s="42"/>
    </row>
    <row r="170" spans="52:61">
      <c r="AZ170" s="302"/>
      <c r="BA170" s="313"/>
      <c r="BB170" s="167"/>
      <c r="BC170" s="42"/>
      <c r="BD170" s="358"/>
      <c r="BH170" s="302"/>
      <c r="BI170" s="42"/>
    </row>
    <row r="171" spans="52:61">
      <c r="AZ171" s="302"/>
      <c r="BA171" s="313"/>
      <c r="BB171" s="167"/>
      <c r="BC171" s="42"/>
      <c r="BD171" s="358"/>
      <c r="BH171" s="302"/>
      <c r="BI171" s="42"/>
    </row>
    <row r="172" spans="52:61">
      <c r="AZ172" s="302"/>
      <c r="BA172" s="313"/>
      <c r="BB172" s="167"/>
      <c r="BC172" s="42"/>
      <c r="BD172" s="358"/>
      <c r="BH172" s="302"/>
      <c r="BI172" s="42"/>
    </row>
    <row r="173" spans="52:61">
      <c r="AZ173" s="302"/>
      <c r="BA173" s="313"/>
      <c r="BB173" s="167"/>
      <c r="BC173" s="42"/>
      <c r="BD173" s="358"/>
      <c r="BH173" s="302"/>
      <c r="BI173" s="42"/>
    </row>
    <row r="174" spans="52:61">
      <c r="AZ174" s="302"/>
      <c r="BA174" s="313"/>
      <c r="BB174" s="167"/>
      <c r="BC174" s="42"/>
      <c r="BD174" s="358"/>
      <c r="BH174" s="302"/>
      <c r="BI174" s="42"/>
    </row>
    <row r="175" spans="52:61">
      <c r="AZ175" s="302"/>
      <c r="BA175" s="313"/>
      <c r="BB175" s="167"/>
      <c r="BC175" s="42"/>
      <c r="BD175" s="358"/>
      <c r="BH175" s="302"/>
      <c r="BI175" s="42"/>
    </row>
    <row r="176" spans="52:61">
      <c r="AZ176" s="302"/>
      <c r="BA176" s="313"/>
      <c r="BB176" s="167"/>
      <c r="BC176" s="42"/>
      <c r="BD176" s="358"/>
      <c r="BH176" s="302"/>
      <c r="BI176" s="42"/>
    </row>
    <row r="177" spans="52:61">
      <c r="AZ177" s="302"/>
      <c r="BA177" s="313"/>
      <c r="BB177" s="167"/>
      <c r="BC177" s="42"/>
      <c r="BD177" s="358"/>
      <c r="BH177" s="302"/>
      <c r="BI177" s="42"/>
    </row>
    <row r="178" spans="52:61">
      <c r="AZ178" s="302"/>
      <c r="BA178" s="313"/>
      <c r="BB178" s="167"/>
      <c r="BC178" s="42"/>
      <c r="BD178" s="358"/>
      <c r="BH178" s="302"/>
      <c r="BI178" s="42"/>
    </row>
    <row r="179" spans="52:61">
      <c r="AZ179" s="302"/>
      <c r="BA179" s="313"/>
      <c r="BB179" s="167"/>
      <c r="BC179" s="42"/>
      <c r="BD179" s="358"/>
      <c r="BH179" s="302"/>
      <c r="BI179" s="42"/>
    </row>
    <row r="180" spans="52:61">
      <c r="AZ180" s="302"/>
      <c r="BA180" s="313"/>
      <c r="BB180" s="167"/>
      <c r="BC180" s="42"/>
      <c r="BD180" s="358"/>
      <c r="BH180" s="302"/>
      <c r="BI180" s="42"/>
    </row>
    <row r="181" spans="52:61">
      <c r="AZ181" s="302"/>
      <c r="BA181" s="313"/>
      <c r="BB181" s="167"/>
      <c r="BC181" s="42"/>
      <c r="BD181" s="358"/>
      <c r="BH181" s="302"/>
      <c r="BI181" s="42"/>
    </row>
    <row r="182" spans="52:61">
      <c r="AZ182" s="302"/>
      <c r="BA182" s="313"/>
      <c r="BB182" s="167"/>
      <c r="BC182" s="42"/>
      <c r="BD182" s="358"/>
      <c r="BH182" s="302"/>
      <c r="BI182" s="42"/>
    </row>
    <row r="183" spans="52:61">
      <c r="AZ183" s="302"/>
      <c r="BA183" s="313"/>
      <c r="BB183" s="167"/>
      <c r="BC183" s="42"/>
      <c r="BD183" s="358"/>
      <c r="BH183" s="302"/>
      <c r="BI183" s="42"/>
    </row>
    <row r="184" spans="52:61">
      <c r="AZ184" s="302"/>
      <c r="BA184" s="313"/>
      <c r="BB184" s="167"/>
      <c r="BC184" s="42"/>
      <c r="BD184" s="358"/>
      <c r="BH184" s="302"/>
      <c r="BI184" s="42"/>
    </row>
    <row r="185" spans="52:61">
      <c r="AZ185" s="302"/>
      <c r="BA185" s="313"/>
      <c r="BB185" s="167"/>
      <c r="BC185" s="42"/>
      <c r="BD185" s="358"/>
      <c r="BH185" s="302"/>
      <c r="BI185" s="42"/>
    </row>
    <row r="186" spans="52:61">
      <c r="AZ186" s="302"/>
      <c r="BA186" s="313"/>
      <c r="BB186" s="167"/>
      <c r="BC186" s="42"/>
      <c r="BD186" s="358"/>
      <c r="BH186" s="302"/>
      <c r="BI186" s="42"/>
    </row>
    <row r="187" spans="52:61">
      <c r="AZ187" s="302"/>
      <c r="BA187" s="313"/>
      <c r="BB187" s="167"/>
      <c r="BC187" s="42"/>
      <c r="BD187" s="358"/>
      <c r="BH187" s="302"/>
      <c r="BI187" s="42"/>
    </row>
    <row r="188" spans="52:61">
      <c r="AZ188" s="302"/>
      <c r="BA188" s="313"/>
      <c r="BB188" s="167"/>
      <c r="BC188" s="42"/>
      <c r="BD188" s="358"/>
      <c r="BH188" s="302"/>
      <c r="BI188" s="42"/>
    </row>
    <row r="189" spans="52:61">
      <c r="AZ189" s="302"/>
      <c r="BA189" s="313"/>
      <c r="BB189" s="167"/>
      <c r="BC189" s="42"/>
      <c r="BD189" s="358"/>
      <c r="BH189" s="302"/>
      <c r="BI189" s="42"/>
    </row>
    <row r="190" spans="52:61">
      <c r="AZ190" s="302"/>
      <c r="BA190" s="313"/>
      <c r="BB190" s="167"/>
      <c r="BC190" s="42"/>
      <c r="BD190" s="358"/>
      <c r="BH190" s="302"/>
      <c r="BI190" s="42"/>
    </row>
    <row r="191" spans="52:61">
      <c r="AZ191" s="302"/>
      <c r="BA191" s="313"/>
      <c r="BB191" s="167"/>
      <c r="BC191" s="42"/>
      <c r="BD191" s="358"/>
      <c r="BH191" s="302"/>
      <c r="BI191" s="42"/>
    </row>
    <row r="192" spans="52:61">
      <c r="AZ192" s="302"/>
      <c r="BA192" s="313"/>
      <c r="BB192" s="167"/>
      <c r="BC192" s="42"/>
      <c r="BD192" s="358"/>
      <c r="BH192" s="302"/>
      <c r="BI192" s="42"/>
    </row>
    <row r="193" spans="52:61">
      <c r="AZ193" s="302"/>
      <c r="BA193" s="313"/>
      <c r="BB193" s="167"/>
      <c r="BC193" s="42"/>
      <c r="BD193" s="358"/>
      <c r="BH193" s="302"/>
      <c r="BI193" s="42"/>
    </row>
    <row r="194" spans="52:61">
      <c r="AZ194" s="302"/>
      <c r="BA194" s="313"/>
      <c r="BB194" s="167"/>
      <c r="BC194" s="42"/>
      <c r="BD194" s="358"/>
      <c r="BH194" s="302"/>
      <c r="BI194" s="42"/>
    </row>
    <row r="195" spans="52:61">
      <c r="AZ195" s="302"/>
      <c r="BA195" s="313"/>
      <c r="BB195" s="167"/>
      <c r="BC195" s="42"/>
      <c r="BD195" s="358"/>
      <c r="BH195" s="302"/>
      <c r="BI195" s="42"/>
    </row>
    <row r="196" spans="52:61">
      <c r="AZ196" s="302"/>
      <c r="BA196" s="313"/>
      <c r="BB196" s="167"/>
      <c r="BC196" s="42"/>
      <c r="BD196" s="358"/>
      <c r="BH196" s="302"/>
      <c r="BI196" s="42"/>
    </row>
    <row r="197" spans="52:61">
      <c r="AZ197" s="302"/>
      <c r="BA197" s="313"/>
      <c r="BB197" s="167"/>
      <c r="BC197" s="42"/>
      <c r="BD197" s="358"/>
      <c r="BH197" s="302"/>
      <c r="BI197" s="42"/>
    </row>
    <row r="198" spans="52:61">
      <c r="AZ198" s="302"/>
      <c r="BA198" s="313"/>
      <c r="BB198" s="167"/>
      <c r="BC198" s="42"/>
      <c r="BD198" s="358"/>
      <c r="BH198" s="302"/>
      <c r="BI198" s="42"/>
    </row>
    <row r="199" spans="52:61">
      <c r="AZ199" s="302"/>
      <c r="BA199" s="313"/>
      <c r="BB199" s="167"/>
      <c r="BC199" s="42"/>
      <c r="BD199" s="358"/>
      <c r="BH199" s="302"/>
      <c r="BI199" s="42"/>
    </row>
    <row r="200" spans="52:61">
      <c r="AZ200" s="302"/>
      <c r="BA200" s="313"/>
      <c r="BB200" s="167"/>
      <c r="BC200" s="42"/>
      <c r="BD200" s="358"/>
      <c r="BH200" s="302"/>
      <c r="BI200" s="42"/>
    </row>
    <row r="201" spans="52:61">
      <c r="AZ201" s="302"/>
      <c r="BA201" s="313"/>
      <c r="BB201" s="167"/>
      <c r="BC201" s="42"/>
      <c r="BD201" s="358"/>
      <c r="BH201" s="302"/>
      <c r="BI201" s="42"/>
    </row>
    <row r="202" spans="52:61">
      <c r="AZ202" s="302"/>
      <c r="BA202" s="313"/>
      <c r="BB202" s="167"/>
      <c r="BC202" s="42"/>
      <c r="BD202" s="358"/>
      <c r="BH202" s="302"/>
      <c r="BI202" s="42"/>
    </row>
    <row r="203" spans="52:61">
      <c r="AZ203" s="302"/>
      <c r="BA203" s="313"/>
      <c r="BB203" s="167"/>
      <c r="BC203" s="42"/>
      <c r="BD203" s="358"/>
      <c r="BH203" s="302"/>
      <c r="BI203" s="42"/>
    </row>
    <row r="204" spans="52:61">
      <c r="AZ204" s="302"/>
      <c r="BA204" s="313"/>
      <c r="BB204" s="167"/>
      <c r="BC204" s="42"/>
      <c r="BD204" s="358"/>
      <c r="BH204" s="302"/>
      <c r="BI204" s="42"/>
    </row>
    <row r="205" spans="52:61">
      <c r="AZ205" s="302"/>
      <c r="BA205" s="313"/>
      <c r="BB205" s="167"/>
      <c r="BC205" s="42"/>
      <c r="BD205" s="358"/>
      <c r="BH205" s="302"/>
      <c r="BI205" s="42"/>
    </row>
    <row r="206" spans="52:61">
      <c r="AZ206" s="302"/>
      <c r="BA206" s="313"/>
      <c r="BB206" s="167"/>
      <c r="BC206" s="42"/>
      <c r="BD206" s="358"/>
      <c r="BH206" s="302"/>
      <c r="BI206" s="42"/>
    </row>
    <row r="207" spans="52:61">
      <c r="AZ207" s="302"/>
      <c r="BA207" s="313"/>
      <c r="BB207" s="167"/>
      <c r="BC207" s="42"/>
      <c r="BD207" s="358"/>
      <c r="BH207" s="302"/>
      <c r="BI207" s="42"/>
    </row>
    <row r="208" spans="52:61">
      <c r="AZ208" s="302"/>
      <c r="BA208" s="313"/>
      <c r="BB208" s="167"/>
      <c r="BC208" s="42"/>
      <c r="BD208" s="358"/>
      <c r="BH208" s="302"/>
      <c r="BI208" s="42"/>
    </row>
    <row r="209" spans="52:61">
      <c r="AZ209" s="302"/>
      <c r="BA209" s="313"/>
      <c r="BB209" s="167"/>
      <c r="BC209" s="42"/>
      <c r="BD209" s="358"/>
      <c r="BH209" s="302"/>
      <c r="BI209" s="42"/>
    </row>
    <row r="210" spans="52:61">
      <c r="AZ210" s="302"/>
      <c r="BA210" s="313"/>
      <c r="BB210" s="167"/>
      <c r="BC210" s="42"/>
      <c r="BD210" s="358"/>
      <c r="BH210" s="302"/>
      <c r="BI210" s="42"/>
    </row>
    <row r="211" spans="52:61">
      <c r="AZ211" s="302"/>
      <c r="BA211" s="313"/>
      <c r="BB211" s="167"/>
      <c r="BC211" s="42"/>
      <c r="BD211" s="358"/>
      <c r="BH211" s="302"/>
      <c r="BI211" s="42"/>
    </row>
    <row r="212" spans="52:61">
      <c r="AZ212" s="302"/>
      <c r="BA212" s="313"/>
      <c r="BB212" s="167"/>
      <c r="BC212" s="42"/>
      <c r="BD212" s="358"/>
      <c r="BH212" s="302"/>
      <c r="BI212" s="42"/>
    </row>
    <row r="213" spans="52:61">
      <c r="AZ213" s="302"/>
      <c r="BA213" s="313"/>
      <c r="BB213" s="167"/>
      <c r="BC213" s="42"/>
      <c r="BD213" s="358"/>
      <c r="BH213" s="302"/>
      <c r="BI213" s="42"/>
    </row>
    <row r="214" spans="52:61">
      <c r="AZ214" s="302"/>
      <c r="BA214" s="313"/>
      <c r="BB214" s="167"/>
      <c r="BC214" s="42"/>
      <c r="BD214" s="358"/>
      <c r="BH214" s="302"/>
      <c r="BI214" s="42"/>
    </row>
    <row r="215" spans="52:61">
      <c r="AZ215" s="302"/>
      <c r="BA215" s="313"/>
      <c r="BB215" s="167"/>
      <c r="BC215" s="42"/>
      <c r="BD215" s="358"/>
      <c r="BH215" s="302"/>
      <c r="BI215" s="42"/>
    </row>
    <row r="216" spans="52:61">
      <c r="AZ216" s="302"/>
      <c r="BA216" s="313"/>
      <c r="BB216" s="167"/>
      <c r="BC216" s="42"/>
      <c r="BD216" s="358"/>
      <c r="BH216" s="302"/>
      <c r="BI216" s="42"/>
    </row>
    <row r="217" spans="52:61">
      <c r="AZ217" s="302"/>
      <c r="BA217" s="313"/>
      <c r="BB217" s="167"/>
      <c r="BC217" s="42"/>
      <c r="BD217" s="358"/>
      <c r="BH217" s="302"/>
      <c r="BI217" s="42"/>
    </row>
    <row r="218" spans="52:61">
      <c r="AZ218" s="302"/>
      <c r="BA218" s="313"/>
      <c r="BB218" s="167"/>
      <c r="BC218" s="42"/>
      <c r="BD218" s="358"/>
      <c r="BH218" s="302"/>
      <c r="BI218" s="42"/>
    </row>
    <row r="219" spans="52:61">
      <c r="AZ219" s="302"/>
      <c r="BA219" s="313"/>
      <c r="BB219" s="167"/>
      <c r="BC219" s="42"/>
      <c r="BD219" s="358"/>
      <c r="BH219" s="302"/>
      <c r="BI219" s="42"/>
    </row>
    <row r="220" spans="52:61">
      <c r="AZ220" s="302"/>
      <c r="BA220" s="313"/>
      <c r="BB220" s="167"/>
      <c r="BC220" s="42"/>
      <c r="BD220" s="358"/>
      <c r="BH220" s="302"/>
      <c r="BI220" s="42"/>
    </row>
    <row r="221" spans="52:61">
      <c r="AZ221" s="302"/>
      <c r="BA221" s="313"/>
      <c r="BB221" s="167"/>
      <c r="BC221" s="42"/>
      <c r="BD221" s="358"/>
      <c r="BH221" s="302"/>
      <c r="BI221" s="42"/>
    </row>
    <row r="222" spans="52:61">
      <c r="AZ222" s="302"/>
      <c r="BA222" s="313"/>
      <c r="BB222" s="167"/>
      <c r="BC222" s="42"/>
      <c r="BD222" s="358"/>
      <c r="BH222" s="302"/>
      <c r="BI222" s="42"/>
    </row>
    <row r="223" spans="52:61">
      <c r="AZ223" s="302"/>
      <c r="BA223" s="313"/>
      <c r="BB223" s="167"/>
      <c r="BC223" s="42"/>
      <c r="BD223" s="358"/>
      <c r="BH223" s="302"/>
      <c r="BI223" s="42"/>
    </row>
    <row r="224" spans="52:61">
      <c r="AZ224" s="302"/>
      <c r="BA224" s="313"/>
      <c r="BB224" s="167"/>
      <c r="BC224" s="42"/>
      <c r="BD224" s="358"/>
      <c r="BH224" s="302"/>
      <c r="BI224" s="42"/>
    </row>
    <row r="225" spans="52:61">
      <c r="AZ225" s="302"/>
      <c r="BA225" s="313"/>
      <c r="BB225" s="167"/>
      <c r="BC225" s="42"/>
      <c r="BD225" s="358"/>
      <c r="BH225" s="302"/>
      <c r="BI225" s="42"/>
    </row>
    <row r="226" spans="52:61">
      <c r="AZ226" s="302"/>
      <c r="BA226" s="313"/>
      <c r="BB226" s="167"/>
      <c r="BC226" s="42"/>
      <c r="BD226" s="358"/>
      <c r="BH226" s="302"/>
      <c r="BI226" s="42"/>
    </row>
    <row r="227" spans="52:61">
      <c r="AZ227" s="302"/>
      <c r="BA227" s="313"/>
      <c r="BB227" s="167"/>
      <c r="BC227" s="42"/>
      <c r="BD227" s="358"/>
      <c r="BH227" s="302"/>
      <c r="BI227" s="42"/>
    </row>
    <row r="228" spans="52:61">
      <c r="AZ228" s="302"/>
      <c r="BA228" s="313"/>
      <c r="BB228" s="167"/>
      <c r="BC228" s="42"/>
      <c r="BD228" s="358"/>
      <c r="BH228" s="302"/>
      <c r="BI228" s="42"/>
    </row>
    <row r="229" spans="52:61">
      <c r="AZ229" s="302"/>
      <c r="BA229" s="313"/>
      <c r="BB229" s="167"/>
      <c r="BC229" s="42"/>
      <c r="BD229" s="358"/>
      <c r="BH229" s="302"/>
      <c r="BI229" s="42"/>
    </row>
    <row r="230" spans="52:61">
      <c r="AZ230" s="302"/>
      <c r="BA230" s="313"/>
      <c r="BB230" s="167"/>
      <c r="BC230" s="42"/>
      <c r="BD230" s="358"/>
      <c r="BH230" s="302"/>
      <c r="BI230" s="42"/>
    </row>
    <row r="231" spans="52:61">
      <c r="AZ231" s="302"/>
      <c r="BA231" s="313"/>
      <c r="BB231" s="167"/>
      <c r="BC231" s="42"/>
      <c r="BD231" s="358"/>
      <c r="BH231" s="302"/>
      <c r="BI231" s="42"/>
    </row>
    <row r="232" spans="52:61">
      <c r="AZ232" s="302"/>
      <c r="BA232" s="313"/>
      <c r="BB232" s="167"/>
      <c r="BC232" s="42"/>
      <c r="BD232" s="358"/>
      <c r="BH232" s="302"/>
      <c r="BI232" s="42"/>
    </row>
    <row r="233" spans="52:61">
      <c r="AZ233" s="302"/>
      <c r="BA233" s="313"/>
      <c r="BB233" s="167"/>
      <c r="BC233" s="42"/>
      <c r="BD233" s="358"/>
      <c r="BH233" s="302"/>
      <c r="BI233" s="42"/>
    </row>
    <row r="234" spans="52:61">
      <c r="AZ234" s="302"/>
      <c r="BA234" s="313"/>
      <c r="BB234" s="167"/>
      <c r="BC234" s="42"/>
      <c r="BD234" s="358"/>
      <c r="BH234" s="302"/>
      <c r="BI234" s="42"/>
    </row>
    <row r="235" spans="52:61">
      <c r="AZ235" s="302"/>
      <c r="BA235" s="313"/>
      <c r="BB235" s="167"/>
      <c r="BC235" s="42"/>
      <c r="BD235" s="358"/>
      <c r="BH235" s="302"/>
      <c r="BI235" s="42"/>
    </row>
    <row r="236" spans="52:61">
      <c r="AZ236" s="302"/>
      <c r="BA236" s="313"/>
      <c r="BB236" s="167"/>
      <c r="BC236" s="42"/>
      <c r="BD236" s="358"/>
      <c r="BH236" s="302"/>
      <c r="BI236" s="42"/>
    </row>
    <row r="237" spans="52:61">
      <c r="AZ237" s="302"/>
      <c r="BA237" s="313"/>
      <c r="BB237" s="167"/>
      <c r="BC237" s="42"/>
      <c r="BD237" s="358"/>
      <c r="BH237" s="302"/>
      <c r="BI237" s="42"/>
    </row>
    <row r="238" spans="52:61">
      <c r="AZ238" s="302"/>
      <c r="BA238" s="313"/>
      <c r="BB238" s="167"/>
      <c r="BC238" s="42"/>
      <c r="BD238" s="358"/>
      <c r="BH238" s="302"/>
      <c r="BI238" s="42"/>
    </row>
    <row r="239" spans="52:61">
      <c r="AZ239" s="302"/>
      <c r="BA239" s="313"/>
      <c r="BB239" s="167"/>
      <c r="BC239" s="42"/>
      <c r="BD239" s="358"/>
      <c r="BH239" s="302"/>
      <c r="BI239" s="42"/>
    </row>
    <row r="240" spans="52:61">
      <c r="AZ240" s="302"/>
      <c r="BA240" s="313"/>
      <c r="BB240" s="167"/>
      <c r="BC240" s="42"/>
      <c r="BD240" s="358"/>
      <c r="BH240" s="302"/>
      <c r="BI240" s="42"/>
    </row>
    <row r="241" spans="52:61">
      <c r="AZ241" s="302"/>
      <c r="BA241" s="313"/>
      <c r="BB241" s="167"/>
      <c r="BC241" s="42"/>
      <c r="BD241" s="358"/>
      <c r="BH241" s="302"/>
      <c r="BI241" s="42"/>
    </row>
    <row r="242" spans="52:61">
      <c r="AZ242" s="302"/>
      <c r="BA242" s="313"/>
      <c r="BB242" s="167"/>
      <c r="BC242" s="42"/>
      <c r="BD242" s="358"/>
      <c r="BH242" s="302"/>
      <c r="BI242" s="42"/>
    </row>
    <row r="243" spans="52:61">
      <c r="AZ243" s="302"/>
      <c r="BA243" s="313"/>
      <c r="BB243" s="167"/>
      <c r="BC243" s="42"/>
      <c r="BD243" s="358"/>
      <c r="BH243" s="302"/>
      <c r="BI243" s="42"/>
    </row>
    <row r="244" spans="52:61">
      <c r="AZ244" s="302"/>
      <c r="BA244" s="313"/>
      <c r="BB244" s="167"/>
      <c r="BC244" s="42"/>
      <c r="BD244" s="358"/>
      <c r="BH244" s="302"/>
      <c r="BI244" s="42"/>
    </row>
    <row r="245" spans="52:61">
      <c r="AZ245" s="302"/>
      <c r="BA245" s="313"/>
      <c r="BB245" s="167"/>
      <c r="BC245" s="42"/>
      <c r="BD245" s="358"/>
      <c r="BH245" s="302"/>
      <c r="BI245" s="42"/>
    </row>
    <row r="246" spans="52:61">
      <c r="AZ246" s="302"/>
      <c r="BA246" s="313"/>
      <c r="BB246" s="167"/>
      <c r="BC246" s="42"/>
      <c r="BD246" s="358"/>
      <c r="BH246" s="302"/>
      <c r="BI246" s="42"/>
    </row>
    <row r="247" spans="52:61">
      <c r="AZ247" s="302"/>
      <c r="BA247" s="313"/>
      <c r="BB247" s="167"/>
      <c r="BC247" s="42"/>
      <c r="BD247" s="358"/>
      <c r="BH247" s="302"/>
      <c r="BI247" s="42"/>
    </row>
    <row r="248" spans="52:61">
      <c r="AZ248" s="302"/>
      <c r="BA248" s="313"/>
      <c r="BB248" s="167"/>
      <c r="BC248" s="42"/>
      <c r="BD248" s="358"/>
      <c r="BH248" s="302"/>
      <c r="BI248" s="42"/>
    </row>
    <row r="249" spans="52:61">
      <c r="AZ249" s="302"/>
      <c r="BA249" s="313"/>
      <c r="BB249" s="167"/>
      <c r="BC249" s="42"/>
      <c r="BD249" s="358"/>
      <c r="BH249" s="302"/>
      <c r="BI249" s="42"/>
    </row>
    <row r="250" spans="52:61">
      <c r="AZ250" s="302"/>
      <c r="BA250" s="313"/>
      <c r="BB250" s="167"/>
      <c r="BC250" s="42"/>
      <c r="BD250" s="358"/>
      <c r="BH250" s="302"/>
      <c r="BI250" s="42"/>
    </row>
    <row r="251" spans="52:61">
      <c r="AZ251" s="302"/>
      <c r="BA251" s="313"/>
      <c r="BB251" s="167"/>
      <c r="BC251" s="42"/>
      <c r="BD251" s="358"/>
      <c r="BH251" s="302"/>
      <c r="BI251" s="42"/>
    </row>
    <row r="252" spans="52:61">
      <c r="AZ252" s="302"/>
      <c r="BA252" s="313"/>
      <c r="BB252" s="167"/>
      <c r="BC252" s="42"/>
      <c r="BD252" s="358"/>
      <c r="BH252" s="302"/>
      <c r="BI252" s="42"/>
    </row>
    <row r="253" spans="52:61">
      <c r="AZ253" s="302"/>
      <c r="BA253" s="313"/>
      <c r="BB253" s="167"/>
      <c r="BC253" s="42"/>
      <c r="BD253" s="358"/>
      <c r="BH253" s="302"/>
      <c r="BI253" s="42"/>
    </row>
    <row r="254" spans="52:61">
      <c r="AZ254" s="302"/>
      <c r="BA254" s="313"/>
      <c r="BB254" s="167"/>
      <c r="BC254" s="42"/>
      <c r="BD254" s="358"/>
      <c r="BH254" s="302"/>
      <c r="BI254" s="42"/>
    </row>
    <row r="255" spans="52:61">
      <c r="AZ255" s="302"/>
      <c r="BA255" s="313"/>
      <c r="BB255" s="167"/>
      <c r="BC255" s="42"/>
      <c r="BD255" s="358"/>
      <c r="BH255" s="302"/>
      <c r="BI255" s="42"/>
    </row>
    <row r="256" spans="52:61">
      <c r="AZ256" s="302"/>
      <c r="BA256" s="313"/>
      <c r="BB256" s="167"/>
      <c r="BC256" s="42"/>
      <c r="BD256" s="358"/>
      <c r="BH256" s="302"/>
      <c r="BI256" s="42"/>
    </row>
    <row r="257" spans="52:61">
      <c r="AZ257" s="302"/>
      <c r="BA257" s="313"/>
      <c r="BB257" s="167"/>
      <c r="BC257" s="42"/>
      <c r="BD257" s="358"/>
      <c r="BH257" s="302"/>
      <c r="BI257" s="42"/>
    </row>
    <row r="258" spans="52:61">
      <c r="AZ258" s="302"/>
      <c r="BA258" s="313"/>
      <c r="BB258" s="167"/>
      <c r="BC258" s="42"/>
      <c r="BD258" s="358"/>
      <c r="BH258" s="302"/>
      <c r="BI258" s="42"/>
    </row>
    <row r="259" spans="52:61">
      <c r="AZ259" s="302"/>
      <c r="BA259" s="313"/>
      <c r="BB259" s="167"/>
      <c r="BC259" s="42"/>
      <c r="BD259" s="358"/>
      <c r="BH259" s="302"/>
      <c r="BI259" s="42"/>
    </row>
    <row r="260" spans="52:61">
      <c r="AZ260" s="302"/>
      <c r="BA260" s="313"/>
      <c r="BB260" s="167"/>
      <c r="BC260" s="42"/>
      <c r="BD260" s="358"/>
      <c r="BH260" s="302"/>
      <c r="BI260" s="42"/>
    </row>
    <row r="261" spans="52:61">
      <c r="AZ261" s="302"/>
      <c r="BA261" s="313"/>
      <c r="BB261" s="167"/>
      <c r="BC261" s="42"/>
      <c r="BD261" s="358"/>
      <c r="BH261" s="302"/>
      <c r="BI261" s="42"/>
    </row>
    <row r="262" spans="52:61">
      <c r="AZ262" s="302"/>
      <c r="BA262" s="313"/>
      <c r="BB262" s="167"/>
      <c r="BC262" s="42"/>
      <c r="BD262" s="358"/>
      <c r="BH262" s="302"/>
      <c r="BI262" s="42"/>
    </row>
    <row r="263" spans="52:61">
      <c r="AZ263" s="302"/>
      <c r="BA263" s="313"/>
      <c r="BB263" s="167"/>
      <c r="BC263" s="42"/>
      <c r="BD263" s="358"/>
      <c r="BH263" s="302"/>
      <c r="BI263" s="42"/>
    </row>
    <row r="264" spans="52:61">
      <c r="AZ264" s="302"/>
      <c r="BA264" s="313"/>
      <c r="BB264" s="167"/>
      <c r="BC264" s="42"/>
      <c r="BD264" s="358"/>
      <c r="BH264" s="302"/>
      <c r="BI264" s="42"/>
    </row>
    <row r="265" spans="52:61">
      <c r="AZ265" s="302"/>
      <c r="BA265" s="313"/>
      <c r="BB265" s="167"/>
      <c r="BC265" s="42"/>
      <c r="BD265" s="358"/>
      <c r="BH265" s="302"/>
      <c r="BI265" s="42"/>
    </row>
    <row r="266" spans="52:61">
      <c r="AZ266" s="302"/>
      <c r="BA266" s="313"/>
      <c r="BB266" s="167"/>
      <c r="BC266" s="42"/>
      <c r="BD266" s="358"/>
      <c r="BH266" s="302"/>
      <c r="BI266" s="42"/>
    </row>
    <row r="267" spans="52:61">
      <c r="AZ267" s="302"/>
      <c r="BA267" s="313"/>
      <c r="BB267" s="167"/>
      <c r="BC267" s="42"/>
      <c r="BD267" s="358"/>
      <c r="BH267" s="302"/>
      <c r="BI267" s="42"/>
    </row>
    <row r="268" spans="52:61">
      <c r="AZ268" s="302"/>
      <c r="BA268" s="313"/>
      <c r="BB268" s="167"/>
      <c r="BC268" s="42"/>
      <c r="BD268" s="358"/>
      <c r="BH268" s="302"/>
      <c r="BI268" s="42"/>
    </row>
    <row r="269" spans="52:61">
      <c r="AZ269" s="302"/>
      <c r="BA269" s="313"/>
      <c r="BB269" s="167"/>
      <c r="BC269" s="42"/>
      <c r="BD269" s="358"/>
      <c r="BH269" s="302"/>
      <c r="BI269" s="42"/>
    </row>
    <row r="270" spans="52:61">
      <c r="AZ270" s="302"/>
      <c r="BA270" s="313"/>
      <c r="BB270" s="167"/>
      <c r="BC270" s="42"/>
      <c r="BD270" s="358"/>
      <c r="BH270" s="302"/>
      <c r="BI270" s="42"/>
    </row>
    <row r="271" spans="52:61">
      <c r="AZ271" s="302"/>
      <c r="BA271" s="313"/>
      <c r="BB271" s="167"/>
      <c r="BC271" s="42"/>
      <c r="BD271" s="358"/>
      <c r="BH271" s="302"/>
      <c r="BI271" s="42"/>
    </row>
    <row r="272" spans="52:61">
      <c r="AZ272" s="302"/>
      <c r="BA272" s="313"/>
      <c r="BB272" s="167"/>
      <c r="BC272" s="42"/>
      <c r="BD272" s="358"/>
      <c r="BH272" s="302"/>
      <c r="BI272" s="42"/>
    </row>
    <row r="273" spans="52:61">
      <c r="AZ273" s="302"/>
      <c r="BA273" s="313"/>
      <c r="BB273" s="167"/>
      <c r="BC273" s="42"/>
      <c r="BD273" s="358"/>
      <c r="BH273" s="302"/>
      <c r="BI273" s="42"/>
    </row>
    <row r="274" spans="52:61">
      <c r="AZ274" s="302"/>
      <c r="BA274" s="313"/>
      <c r="BB274" s="167"/>
      <c r="BC274" s="42"/>
      <c r="BD274" s="358"/>
      <c r="BH274" s="302"/>
      <c r="BI274" s="42"/>
    </row>
    <row r="275" spans="52:61">
      <c r="AZ275" s="302"/>
      <c r="BA275" s="313"/>
      <c r="BB275" s="167"/>
      <c r="BC275" s="42"/>
      <c r="BD275" s="358"/>
      <c r="BH275" s="302"/>
      <c r="BI275" s="42"/>
    </row>
    <row r="276" spans="52:61">
      <c r="AZ276" s="302"/>
      <c r="BA276" s="313"/>
      <c r="BB276" s="167"/>
      <c r="BC276" s="42"/>
      <c r="BD276" s="358"/>
      <c r="BH276" s="302"/>
      <c r="BI276" s="42"/>
    </row>
    <row r="277" spans="52:61">
      <c r="AZ277" s="302"/>
      <c r="BA277" s="313"/>
      <c r="BB277" s="167"/>
      <c r="BC277" s="42"/>
      <c r="BD277" s="358"/>
      <c r="BH277" s="302"/>
      <c r="BI277" s="42"/>
    </row>
    <row r="278" spans="52:61">
      <c r="AZ278" s="302"/>
      <c r="BA278" s="313"/>
      <c r="BB278" s="167"/>
      <c r="BC278" s="42"/>
      <c r="BD278" s="358"/>
      <c r="BH278" s="302"/>
      <c r="BI278" s="42"/>
    </row>
    <row r="279" spans="52:61">
      <c r="AZ279" s="302"/>
      <c r="BA279" s="313"/>
      <c r="BB279" s="167"/>
      <c r="BC279" s="42"/>
      <c r="BD279" s="358"/>
      <c r="BH279" s="302"/>
      <c r="BI279" s="42"/>
    </row>
    <row r="280" spans="52:61">
      <c r="AZ280" s="302"/>
      <c r="BA280" s="313"/>
      <c r="BB280" s="167"/>
      <c r="BC280" s="42"/>
      <c r="BD280" s="358"/>
      <c r="BH280" s="302"/>
      <c r="BI280" s="42"/>
    </row>
    <row r="281" spans="52:61">
      <c r="AZ281" s="302"/>
      <c r="BA281" s="313"/>
      <c r="BB281" s="167"/>
      <c r="BC281" s="42"/>
      <c r="BD281" s="358"/>
      <c r="BH281" s="302"/>
      <c r="BI281" s="42"/>
    </row>
    <row r="282" spans="52:61">
      <c r="AZ282" s="302"/>
      <c r="BA282" s="313"/>
      <c r="BB282" s="167"/>
      <c r="BC282" s="42"/>
      <c r="BD282" s="358"/>
      <c r="BH282" s="302"/>
      <c r="BI282" s="42"/>
    </row>
    <row r="283" spans="52:61">
      <c r="AZ283" s="302"/>
      <c r="BA283" s="313"/>
      <c r="BB283" s="167"/>
      <c r="BC283" s="42"/>
      <c r="BD283" s="358"/>
      <c r="BH283" s="302"/>
      <c r="BI283" s="42"/>
    </row>
    <row r="284" spans="52:61">
      <c r="AZ284" s="302"/>
      <c r="BA284" s="313"/>
      <c r="BB284" s="167"/>
      <c r="BC284" s="42"/>
      <c r="BD284" s="358"/>
      <c r="BH284" s="302"/>
      <c r="BI284" s="42"/>
    </row>
    <row r="285" spans="52:61">
      <c r="AZ285" s="302"/>
      <c r="BA285" s="313"/>
      <c r="BB285" s="167"/>
      <c r="BC285" s="42"/>
      <c r="BD285" s="358"/>
      <c r="BH285" s="302"/>
      <c r="BI285" s="42"/>
    </row>
    <row r="286" spans="52:61">
      <c r="AZ286" s="302"/>
      <c r="BA286" s="313"/>
      <c r="BB286" s="167"/>
      <c r="BC286" s="42"/>
      <c r="BD286" s="358"/>
      <c r="BH286" s="302"/>
      <c r="BI286" s="42"/>
    </row>
    <row r="287" spans="52:61">
      <c r="AZ287" s="302"/>
      <c r="BA287" s="313"/>
      <c r="BB287" s="167"/>
      <c r="BC287" s="42"/>
      <c r="BD287" s="358"/>
      <c r="BH287" s="302"/>
      <c r="BI287" s="42"/>
    </row>
    <row r="288" spans="52:61">
      <c r="AZ288" s="302"/>
      <c r="BA288" s="313"/>
      <c r="BB288" s="167"/>
      <c r="BC288" s="42"/>
      <c r="BD288" s="358"/>
      <c r="BH288" s="302"/>
      <c r="BI288" s="42"/>
    </row>
    <row r="289" spans="52:61">
      <c r="AZ289" s="302"/>
      <c r="BA289" s="313"/>
      <c r="BB289" s="167"/>
      <c r="BC289" s="42"/>
      <c r="BD289" s="358"/>
      <c r="BH289" s="302"/>
      <c r="BI289" s="42"/>
    </row>
    <row r="290" spans="52:61">
      <c r="AZ290" s="302"/>
      <c r="BA290" s="313"/>
      <c r="BB290" s="167"/>
      <c r="BC290" s="42"/>
      <c r="BD290" s="358"/>
      <c r="BH290" s="302"/>
      <c r="BI290" s="42"/>
    </row>
    <row r="291" spans="52:61">
      <c r="AZ291" s="302"/>
      <c r="BA291" s="313"/>
      <c r="BB291" s="167"/>
      <c r="BC291" s="42"/>
      <c r="BD291" s="358"/>
      <c r="BH291" s="302"/>
      <c r="BI291" s="42"/>
    </row>
    <row r="292" spans="52:61">
      <c r="AZ292" s="302"/>
      <c r="BA292" s="313"/>
      <c r="BB292" s="167"/>
      <c r="BC292" s="42"/>
      <c r="BD292" s="358"/>
      <c r="BH292" s="302"/>
      <c r="BI292" s="42"/>
    </row>
    <row r="293" spans="52:61">
      <c r="AZ293" s="302"/>
      <c r="BA293" s="313"/>
      <c r="BB293" s="167"/>
      <c r="BC293" s="42"/>
      <c r="BD293" s="358"/>
      <c r="BH293" s="302"/>
      <c r="BI293" s="42"/>
    </row>
    <row r="294" spans="52:61">
      <c r="AZ294" s="302"/>
      <c r="BA294" s="313"/>
      <c r="BB294" s="167"/>
      <c r="BC294" s="42"/>
      <c r="BD294" s="358"/>
      <c r="BH294" s="302"/>
      <c r="BI294" s="42"/>
    </row>
    <row r="295" spans="52:61">
      <c r="AZ295" s="302"/>
      <c r="BA295" s="313"/>
      <c r="BB295" s="167"/>
      <c r="BC295" s="42"/>
      <c r="BD295" s="358"/>
      <c r="BH295" s="302"/>
      <c r="BI295" s="42"/>
    </row>
    <row r="296" spans="52:61">
      <c r="AZ296" s="302"/>
      <c r="BA296" s="313"/>
      <c r="BB296" s="167"/>
      <c r="BC296" s="42"/>
      <c r="BD296" s="358"/>
      <c r="BH296" s="302"/>
      <c r="BI296" s="42"/>
    </row>
    <row r="297" spans="52:61">
      <c r="AZ297" s="302"/>
      <c r="BA297" s="313"/>
      <c r="BB297" s="167"/>
      <c r="BC297" s="42"/>
      <c r="BD297" s="358"/>
      <c r="BH297" s="302"/>
      <c r="BI297" s="42"/>
    </row>
    <row r="298" spans="52:61">
      <c r="AZ298" s="302"/>
      <c r="BA298" s="313"/>
      <c r="BB298" s="167"/>
      <c r="BC298" s="42"/>
      <c r="BD298" s="358"/>
      <c r="BH298" s="302"/>
      <c r="BI298" s="42"/>
    </row>
    <row r="299" spans="52:61">
      <c r="AZ299" s="302"/>
      <c r="BA299" s="313"/>
      <c r="BB299" s="167"/>
      <c r="BC299" s="42"/>
      <c r="BD299" s="358"/>
      <c r="BH299" s="302"/>
      <c r="BI299" s="42"/>
    </row>
    <row r="300" spans="52:61">
      <c r="AZ300" s="302"/>
      <c r="BA300" s="313"/>
      <c r="BB300" s="167"/>
      <c r="BC300" s="42"/>
      <c r="BD300" s="358"/>
      <c r="BH300" s="302"/>
      <c r="BI300" s="42"/>
    </row>
    <row r="301" spans="52:61">
      <c r="AZ301" s="302"/>
      <c r="BA301" s="313"/>
      <c r="BB301" s="167"/>
      <c r="BC301" s="42"/>
      <c r="BD301" s="358"/>
      <c r="BH301" s="302"/>
      <c r="BI301" s="42"/>
    </row>
    <row r="302" spans="52:61">
      <c r="AZ302" s="302"/>
      <c r="BA302" s="313"/>
      <c r="BB302" s="167"/>
      <c r="BC302" s="42"/>
      <c r="BD302" s="358"/>
      <c r="BH302" s="302"/>
      <c r="BI302" s="42"/>
    </row>
    <row r="303" spans="52:61">
      <c r="AZ303" s="302"/>
      <c r="BA303" s="313"/>
      <c r="BB303" s="167"/>
      <c r="BC303" s="42"/>
      <c r="BD303" s="358"/>
      <c r="BH303" s="302"/>
      <c r="BI303" s="42"/>
    </row>
    <row r="304" spans="52:61">
      <c r="AZ304" s="302"/>
      <c r="BA304" s="313"/>
      <c r="BB304" s="167"/>
      <c r="BC304" s="42"/>
      <c r="BD304" s="358"/>
      <c r="BH304" s="302"/>
      <c r="BI304" s="42"/>
    </row>
    <row r="305" spans="52:61">
      <c r="AZ305" s="302"/>
      <c r="BA305" s="313"/>
      <c r="BB305" s="167"/>
      <c r="BC305" s="42"/>
      <c r="BD305" s="358"/>
      <c r="BH305" s="302"/>
      <c r="BI305" s="42"/>
    </row>
    <row r="306" spans="52:61">
      <c r="AZ306" s="302"/>
      <c r="BA306" s="313"/>
      <c r="BB306" s="167"/>
      <c r="BC306" s="42"/>
      <c r="BD306" s="358"/>
      <c r="BH306" s="302"/>
      <c r="BI306" s="42"/>
    </row>
    <row r="307" spans="52:61">
      <c r="AZ307" s="302"/>
      <c r="BA307" s="313"/>
      <c r="BB307" s="167"/>
      <c r="BC307" s="42"/>
      <c r="BD307" s="358"/>
      <c r="BH307" s="302"/>
      <c r="BI307" s="42"/>
    </row>
    <row r="308" spans="52:61">
      <c r="AZ308" s="302"/>
      <c r="BA308" s="313"/>
      <c r="BB308" s="167"/>
      <c r="BC308" s="42"/>
      <c r="BD308" s="358"/>
      <c r="BH308" s="302"/>
      <c r="BI308" s="42"/>
    </row>
    <row r="309" spans="52:61">
      <c r="AZ309" s="302"/>
      <c r="BA309" s="313"/>
      <c r="BB309" s="167"/>
      <c r="BC309" s="42"/>
      <c r="BD309" s="358"/>
      <c r="BH309" s="302"/>
      <c r="BI309" s="42"/>
    </row>
    <row r="310" spans="52:61">
      <c r="AZ310" s="302"/>
      <c r="BA310" s="313"/>
      <c r="BB310" s="167"/>
      <c r="BC310" s="42"/>
      <c r="BD310" s="358"/>
      <c r="BH310" s="302"/>
      <c r="BI310" s="42"/>
    </row>
    <row r="311" spans="52:61">
      <c r="AZ311" s="302"/>
      <c r="BA311" s="313"/>
      <c r="BB311" s="167"/>
      <c r="BC311" s="42"/>
      <c r="BD311" s="358"/>
      <c r="BH311" s="302"/>
      <c r="BI311" s="42"/>
    </row>
    <row r="312" spans="52:61">
      <c r="AZ312" s="302"/>
      <c r="BA312" s="313"/>
      <c r="BB312" s="167"/>
      <c r="BC312" s="42"/>
      <c r="BD312" s="358"/>
      <c r="BH312" s="302"/>
      <c r="BI312" s="42"/>
    </row>
    <row r="313" spans="52:61">
      <c r="AZ313" s="302"/>
      <c r="BA313" s="313"/>
      <c r="BB313" s="167"/>
      <c r="BC313" s="42"/>
      <c r="BD313" s="358"/>
      <c r="BH313" s="302"/>
      <c r="BI313" s="42"/>
    </row>
    <row r="314" spans="52:61">
      <c r="AZ314" s="302"/>
      <c r="BA314" s="313"/>
      <c r="BB314" s="167"/>
      <c r="BC314" s="42"/>
      <c r="BD314" s="358"/>
      <c r="BH314" s="302"/>
      <c r="BI314" s="42"/>
    </row>
    <row r="315" spans="52:61">
      <c r="AZ315" s="302"/>
      <c r="BA315" s="313"/>
      <c r="BB315" s="167"/>
      <c r="BC315" s="42"/>
      <c r="BD315" s="358"/>
      <c r="BH315" s="302"/>
      <c r="BI315" s="42"/>
    </row>
    <row r="316" spans="52:61">
      <c r="AZ316" s="302"/>
      <c r="BA316" s="313"/>
      <c r="BB316" s="167"/>
      <c r="BC316" s="42"/>
      <c r="BD316" s="358"/>
      <c r="BH316" s="302"/>
      <c r="BI316" s="42"/>
    </row>
    <row r="317" spans="52:61">
      <c r="AZ317" s="302"/>
      <c r="BA317" s="313"/>
      <c r="BB317" s="167"/>
      <c r="BC317" s="42"/>
      <c r="BD317" s="358"/>
      <c r="BH317" s="302"/>
      <c r="BI317" s="42"/>
    </row>
    <row r="318" spans="52:61">
      <c r="AZ318" s="302"/>
      <c r="BA318" s="313"/>
      <c r="BB318" s="167"/>
      <c r="BC318" s="42"/>
      <c r="BD318" s="358"/>
      <c r="BH318" s="302"/>
      <c r="BI318" s="42"/>
    </row>
    <row r="319" spans="52:61">
      <c r="AZ319" s="302"/>
      <c r="BA319" s="313"/>
      <c r="BB319" s="167"/>
      <c r="BC319" s="42"/>
      <c r="BD319" s="358"/>
      <c r="BH319" s="302"/>
      <c r="BI319" s="42"/>
    </row>
    <row r="320" spans="52:61">
      <c r="AZ320" s="302"/>
      <c r="BA320" s="313"/>
      <c r="BB320" s="167"/>
      <c r="BC320" s="42"/>
      <c r="BD320" s="358"/>
      <c r="BH320" s="302"/>
      <c r="BI320" s="42"/>
    </row>
    <row r="321" spans="52:61">
      <c r="AZ321" s="302"/>
      <c r="BA321" s="313"/>
      <c r="BB321" s="167"/>
      <c r="BC321" s="42"/>
      <c r="BD321" s="358"/>
      <c r="BH321" s="302"/>
      <c r="BI321" s="42"/>
    </row>
    <row r="322" spans="52:61">
      <c r="AZ322" s="302"/>
      <c r="BA322" s="313"/>
      <c r="BB322" s="167"/>
      <c r="BC322" s="42"/>
      <c r="BD322" s="358"/>
      <c r="BH322" s="302"/>
      <c r="BI322" s="42"/>
    </row>
    <row r="323" spans="52:61">
      <c r="AZ323" s="302"/>
      <c r="BA323" s="313"/>
      <c r="BB323" s="167"/>
      <c r="BC323" s="42"/>
      <c r="BD323" s="358"/>
      <c r="BH323" s="302"/>
      <c r="BI323" s="42"/>
    </row>
    <row r="324" spans="52:61">
      <c r="AZ324" s="302"/>
      <c r="BA324" s="313"/>
      <c r="BB324" s="167"/>
      <c r="BC324" s="42"/>
      <c r="BD324" s="358"/>
      <c r="BH324" s="302"/>
      <c r="BI324" s="42"/>
    </row>
    <row r="325" spans="52:61">
      <c r="AZ325" s="302"/>
      <c r="BA325" s="313"/>
      <c r="BB325" s="167"/>
      <c r="BC325" s="42"/>
      <c r="BD325" s="358"/>
      <c r="BH325" s="302"/>
      <c r="BI325" s="42"/>
    </row>
    <row r="326" spans="52:61">
      <c r="AZ326" s="302"/>
      <c r="BA326" s="313"/>
      <c r="BB326" s="167"/>
      <c r="BC326" s="42"/>
      <c r="BD326" s="358"/>
      <c r="BH326" s="302"/>
      <c r="BI326" s="42"/>
    </row>
    <row r="327" spans="52:61">
      <c r="AZ327" s="302"/>
      <c r="BA327" s="313"/>
      <c r="BB327" s="167"/>
      <c r="BC327" s="42"/>
      <c r="BD327" s="358"/>
      <c r="BH327" s="302"/>
      <c r="BI327" s="42"/>
    </row>
    <row r="328" spans="52:61">
      <c r="AZ328" s="302"/>
      <c r="BA328" s="313"/>
      <c r="BB328" s="167"/>
      <c r="BC328" s="42"/>
      <c r="BD328" s="358"/>
      <c r="BH328" s="302"/>
      <c r="BI328" s="42"/>
    </row>
    <row r="329" spans="52:61">
      <c r="AZ329" s="302"/>
      <c r="BA329" s="313"/>
      <c r="BB329" s="167"/>
      <c r="BC329" s="42"/>
      <c r="BD329" s="358"/>
      <c r="BH329" s="302"/>
      <c r="BI329" s="42"/>
    </row>
    <row r="330" spans="52:61">
      <c r="AZ330" s="302"/>
      <c r="BA330" s="313"/>
      <c r="BB330" s="167"/>
      <c r="BC330" s="42"/>
      <c r="BD330" s="358"/>
      <c r="BH330" s="302"/>
      <c r="BI330" s="42"/>
    </row>
    <row r="331" spans="52:61">
      <c r="AZ331" s="302"/>
      <c r="BA331" s="313"/>
      <c r="BB331" s="167"/>
      <c r="BC331" s="42"/>
      <c r="BD331" s="358"/>
      <c r="BH331" s="302"/>
      <c r="BI331" s="42"/>
    </row>
    <row r="332" spans="52:61">
      <c r="AZ332" s="302"/>
      <c r="BA332" s="313"/>
      <c r="BB332" s="167"/>
      <c r="BC332" s="42"/>
      <c r="BD332" s="358"/>
      <c r="BH332" s="302"/>
      <c r="BI332" s="42"/>
    </row>
    <row r="333" spans="52:61">
      <c r="AZ333" s="302"/>
      <c r="BA333" s="313"/>
      <c r="BB333" s="167"/>
      <c r="BC333" s="42"/>
      <c r="BD333" s="358"/>
      <c r="BH333" s="302"/>
      <c r="BI333" s="42"/>
    </row>
    <row r="334" spans="52:61">
      <c r="AZ334" s="302"/>
      <c r="BA334" s="313"/>
      <c r="BB334" s="167"/>
      <c r="BC334" s="42"/>
      <c r="BD334" s="358"/>
      <c r="BH334" s="302"/>
      <c r="BI334" s="42"/>
    </row>
    <row r="335" spans="52:61">
      <c r="AZ335" s="302"/>
      <c r="BA335" s="313"/>
      <c r="BB335" s="167"/>
      <c r="BC335" s="42"/>
      <c r="BD335" s="358"/>
      <c r="BH335" s="302"/>
      <c r="BI335" s="42"/>
    </row>
    <row r="336" spans="52:61">
      <c r="AZ336" s="302"/>
      <c r="BA336" s="313"/>
      <c r="BB336" s="167"/>
      <c r="BC336" s="42"/>
      <c r="BD336" s="358"/>
      <c r="BH336" s="302"/>
      <c r="BI336" s="42"/>
    </row>
    <row r="337" spans="52:61">
      <c r="AZ337" s="302"/>
      <c r="BA337" s="313"/>
      <c r="BB337" s="167"/>
      <c r="BC337" s="42"/>
      <c r="BD337" s="358"/>
      <c r="BH337" s="302"/>
      <c r="BI337" s="42"/>
    </row>
    <row r="338" spans="52:61">
      <c r="AZ338" s="302"/>
      <c r="BA338" s="313"/>
      <c r="BB338" s="167"/>
      <c r="BC338" s="42"/>
      <c r="BD338" s="358"/>
      <c r="BH338" s="302"/>
      <c r="BI338" s="42"/>
    </row>
    <row r="339" spans="52:61">
      <c r="AZ339" s="302"/>
      <c r="BA339" s="313"/>
      <c r="BB339" s="167"/>
      <c r="BC339" s="42"/>
      <c r="BD339" s="358"/>
      <c r="BH339" s="302"/>
      <c r="BI339" s="42"/>
    </row>
    <row r="340" spans="52:61">
      <c r="AZ340" s="302"/>
      <c r="BA340" s="313"/>
      <c r="BB340" s="167"/>
      <c r="BC340" s="42"/>
      <c r="BD340" s="358"/>
      <c r="BH340" s="302"/>
      <c r="BI340" s="42"/>
    </row>
    <row r="341" spans="52:61">
      <c r="AZ341" s="302"/>
      <c r="BA341" s="313"/>
      <c r="BB341" s="167"/>
      <c r="BC341" s="42"/>
      <c r="BD341" s="358"/>
      <c r="BH341" s="302"/>
      <c r="BI341" s="42"/>
    </row>
    <row r="342" spans="52:61">
      <c r="AZ342" s="302"/>
      <c r="BA342" s="313"/>
      <c r="BB342" s="167"/>
      <c r="BC342" s="42"/>
      <c r="BD342" s="358"/>
      <c r="BH342" s="302"/>
      <c r="BI342" s="42"/>
    </row>
    <row r="343" spans="52:61">
      <c r="AZ343" s="302"/>
      <c r="BA343" s="313"/>
      <c r="BB343" s="167"/>
      <c r="BC343" s="42"/>
      <c r="BD343" s="358"/>
      <c r="BH343" s="302"/>
      <c r="BI343" s="42"/>
    </row>
    <row r="344" spans="52:61">
      <c r="AZ344" s="302"/>
      <c r="BA344" s="313"/>
      <c r="BB344" s="167"/>
      <c r="BC344" s="42"/>
      <c r="BD344" s="358"/>
      <c r="BH344" s="302"/>
      <c r="BI344" s="42"/>
    </row>
    <row r="345" spans="52:61">
      <c r="AZ345" s="302"/>
      <c r="BA345" s="313"/>
      <c r="BB345" s="167"/>
      <c r="BC345" s="42"/>
      <c r="BD345" s="358"/>
      <c r="BH345" s="302"/>
      <c r="BI345" s="42"/>
    </row>
    <row r="346" spans="52:61">
      <c r="AZ346" s="302"/>
      <c r="BA346" s="313"/>
      <c r="BB346" s="167"/>
      <c r="BC346" s="42"/>
      <c r="BD346" s="358"/>
      <c r="BH346" s="302"/>
      <c r="BI346" s="42"/>
    </row>
    <row r="347" spans="52:61">
      <c r="AZ347" s="302"/>
      <c r="BA347" s="313"/>
      <c r="BB347" s="167"/>
      <c r="BC347" s="42"/>
      <c r="BD347" s="358"/>
      <c r="BH347" s="302"/>
      <c r="BI347" s="42"/>
    </row>
    <row r="348" spans="52:61">
      <c r="AZ348" s="302"/>
      <c r="BA348" s="313"/>
      <c r="BB348" s="167"/>
      <c r="BC348" s="42"/>
      <c r="BD348" s="358"/>
      <c r="BH348" s="302"/>
      <c r="BI348" s="42"/>
    </row>
    <row r="349" spans="52:61">
      <c r="AZ349" s="302"/>
      <c r="BA349" s="313"/>
      <c r="BB349" s="167"/>
      <c r="BC349" s="42"/>
      <c r="BD349" s="358"/>
      <c r="BH349" s="302"/>
      <c r="BI349" s="42"/>
    </row>
    <row r="350" spans="52:61">
      <c r="AZ350" s="302"/>
      <c r="BA350" s="313"/>
      <c r="BB350" s="167"/>
      <c r="BC350" s="42"/>
      <c r="BD350" s="358"/>
      <c r="BH350" s="302"/>
      <c r="BI350" s="42"/>
    </row>
    <row r="351" spans="52:61">
      <c r="AZ351" s="302"/>
      <c r="BA351" s="313"/>
      <c r="BB351" s="167"/>
      <c r="BC351" s="42"/>
      <c r="BD351" s="358"/>
      <c r="BH351" s="302"/>
      <c r="BI351" s="42"/>
    </row>
    <row r="352" spans="52:61">
      <c r="AZ352" s="302"/>
      <c r="BA352" s="313"/>
      <c r="BB352" s="167"/>
      <c r="BC352" s="42"/>
      <c r="BD352" s="358"/>
      <c r="BH352" s="302"/>
      <c r="BI352" s="42"/>
    </row>
    <row r="353" spans="52:61">
      <c r="AZ353" s="302"/>
      <c r="BA353" s="313"/>
      <c r="BB353" s="167"/>
      <c r="BC353" s="42"/>
      <c r="BD353" s="358"/>
      <c r="BH353" s="302"/>
      <c r="BI353" s="42"/>
    </row>
    <row r="354" spans="52:61">
      <c r="AZ354" s="302"/>
      <c r="BA354" s="313"/>
      <c r="BB354" s="167"/>
      <c r="BC354" s="42"/>
      <c r="BD354" s="358"/>
      <c r="BH354" s="302"/>
      <c r="BI354" s="42"/>
    </row>
    <row r="355" spans="52:61">
      <c r="AZ355" s="302"/>
      <c r="BA355" s="313"/>
      <c r="BB355" s="167"/>
      <c r="BC355" s="42"/>
      <c r="BD355" s="358"/>
      <c r="BH355" s="302"/>
      <c r="BI355" s="42"/>
    </row>
    <row r="356" spans="52:61">
      <c r="AZ356" s="302"/>
      <c r="BA356" s="313"/>
      <c r="BB356" s="167"/>
      <c r="BC356" s="42"/>
      <c r="BD356" s="358"/>
      <c r="BH356" s="302"/>
      <c r="BI356" s="42"/>
    </row>
    <row r="357" spans="52:61">
      <c r="AZ357" s="302"/>
      <c r="BA357" s="313"/>
      <c r="BB357" s="167"/>
      <c r="BC357" s="42"/>
      <c r="BD357" s="358"/>
      <c r="BH357" s="302"/>
      <c r="BI357" s="42"/>
    </row>
    <row r="358" spans="52:61">
      <c r="AZ358" s="302"/>
      <c r="BA358" s="313"/>
      <c r="BB358" s="167"/>
      <c r="BC358" s="42"/>
      <c r="BD358" s="358"/>
      <c r="BH358" s="302"/>
      <c r="BI358" s="42"/>
    </row>
    <row r="359" spans="52:61">
      <c r="AZ359" s="302"/>
      <c r="BA359" s="313"/>
      <c r="BB359" s="167"/>
      <c r="BC359" s="42"/>
      <c r="BD359" s="358"/>
      <c r="BH359" s="302"/>
      <c r="BI359" s="42"/>
    </row>
    <row r="360" spans="52:61">
      <c r="AZ360" s="302"/>
      <c r="BA360" s="313"/>
      <c r="BB360" s="167"/>
      <c r="BC360" s="42"/>
      <c r="BD360" s="358"/>
      <c r="BH360" s="302"/>
      <c r="BI360" s="42"/>
    </row>
    <row r="361" spans="52:61">
      <c r="AZ361" s="302"/>
      <c r="BA361" s="313"/>
      <c r="BB361" s="167"/>
      <c r="BC361" s="42"/>
      <c r="BD361" s="358"/>
      <c r="BH361" s="302"/>
      <c r="BI361" s="42"/>
    </row>
    <row r="362" spans="52:61">
      <c r="AZ362" s="302"/>
      <c r="BA362" s="313"/>
      <c r="BB362" s="167"/>
      <c r="BC362" s="42"/>
      <c r="BD362" s="358"/>
      <c r="BH362" s="302"/>
      <c r="BI362" s="42"/>
    </row>
    <row r="363" spans="52:61">
      <c r="AZ363" s="302"/>
      <c r="BA363" s="313"/>
      <c r="BB363" s="167"/>
      <c r="BC363" s="42"/>
      <c r="BD363" s="358"/>
      <c r="BH363" s="302"/>
      <c r="BI363" s="42"/>
    </row>
    <row r="364" spans="52:61">
      <c r="AZ364" s="302"/>
      <c r="BA364" s="313"/>
      <c r="BB364" s="167"/>
      <c r="BC364" s="42"/>
      <c r="BD364" s="358"/>
      <c r="BH364" s="302"/>
      <c r="BI364" s="42"/>
    </row>
    <row r="365" spans="52:61">
      <c r="AZ365" s="302"/>
      <c r="BA365" s="313"/>
      <c r="BB365" s="167"/>
      <c r="BC365" s="42"/>
      <c r="BD365" s="358"/>
      <c r="BH365" s="302"/>
      <c r="BI365" s="42"/>
    </row>
    <row r="366" spans="52:61">
      <c r="AZ366" s="302"/>
      <c r="BA366" s="313"/>
      <c r="BB366" s="167"/>
      <c r="BC366" s="42"/>
      <c r="BD366" s="358"/>
      <c r="BH366" s="302"/>
      <c r="BI366" s="42"/>
    </row>
    <row r="367" spans="52:61">
      <c r="AZ367" s="302"/>
      <c r="BA367" s="313"/>
      <c r="BB367" s="167"/>
      <c r="BC367" s="42"/>
      <c r="BD367" s="358"/>
      <c r="BH367" s="302"/>
      <c r="BI367" s="42"/>
    </row>
    <row r="368" spans="52:61">
      <c r="AZ368" s="302"/>
      <c r="BA368" s="313"/>
      <c r="BB368" s="167"/>
      <c r="BC368" s="42"/>
      <c r="BD368" s="358"/>
      <c r="BH368" s="302"/>
      <c r="BI368" s="42"/>
    </row>
    <row r="369" spans="52:61">
      <c r="AZ369" s="302"/>
      <c r="BA369" s="313"/>
      <c r="BB369" s="167"/>
      <c r="BC369" s="42"/>
      <c r="BD369" s="358"/>
      <c r="BH369" s="302"/>
      <c r="BI369" s="42"/>
    </row>
    <row r="370" spans="52:61">
      <c r="AZ370" s="302"/>
      <c r="BA370" s="313"/>
      <c r="BB370" s="167"/>
      <c r="BC370" s="42"/>
      <c r="BD370" s="358"/>
      <c r="BH370" s="302"/>
      <c r="BI370" s="42"/>
    </row>
    <row r="371" spans="52:61">
      <c r="AZ371" s="302"/>
      <c r="BA371" s="313"/>
      <c r="BB371" s="167"/>
      <c r="BC371" s="42"/>
      <c r="BD371" s="358"/>
      <c r="BH371" s="302"/>
      <c r="BI371" s="42"/>
    </row>
    <row r="372" spans="52:61">
      <c r="AZ372" s="302"/>
      <c r="BA372" s="313"/>
      <c r="BB372" s="167"/>
      <c r="BC372" s="42"/>
      <c r="BD372" s="358"/>
      <c r="BH372" s="302"/>
      <c r="BI372" s="42"/>
    </row>
    <row r="373" spans="52:61">
      <c r="AZ373" s="302"/>
      <c r="BA373" s="313"/>
      <c r="BB373" s="167"/>
      <c r="BC373" s="42"/>
      <c r="BD373" s="358"/>
      <c r="BH373" s="302"/>
      <c r="BI373" s="42"/>
    </row>
    <row r="374" spans="52:61">
      <c r="AZ374" s="302"/>
      <c r="BA374" s="313"/>
      <c r="BB374" s="167"/>
      <c r="BC374" s="42"/>
      <c r="BD374" s="358"/>
      <c r="BH374" s="302"/>
      <c r="BI374" s="42"/>
    </row>
    <row r="375" spans="52:61">
      <c r="AZ375" s="302"/>
      <c r="BA375" s="313"/>
      <c r="BB375" s="167"/>
      <c r="BC375" s="42"/>
      <c r="BD375" s="358"/>
      <c r="BH375" s="302"/>
      <c r="BI375" s="42"/>
    </row>
    <row r="376" spans="52:61">
      <c r="AZ376" s="302"/>
      <c r="BA376" s="313"/>
      <c r="BB376" s="167"/>
      <c r="BC376" s="42"/>
      <c r="BD376" s="358"/>
      <c r="BH376" s="302"/>
      <c r="BI376" s="42"/>
    </row>
    <row r="377" spans="52:61">
      <c r="AZ377" s="302"/>
      <c r="BA377" s="313"/>
      <c r="BB377" s="167"/>
      <c r="BC377" s="42"/>
      <c r="BD377" s="358"/>
      <c r="BH377" s="302"/>
      <c r="BI377" s="42"/>
    </row>
    <row r="378" spans="52:61">
      <c r="AZ378" s="302"/>
      <c r="BA378" s="313"/>
      <c r="BB378" s="167"/>
      <c r="BC378" s="42"/>
      <c r="BD378" s="358"/>
      <c r="BH378" s="302"/>
      <c r="BI378" s="42"/>
    </row>
    <row r="379" spans="52:61">
      <c r="AZ379" s="302"/>
      <c r="BA379" s="313"/>
      <c r="BB379" s="167"/>
      <c r="BC379" s="42"/>
      <c r="BD379" s="358"/>
      <c r="BH379" s="302"/>
      <c r="BI379" s="42"/>
    </row>
    <row r="380" spans="52:61">
      <c r="AZ380" s="302"/>
      <c r="BA380" s="313"/>
      <c r="BB380" s="167"/>
      <c r="BC380" s="42"/>
      <c r="BD380" s="358"/>
      <c r="BH380" s="302"/>
      <c r="BI380" s="42"/>
    </row>
    <row r="381" spans="52:61">
      <c r="AZ381" s="302"/>
      <c r="BA381" s="313"/>
      <c r="BB381" s="167"/>
      <c r="BC381" s="42"/>
      <c r="BD381" s="358"/>
      <c r="BH381" s="302"/>
      <c r="BI381" s="42"/>
    </row>
    <row r="382" spans="52:61">
      <c r="AZ382" s="302"/>
      <c r="BA382" s="313"/>
      <c r="BB382" s="167"/>
      <c r="BC382" s="42"/>
      <c r="BD382" s="358"/>
      <c r="BH382" s="302"/>
      <c r="BI382" s="42"/>
    </row>
    <row r="383" spans="52:61">
      <c r="AZ383" s="302"/>
      <c r="BA383" s="313"/>
      <c r="BB383" s="167"/>
      <c r="BC383" s="42"/>
      <c r="BD383" s="358"/>
      <c r="BH383" s="302"/>
      <c r="BI383" s="42"/>
    </row>
    <row r="384" spans="52:61">
      <c r="AZ384" s="302"/>
      <c r="BA384" s="313"/>
      <c r="BB384" s="167"/>
      <c r="BC384" s="42"/>
      <c r="BD384" s="358"/>
      <c r="BH384" s="302"/>
      <c r="BI384" s="42"/>
    </row>
    <row r="385" spans="52:61">
      <c r="AZ385" s="302"/>
      <c r="BA385" s="313"/>
      <c r="BB385" s="167"/>
      <c r="BC385" s="42"/>
      <c r="BD385" s="358"/>
      <c r="BH385" s="302"/>
      <c r="BI385" s="42"/>
    </row>
    <row r="386" spans="52:61">
      <c r="AZ386" s="302"/>
      <c r="BA386" s="313"/>
      <c r="BB386" s="167"/>
      <c r="BC386" s="42"/>
      <c r="BD386" s="358"/>
      <c r="BH386" s="302"/>
      <c r="BI386" s="42"/>
    </row>
    <row r="387" spans="52:61">
      <c r="AZ387" s="302"/>
      <c r="BA387" s="313"/>
      <c r="BB387" s="167"/>
      <c r="BC387" s="42"/>
      <c r="BD387" s="358"/>
      <c r="BH387" s="302"/>
      <c r="BI387" s="42"/>
    </row>
    <row r="388" spans="52:61">
      <c r="AZ388" s="302"/>
      <c r="BA388" s="313"/>
      <c r="BB388" s="167"/>
      <c r="BC388" s="42"/>
      <c r="BD388" s="358"/>
      <c r="BH388" s="302"/>
      <c r="BI388" s="42"/>
    </row>
    <row r="389" spans="52:61">
      <c r="AZ389" s="302"/>
      <c r="BA389" s="313"/>
      <c r="BB389" s="167"/>
      <c r="BC389" s="42"/>
      <c r="BD389" s="358"/>
      <c r="BH389" s="302"/>
      <c r="BI389" s="42"/>
    </row>
    <row r="390" spans="52:61">
      <c r="AZ390" s="302"/>
      <c r="BA390" s="313"/>
      <c r="BB390" s="167"/>
      <c r="BC390" s="42"/>
      <c r="BD390" s="358"/>
      <c r="BH390" s="302"/>
      <c r="BI390" s="42"/>
    </row>
    <row r="391" spans="52:61">
      <c r="AZ391" s="302"/>
      <c r="BA391" s="313"/>
      <c r="BB391" s="167"/>
      <c r="BC391" s="42"/>
      <c r="BD391" s="358"/>
      <c r="BH391" s="302"/>
      <c r="BI391" s="42"/>
    </row>
    <row r="392" spans="52:61">
      <c r="AZ392" s="302"/>
      <c r="BA392" s="313"/>
      <c r="BB392" s="167"/>
      <c r="BC392" s="42"/>
      <c r="BD392" s="358"/>
      <c r="BH392" s="302"/>
      <c r="BI392" s="42"/>
    </row>
    <row r="393" spans="52:61">
      <c r="AZ393" s="302"/>
      <c r="BA393" s="313"/>
      <c r="BB393" s="167"/>
      <c r="BC393" s="42"/>
      <c r="BD393" s="358"/>
      <c r="BH393" s="302"/>
      <c r="BI393" s="42"/>
    </row>
    <row r="394" spans="52:61">
      <c r="AZ394" s="302"/>
      <c r="BA394" s="313"/>
      <c r="BB394" s="167"/>
      <c r="BC394" s="42"/>
      <c r="BD394" s="358"/>
      <c r="BH394" s="302"/>
      <c r="BI394" s="42"/>
    </row>
    <row r="395" spans="52:61">
      <c r="AZ395" s="302"/>
      <c r="BA395" s="313"/>
      <c r="BB395" s="167"/>
      <c r="BC395" s="42"/>
      <c r="BD395" s="358"/>
      <c r="BH395" s="302"/>
      <c r="BI395" s="42"/>
    </row>
    <row r="396" spans="52:61">
      <c r="AZ396" s="302"/>
      <c r="BA396" s="313"/>
      <c r="BB396" s="167"/>
      <c r="BC396" s="42"/>
      <c r="BD396" s="358"/>
      <c r="BH396" s="302"/>
      <c r="BI396" s="42"/>
    </row>
    <row r="397" spans="52:61">
      <c r="AZ397" s="302"/>
      <c r="BA397" s="313"/>
      <c r="BB397" s="167"/>
      <c r="BC397" s="42"/>
      <c r="BD397" s="358"/>
      <c r="BH397" s="302"/>
      <c r="BI397" s="42"/>
    </row>
    <row r="398" spans="52:61">
      <c r="AZ398" s="302"/>
      <c r="BA398" s="313"/>
      <c r="BB398" s="167"/>
      <c r="BC398" s="42"/>
      <c r="BD398" s="358"/>
      <c r="BH398" s="302"/>
      <c r="BI398" s="42"/>
    </row>
    <row r="399" spans="52:61">
      <c r="AZ399" s="302"/>
      <c r="BA399" s="313"/>
      <c r="BB399" s="167"/>
      <c r="BC399" s="42"/>
      <c r="BD399" s="358"/>
      <c r="BH399" s="302"/>
      <c r="BI399" s="42"/>
    </row>
    <row r="400" spans="52:61">
      <c r="AZ400" s="302"/>
      <c r="BA400" s="313"/>
      <c r="BB400" s="167"/>
      <c r="BC400" s="42"/>
      <c r="BD400" s="358"/>
      <c r="BH400" s="302"/>
      <c r="BI400" s="42"/>
    </row>
    <row r="401" spans="52:61">
      <c r="AZ401" s="302"/>
      <c r="BA401" s="313"/>
      <c r="BB401" s="167"/>
      <c r="BC401" s="42"/>
      <c r="BD401" s="358"/>
      <c r="BH401" s="302"/>
      <c r="BI401" s="42"/>
    </row>
    <row r="402" spans="52:61">
      <c r="AZ402" s="302"/>
      <c r="BA402" s="313"/>
      <c r="BB402" s="167"/>
      <c r="BC402" s="42"/>
      <c r="BD402" s="358"/>
      <c r="BH402" s="302"/>
      <c r="BI402" s="42"/>
    </row>
    <row r="403" spans="52:61">
      <c r="AZ403" s="302"/>
      <c r="BA403" s="313"/>
      <c r="BB403" s="167"/>
      <c r="BC403" s="42"/>
      <c r="BD403" s="358"/>
      <c r="BH403" s="302"/>
      <c r="BI403" s="42"/>
    </row>
    <row r="404" spans="52:61">
      <c r="AZ404" s="302"/>
      <c r="BA404" s="313"/>
      <c r="BB404" s="167"/>
      <c r="BC404" s="42"/>
      <c r="BD404" s="358"/>
      <c r="BH404" s="302"/>
      <c r="BI404" s="42"/>
    </row>
    <row r="405" spans="52:61">
      <c r="AZ405" s="302"/>
      <c r="BA405" s="313"/>
      <c r="BB405" s="167"/>
      <c r="BC405" s="42"/>
      <c r="BD405" s="358"/>
      <c r="BH405" s="302"/>
      <c r="BI405" s="42"/>
    </row>
    <row r="406" spans="52:61">
      <c r="AZ406" s="302"/>
      <c r="BA406" s="313"/>
      <c r="BB406" s="167"/>
      <c r="BC406" s="42"/>
      <c r="BD406" s="358"/>
      <c r="BH406" s="302"/>
      <c r="BI406" s="42"/>
    </row>
    <row r="407" spans="52:61">
      <c r="AZ407" s="302"/>
      <c r="BA407" s="313"/>
      <c r="BB407" s="167"/>
      <c r="BC407" s="42"/>
      <c r="BD407" s="358"/>
      <c r="BH407" s="302"/>
      <c r="BI407" s="42"/>
    </row>
    <row r="408" spans="52:61">
      <c r="AZ408" s="302"/>
      <c r="BA408" s="313"/>
      <c r="BB408" s="167"/>
      <c r="BC408" s="42"/>
      <c r="BD408" s="358"/>
      <c r="BH408" s="302"/>
      <c r="BI408" s="42"/>
    </row>
    <row r="409" spans="52:61">
      <c r="AZ409" s="302"/>
      <c r="BA409" s="313"/>
      <c r="BB409" s="167"/>
      <c r="BC409" s="42"/>
      <c r="BD409" s="358"/>
      <c r="BH409" s="302"/>
      <c r="BI409" s="42"/>
    </row>
    <row r="410" spans="52:61">
      <c r="AZ410" s="302"/>
      <c r="BA410" s="313"/>
      <c r="BB410" s="167"/>
      <c r="BC410" s="42"/>
      <c r="BD410" s="358"/>
      <c r="BH410" s="302"/>
      <c r="BI410" s="42"/>
    </row>
    <row r="411" spans="52:61">
      <c r="AZ411" s="302"/>
      <c r="BA411" s="313"/>
      <c r="BB411" s="167"/>
      <c r="BC411" s="42"/>
      <c r="BD411" s="358"/>
      <c r="BH411" s="302"/>
      <c r="BI411" s="42"/>
    </row>
    <row r="412" spans="52:61">
      <c r="AZ412" s="302"/>
      <c r="BA412" s="313"/>
      <c r="BB412" s="167"/>
      <c r="BC412" s="42"/>
      <c r="BD412" s="358"/>
      <c r="BH412" s="302"/>
      <c r="BI412" s="42"/>
    </row>
    <row r="413" spans="52:61">
      <c r="AZ413" s="302"/>
      <c r="BA413" s="313"/>
      <c r="BB413" s="167"/>
      <c r="BC413" s="42"/>
      <c r="BD413" s="358"/>
      <c r="BH413" s="302"/>
      <c r="BI413" s="42"/>
    </row>
    <row r="414" spans="52:61">
      <c r="AZ414" s="302"/>
      <c r="BA414" s="313"/>
      <c r="BB414" s="167"/>
      <c r="BC414" s="42"/>
      <c r="BD414" s="358"/>
      <c r="BH414" s="302"/>
      <c r="BI414" s="42"/>
    </row>
    <row r="415" spans="52:61">
      <c r="AZ415" s="302"/>
      <c r="BA415" s="313"/>
      <c r="BB415" s="167"/>
      <c r="BC415" s="42"/>
      <c r="BD415" s="358"/>
      <c r="BH415" s="302"/>
      <c r="BI415" s="42"/>
    </row>
    <row r="416" spans="52:61">
      <c r="AZ416" s="302"/>
      <c r="BA416" s="313"/>
      <c r="BB416" s="167"/>
      <c r="BC416" s="42"/>
      <c r="BD416" s="358"/>
      <c r="BH416" s="302"/>
      <c r="BI416" s="42"/>
    </row>
    <row r="417" spans="52:61">
      <c r="AZ417" s="302"/>
      <c r="BA417" s="313"/>
      <c r="BB417" s="167"/>
      <c r="BC417" s="42"/>
      <c r="BD417" s="358"/>
      <c r="BH417" s="302"/>
      <c r="BI417" s="42"/>
    </row>
    <row r="418" spans="52:61">
      <c r="AZ418" s="302"/>
      <c r="BA418" s="313"/>
      <c r="BB418" s="167"/>
      <c r="BC418" s="42"/>
      <c r="BD418" s="358"/>
      <c r="BH418" s="302"/>
      <c r="BI418" s="42"/>
    </row>
    <row r="419" spans="52:61">
      <c r="AZ419" s="302"/>
      <c r="BA419" s="313"/>
      <c r="BB419" s="167"/>
      <c r="BC419" s="42"/>
      <c r="BD419" s="358"/>
      <c r="BH419" s="302"/>
      <c r="BI419" s="42"/>
    </row>
    <row r="420" spans="52:61">
      <c r="AZ420" s="302"/>
      <c r="BA420" s="313"/>
      <c r="BB420" s="167"/>
      <c r="BC420" s="42"/>
      <c r="BD420" s="358"/>
      <c r="BH420" s="302"/>
      <c r="BI420" s="42"/>
    </row>
    <row r="421" spans="52:61">
      <c r="AZ421" s="302"/>
      <c r="BA421" s="313"/>
      <c r="BB421" s="167"/>
      <c r="BC421" s="42"/>
      <c r="BD421" s="358"/>
      <c r="BH421" s="302"/>
      <c r="BI421" s="42"/>
    </row>
    <row r="422" spans="52:61">
      <c r="AZ422" s="302"/>
      <c r="BA422" s="313"/>
      <c r="BB422" s="167"/>
      <c r="BC422" s="42"/>
      <c r="BD422" s="358"/>
      <c r="BH422" s="302"/>
      <c r="BI422" s="42"/>
    </row>
    <row r="423" spans="52:61">
      <c r="AZ423" s="302"/>
      <c r="BA423" s="313"/>
      <c r="BB423" s="167"/>
      <c r="BC423" s="42"/>
      <c r="BD423" s="358"/>
      <c r="BH423" s="302"/>
      <c r="BI423" s="42"/>
    </row>
    <row r="424" spans="52:61">
      <c r="AZ424" s="302"/>
      <c r="BA424" s="313"/>
      <c r="BB424" s="167"/>
      <c r="BC424" s="42"/>
      <c r="BD424" s="358"/>
      <c r="BH424" s="302"/>
      <c r="BI424" s="42"/>
    </row>
    <row r="425" spans="52:61">
      <c r="AZ425" s="302"/>
      <c r="BA425" s="313"/>
      <c r="BB425" s="167"/>
      <c r="BC425" s="42"/>
      <c r="BD425" s="358"/>
      <c r="BH425" s="302"/>
      <c r="BI425" s="42"/>
    </row>
    <row r="426" spans="52:61">
      <c r="AZ426" s="302"/>
      <c r="BA426" s="313"/>
      <c r="BB426" s="167"/>
      <c r="BC426" s="42"/>
      <c r="BD426" s="358"/>
      <c r="BH426" s="302"/>
      <c r="BI426" s="42"/>
    </row>
    <row r="427" spans="52:61">
      <c r="AZ427" s="302"/>
      <c r="BA427" s="313"/>
      <c r="BB427" s="167"/>
      <c r="BC427" s="42"/>
      <c r="BD427" s="358"/>
      <c r="BH427" s="302"/>
      <c r="BI427" s="42"/>
    </row>
    <row r="428" spans="52:61">
      <c r="AZ428" s="302"/>
      <c r="BA428" s="313"/>
      <c r="BB428" s="167"/>
      <c r="BC428" s="42"/>
      <c r="BD428" s="358"/>
      <c r="BH428" s="302"/>
      <c r="BI428" s="42"/>
    </row>
    <row r="429" spans="52:61">
      <c r="AZ429" s="302"/>
      <c r="BA429" s="313"/>
      <c r="BB429" s="167"/>
      <c r="BC429" s="42"/>
      <c r="BD429" s="358"/>
      <c r="BH429" s="302"/>
      <c r="BI429" s="42"/>
    </row>
    <row r="430" spans="52:61">
      <c r="AZ430" s="302"/>
      <c r="BA430" s="313"/>
      <c r="BB430" s="167"/>
      <c r="BC430" s="42"/>
      <c r="BD430" s="358"/>
      <c r="BH430" s="302"/>
      <c r="BI430" s="42"/>
    </row>
    <row r="431" spans="52:61">
      <c r="AZ431" s="302"/>
      <c r="BA431" s="313"/>
      <c r="BB431" s="167"/>
      <c r="BC431" s="42"/>
      <c r="BD431" s="358"/>
      <c r="BH431" s="302"/>
      <c r="BI431" s="42"/>
    </row>
    <row r="432" spans="52:61">
      <c r="AZ432" s="302"/>
      <c r="BA432" s="313"/>
      <c r="BB432" s="167"/>
      <c r="BC432" s="42"/>
      <c r="BD432" s="358"/>
      <c r="BH432" s="302"/>
      <c r="BI432" s="42"/>
    </row>
    <row r="433" spans="52:61">
      <c r="AZ433" s="302"/>
      <c r="BA433" s="313"/>
      <c r="BB433" s="167"/>
      <c r="BC433" s="42"/>
      <c r="BD433" s="358"/>
      <c r="BH433" s="302"/>
      <c r="BI433" s="42"/>
    </row>
    <row r="434" spans="52:61">
      <c r="AZ434" s="302"/>
      <c r="BA434" s="313"/>
      <c r="BB434" s="167"/>
      <c r="BC434" s="42"/>
      <c r="BD434" s="358"/>
      <c r="BH434" s="302"/>
      <c r="BI434" s="42"/>
    </row>
    <row r="435" spans="52:61">
      <c r="AZ435" s="302"/>
      <c r="BA435" s="313"/>
      <c r="BB435" s="167"/>
      <c r="BC435" s="42"/>
      <c r="BD435" s="358"/>
      <c r="BH435" s="302"/>
      <c r="BI435" s="42"/>
    </row>
    <row r="436" spans="52:61">
      <c r="AZ436" s="302"/>
      <c r="BA436" s="313"/>
      <c r="BB436" s="167"/>
      <c r="BC436" s="42"/>
      <c r="BD436" s="358"/>
      <c r="BH436" s="302"/>
      <c r="BI436" s="42"/>
    </row>
    <row r="437" spans="52:61">
      <c r="AZ437" s="302"/>
      <c r="BA437" s="313"/>
      <c r="BB437" s="167"/>
      <c r="BC437" s="42"/>
      <c r="BD437" s="358"/>
      <c r="BH437" s="302"/>
      <c r="BI437" s="42"/>
    </row>
    <row r="438" spans="52:61">
      <c r="AZ438" s="302"/>
      <c r="BA438" s="313"/>
      <c r="BB438" s="167"/>
      <c r="BC438" s="42"/>
      <c r="BD438" s="358"/>
      <c r="BH438" s="302"/>
      <c r="BI438" s="42"/>
    </row>
    <row r="439" spans="52:61">
      <c r="AZ439" s="302"/>
      <c r="BA439" s="313"/>
      <c r="BB439" s="167"/>
      <c r="BC439" s="42"/>
      <c r="BD439" s="358"/>
      <c r="BH439" s="302"/>
      <c r="BI439" s="42"/>
    </row>
    <row r="440" spans="52:61">
      <c r="AZ440" s="302"/>
      <c r="BA440" s="313"/>
      <c r="BB440" s="167"/>
      <c r="BC440" s="42"/>
      <c r="BD440" s="358"/>
      <c r="BH440" s="302"/>
      <c r="BI440" s="42"/>
    </row>
    <row r="441" spans="52:61">
      <c r="AZ441" s="302"/>
      <c r="BA441" s="313"/>
      <c r="BB441" s="167"/>
      <c r="BC441" s="42"/>
      <c r="BD441" s="358"/>
      <c r="BH441" s="302"/>
      <c r="BI441" s="42"/>
    </row>
    <row r="442" spans="52:61">
      <c r="AZ442" s="302"/>
      <c r="BA442" s="313"/>
      <c r="BB442" s="167"/>
      <c r="BC442" s="42"/>
      <c r="BD442" s="358"/>
      <c r="BH442" s="302"/>
      <c r="BI442" s="42"/>
    </row>
    <row r="443" spans="52:61">
      <c r="AZ443" s="302"/>
      <c r="BA443" s="313"/>
      <c r="BB443" s="167"/>
      <c r="BC443" s="42"/>
      <c r="BD443" s="358"/>
      <c r="BH443" s="302"/>
      <c r="BI443" s="42"/>
    </row>
    <row r="444" spans="52:61">
      <c r="AZ444" s="302"/>
      <c r="BA444" s="313"/>
      <c r="BB444" s="167"/>
      <c r="BC444" s="42"/>
      <c r="BD444" s="358"/>
      <c r="BH444" s="302"/>
      <c r="BI444" s="42"/>
    </row>
    <row r="445" spans="52:61">
      <c r="AZ445" s="302"/>
      <c r="BA445" s="313"/>
      <c r="BB445" s="167"/>
      <c r="BC445" s="42"/>
      <c r="BD445" s="358"/>
      <c r="BH445" s="302"/>
      <c r="BI445" s="42"/>
    </row>
    <row r="446" spans="52:61">
      <c r="AZ446" s="302"/>
      <c r="BA446" s="313"/>
      <c r="BB446" s="167"/>
      <c r="BC446" s="42"/>
      <c r="BD446" s="358"/>
      <c r="BH446" s="302"/>
      <c r="BI446" s="42"/>
    </row>
    <row r="447" spans="52:61">
      <c r="AZ447" s="302"/>
      <c r="BA447" s="313"/>
      <c r="BB447" s="167"/>
      <c r="BC447" s="42"/>
      <c r="BD447" s="358"/>
      <c r="BH447" s="302"/>
      <c r="BI447" s="42"/>
    </row>
    <row r="448" spans="52:61">
      <c r="AZ448" s="302"/>
      <c r="BA448" s="313"/>
      <c r="BB448" s="167"/>
      <c r="BC448" s="42"/>
      <c r="BD448" s="358"/>
      <c r="BH448" s="302"/>
      <c r="BI448" s="42"/>
    </row>
    <row r="449" spans="52:61">
      <c r="AZ449" s="302"/>
      <c r="BA449" s="313"/>
      <c r="BB449" s="167"/>
      <c r="BC449" s="42"/>
      <c r="BD449" s="358"/>
      <c r="BH449" s="302"/>
      <c r="BI449" s="42"/>
    </row>
    <row r="450" spans="52:61">
      <c r="AZ450" s="302"/>
      <c r="BA450" s="313"/>
      <c r="BB450" s="167"/>
      <c r="BC450" s="42"/>
      <c r="BD450" s="358"/>
      <c r="BH450" s="302"/>
      <c r="BI450" s="42"/>
    </row>
    <row r="451" spans="52:61">
      <c r="AZ451" s="302"/>
      <c r="BA451" s="313"/>
      <c r="BB451" s="167"/>
      <c r="BC451" s="42"/>
      <c r="BD451" s="358"/>
      <c r="BH451" s="302"/>
      <c r="BI451" s="42"/>
    </row>
    <row r="452" spans="52:61">
      <c r="AZ452" s="302"/>
      <c r="BA452" s="313"/>
      <c r="BB452" s="167"/>
      <c r="BC452" s="42"/>
      <c r="BD452" s="358"/>
      <c r="BH452" s="302"/>
      <c r="BI452" s="42"/>
    </row>
    <row r="453" spans="52:61">
      <c r="AZ453" s="302"/>
      <c r="BA453" s="313"/>
      <c r="BB453" s="167"/>
      <c r="BC453" s="42"/>
      <c r="BD453" s="358"/>
      <c r="BH453" s="302"/>
      <c r="BI453" s="42"/>
    </row>
    <row r="454" spans="52:61">
      <c r="AZ454" s="302"/>
      <c r="BA454" s="313"/>
      <c r="BB454" s="167"/>
      <c r="BC454" s="42"/>
      <c r="BD454" s="358"/>
      <c r="BH454" s="302"/>
      <c r="BI454" s="42"/>
    </row>
    <row r="455" spans="52:61">
      <c r="AZ455" s="302"/>
      <c r="BA455" s="313"/>
      <c r="BB455" s="167"/>
      <c r="BC455" s="42"/>
      <c r="BD455" s="358"/>
      <c r="BH455" s="302"/>
      <c r="BI455" s="42"/>
    </row>
    <row r="456" spans="52:61">
      <c r="AZ456" s="302"/>
      <c r="BA456" s="313"/>
      <c r="BB456" s="167"/>
      <c r="BC456" s="42"/>
      <c r="BD456" s="358"/>
      <c r="BH456" s="302"/>
      <c r="BI456" s="42"/>
    </row>
    <row r="457" spans="52:61">
      <c r="AZ457" s="302"/>
      <c r="BA457" s="313"/>
      <c r="BB457" s="167"/>
      <c r="BC457" s="42"/>
      <c r="BD457" s="358"/>
      <c r="BH457" s="302"/>
      <c r="BI457" s="42"/>
    </row>
    <row r="458" spans="52:61">
      <c r="AZ458" s="302"/>
      <c r="BA458" s="313"/>
      <c r="BB458" s="167"/>
      <c r="BC458" s="42"/>
      <c r="BD458" s="358"/>
      <c r="BH458" s="302"/>
      <c r="BI458" s="42"/>
    </row>
    <row r="459" spans="52:61">
      <c r="AZ459" s="302"/>
      <c r="BA459" s="313"/>
      <c r="BB459" s="167"/>
      <c r="BC459" s="42"/>
      <c r="BD459" s="358"/>
      <c r="BH459" s="302"/>
      <c r="BI459" s="42"/>
    </row>
    <row r="460" spans="52:61">
      <c r="AZ460" s="302"/>
      <c r="BA460" s="313"/>
      <c r="BB460" s="167"/>
      <c r="BC460" s="42"/>
      <c r="BD460" s="358"/>
      <c r="BH460" s="302"/>
      <c r="BI460" s="42"/>
    </row>
    <row r="461" spans="52:61">
      <c r="AZ461" s="302"/>
      <c r="BA461" s="313"/>
      <c r="BB461" s="167"/>
      <c r="BC461" s="42"/>
      <c r="BD461" s="358"/>
      <c r="BH461" s="302"/>
      <c r="BI461" s="42"/>
    </row>
    <row r="462" spans="52:61">
      <c r="AZ462" s="302"/>
      <c r="BA462" s="313"/>
      <c r="BB462" s="167"/>
      <c r="BC462" s="42"/>
      <c r="BD462" s="358"/>
      <c r="BH462" s="302"/>
      <c r="BI462" s="42"/>
    </row>
    <row r="463" spans="52:61">
      <c r="AZ463" s="302"/>
      <c r="BA463" s="313"/>
      <c r="BB463" s="167"/>
      <c r="BC463" s="42"/>
      <c r="BD463" s="358"/>
      <c r="BH463" s="302"/>
      <c r="BI463" s="42"/>
    </row>
    <row r="464" spans="52:61">
      <c r="AZ464" s="302"/>
      <c r="BA464" s="313"/>
      <c r="BB464" s="167"/>
      <c r="BC464" s="42"/>
      <c r="BD464" s="358"/>
      <c r="BH464" s="302"/>
      <c r="BI464" s="42"/>
    </row>
    <row r="465" spans="52:61">
      <c r="AZ465" s="302"/>
      <c r="BA465" s="313"/>
      <c r="BB465" s="167"/>
      <c r="BC465" s="42"/>
      <c r="BD465" s="358"/>
      <c r="BH465" s="302"/>
      <c r="BI465" s="42"/>
    </row>
    <row r="466" spans="52:61">
      <c r="AZ466" s="302"/>
      <c r="BA466" s="313"/>
      <c r="BB466" s="167"/>
      <c r="BC466" s="42"/>
      <c r="BD466" s="358"/>
      <c r="BH466" s="302"/>
      <c r="BI466" s="42"/>
    </row>
    <row r="467" spans="52:61">
      <c r="AZ467" s="302"/>
      <c r="BA467" s="313"/>
      <c r="BB467" s="167"/>
      <c r="BC467" s="42"/>
      <c r="BD467" s="358"/>
      <c r="BH467" s="302"/>
      <c r="BI467" s="42"/>
    </row>
    <row r="468" spans="52:61">
      <c r="AZ468" s="302"/>
      <c r="BA468" s="313"/>
      <c r="BB468" s="167"/>
      <c r="BC468" s="42"/>
      <c r="BD468" s="358"/>
      <c r="BH468" s="302"/>
      <c r="BI468" s="42"/>
    </row>
    <row r="469" spans="52:61">
      <c r="AZ469" s="302"/>
      <c r="BA469" s="313"/>
      <c r="BB469" s="167"/>
      <c r="BC469" s="42"/>
      <c r="BD469" s="358"/>
      <c r="BH469" s="302"/>
      <c r="BI469" s="42"/>
    </row>
    <row r="470" spans="52:61">
      <c r="AZ470" s="302"/>
      <c r="BA470" s="313"/>
      <c r="BB470" s="167"/>
      <c r="BC470" s="42"/>
      <c r="BD470" s="358"/>
      <c r="BH470" s="302"/>
      <c r="BI470" s="42"/>
    </row>
    <row r="471" spans="52:61">
      <c r="AZ471" s="302"/>
      <c r="BA471" s="313"/>
      <c r="BB471" s="167"/>
      <c r="BC471" s="42"/>
      <c r="BD471" s="358"/>
      <c r="BH471" s="302"/>
      <c r="BI471" s="42"/>
    </row>
    <row r="472" spans="52:61">
      <c r="AZ472" s="302"/>
      <c r="BA472" s="313"/>
      <c r="BB472" s="167"/>
      <c r="BC472" s="42"/>
      <c r="BD472" s="358"/>
      <c r="BH472" s="302"/>
      <c r="BI472" s="42"/>
    </row>
    <row r="473" spans="52:61">
      <c r="AZ473" s="302"/>
      <c r="BA473" s="313"/>
      <c r="BB473" s="167"/>
      <c r="BC473" s="42"/>
      <c r="BD473" s="358"/>
      <c r="BH473" s="302"/>
      <c r="BI473" s="42"/>
    </row>
    <row r="474" spans="52:61">
      <c r="AZ474" s="302"/>
      <c r="BA474" s="313"/>
      <c r="BB474" s="167"/>
      <c r="BC474" s="42"/>
      <c r="BD474" s="358"/>
      <c r="BH474" s="302"/>
      <c r="BI474" s="42"/>
    </row>
    <row r="475" spans="52:61">
      <c r="AZ475" s="302"/>
      <c r="BA475" s="313"/>
      <c r="BB475" s="167"/>
      <c r="BC475" s="42"/>
      <c r="BD475" s="358"/>
      <c r="BH475" s="302"/>
      <c r="BI475" s="42"/>
    </row>
    <row r="476" spans="52:61">
      <c r="AZ476" s="302"/>
      <c r="BA476" s="313"/>
      <c r="BB476" s="167"/>
      <c r="BC476" s="42"/>
      <c r="BD476" s="358"/>
      <c r="BH476" s="302"/>
      <c r="BI476" s="42"/>
    </row>
    <row r="477" spans="52:61">
      <c r="AZ477" s="302"/>
      <c r="BA477" s="313"/>
      <c r="BB477" s="167"/>
      <c r="BC477" s="42"/>
      <c r="BD477" s="358"/>
      <c r="BH477" s="302"/>
      <c r="BI477" s="42"/>
    </row>
    <row r="478" spans="52:61">
      <c r="AZ478" s="302"/>
      <c r="BA478" s="313"/>
      <c r="BB478" s="167"/>
      <c r="BC478" s="42"/>
      <c r="BD478" s="358"/>
      <c r="BH478" s="302"/>
      <c r="BI478" s="42"/>
    </row>
    <row r="479" spans="52:61">
      <c r="AZ479" s="302"/>
      <c r="BA479" s="313"/>
      <c r="BB479" s="167"/>
      <c r="BC479" s="42"/>
      <c r="BD479" s="358"/>
      <c r="BH479" s="302"/>
      <c r="BI479" s="42"/>
    </row>
    <row r="480" spans="52:61">
      <c r="AZ480" s="302"/>
      <c r="BA480" s="313"/>
      <c r="BB480" s="167"/>
      <c r="BC480" s="42"/>
      <c r="BD480" s="358"/>
      <c r="BH480" s="302"/>
      <c r="BI480" s="42"/>
    </row>
    <row r="481" spans="52:61">
      <c r="AZ481" s="302"/>
      <c r="BA481" s="313"/>
      <c r="BB481" s="167"/>
      <c r="BC481" s="42"/>
      <c r="BD481" s="358"/>
      <c r="BH481" s="302"/>
      <c r="BI481" s="42"/>
    </row>
    <row r="482" spans="52:61">
      <c r="AZ482" s="302"/>
      <c r="BA482" s="313"/>
      <c r="BB482" s="167"/>
      <c r="BC482" s="42"/>
      <c r="BD482" s="358"/>
      <c r="BH482" s="302"/>
      <c r="BI482" s="42"/>
    </row>
    <row r="483" spans="52:61">
      <c r="AZ483" s="302"/>
      <c r="BA483" s="313"/>
      <c r="BB483" s="167"/>
      <c r="BC483" s="42"/>
      <c r="BD483" s="358"/>
      <c r="BH483" s="302"/>
      <c r="BI483" s="42"/>
    </row>
    <row r="484" spans="52:61">
      <c r="AZ484" s="302"/>
      <c r="BA484" s="313"/>
      <c r="BB484" s="167"/>
      <c r="BC484" s="42"/>
      <c r="BD484" s="358"/>
      <c r="BH484" s="302"/>
      <c r="BI484" s="42"/>
    </row>
    <row r="485" spans="52:61">
      <c r="AZ485" s="302"/>
      <c r="BA485" s="313"/>
      <c r="BB485" s="167"/>
      <c r="BC485" s="42"/>
      <c r="BD485" s="358"/>
      <c r="BH485" s="302"/>
      <c r="BI485" s="42"/>
    </row>
    <row r="486" spans="52:61">
      <c r="AZ486" s="302"/>
      <c r="BA486" s="313"/>
      <c r="BB486" s="167"/>
      <c r="BC486" s="42"/>
      <c r="BD486" s="358"/>
      <c r="BH486" s="302"/>
      <c r="BI486" s="42"/>
    </row>
    <row r="487" spans="52:61">
      <c r="AZ487" s="302"/>
      <c r="BA487" s="313"/>
      <c r="BB487" s="167"/>
      <c r="BC487" s="42"/>
      <c r="BD487" s="358"/>
      <c r="BH487" s="302"/>
      <c r="BI487" s="42"/>
    </row>
    <row r="488" spans="52:61">
      <c r="AZ488" s="302"/>
      <c r="BA488" s="313"/>
      <c r="BB488" s="167"/>
      <c r="BC488" s="42"/>
      <c r="BD488" s="358"/>
      <c r="BH488" s="302"/>
      <c r="BI488" s="42"/>
    </row>
    <row r="489" spans="52:61">
      <c r="AZ489" s="302"/>
      <c r="BA489" s="313"/>
      <c r="BB489" s="167"/>
      <c r="BC489" s="42"/>
      <c r="BD489" s="358"/>
      <c r="BH489" s="302"/>
      <c r="BI489" s="42"/>
    </row>
    <row r="490" spans="52:61">
      <c r="AZ490" s="302"/>
      <c r="BA490" s="313"/>
      <c r="BB490" s="167"/>
      <c r="BC490" s="42"/>
      <c r="BD490" s="358"/>
      <c r="BH490" s="302"/>
      <c r="BI490" s="42"/>
    </row>
    <row r="491" spans="52:61">
      <c r="AZ491" s="302"/>
      <c r="BA491" s="313"/>
      <c r="BB491" s="167"/>
      <c r="BC491" s="42"/>
      <c r="BD491" s="358"/>
      <c r="BH491" s="302"/>
      <c r="BI491" s="42"/>
    </row>
    <row r="492" spans="52:61">
      <c r="AZ492" s="302"/>
      <c r="BA492" s="313"/>
      <c r="BB492" s="167"/>
      <c r="BC492" s="42"/>
      <c r="BD492" s="358"/>
      <c r="BH492" s="302"/>
      <c r="BI492" s="42"/>
    </row>
    <row r="493" spans="52:61">
      <c r="AZ493" s="302"/>
      <c r="BA493" s="313"/>
      <c r="BB493" s="167"/>
      <c r="BC493" s="42"/>
      <c r="BD493" s="358"/>
      <c r="BH493" s="302"/>
      <c r="BI493" s="42"/>
    </row>
    <row r="494" spans="52:61">
      <c r="AZ494" s="302"/>
      <c r="BA494" s="313"/>
      <c r="BB494" s="167"/>
      <c r="BC494" s="42"/>
      <c r="BD494" s="358"/>
      <c r="BH494" s="302"/>
      <c r="BI494" s="42"/>
    </row>
    <row r="495" spans="52:61">
      <c r="AZ495" s="302"/>
      <c r="BA495" s="313"/>
      <c r="BB495" s="167"/>
      <c r="BC495" s="42"/>
      <c r="BD495" s="358"/>
      <c r="BH495" s="302"/>
      <c r="BI495" s="42"/>
    </row>
    <row r="496" spans="52:61">
      <c r="AZ496" s="302"/>
      <c r="BA496" s="313"/>
      <c r="BB496" s="167"/>
      <c r="BC496" s="42"/>
      <c r="BD496" s="358"/>
      <c r="BH496" s="302"/>
      <c r="BI496" s="42"/>
    </row>
    <row r="497" spans="52:61">
      <c r="AZ497" s="302"/>
      <c r="BA497" s="313"/>
      <c r="BB497" s="167"/>
      <c r="BC497" s="42"/>
      <c r="BD497" s="358"/>
      <c r="BH497" s="302"/>
      <c r="BI497" s="42"/>
    </row>
    <row r="498" spans="52:61">
      <c r="AZ498" s="302"/>
      <c r="BA498" s="313"/>
      <c r="BB498" s="167"/>
      <c r="BC498" s="42"/>
      <c r="BD498" s="358"/>
      <c r="BH498" s="302"/>
      <c r="BI498" s="42"/>
    </row>
    <row r="499" spans="52:61">
      <c r="AZ499" s="302"/>
      <c r="BA499" s="313"/>
      <c r="BB499" s="167"/>
      <c r="BC499" s="42"/>
      <c r="BD499" s="358"/>
      <c r="BH499" s="302"/>
      <c r="BI499" s="42"/>
    </row>
    <row r="500" spans="52:61">
      <c r="AZ500" s="302"/>
      <c r="BA500" s="313"/>
      <c r="BB500" s="167"/>
      <c r="BC500" s="42"/>
      <c r="BD500" s="358"/>
      <c r="BH500" s="302"/>
      <c r="BI500" s="42"/>
    </row>
    <row r="501" spans="52:61">
      <c r="AZ501" s="302"/>
      <c r="BA501" s="313"/>
      <c r="BB501" s="167"/>
      <c r="BC501" s="42"/>
      <c r="BD501" s="358"/>
      <c r="BH501" s="302"/>
      <c r="BI501" s="42"/>
    </row>
    <row r="502" spans="52:61">
      <c r="AZ502" s="302"/>
      <c r="BA502" s="313"/>
      <c r="BB502" s="167"/>
      <c r="BC502" s="42"/>
      <c r="BD502" s="358"/>
      <c r="BH502" s="302"/>
      <c r="BI502" s="42"/>
    </row>
    <row r="503" spans="52:61">
      <c r="AZ503" s="302"/>
      <c r="BA503" s="313"/>
      <c r="BB503" s="167"/>
      <c r="BC503" s="42"/>
      <c r="BD503" s="358"/>
      <c r="BH503" s="302"/>
      <c r="BI503" s="42"/>
    </row>
    <row r="504" spans="52:61">
      <c r="AZ504" s="302"/>
      <c r="BA504" s="313"/>
      <c r="BB504" s="167"/>
      <c r="BC504" s="42"/>
      <c r="BD504" s="358"/>
      <c r="BH504" s="302"/>
      <c r="BI504" s="42"/>
    </row>
    <row r="505" spans="52:61">
      <c r="AZ505" s="302"/>
      <c r="BA505" s="313"/>
      <c r="BB505" s="167"/>
      <c r="BC505" s="42"/>
      <c r="BD505" s="358"/>
      <c r="BH505" s="302"/>
      <c r="BI505" s="42"/>
    </row>
    <row r="506" spans="52:61">
      <c r="AZ506" s="302"/>
      <c r="BA506" s="313"/>
      <c r="BB506" s="167"/>
      <c r="BC506" s="42"/>
      <c r="BD506" s="358"/>
      <c r="BH506" s="302"/>
      <c r="BI506" s="42"/>
    </row>
    <row r="507" spans="52:61">
      <c r="AZ507" s="302"/>
      <c r="BA507" s="313"/>
      <c r="BB507" s="167"/>
      <c r="BC507" s="42"/>
      <c r="BD507" s="358"/>
      <c r="BH507" s="302"/>
      <c r="BI507" s="42"/>
    </row>
    <row r="508" spans="52:61">
      <c r="AZ508" s="302"/>
      <c r="BA508" s="313"/>
      <c r="BB508" s="167"/>
      <c r="BC508" s="42"/>
      <c r="BD508" s="358"/>
      <c r="BH508" s="302"/>
      <c r="BI508" s="42"/>
    </row>
    <row r="509" spans="52:61">
      <c r="AZ509" s="302"/>
      <c r="BA509" s="313"/>
      <c r="BB509" s="167"/>
      <c r="BC509" s="42"/>
      <c r="BD509" s="358"/>
      <c r="BH509" s="302"/>
      <c r="BI509" s="42"/>
    </row>
    <row r="510" spans="52:61">
      <c r="AZ510" s="302"/>
      <c r="BA510" s="313"/>
      <c r="BB510" s="167"/>
      <c r="BC510" s="42"/>
      <c r="BD510" s="358"/>
      <c r="BH510" s="302"/>
      <c r="BI510" s="42"/>
    </row>
    <row r="511" spans="52:61">
      <c r="AZ511" s="302"/>
      <c r="BA511" s="313"/>
      <c r="BB511" s="167"/>
      <c r="BC511" s="42"/>
      <c r="BD511" s="358"/>
      <c r="BH511" s="302"/>
      <c r="BI511" s="42"/>
    </row>
    <row r="512" spans="52:61">
      <c r="AZ512" s="302"/>
      <c r="BA512" s="313"/>
      <c r="BB512" s="167"/>
      <c r="BC512" s="42"/>
      <c r="BD512" s="358"/>
      <c r="BH512" s="302"/>
      <c r="BI512" s="42"/>
    </row>
    <row r="513" spans="52:61">
      <c r="AZ513" s="302"/>
      <c r="BA513" s="313"/>
      <c r="BB513" s="167"/>
      <c r="BC513" s="42"/>
      <c r="BD513" s="358"/>
      <c r="BH513" s="302"/>
      <c r="BI513" s="42"/>
    </row>
    <row r="514" spans="52:61">
      <c r="AZ514" s="302"/>
      <c r="BA514" s="313"/>
      <c r="BB514" s="167"/>
      <c r="BC514" s="42"/>
      <c r="BD514" s="358"/>
      <c r="BH514" s="302"/>
      <c r="BI514" s="42"/>
    </row>
    <row r="515" spans="52:61">
      <c r="AZ515" s="302"/>
      <c r="BA515" s="313"/>
      <c r="BB515" s="167"/>
      <c r="BC515" s="42"/>
      <c r="BD515" s="358"/>
      <c r="BH515" s="302"/>
      <c r="BI515" s="42"/>
    </row>
    <row r="516" spans="52:61">
      <c r="AZ516" s="302"/>
      <c r="BA516" s="313"/>
      <c r="BB516" s="167"/>
      <c r="BC516" s="42"/>
      <c r="BD516" s="358"/>
      <c r="BH516" s="302"/>
      <c r="BI516" s="42"/>
    </row>
    <row r="517" spans="52:61">
      <c r="AZ517" s="302"/>
      <c r="BA517" s="313"/>
      <c r="BB517" s="167"/>
      <c r="BC517" s="42"/>
      <c r="BD517" s="358"/>
      <c r="BH517" s="302"/>
      <c r="BI517" s="42"/>
    </row>
    <row r="518" spans="52:61">
      <c r="AZ518" s="302"/>
      <c r="BA518" s="313"/>
      <c r="BB518" s="167"/>
      <c r="BC518" s="42"/>
      <c r="BD518" s="358"/>
      <c r="BH518" s="302"/>
      <c r="BI518" s="42"/>
    </row>
    <row r="519" spans="52:61">
      <c r="AZ519" s="302"/>
      <c r="BA519" s="313"/>
      <c r="BB519" s="167"/>
      <c r="BC519" s="42"/>
      <c r="BD519" s="358"/>
      <c r="BH519" s="302"/>
      <c r="BI519" s="42"/>
    </row>
    <row r="520" spans="52:61">
      <c r="AZ520" s="302"/>
      <c r="BA520" s="313"/>
      <c r="BB520" s="167"/>
      <c r="BC520" s="42"/>
      <c r="BD520" s="358"/>
      <c r="BH520" s="302"/>
      <c r="BI520" s="42"/>
    </row>
    <row r="521" spans="52:61">
      <c r="AZ521" s="302"/>
      <c r="BA521" s="313"/>
      <c r="BB521" s="167"/>
      <c r="BC521" s="42"/>
      <c r="BD521" s="358"/>
      <c r="BH521" s="302"/>
      <c r="BI521" s="42"/>
    </row>
    <row r="522" spans="52:61">
      <c r="AZ522" s="302"/>
      <c r="BA522" s="313"/>
      <c r="BB522" s="167"/>
      <c r="BC522" s="42"/>
      <c r="BD522" s="358"/>
      <c r="BH522" s="302"/>
      <c r="BI522" s="42"/>
    </row>
    <row r="523" spans="52:61">
      <c r="AZ523" s="302"/>
      <c r="BA523" s="313"/>
      <c r="BB523" s="167"/>
      <c r="BC523" s="42"/>
      <c r="BD523" s="358"/>
      <c r="BH523" s="302"/>
      <c r="BI523" s="42"/>
    </row>
    <row r="524" spans="52:61">
      <c r="AZ524" s="302"/>
      <c r="BA524" s="313"/>
      <c r="BB524" s="167"/>
      <c r="BC524" s="42"/>
      <c r="BD524" s="358"/>
      <c r="BH524" s="302"/>
      <c r="BI524" s="42"/>
    </row>
    <row r="525" spans="52:61">
      <c r="AZ525" s="302"/>
      <c r="BA525" s="313"/>
      <c r="BB525" s="167"/>
      <c r="BC525" s="42"/>
      <c r="BD525" s="358"/>
      <c r="BH525" s="302"/>
      <c r="BI525" s="42"/>
    </row>
    <row r="526" spans="52:61">
      <c r="AZ526" s="302"/>
      <c r="BA526" s="313"/>
      <c r="BB526" s="167"/>
      <c r="BC526" s="42"/>
      <c r="BD526" s="358"/>
      <c r="BH526" s="302"/>
      <c r="BI526" s="42"/>
    </row>
    <row r="527" spans="52:61">
      <c r="AZ527" s="302"/>
      <c r="BA527" s="313"/>
      <c r="BB527" s="167"/>
      <c r="BC527" s="42"/>
      <c r="BD527" s="358"/>
      <c r="BH527" s="302"/>
      <c r="BI527" s="42"/>
    </row>
    <row r="528" spans="52:61">
      <c r="AZ528" s="302"/>
      <c r="BA528" s="313"/>
      <c r="BB528" s="167"/>
      <c r="BC528" s="42"/>
      <c r="BD528" s="358"/>
      <c r="BH528" s="302"/>
      <c r="BI528" s="42"/>
    </row>
    <row r="529" spans="52:61">
      <c r="AZ529" s="302"/>
      <c r="BA529" s="313"/>
      <c r="BB529" s="167"/>
      <c r="BC529" s="42"/>
      <c r="BD529" s="358"/>
      <c r="BH529" s="302"/>
      <c r="BI529" s="42"/>
    </row>
    <row r="530" spans="52:61">
      <c r="AZ530" s="302"/>
      <c r="BA530" s="313"/>
      <c r="BB530" s="167"/>
      <c r="BC530" s="42"/>
      <c r="BD530" s="358"/>
      <c r="BH530" s="302"/>
      <c r="BI530" s="42"/>
    </row>
    <row r="531" spans="52:61">
      <c r="AZ531" s="302"/>
      <c r="BA531" s="313"/>
      <c r="BB531" s="167"/>
      <c r="BC531" s="42"/>
      <c r="BD531" s="358"/>
      <c r="BH531" s="302"/>
      <c r="BI531" s="42"/>
    </row>
    <row r="532" spans="52:61">
      <c r="AZ532" s="302"/>
      <c r="BA532" s="313"/>
      <c r="BB532" s="167"/>
      <c r="BC532" s="42"/>
      <c r="BD532" s="358"/>
      <c r="BH532" s="302"/>
      <c r="BI532" s="42"/>
    </row>
    <row r="533" spans="52:61">
      <c r="AZ533" s="302"/>
      <c r="BA533" s="313"/>
      <c r="BB533" s="167"/>
      <c r="BC533" s="42"/>
      <c r="BD533" s="358"/>
      <c r="BH533" s="302"/>
      <c r="BI533" s="42"/>
    </row>
    <row r="534" spans="52:61">
      <c r="AZ534" s="302"/>
      <c r="BA534" s="313"/>
      <c r="BB534" s="167"/>
      <c r="BC534" s="42"/>
      <c r="BD534" s="358"/>
      <c r="BH534" s="302"/>
      <c r="BI534" s="42"/>
    </row>
    <row r="535" spans="52:61">
      <c r="AZ535" s="302"/>
      <c r="BA535" s="313"/>
      <c r="BB535" s="167"/>
      <c r="BC535" s="42"/>
      <c r="BD535" s="358"/>
      <c r="BH535" s="302"/>
      <c r="BI535" s="42"/>
    </row>
    <row r="536" spans="52:61">
      <c r="AZ536" s="302"/>
      <c r="BA536" s="313"/>
      <c r="BB536" s="167"/>
      <c r="BC536" s="42"/>
      <c r="BD536" s="358"/>
      <c r="BH536" s="302"/>
      <c r="BI536" s="42"/>
    </row>
    <row r="537" spans="52:61">
      <c r="AZ537" s="302"/>
      <c r="BA537" s="313"/>
      <c r="BB537" s="167"/>
      <c r="BC537" s="42"/>
      <c r="BD537" s="358"/>
      <c r="BH537" s="302"/>
      <c r="BI537" s="42"/>
    </row>
    <row r="538" spans="52:61">
      <c r="AZ538" s="302"/>
      <c r="BA538" s="313"/>
      <c r="BB538" s="167"/>
      <c r="BC538" s="42"/>
      <c r="BD538" s="358"/>
      <c r="BH538" s="302"/>
      <c r="BI538" s="42"/>
    </row>
    <row r="539" spans="52:61">
      <c r="AZ539" s="302"/>
      <c r="BA539" s="313"/>
      <c r="BB539" s="167"/>
      <c r="BC539" s="42"/>
      <c r="BD539" s="358"/>
      <c r="BH539" s="302"/>
      <c r="BI539" s="42"/>
    </row>
    <row r="540" spans="52:61">
      <c r="AZ540" s="302"/>
      <c r="BA540" s="313"/>
      <c r="BB540" s="167"/>
      <c r="BC540" s="42"/>
      <c r="BD540" s="358"/>
      <c r="BH540" s="302"/>
      <c r="BI540" s="42"/>
    </row>
    <row r="541" spans="52:61">
      <c r="AZ541" s="302"/>
      <c r="BA541" s="313"/>
      <c r="BB541" s="167"/>
      <c r="BC541" s="42"/>
      <c r="BD541" s="358"/>
      <c r="BH541" s="302"/>
      <c r="BI541" s="42"/>
    </row>
    <row r="542" spans="52:61">
      <c r="AZ542" s="302"/>
      <c r="BA542" s="313"/>
      <c r="BB542" s="167"/>
      <c r="BC542" s="42"/>
      <c r="BD542" s="358"/>
      <c r="BH542" s="302"/>
      <c r="BI542" s="42"/>
    </row>
    <row r="543" spans="52:61">
      <c r="AZ543" s="302"/>
      <c r="BA543" s="313"/>
      <c r="BB543" s="167"/>
      <c r="BC543" s="42"/>
      <c r="BD543" s="358"/>
      <c r="BH543" s="302"/>
      <c r="BI543" s="42"/>
    </row>
    <row r="544" spans="52:61">
      <c r="AZ544" s="302"/>
      <c r="BA544" s="313"/>
      <c r="BB544" s="167"/>
      <c r="BC544" s="42"/>
      <c r="BD544" s="358"/>
      <c r="BH544" s="302"/>
      <c r="BI544" s="42"/>
    </row>
    <row r="545" spans="52:61">
      <c r="AZ545" s="302"/>
      <c r="BA545" s="313"/>
      <c r="BB545" s="167"/>
      <c r="BC545" s="42"/>
      <c r="BD545" s="358"/>
      <c r="BH545" s="302"/>
      <c r="BI545" s="42"/>
    </row>
    <row r="546" spans="52:61">
      <c r="AZ546" s="302"/>
      <c r="BA546" s="313"/>
      <c r="BB546" s="167"/>
      <c r="BC546" s="42"/>
      <c r="BD546" s="358"/>
      <c r="BH546" s="302"/>
      <c r="BI546" s="42"/>
    </row>
    <row r="547" spans="52:61">
      <c r="AZ547" s="302"/>
      <c r="BA547" s="313"/>
      <c r="BB547" s="167"/>
      <c r="BC547" s="42"/>
      <c r="BD547" s="358"/>
      <c r="BH547" s="302"/>
      <c r="BI547" s="42"/>
    </row>
    <row r="548" spans="52:61">
      <c r="AZ548" s="302"/>
      <c r="BA548" s="313"/>
      <c r="BB548" s="167"/>
      <c r="BC548" s="42"/>
      <c r="BD548" s="358"/>
      <c r="BH548" s="302"/>
      <c r="BI548" s="42"/>
    </row>
    <row r="549" spans="52:61">
      <c r="AZ549" s="302"/>
      <c r="BA549" s="313"/>
      <c r="BB549" s="167"/>
      <c r="BC549" s="42"/>
      <c r="BD549" s="358"/>
      <c r="BH549" s="302"/>
      <c r="BI549" s="42"/>
    </row>
    <row r="550" spans="52:61">
      <c r="AZ550" s="302"/>
      <c r="BA550" s="313"/>
      <c r="BB550" s="167"/>
      <c r="BC550" s="42"/>
      <c r="BD550" s="358"/>
      <c r="BH550" s="302"/>
      <c r="BI550" s="42"/>
    </row>
    <row r="551" spans="52:61">
      <c r="AZ551" s="302"/>
      <c r="BA551" s="313"/>
      <c r="BB551" s="167"/>
      <c r="BC551" s="42"/>
      <c r="BD551" s="358"/>
      <c r="BH551" s="302"/>
      <c r="BI551" s="42"/>
    </row>
    <row r="552" spans="52:61">
      <c r="AZ552" s="302"/>
      <c r="BA552" s="313"/>
      <c r="BB552" s="167"/>
      <c r="BC552" s="42"/>
      <c r="BD552" s="358"/>
      <c r="BH552" s="302"/>
      <c r="BI552" s="42"/>
    </row>
    <row r="553" spans="52:61">
      <c r="AZ553" s="302"/>
      <c r="BA553" s="313"/>
      <c r="BB553" s="167"/>
      <c r="BC553" s="42"/>
      <c r="BD553" s="358"/>
      <c r="BH553" s="302"/>
      <c r="BI553" s="42"/>
    </row>
    <row r="554" spans="52:61">
      <c r="AZ554" s="302"/>
      <c r="BA554" s="313"/>
      <c r="BB554" s="167"/>
      <c r="BC554" s="42"/>
      <c r="BD554" s="358"/>
      <c r="BH554" s="302"/>
      <c r="BI554" s="42"/>
    </row>
    <row r="555" spans="52:61">
      <c r="AZ555" s="302"/>
      <c r="BA555" s="313"/>
      <c r="BB555" s="167"/>
      <c r="BC555" s="42"/>
      <c r="BD555" s="358"/>
      <c r="BH555" s="302"/>
      <c r="BI555" s="42"/>
    </row>
    <row r="556" spans="52:61">
      <c r="AZ556" s="302"/>
      <c r="BA556" s="313"/>
      <c r="BB556" s="167"/>
      <c r="BC556" s="42"/>
      <c r="BD556" s="358"/>
      <c r="BH556" s="302"/>
      <c r="BI556" s="42"/>
    </row>
    <row r="557" spans="52:61">
      <c r="AZ557" s="302"/>
      <c r="BA557" s="313"/>
      <c r="BB557" s="167"/>
      <c r="BC557" s="42"/>
      <c r="BD557" s="358"/>
      <c r="BH557" s="302"/>
      <c r="BI557" s="42"/>
    </row>
    <row r="558" spans="52:61">
      <c r="AZ558" s="302"/>
      <c r="BA558" s="313"/>
      <c r="BB558" s="167"/>
      <c r="BC558" s="42"/>
      <c r="BD558" s="358"/>
      <c r="BH558" s="302"/>
      <c r="BI558" s="42"/>
    </row>
    <row r="559" spans="52:61">
      <c r="AZ559" s="302"/>
      <c r="BA559" s="313"/>
      <c r="BB559" s="167"/>
      <c r="BC559" s="42"/>
      <c r="BD559" s="358"/>
      <c r="BH559" s="302"/>
      <c r="BI559" s="42"/>
    </row>
    <row r="560" spans="52:61">
      <c r="AZ560" s="302"/>
      <c r="BA560" s="313"/>
      <c r="BB560" s="167"/>
      <c r="BC560" s="42"/>
      <c r="BD560" s="358"/>
      <c r="BH560" s="302"/>
      <c r="BI560" s="42"/>
    </row>
    <row r="561" spans="52:61">
      <c r="AZ561" s="302"/>
      <c r="BA561" s="313"/>
      <c r="BB561" s="167"/>
      <c r="BC561" s="42"/>
      <c r="BD561" s="358"/>
      <c r="BH561" s="302"/>
      <c r="BI561" s="42"/>
    </row>
    <row r="562" spans="52:61">
      <c r="AZ562" s="302"/>
      <c r="BA562" s="313"/>
      <c r="BB562" s="167"/>
      <c r="BC562" s="42"/>
      <c r="BD562" s="358"/>
      <c r="BH562" s="302"/>
      <c r="BI562" s="42"/>
    </row>
    <row r="563" spans="52:61">
      <c r="AZ563" s="302"/>
      <c r="BA563" s="313"/>
      <c r="BB563" s="167"/>
      <c r="BC563" s="42"/>
      <c r="BD563" s="358"/>
      <c r="BH563" s="302"/>
      <c r="BI563" s="42"/>
    </row>
    <row r="564" spans="52:61">
      <c r="AZ564" s="302"/>
      <c r="BA564" s="313"/>
      <c r="BB564" s="167"/>
      <c r="BC564" s="42"/>
      <c r="BD564" s="358"/>
      <c r="BH564" s="302"/>
      <c r="BI564" s="42"/>
    </row>
    <row r="565" spans="52:61">
      <c r="AZ565" s="302"/>
      <c r="BA565" s="313"/>
      <c r="BB565" s="167"/>
      <c r="BC565" s="42"/>
      <c r="BD565" s="358"/>
      <c r="BH565" s="302"/>
      <c r="BI565" s="42"/>
    </row>
    <row r="566" spans="52:61">
      <c r="AZ566" s="302"/>
      <c r="BA566" s="313"/>
      <c r="BB566" s="167"/>
      <c r="BC566" s="42"/>
      <c r="BD566" s="358"/>
      <c r="BH566" s="302"/>
      <c r="BI566" s="42"/>
    </row>
    <row r="567" spans="52:61">
      <c r="AZ567" s="302"/>
      <c r="BA567" s="313"/>
      <c r="BB567" s="167"/>
      <c r="BC567" s="42"/>
      <c r="BD567" s="358"/>
      <c r="BH567" s="302"/>
      <c r="BI567" s="42"/>
    </row>
    <row r="568" spans="52:61">
      <c r="AZ568" s="302"/>
      <c r="BA568" s="313"/>
      <c r="BB568" s="167"/>
      <c r="BC568" s="42"/>
      <c r="BD568" s="358"/>
      <c r="BH568" s="302"/>
      <c r="BI568" s="42"/>
    </row>
    <row r="569" spans="52:61">
      <c r="AZ569" s="302"/>
      <c r="BA569" s="313"/>
      <c r="BB569" s="167"/>
      <c r="BC569" s="42"/>
      <c r="BD569" s="358"/>
      <c r="BH569" s="302"/>
      <c r="BI569" s="42"/>
    </row>
    <row r="570" spans="52:61">
      <c r="AZ570" s="302"/>
      <c r="BA570" s="313"/>
      <c r="BB570" s="167"/>
      <c r="BC570" s="42"/>
      <c r="BD570" s="358"/>
      <c r="BH570" s="302"/>
      <c r="BI570" s="42"/>
    </row>
    <row r="571" spans="52:61">
      <c r="AZ571" s="302"/>
      <c r="BA571" s="313"/>
      <c r="BB571" s="167"/>
      <c r="BC571" s="42"/>
      <c r="BD571" s="358"/>
      <c r="BH571" s="302"/>
      <c r="BI571" s="42"/>
    </row>
    <row r="572" spans="52:61">
      <c r="AZ572" s="302"/>
      <c r="BA572" s="313"/>
      <c r="BB572" s="167"/>
      <c r="BC572" s="42"/>
      <c r="BD572" s="358"/>
      <c r="BH572" s="302"/>
      <c r="BI572" s="42"/>
    </row>
    <row r="573" spans="52:61">
      <c r="AZ573" s="302"/>
      <c r="BA573" s="313"/>
      <c r="BB573" s="167"/>
      <c r="BC573" s="42"/>
      <c r="BD573" s="358"/>
      <c r="BH573" s="302"/>
      <c r="BI573" s="42"/>
    </row>
    <row r="574" spans="52:61">
      <c r="AZ574" s="302"/>
      <c r="BA574" s="313"/>
      <c r="BB574" s="167"/>
      <c r="BC574" s="42"/>
      <c r="BD574" s="358"/>
      <c r="BH574" s="302"/>
      <c r="BI574" s="42"/>
    </row>
    <row r="575" spans="52:61">
      <c r="AZ575" s="302"/>
      <c r="BA575" s="313"/>
      <c r="BB575" s="167"/>
      <c r="BC575" s="42"/>
      <c r="BD575" s="358"/>
      <c r="BH575" s="302"/>
      <c r="BI575" s="42"/>
    </row>
    <row r="576" spans="52:61">
      <c r="AZ576" s="302"/>
      <c r="BA576" s="313"/>
      <c r="BB576" s="167"/>
      <c r="BC576" s="42"/>
      <c r="BD576" s="358"/>
      <c r="BH576" s="302"/>
      <c r="BI576" s="42"/>
    </row>
    <row r="577" spans="52:61">
      <c r="AZ577" s="302"/>
      <c r="BA577" s="313"/>
      <c r="BB577" s="167"/>
      <c r="BC577" s="42"/>
      <c r="BD577" s="358"/>
      <c r="BH577" s="302"/>
      <c r="BI577" s="42"/>
    </row>
    <row r="578" spans="52:61">
      <c r="AZ578" s="302"/>
      <c r="BA578" s="313"/>
      <c r="BB578" s="167"/>
      <c r="BC578" s="42"/>
      <c r="BD578" s="358"/>
      <c r="BH578" s="302"/>
      <c r="BI578" s="42"/>
    </row>
    <row r="579" spans="52:61">
      <c r="AZ579" s="302"/>
      <c r="BA579" s="313"/>
      <c r="BB579" s="167"/>
      <c r="BC579" s="42"/>
      <c r="BD579" s="358"/>
      <c r="BH579" s="302"/>
      <c r="BI579" s="42"/>
    </row>
    <row r="580" spans="52:61">
      <c r="AZ580" s="302"/>
      <c r="BA580" s="313"/>
      <c r="BB580" s="167"/>
      <c r="BC580" s="42"/>
      <c r="BD580" s="358"/>
      <c r="BH580" s="302"/>
      <c r="BI580" s="42"/>
    </row>
    <row r="581" spans="52:61">
      <c r="AZ581" s="302"/>
      <c r="BA581" s="313"/>
      <c r="BB581" s="167"/>
      <c r="BC581" s="42"/>
      <c r="BD581" s="358"/>
      <c r="BH581" s="302"/>
      <c r="BI581" s="42"/>
    </row>
    <row r="582" spans="52:61">
      <c r="AZ582" s="302"/>
      <c r="BA582" s="313"/>
      <c r="BB582" s="167"/>
      <c r="BC582" s="42"/>
      <c r="BD582" s="358"/>
      <c r="BH582" s="302"/>
      <c r="BI582" s="42"/>
    </row>
    <row r="583" spans="52:61">
      <c r="AZ583" s="302"/>
      <c r="BA583" s="313"/>
      <c r="BB583" s="167"/>
      <c r="BC583" s="42"/>
      <c r="BD583" s="358"/>
      <c r="BH583" s="302"/>
      <c r="BI583" s="42"/>
    </row>
    <row r="584" spans="52:61">
      <c r="AZ584" s="302"/>
      <c r="BA584" s="313"/>
      <c r="BB584" s="167"/>
      <c r="BC584" s="42"/>
      <c r="BD584" s="358"/>
      <c r="BH584" s="302"/>
      <c r="BI584" s="42"/>
    </row>
    <row r="585" spans="52:61">
      <c r="AZ585" s="302"/>
      <c r="BA585" s="313"/>
      <c r="BB585" s="167"/>
      <c r="BC585" s="42"/>
      <c r="BD585" s="358"/>
      <c r="BH585" s="302"/>
      <c r="BI585" s="42"/>
    </row>
    <row r="586" spans="52:61">
      <c r="AZ586" s="302"/>
      <c r="BA586" s="313"/>
      <c r="BB586" s="167"/>
      <c r="BC586" s="42"/>
      <c r="BD586" s="358"/>
      <c r="BH586" s="302"/>
      <c r="BI586" s="42"/>
    </row>
    <row r="587" spans="52:61">
      <c r="AZ587" s="302"/>
      <c r="BA587" s="313"/>
      <c r="BB587" s="167"/>
      <c r="BC587" s="42"/>
      <c r="BD587" s="358"/>
      <c r="BH587" s="302"/>
      <c r="BI587" s="42"/>
    </row>
    <row r="588" spans="52:61">
      <c r="AZ588" s="302"/>
      <c r="BA588" s="313"/>
      <c r="BB588" s="167"/>
      <c r="BC588" s="42"/>
      <c r="BD588" s="358"/>
      <c r="BH588" s="302"/>
      <c r="BI588" s="42"/>
    </row>
    <row r="589" spans="52:61">
      <c r="AZ589" s="302"/>
      <c r="BA589" s="313"/>
      <c r="BB589" s="167"/>
      <c r="BC589" s="42"/>
      <c r="BD589" s="358"/>
      <c r="BH589" s="302"/>
      <c r="BI589" s="42"/>
    </row>
    <row r="590" spans="52:61">
      <c r="AZ590" s="302"/>
      <c r="BA590" s="313"/>
      <c r="BB590" s="167"/>
      <c r="BC590" s="42"/>
      <c r="BD590" s="358"/>
      <c r="BH590" s="302"/>
      <c r="BI590" s="42"/>
    </row>
    <row r="591" spans="52:61">
      <c r="AZ591" s="302"/>
      <c r="BA591" s="313"/>
      <c r="BB591" s="167"/>
      <c r="BC591" s="42"/>
      <c r="BD591" s="358"/>
      <c r="BH591" s="302"/>
      <c r="BI591" s="42"/>
    </row>
    <row r="592" spans="52:61">
      <c r="AZ592" s="302"/>
      <c r="BA592" s="313"/>
      <c r="BB592" s="167"/>
      <c r="BC592" s="42"/>
      <c r="BD592" s="358"/>
      <c r="BH592" s="302"/>
      <c r="BI592" s="42"/>
    </row>
    <row r="593" spans="52:61">
      <c r="AZ593" s="302"/>
      <c r="BA593" s="313"/>
      <c r="BB593" s="167"/>
      <c r="BC593" s="42"/>
      <c r="BD593" s="358"/>
      <c r="BH593" s="302"/>
      <c r="BI593" s="42"/>
    </row>
    <row r="594" spans="52:61">
      <c r="AZ594" s="302"/>
      <c r="BA594" s="313"/>
      <c r="BB594" s="167"/>
      <c r="BC594" s="42"/>
      <c r="BD594" s="358"/>
      <c r="BH594" s="302"/>
      <c r="BI594" s="42"/>
    </row>
    <row r="595" spans="52:61">
      <c r="AZ595" s="302"/>
      <c r="BA595" s="313"/>
      <c r="BB595" s="167"/>
      <c r="BC595" s="42"/>
      <c r="BD595" s="358"/>
      <c r="BH595" s="302"/>
      <c r="BI595" s="42"/>
    </row>
    <row r="596" spans="52:61">
      <c r="AZ596" s="302"/>
      <c r="BA596" s="313"/>
      <c r="BB596" s="167"/>
      <c r="BC596" s="42"/>
      <c r="BD596" s="358"/>
      <c r="BH596" s="302"/>
      <c r="BI596" s="42"/>
    </row>
    <row r="597" spans="52:61">
      <c r="AZ597" s="302"/>
      <c r="BA597" s="313"/>
      <c r="BB597" s="167"/>
      <c r="BC597" s="42"/>
      <c r="BD597" s="358"/>
      <c r="BH597" s="302"/>
      <c r="BI597" s="42"/>
    </row>
    <row r="598" spans="52:61">
      <c r="AZ598" s="302"/>
      <c r="BA598" s="313"/>
      <c r="BB598" s="167"/>
      <c r="BC598" s="42"/>
      <c r="BD598" s="358"/>
      <c r="BH598" s="302"/>
      <c r="BI598" s="42"/>
    </row>
    <row r="599" spans="52:61">
      <c r="AZ599" s="302"/>
      <c r="BA599" s="313"/>
      <c r="BB599" s="167"/>
      <c r="BC599" s="42"/>
      <c r="BD599" s="358"/>
      <c r="BH599" s="302"/>
      <c r="BI599" s="42"/>
    </row>
    <row r="600" spans="52:61">
      <c r="AZ600" s="302"/>
      <c r="BA600" s="313"/>
      <c r="BB600" s="167"/>
      <c r="BC600" s="42"/>
      <c r="BD600" s="358"/>
      <c r="BH600" s="302"/>
      <c r="BI600" s="42"/>
    </row>
    <row r="601" spans="52:61">
      <c r="AZ601" s="302"/>
      <c r="BA601" s="313"/>
      <c r="BB601" s="167"/>
      <c r="BC601" s="42"/>
      <c r="BD601" s="358"/>
      <c r="BH601" s="302"/>
      <c r="BI601" s="42"/>
    </row>
    <row r="602" spans="52:61">
      <c r="AZ602" s="302"/>
      <c r="BA602" s="313"/>
      <c r="BB602" s="167"/>
      <c r="BC602" s="42"/>
      <c r="BD602" s="358"/>
      <c r="BH602" s="302"/>
      <c r="BI602" s="42"/>
    </row>
    <row r="603" spans="52:61">
      <c r="AZ603" s="302"/>
      <c r="BA603" s="313"/>
      <c r="BB603" s="167"/>
      <c r="BC603" s="42"/>
      <c r="BD603" s="358"/>
      <c r="BH603" s="302"/>
      <c r="BI603" s="42"/>
    </row>
    <row r="604" spans="52:61">
      <c r="AZ604" s="302"/>
      <c r="BA604" s="313"/>
      <c r="BB604" s="167"/>
      <c r="BC604" s="42"/>
      <c r="BD604" s="358"/>
      <c r="BH604" s="302"/>
      <c r="BI604" s="42"/>
    </row>
    <row r="605" spans="52:61">
      <c r="AZ605" s="302"/>
      <c r="BA605" s="313"/>
      <c r="BB605" s="167"/>
      <c r="BC605" s="42"/>
      <c r="BD605" s="358"/>
      <c r="BH605" s="302"/>
      <c r="BI605" s="42"/>
    </row>
    <row r="606" spans="52:61">
      <c r="AZ606" s="302"/>
      <c r="BA606" s="313"/>
      <c r="BB606" s="167"/>
      <c r="BC606" s="42"/>
      <c r="BD606" s="358"/>
      <c r="BH606" s="302"/>
      <c r="BI606" s="42"/>
    </row>
    <row r="607" spans="52:61">
      <c r="AZ607" s="302"/>
      <c r="BA607" s="313"/>
      <c r="BB607" s="167"/>
      <c r="BC607" s="42"/>
      <c r="BD607" s="358"/>
      <c r="BH607" s="302"/>
      <c r="BI607" s="42"/>
    </row>
    <row r="608" spans="52:61">
      <c r="AZ608" s="302"/>
      <c r="BA608" s="313"/>
      <c r="BB608" s="167"/>
      <c r="BC608" s="42"/>
      <c r="BD608" s="358"/>
      <c r="BH608" s="302"/>
      <c r="BI608" s="42"/>
    </row>
    <row r="609" spans="52:61">
      <c r="AZ609" s="302"/>
      <c r="BA609" s="313"/>
      <c r="BB609" s="167"/>
      <c r="BC609" s="42"/>
      <c r="BD609" s="358"/>
      <c r="BH609" s="302"/>
      <c r="BI609" s="42"/>
    </row>
    <row r="610" spans="52:61">
      <c r="AZ610" s="302"/>
      <c r="BA610" s="313"/>
      <c r="BB610" s="167"/>
      <c r="BC610" s="42"/>
      <c r="BD610" s="358"/>
      <c r="BH610" s="302"/>
      <c r="BI610" s="42"/>
    </row>
    <row r="611" spans="52:61">
      <c r="AZ611" s="302"/>
      <c r="BA611" s="313"/>
      <c r="BB611" s="167"/>
      <c r="BC611" s="42"/>
      <c r="BD611" s="358"/>
      <c r="BH611" s="302"/>
      <c r="BI611" s="42"/>
    </row>
    <row r="612" spans="52:61">
      <c r="AZ612" s="302"/>
      <c r="BA612" s="313"/>
      <c r="BB612" s="167"/>
      <c r="BC612" s="42"/>
      <c r="BD612" s="358"/>
      <c r="BH612" s="302"/>
      <c r="BI612" s="42"/>
    </row>
    <row r="613" spans="52:61">
      <c r="AZ613" s="302"/>
      <c r="BA613" s="313"/>
      <c r="BB613" s="167"/>
      <c r="BC613" s="42"/>
      <c r="BD613" s="358"/>
      <c r="BH613" s="302"/>
      <c r="BI613" s="42"/>
    </row>
    <row r="614" spans="52:61">
      <c r="AZ614" s="302"/>
      <c r="BA614" s="313"/>
      <c r="BB614" s="167"/>
      <c r="BC614" s="42"/>
      <c r="BD614" s="358"/>
      <c r="BH614" s="302"/>
      <c r="BI614" s="42"/>
    </row>
    <row r="615" spans="52:61">
      <c r="AZ615" s="302"/>
      <c r="BA615" s="313"/>
      <c r="BB615" s="167"/>
      <c r="BC615" s="42"/>
      <c r="BD615" s="358"/>
      <c r="BH615" s="302"/>
      <c r="BI615" s="42"/>
    </row>
    <row r="616" spans="52:61">
      <c r="AZ616" s="302"/>
      <c r="BA616" s="313"/>
      <c r="BB616" s="167"/>
      <c r="BC616" s="42"/>
      <c r="BD616" s="358"/>
      <c r="BH616" s="302"/>
      <c r="BI616" s="42"/>
    </row>
    <row r="617" spans="52:61">
      <c r="AZ617" s="302"/>
      <c r="BA617" s="313"/>
      <c r="BB617" s="167"/>
      <c r="BC617" s="42"/>
      <c r="BD617" s="358"/>
      <c r="BH617" s="302"/>
      <c r="BI617" s="42"/>
    </row>
    <row r="618" spans="52:61">
      <c r="AZ618" s="302"/>
      <c r="BA618" s="313"/>
      <c r="BB618" s="167"/>
      <c r="BC618" s="42"/>
      <c r="BD618" s="358"/>
      <c r="BH618" s="302"/>
      <c r="BI618" s="42"/>
    </row>
    <row r="619" spans="52:61">
      <c r="AZ619" s="302"/>
      <c r="BA619" s="313"/>
      <c r="BB619" s="167"/>
      <c r="BC619" s="42"/>
      <c r="BD619" s="358"/>
      <c r="BH619" s="302"/>
      <c r="BI619" s="42"/>
    </row>
    <row r="620" spans="52:61">
      <c r="AZ620" s="302"/>
      <c r="BA620" s="313"/>
      <c r="BB620" s="167"/>
      <c r="BC620" s="42"/>
      <c r="BD620" s="358"/>
      <c r="BH620" s="302"/>
      <c r="BI620" s="42"/>
    </row>
    <row r="621" spans="52:61">
      <c r="AZ621" s="302"/>
      <c r="BA621" s="313"/>
      <c r="BB621" s="167"/>
      <c r="BC621" s="42"/>
      <c r="BD621" s="358"/>
      <c r="BH621" s="302"/>
      <c r="BI621" s="42"/>
    </row>
    <row r="622" spans="52:61">
      <c r="AZ622" s="302"/>
      <c r="BA622" s="313"/>
      <c r="BB622" s="167"/>
      <c r="BC622" s="42"/>
      <c r="BD622" s="358"/>
      <c r="BH622" s="302"/>
      <c r="BI622" s="42"/>
    </row>
    <row r="623" spans="52:61">
      <c r="AZ623" s="302"/>
      <c r="BA623" s="313"/>
      <c r="BB623" s="167"/>
      <c r="BC623" s="42"/>
      <c r="BD623" s="358"/>
      <c r="BH623" s="302"/>
      <c r="BI623" s="42"/>
    </row>
    <row r="624" spans="52:61">
      <c r="AZ624" s="302"/>
      <c r="BA624" s="313"/>
      <c r="BB624" s="167"/>
      <c r="BC624" s="42"/>
      <c r="BD624" s="358"/>
      <c r="BH624" s="302"/>
      <c r="BI624" s="42"/>
    </row>
    <row r="625" spans="52:61">
      <c r="AZ625" s="302"/>
      <c r="BA625" s="313"/>
      <c r="BB625" s="167"/>
      <c r="BC625" s="42"/>
      <c r="BD625" s="358"/>
      <c r="BH625" s="302"/>
      <c r="BI625" s="42"/>
    </row>
    <row r="626" spans="52:61">
      <c r="AZ626" s="302"/>
      <c r="BA626" s="313"/>
      <c r="BB626" s="167"/>
      <c r="BC626" s="42"/>
      <c r="BD626" s="358"/>
      <c r="BH626" s="302"/>
      <c r="BI626" s="42"/>
    </row>
    <row r="627" spans="52:61">
      <c r="AZ627" s="302"/>
      <c r="BA627" s="313"/>
      <c r="BB627" s="167"/>
      <c r="BC627" s="42"/>
      <c r="BD627" s="358"/>
      <c r="BH627" s="302"/>
      <c r="BI627" s="42"/>
    </row>
    <row r="628" spans="52:61">
      <c r="AZ628" s="302"/>
      <c r="BA628" s="313"/>
      <c r="BB628" s="167"/>
      <c r="BC628" s="42"/>
      <c r="BD628" s="358"/>
      <c r="BH628" s="302"/>
      <c r="BI628" s="42"/>
    </row>
    <row r="629" spans="52:61">
      <c r="AZ629" s="302"/>
      <c r="BA629" s="313"/>
      <c r="BB629" s="167"/>
      <c r="BC629" s="42"/>
      <c r="BD629" s="358"/>
      <c r="BH629" s="302"/>
      <c r="BI629" s="42"/>
    </row>
    <row r="630" spans="52:61">
      <c r="AZ630" s="302"/>
      <c r="BA630" s="313"/>
      <c r="BB630" s="167"/>
      <c r="BC630" s="42"/>
      <c r="BD630" s="358"/>
      <c r="BH630" s="302"/>
      <c r="BI630" s="42"/>
    </row>
    <row r="631" spans="52:61">
      <c r="AZ631" s="302"/>
      <c r="BA631" s="313"/>
      <c r="BB631" s="167"/>
      <c r="BC631" s="42"/>
      <c r="BD631" s="358"/>
      <c r="BH631" s="302"/>
      <c r="BI631" s="42"/>
    </row>
    <row r="632" spans="52:61">
      <c r="AZ632" s="302"/>
      <c r="BA632" s="313"/>
      <c r="BB632" s="167"/>
      <c r="BC632" s="42"/>
      <c r="BD632" s="358"/>
      <c r="BH632" s="302"/>
      <c r="BI632" s="42"/>
    </row>
    <row r="633" spans="52:61">
      <c r="AZ633" s="302"/>
      <c r="BA633" s="313"/>
      <c r="BB633" s="167"/>
      <c r="BC633" s="42"/>
      <c r="BD633" s="358"/>
      <c r="BH633" s="302"/>
      <c r="BI633" s="42"/>
    </row>
    <row r="634" spans="52:61">
      <c r="AZ634" s="302"/>
      <c r="BA634" s="313"/>
      <c r="BB634" s="167"/>
      <c r="BC634" s="42"/>
      <c r="BD634" s="358"/>
      <c r="BH634" s="302"/>
      <c r="BI634" s="42"/>
    </row>
    <row r="635" spans="52:61">
      <c r="AZ635" s="302"/>
      <c r="BA635" s="313"/>
      <c r="BB635" s="167"/>
      <c r="BC635" s="42"/>
      <c r="BD635" s="358"/>
      <c r="BH635" s="302"/>
      <c r="BI635" s="42"/>
    </row>
    <row r="636" spans="52:61">
      <c r="AZ636" s="302"/>
      <c r="BA636" s="313"/>
      <c r="BB636" s="167"/>
      <c r="BC636" s="42"/>
      <c r="BD636" s="358"/>
      <c r="BH636" s="302"/>
      <c r="BI636" s="42"/>
    </row>
    <row r="637" spans="52:61">
      <c r="AZ637" s="302"/>
      <c r="BA637" s="313"/>
      <c r="BB637" s="167"/>
      <c r="BC637" s="42"/>
      <c r="BD637" s="358"/>
      <c r="BH637" s="302"/>
      <c r="BI637" s="42"/>
    </row>
    <row r="638" spans="52:61">
      <c r="AZ638" s="302"/>
      <c r="BA638" s="313"/>
      <c r="BB638" s="167"/>
      <c r="BC638" s="42"/>
      <c r="BD638" s="358"/>
      <c r="BH638" s="302"/>
      <c r="BI638" s="42"/>
    </row>
    <row r="639" spans="52:61">
      <c r="AZ639" s="302"/>
      <c r="BA639" s="313"/>
      <c r="BB639" s="167"/>
      <c r="BC639" s="42"/>
      <c r="BD639" s="358"/>
      <c r="BH639" s="302"/>
      <c r="BI639" s="42"/>
    </row>
    <row r="640" spans="52:61">
      <c r="AZ640" s="302"/>
      <c r="BA640" s="313"/>
      <c r="BB640" s="167"/>
      <c r="BC640" s="42"/>
      <c r="BD640" s="358"/>
      <c r="BH640" s="302"/>
      <c r="BI640" s="42"/>
    </row>
    <row r="641" spans="52:61">
      <c r="AZ641" s="302"/>
      <c r="BA641" s="313"/>
      <c r="BB641" s="167"/>
      <c r="BC641" s="42"/>
      <c r="BD641" s="358"/>
      <c r="BH641" s="302"/>
      <c r="BI641" s="42"/>
    </row>
    <row r="642" spans="52:61">
      <c r="AZ642" s="302"/>
      <c r="BA642" s="313"/>
      <c r="BB642" s="167"/>
      <c r="BC642" s="42"/>
      <c r="BD642" s="358"/>
      <c r="BH642" s="302"/>
      <c r="BI642" s="42"/>
    </row>
    <row r="643" spans="52:61">
      <c r="AZ643" s="302"/>
      <c r="BA643" s="313"/>
      <c r="BB643" s="167"/>
      <c r="BC643" s="42"/>
      <c r="BD643" s="358"/>
      <c r="BH643" s="302"/>
      <c r="BI643" s="42"/>
    </row>
    <row r="644" spans="52:61">
      <c r="AZ644" s="302"/>
      <c r="BA644" s="313"/>
      <c r="BB644" s="167"/>
      <c r="BC644" s="42"/>
      <c r="BD644" s="358"/>
      <c r="BH644" s="302"/>
      <c r="BI644" s="42"/>
    </row>
    <row r="645" spans="52:61">
      <c r="AZ645" s="302"/>
      <c r="BA645" s="313"/>
      <c r="BB645" s="167"/>
      <c r="BC645" s="42"/>
      <c r="BD645" s="358"/>
      <c r="BH645" s="302"/>
      <c r="BI645" s="42"/>
    </row>
    <row r="646" spans="52:61">
      <c r="AZ646" s="302"/>
      <c r="BA646" s="313"/>
      <c r="BB646" s="167"/>
      <c r="BC646" s="42"/>
      <c r="BD646" s="358"/>
      <c r="BH646" s="302"/>
      <c r="BI646" s="42"/>
    </row>
    <row r="647" spans="52:61">
      <c r="AZ647" s="302"/>
      <c r="BA647" s="313"/>
      <c r="BB647" s="167"/>
      <c r="BC647" s="42"/>
      <c r="BD647" s="358"/>
      <c r="BH647" s="302"/>
      <c r="BI647" s="42"/>
    </row>
    <row r="648" spans="52:61">
      <c r="AZ648" s="302"/>
      <c r="BA648" s="313"/>
      <c r="BB648" s="167"/>
      <c r="BC648" s="42"/>
      <c r="BD648" s="358"/>
      <c r="BH648" s="302"/>
      <c r="BI648" s="42"/>
    </row>
    <row r="649" spans="52:61">
      <c r="AZ649" s="302"/>
      <c r="BA649" s="313"/>
      <c r="BB649" s="167"/>
      <c r="BC649" s="42"/>
      <c r="BD649" s="358"/>
      <c r="BH649" s="302"/>
      <c r="BI649" s="42"/>
    </row>
    <row r="650" spans="52:61">
      <c r="AZ650" s="302"/>
      <c r="BA650" s="313"/>
      <c r="BB650" s="167"/>
      <c r="BC650" s="42"/>
      <c r="BD650" s="358"/>
      <c r="BH650" s="302"/>
      <c r="BI650" s="42"/>
    </row>
    <row r="651" spans="52:61">
      <c r="AZ651" s="302"/>
      <c r="BA651" s="313"/>
      <c r="BB651" s="167"/>
      <c r="BC651" s="42"/>
      <c r="BD651" s="358"/>
      <c r="BH651" s="302"/>
      <c r="BI651" s="42"/>
    </row>
    <row r="652" spans="52:61">
      <c r="AZ652" s="302"/>
      <c r="BA652" s="313"/>
      <c r="BB652" s="167"/>
      <c r="BC652" s="42"/>
      <c r="BD652" s="358"/>
      <c r="BH652" s="302"/>
      <c r="BI652" s="42"/>
    </row>
    <row r="653" spans="52:61">
      <c r="AZ653" s="302"/>
      <c r="BA653" s="313"/>
      <c r="BB653" s="167"/>
      <c r="BC653" s="42"/>
      <c r="BD653" s="358"/>
      <c r="BH653" s="302"/>
      <c r="BI653" s="42"/>
    </row>
    <row r="654" spans="52:61">
      <c r="AZ654" s="302"/>
      <c r="BA654" s="313"/>
      <c r="BB654" s="167"/>
      <c r="BC654" s="42"/>
      <c r="BD654" s="358"/>
      <c r="BH654" s="302"/>
      <c r="BI654" s="42"/>
    </row>
    <row r="655" spans="52:61">
      <c r="AZ655" s="302"/>
      <c r="BA655" s="313"/>
      <c r="BB655" s="167"/>
      <c r="BC655" s="42"/>
      <c r="BD655" s="358"/>
      <c r="BH655" s="302"/>
      <c r="BI655" s="42"/>
    </row>
    <row r="656" spans="52:61">
      <c r="AZ656" s="302"/>
      <c r="BA656" s="313"/>
      <c r="BB656" s="167"/>
      <c r="BC656" s="42"/>
      <c r="BD656" s="358"/>
      <c r="BH656" s="302"/>
      <c r="BI656" s="42"/>
    </row>
    <row r="657" spans="52:61">
      <c r="AZ657" s="302"/>
      <c r="BA657" s="313"/>
      <c r="BB657" s="167"/>
      <c r="BC657" s="42"/>
      <c r="BD657" s="358"/>
      <c r="BH657" s="302"/>
      <c r="BI657" s="42"/>
    </row>
    <row r="658" spans="52:61">
      <c r="AZ658" s="302"/>
      <c r="BA658" s="313"/>
      <c r="BB658" s="167"/>
      <c r="BC658" s="42"/>
      <c r="BD658" s="358"/>
      <c r="BH658" s="302"/>
      <c r="BI658" s="42"/>
    </row>
    <row r="659" spans="52:61">
      <c r="AZ659" s="302"/>
      <c r="BA659" s="313"/>
      <c r="BB659" s="167"/>
      <c r="BC659" s="42"/>
      <c r="BD659" s="358"/>
      <c r="BH659" s="302"/>
      <c r="BI659" s="42"/>
    </row>
    <row r="660" spans="52:61">
      <c r="AZ660" s="302"/>
      <c r="BA660" s="313"/>
      <c r="BB660" s="167"/>
      <c r="BC660" s="42"/>
      <c r="BD660" s="358"/>
      <c r="BH660" s="302"/>
      <c r="BI660" s="42"/>
    </row>
    <row r="661" spans="52:61">
      <c r="AZ661" s="302"/>
      <c r="BA661" s="313"/>
      <c r="BB661" s="167"/>
      <c r="BC661" s="42"/>
      <c r="BD661" s="358"/>
      <c r="BH661" s="302"/>
      <c r="BI661" s="42"/>
    </row>
    <row r="662" spans="52:61">
      <c r="AZ662" s="302"/>
      <c r="BA662" s="313"/>
      <c r="BB662" s="167"/>
      <c r="BC662" s="42"/>
      <c r="BD662" s="358"/>
      <c r="BH662" s="302"/>
      <c r="BI662" s="42"/>
    </row>
    <row r="663" spans="52:61">
      <c r="AZ663" s="302"/>
      <c r="BA663" s="313"/>
      <c r="BB663" s="167"/>
      <c r="BC663" s="42"/>
      <c r="BD663" s="358"/>
      <c r="BH663" s="302"/>
      <c r="BI663" s="42"/>
    </row>
    <row r="664" spans="52:61">
      <c r="AZ664" s="302"/>
      <c r="BA664" s="313"/>
      <c r="BB664" s="167"/>
      <c r="BC664" s="42"/>
      <c r="BD664" s="358"/>
      <c r="BH664" s="302"/>
      <c r="BI664" s="42"/>
    </row>
    <row r="665" spans="52:61">
      <c r="AZ665" s="302"/>
      <c r="BA665" s="313"/>
      <c r="BB665" s="167"/>
      <c r="BC665" s="42"/>
      <c r="BD665" s="358"/>
      <c r="BH665" s="302"/>
      <c r="BI665" s="42"/>
    </row>
    <row r="666" spans="52:61">
      <c r="AZ666" s="302"/>
      <c r="BA666" s="313"/>
      <c r="BB666" s="167"/>
      <c r="BC666" s="42"/>
      <c r="BD666" s="358"/>
      <c r="BH666" s="302"/>
      <c r="BI666" s="42"/>
    </row>
    <row r="667" spans="52:61">
      <c r="AZ667" s="302"/>
      <c r="BA667" s="313"/>
      <c r="BB667" s="167"/>
      <c r="BC667" s="42"/>
      <c r="BD667" s="358"/>
      <c r="BH667" s="302"/>
      <c r="BI667" s="42"/>
    </row>
    <row r="668" spans="52:61">
      <c r="AZ668" s="302"/>
      <c r="BA668" s="313"/>
      <c r="BB668" s="167"/>
      <c r="BC668" s="42"/>
      <c r="BD668" s="358"/>
      <c r="BH668" s="302"/>
      <c r="BI668" s="42"/>
    </row>
    <row r="669" spans="52:61">
      <c r="AZ669" s="302"/>
      <c r="BA669" s="313"/>
      <c r="BB669" s="167"/>
      <c r="BC669" s="42"/>
      <c r="BD669" s="358"/>
      <c r="BH669" s="302"/>
      <c r="BI669" s="42"/>
    </row>
    <row r="670" spans="52:61">
      <c r="AZ670" s="302"/>
      <c r="BA670" s="313"/>
      <c r="BB670" s="167"/>
      <c r="BC670" s="42"/>
      <c r="BD670" s="358"/>
      <c r="BH670" s="302"/>
      <c r="BI670" s="42"/>
    </row>
    <row r="671" spans="52:61">
      <c r="AZ671" s="302"/>
      <c r="BA671" s="313"/>
      <c r="BB671" s="167"/>
      <c r="BC671" s="42"/>
      <c r="BD671" s="358"/>
      <c r="BH671" s="302"/>
      <c r="BI671" s="42"/>
    </row>
    <row r="672" spans="52:61">
      <c r="AZ672" s="302"/>
      <c r="BA672" s="313"/>
      <c r="BB672" s="167"/>
      <c r="BC672" s="42"/>
      <c r="BD672" s="358"/>
      <c r="BH672" s="302"/>
      <c r="BI672" s="42"/>
    </row>
    <row r="673" spans="52:61">
      <c r="AZ673" s="302"/>
      <c r="BA673" s="313"/>
      <c r="BB673" s="167"/>
      <c r="BC673" s="42"/>
      <c r="BD673" s="358"/>
      <c r="BH673" s="302"/>
      <c r="BI673" s="42"/>
    </row>
    <row r="674" spans="52:61">
      <c r="AZ674" s="302"/>
      <c r="BA674" s="313"/>
      <c r="BB674" s="167"/>
      <c r="BC674" s="42"/>
      <c r="BD674" s="358"/>
      <c r="BH674" s="302"/>
      <c r="BI674" s="42"/>
    </row>
    <row r="675" spans="52:61">
      <c r="AZ675" s="302"/>
      <c r="BA675" s="313"/>
      <c r="BB675" s="167"/>
      <c r="BC675" s="42"/>
      <c r="BD675" s="358"/>
      <c r="BH675" s="302"/>
      <c r="BI675" s="42"/>
    </row>
    <row r="676" spans="52:61">
      <c r="AZ676" s="302"/>
      <c r="BA676" s="313"/>
      <c r="BB676" s="167"/>
      <c r="BC676" s="42"/>
      <c r="BD676" s="358"/>
      <c r="BH676" s="302"/>
      <c r="BI676" s="42"/>
    </row>
    <row r="677" spans="52:61">
      <c r="AZ677" s="302"/>
      <c r="BA677" s="313"/>
      <c r="BB677" s="167"/>
      <c r="BC677" s="42"/>
      <c r="BD677" s="358"/>
      <c r="BH677" s="302"/>
      <c r="BI677" s="42"/>
    </row>
    <row r="678" spans="52:61">
      <c r="AZ678" s="302"/>
      <c r="BA678" s="313"/>
      <c r="BB678" s="167"/>
      <c r="BC678" s="42"/>
      <c r="BD678" s="358"/>
      <c r="BH678" s="302"/>
      <c r="BI678" s="42"/>
    </row>
    <row r="679" spans="52:61">
      <c r="AZ679" s="302"/>
      <c r="BA679" s="313"/>
      <c r="BB679" s="167"/>
      <c r="BC679" s="42"/>
      <c r="BD679" s="358"/>
      <c r="BH679" s="302"/>
      <c r="BI679" s="42"/>
    </row>
    <row r="680" spans="52:61">
      <c r="AZ680" s="302"/>
      <c r="BA680" s="313"/>
      <c r="BB680" s="167"/>
      <c r="BC680" s="42"/>
      <c r="BD680" s="358"/>
      <c r="BH680" s="302"/>
      <c r="BI680" s="42"/>
    </row>
    <row r="681" spans="52:61">
      <c r="AZ681" s="302"/>
      <c r="BA681" s="313"/>
      <c r="BB681" s="167"/>
      <c r="BC681" s="42"/>
      <c r="BD681" s="358"/>
      <c r="BH681" s="302"/>
      <c r="BI681" s="42"/>
    </row>
    <row r="682" spans="52:61">
      <c r="AZ682" s="302"/>
      <c r="BA682" s="313"/>
      <c r="BB682" s="167"/>
      <c r="BC682" s="42"/>
      <c r="BD682" s="358"/>
      <c r="BH682" s="302"/>
      <c r="BI682" s="42"/>
    </row>
    <row r="683" spans="52:61">
      <c r="AZ683" s="302"/>
      <c r="BA683" s="313"/>
      <c r="BB683" s="167"/>
      <c r="BC683" s="42"/>
      <c r="BD683" s="358"/>
      <c r="BH683" s="302"/>
      <c r="BI683" s="42"/>
    </row>
    <row r="684" spans="52:61">
      <c r="AZ684" s="302"/>
      <c r="BA684" s="313"/>
      <c r="BB684" s="167"/>
      <c r="BC684" s="42"/>
      <c r="BD684" s="358"/>
      <c r="BH684" s="302"/>
      <c r="BI684" s="42"/>
    </row>
    <row r="685" spans="52:61">
      <c r="AZ685" s="302"/>
      <c r="BA685" s="313"/>
      <c r="BB685" s="167"/>
      <c r="BC685" s="42"/>
      <c r="BD685" s="358"/>
      <c r="BH685" s="302"/>
      <c r="BI685" s="42"/>
    </row>
    <row r="686" spans="52:61">
      <c r="AZ686" s="302"/>
      <c r="BA686" s="313"/>
      <c r="BB686" s="167"/>
      <c r="BC686" s="42"/>
      <c r="BD686" s="358"/>
      <c r="BH686" s="302"/>
      <c r="BI686" s="42"/>
    </row>
    <row r="687" spans="52:61">
      <c r="AZ687" s="302"/>
      <c r="BA687" s="313"/>
      <c r="BB687" s="167"/>
      <c r="BC687" s="42"/>
      <c r="BD687" s="358"/>
      <c r="BH687" s="302"/>
      <c r="BI687" s="42"/>
    </row>
    <row r="688" spans="52:61">
      <c r="AZ688" s="302"/>
      <c r="BA688" s="313"/>
      <c r="BB688" s="167"/>
      <c r="BC688" s="42"/>
      <c r="BD688" s="358"/>
      <c r="BH688" s="302"/>
      <c r="BI688" s="42"/>
    </row>
    <row r="689" spans="52:61">
      <c r="AZ689" s="302"/>
      <c r="BA689" s="313"/>
      <c r="BB689" s="167"/>
      <c r="BC689" s="42"/>
      <c r="BD689" s="358"/>
      <c r="BH689" s="302"/>
      <c r="BI689" s="42"/>
    </row>
    <row r="690" spans="52:61">
      <c r="AZ690" s="302"/>
      <c r="BA690" s="313"/>
      <c r="BB690" s="167"/>
      <c r="BC690" s="42"/>
      <c r="BD690" s="358"/>
      <c r="BH690" s="302"/>
      <c r="BI690" s="42"/>
    </row>
    <row r="691" spans="52:61">
      <c r="AZ691" s="302"/>
      <c r="BA691" s="313"/>
      <c r="BB691" s="167"/>
      <c r="BC691" s="42"/>
      <c r="BD691" s="358"/>
      <c r="BH691" s="302"/>
      <c r="BI691" s="42"/>
    </row>
    <row r="692" spans="52:61">
      <c r="AZ692" s="302"/>
      <c r="BA692" s="313"/>
      <c r="BB692" s="167"/>
      <c r="BC692" s="42"/>
      <c r="BD692" s="358"/>
      <c r="BH692" s="302"/>
      <c r="BI692" s="42"/>
    </row>
    <row r="693" spans="52:61">
      <c r="AZ693" s="302"/>
      <c r="BA693" s="313"/>
      <c r="BB693" s="167"/>
      <c r="BC693" s="42"/>
      <c r="BD693" s="358"/>
      <c r="BH693" s="302"/>
      <c r="BI693" s="42"/>
    </row>
    <row r="694" spans="52:61">
      <c r="AZ694" s="302"/>
      <c r="BA694" s="313"/>
      <c r="BB694" s="167"/>
      <c r="BC694" s="42"/>
      <c r="BD694" s="358"/>
      <c r="BH694" s="302"/>
      <c r="BI694" s="42"/>
    </row>
    <row r="695" spans="52:61">
      <c r="AZ695" s="302"/>
      <c r="BA695" s="313"/>
      <c r="BB695" s="167"/>
      <c r="BC695" s="42"/>
      <c r="BD695" s="358"/>
      <c r="BH695" s="302"/>
      <c r="BI695" s="42"/>
    </row>
    <row r="696" spans="52:61">
      <c r="AZ696" s="302"/>
      <c r="BA696" s="313"/>
      <c r="BB696" s="167"/>
      <c r="BC696" s="42"/>
      <c r="BD696" s="358"/>
      <c r="BH696" s="302"/>
      <c r="BI696" s="42"/>
    </row>
    <row r="697" spans="52:61">
      <c r="AZ697" s="302"/>
      <c r="BA697" s="313"/>
      <c r="BB697" s="167"/>
      <c r="BC697" s="42"/>
      <c r="BD697" s="358"/>
      <c r="BH697" s="302"/>
      <c r="BI697" s="42"/>
    </row>
    <row r="698" spans="52:61">
      <c r="AZ698" s="302"/>
      <c r="BA698" s="313"/>
      <c r="BB698" s="167"/>
      <c r="BC698" s="42"/>
      <c r="BD698" s="358"/>
      <c r="BH698" s="302"/>
      <c r="BI698" s="42"/>
    </row>
    <row r="699" spans="52:61">
      <c r="AZ699" s="302"/>
      <c r="BA699" s="313"/>
      <c r="BB699" s="167"/>
      <c r="BC699" s="42"/>
      <c r="BD699" s="358"/>
      <c r="BH699" s="302"/>
      <c r="BI699" s="42"/>
    </row>
    <row r="700" spans="52:61">
      <c r="AZ700" s="302"/>
      <c r="BA700" s="313"/>
      <c r="BB700" s="167"/>
      <c r="BC700" s="42"/>
      <c r="BD700" s="358"/>
      <c r="BH700" s="302"/>
      <c r="BI700" s="42"/>
    </row>
    <row r="701" spans="52:61">
      <c r="AZ701" s="302"/>
      <c r="BA701" s="313"/>
      <c r="BB701" s="167"/>
      <c r="BC701" s="42"/>
      <c r="BD701" s="358"/>
      <c r="BH701" s="302"/>
      <c r="BI701" s="42"/>
    </row>
    <row r="702" spans="52:61">
      <c r="AZ702" s="302"/>
      <c r="BA702" s="313"/>
      <c r="BB702" s="167"/>
      <c r="BC702" s="42"/>
      <c r="BD702" s="358"/>
      <c r="BH702" s="302"/>
      <c r="BI702" s="42"/>
    </row>
    <row r="703" spans="52:61">
      <c r="AZ703" s="302"/>
      <c r="BA703" s="313"/>
      <c r="BB703" s="167"/>
      <c r="BC703" s="42"/>
      <c r="BD703" s="358"/>
      <c r="BH703" s="302"/>
      <c r="BI703" s="42"/>
    </row>
    <row r="704" spans="52:61">
      <c r="AZ704" s="302"/>
      <c r="BA704" s="313"/>
      <c r="BB704" s="167"/>
      <c r="BC704" s="42"/>
      <c r="BD704" s="358"/>
      <c r="BH704" s="302"/>
      <c r="BI704" s="42"/>
    </row>
    <row r="705" spans="52:61">
      <c r="AZ705" s="302"/>
      <c r="BA705" s="313"/>
      <c r="BB705" s="167"/>
      <c r="BC705" s="42"/>
      <c r="BD705" s="358"/>
      <c r="BH705" s="302"/>
      <c r="BI705" s="42"/>
    </row>
    <row r="706" spans="52:61">
      <c r="AZ706" s="302"/>
      <c r="BA706" s="313"/>
      <c r="BB706" s="167"/>
      <c r="BC706" s="42"/>
      <c r="BD706" s="358"/>
      <c r="BH706" s="302"/>
      <c r="BI706" s="42"/>
    </row>
    <row r="707" spans="52:61">
      <c r="AZ707" s="302"/>
      <c r="BA707" s="313"/>
      <c r="BB707" s="167"/>
      <c r="BC707" s="42"/>
      <c r="BD707" s="358"/>
      <c r="BH707" s="302"/>
      <c r="BI707" s="42"/>
    </row>
    <row r="708" spans="52:61">
      <c r="AZ708" s="302"/>
      <c r="BA708" s="313"/>
      <c r="BB708" s="167"/>
      <c r="BC708" s="42"/>
      <c r="BD708" s="358"/>
      <c r="BH708" s="302"/>
      <c r="BI708" s="42"/>
    </row>
    <row r="709" spans="52:61">
      <c r="AZ709" s="302"/>
      <c r="BA709" s="313"/>
      <c r="BB709" s="167"/>
      <c r="BC709" s="42"/>
      <c r="BD709" s="358"/>
      <c r="BH709" s="302"/>
      <c r="BI709" s="42"/>
    </row>
    <row r="710" spans="52:61">
      <c r="AZ710" s="302"/>
      <c r="BA710" s="313"/>
      <c r="BB710" s="167"/>
      <c r="BC710" s="42"/>
      <c r="BD710" s="358"/>
      <c r="BH710" s="302"/>
      <c r="BI710" s="42"/>
    </row>
    <row r="711" spans="52:61">
      <c r="AZ711" s="302"/>
      <c r="BA711" s="313"/>
      <c r="BB711" s="167"/>
      <c r="BC711" s="42"/>
      <c r="BD711" s="358"/>
      <c r="BH711" s="302"/>
      <c r="BI711" s="42"/>
    </row>
    <row r="712" spans="52:61">
      <c r="AZ712" s="302"/>
      <c r="BA712" s="313"/>
      <c r="BB712" s="167"/>
      <c r="BC712" s="42"/>
      <c r="BD712" s="358"/>
      <c r="BH712" s="302"/>
      <c r="BI712" s="42"/>
    </row>
    <row r="713" spans="52:61">
      <c r="AZ713" s="302"/>
      <c r="BA713" s="313"/>
      <c r="BB713" s="167"/>
      <c r="BC713" s="42"/>
      <c r="BD713" s="358"/>
      <c r="BH713" s="302"/>
      <c r="BI713" s="42"/>
    </row>
    <row r="714" spans="52:61">
      <c r="AZ714" s="302"/>
      <c r="BA714" s="313"/>
      <c r="BB714" s="167"/>
      <c r="BC714" s="42"/>
      <c r="BD714" s="358"/>
      <c r="BH714" s="302"/>
      <c r="BI714" s="42"/>
    </row>
    <row r="715" spans="52:61">
      <c r="AZ715" s="302"/>
      <c r="BA715" s="313"/>
      <c r="BB715" s="167"/>
      <c r="BC715" s="42"/>
      <c r="BD715" s="358"/>
      <c r="BH715" s="302"/>
      <c r="BI715" s="42"/>
    </row>
    <row r="716" spans="52:61">
      <c r="AZ716" s="302"/>
      <c r="BA716" s="313"/>
      <c r="BB716" s="167"/>
      <c r="BC716" s="42"/>
      <c r="BD716" s="358"/>
      <c r="BH716" s="302"/>
      <c r="BI716" s="42"/>
    </row>
    <row r="717" spans="52:61">
      <c r="AZ717" s="302"/>
      <c r="BA717" s="313"/>
      <c r="BB717" s="167"/>
      <c r="BC717" s="42"/>
      <c r="BD717" s="358"/>
      <c r="BH717" s="302"/>
      <c r="BI717" s="42"/>
    </row>
    <row r="718" spans="52:61">
      <c r="AZ718" s="302"/>
      <c r="BA718" s="313"/>
      <c r="BB718" s="167"/>
      <c r="BC718" s="42"/>
      <c r="BD718" s="358"/>
      <c r="BH718" s="302"/>
      <c r="BI718" s="42"/>
    </row>
    <row r="719" spans="52:61">
      <c r="AZ719" s="302"/>
      <c r="BA719" s="313"/>
      <c r="BB719" s="167"/>
      <c r="BC719" s="42"/>
      <c r="BD719" s="358"/>
      <c r="BH719" s="302"/>
      <c r="BI719" s="42"/>
    </row>
    <row r="720" spans="52:61">
      <c r="AZ720" s="302"/>
      <c r="BA720" s="313"/>
      <c r="BB720" s="167"/>
      <c r="BC720" s="42"/>
      <c r="BD720" s="358"/>
      <c r="BH720" s="302"/>
      <c r="BI720" s="42"/>
    </row>
    <row r="721" spans="52:61">
      <c r="AZ721" s="302"/>
      <c r="BA721" s="313"/>
      <c r="BB721" s="167"/>
      <c r="BC721" s="42"/>
      <c r="BD721" s="358"/>
      <c r="BH721" s="302"/>
      <c r="BI721" s="42"/>
    </row>
    <row r="722" spans="52:61">
      <c r="AZ722" s="302"/>
      <c r="BA722" s="313"/>
      <c r="BB722" s="167"/>
      <c r="BC722" s="42"/>
      <c r="BD722" s="358"/>
      <c r="BH722" s="302"/>
      <c r="BI722" s="42"/>
    </row>
    <row r="723" spans="52:61">
      <c r="AZ723" s="302"/>
      <c r="BA723" s="313"/>
      <c r="BB723" s="167"/>
      <c r="BC723" s="42"/>
      <c r="BD723" s="358"/>
      <c r="BH723" s="302"/>
      <c r="BI723" s="42"/>
    </row>
    <row r="724" spans="52:61">
      <c r="AZ724" s="302"/>
      <c r="BA724" s="313"/>
      <c r="BB724" s="167"/>
      <c r="BC724" s="42"/>
      <c r="BD724" s="358"/>
      <c r="BH724" s="302"/>
      <c r="BI724" s="42"/>
    </row>
    <row r="725" spans="52:61">
      <c r="AZ725" s="302"/>
      <c r="BA725" s="313"/>
      <c r="BB725" s="167"/>
      <c r="BC725" s="42"/>
      <c r="BD725" s="358"/>
      <c r="BH725" s="302"/>
      <c r="BI725" s="42"/>
    </row>
    <row r="726" spans="52:61">
      <c r="AZ726" s="302"/>
      <c r="BA726" s="313"/>
      <c r="BB726" s="167"/>
      <c r="BC726" s="42"/>
      <c r="BD726" s="358"/>
      <c r="BH726" s="302"/>
      <c r="BI726" s="42"/>
    </row>
    <row r="727" spans="52:61">
      <c r="AZ727" s="302"/>
      <c r="BA727" s="313"/>
      <c r="BB727" s="167"/>
      <c r="BC727" s="42"/>
      <c r="BD727" s="358"/>
      <c r="BH727" s="302"/>
      <c r="BI727" s="42"/>
    </row>
    <row r="728" spans="52:61">
      <c r="AZ728" s="302"/>
      <c r="BA728" s="313"/>
      <c r="BB728" s="167"/>
      <c r="BC728" s="42"/>
      <c r="BD728" s="358"/>
      <c r="BH728" s="302"/>
      <c r="BI728" s="42"/>
    </row>
    <row r="729" spans="52:61">
      <c r="AZ729" s="302"/>
      <c r="BA729" s="313"/>
      <c r="BB729" s="167"/>
      <c r="BC729" s="42"/>
      <c r="BD729" s="358"/>
      <c r="BH729" s="302"/>
      <c r="BI729" s="42"/>
    </row>
    <row r="730" spans="52:61">
      <c r="AZ730" s="302"/>
      <c r="BA730" s="313"/>
      <c r="BB730" s="167"/>
      <c r="BC730" s="42"/>
      <c r="BD730" s="358"/>
      <c r="BH730" s="302"/>
      <c r="BI730" s="42"/>
    </row>
    <row r="731" spans="52:61">
      <c r="AZ731" s="302"/>
      <c r="BA731" s="313"/>
      <c r="BB731" s="167"/>
      <c r="BC731" s="42"/>
      <c r="BD731" s="358"/>
      <c r="BH731" s="302"/>
      <c r="BI731" s="42"/>
    </row>
    <row r="732" spans="52:61">
      <c r="AZ732" s="302"/>
      <c r="BA732" s="313"/>
      <c r="BB732" s="167"/>
      <c r="BC732" s="42"/>
      <c r="BD732" s="358"/>
      <c r="BH732" s="302"/>
      <c r="BI732" s="42"/>
    </row>
    <row r="733" spans="52:61">
      <c r="AZ733" s="302"/>
      <c r="BA733" s="313"/>
      <c r="BB733" s="167"/>
      <c r="BC733" s="42"/>
      <c r="BD733" s="358"/>
      <c r="BH733" s="302"/>
      <c r="BI733" s="42"/>
    </row>
    <row r="734" spans="52:61">
      <c r="AZ734" s="302"/>
      <c r="BA734" s="313"/>
      <c r="BB734" s="167"/>
      <c r="BC734" s="42"/>
      <c r="BD734" s="358"/>
      <c r="BH734" s="302"/>
      <c r="BI734" s="42"/>
    </row>
    <row r="735" spans="52:61">
      <c r="AZ735" s="302"/>
      <c r="BA735" s="313"/>
      <c r="BB735" s="167"/>
      <c r="BC735" s="42"/>
      <c r="BD735" s="358"/>
      <c r="BH735" s="302"/>
      <c r="BI735" s="42"/>
    </row>
    <row r="736" spans="52:61">
      <c r="AZ736" s="302"/>
      <c r="BA736" s="313"/>
      <c r="BB736" s="167"/>
      <c r="BC736" s="42"/>
      <c r="BD736" s="358"/>
      <c r="BH736" s="302"/>
      <c r="BI736" s="42"/>
    </row>
    <row r="737" spans="52:61">
      <c r="AZ737" s="302"/>
      <c r="BA737" s="313"/>
      <c r="BB737" s="167"/>
      <c r="BC737" s="42"/>
      <c r="BD737" s="358"/>
      <c r="BH737" s="302"/>
      <c r="BI737" s="42"/>
    </row>
    <row r="738" spans="52:61">
      <c r="AZ738" s="302"/>
      <c r="BA738" s="313"/>
      <c r="BB738" s="167"/>
      <c r="BC738" s="42"/>
      <c r="BD738" s="358"/>
      <c r="BH738" s="302"/>
      <c r="BI738" s="42"/>
    </row>
    <row r="739" spans="52:61">
      <c r="AZ739" s="302"/>
      <c r="BA739" s="313"/>
      <c r="BB739" s="167"/>
      <c r="BC739" s="42"/>
      <c r="BD739" s="358"/>
      <c r="BH739" s="302"/>
      <c r="BI739" s="42"/>
    </row>
    <row r="740" spans="52:61">
      <c r="AZ740" s="302"/>
      <c r="BA740" s="313"/>
      <c r="BB740" s="167"/>
      <c r="BC740" s="42"/>
      <c r="BD740" s="358"/>
      <c r="BH740" s="302"/>
      <c r="BI740" s="42"/>
    </row>
    <row r="741" spans="52:61">
      <c r="AZ741" s="302"/>
      <c r="BA741" s="313"/>
      <c r="BB741" s="167"/>
      <c r="BC741" s="42"/>
      <c r="BD741" s="358"/>
      <c r="BH741" s="302"/>
      <c r="BI741" s="42"/>
    </row>
    <row r="742" spans="52:61">
      <c r="AZ742" s="302"/>
      <c r="BA742" s="313"/>
      <c r="BB742" s="167"/>
      <c r="BC742" s="42"/>
      <c r="BD742" s="358"/>
      <c r="BH742" s="302"/>
      <c r="BI742" s="42"/>
    </row>
    <row r="743" spans="52:61">
      <c r="AZ743" s="302"/>
      <c r="BA743" s="313"/>
      <c r="BB743" s="167"/>
      <c r="BC743" s="42"/>
      <c r="BD743" s="358"/>
      <c r="BH743" s="302"/>
      <c r="BI743" s="42"/>
    </row>
    <row r="744" spans="52:61">
      <c r="AZ744" s="302"/>
      <c r="BA744" s="313"/>
      <c r="BB744" s="167"/>
      <c r="BC744" s="42"/>
      <c r="BD744" s="358"/>
      <c r="BH744" s="302"/>
      <c r="BI744" s="42"/>
    </row>
    <row r="745" spans="52:61">
      <c r="AZ745" s="302"/>
      <c r="BA745" s="313"/>
      <c r="BB745" s="167"/>
      <c r="BC745" s="42"/>
      <c r="BD745" s="358"/>
      <c r="BH745" s="302"/>
      <c r="BI745" s="42"/>
    </row>
    <row r="746" spans="52:61">
      <c r="AZ746" s="302"/>
      <c r="BA746" s="313"/>
      <c r="BB746" s="167"/>
      <c r="BC746" s="42"/>
      <c r="BD746" s="358"/>
      <c r="BH746" s="302"/>
      <c r="BI746" s="42"/>
    </row>
    <row r="747" spans="52:61">
      <c r="AZ747" s="302"/>
      <c r="BA747" s="313"/>
      <c r="BB747" s="167"/>
      <c r="BC747" s="42"/>
      <c r="BD747" s="358"/>
      <c r="BH747" s="302"/>
      <c r="BI747" s="42"/>
    </row>
    <row r="748" spans="52:61">
      <c r="AZ748" s="302"/>
      <c r="BA748" s="313"/>
      <c r="BB748" s="167"/>
      <c r="BC748" s="42"/>
      <c r="BD748" s="358"/>
      <c r="BH748" s="302"/>
      <c r="BI748" s="42"/>
    </row>
    <row r="749" spans="52:61">
      <c r="AZ749" s="302"/>
      <c r="BA749" s="313"/>
      <c r="BB749" s="167"/>
      <c r="BC749" s="42"/>
      <c r="BD749" s="358"/>
      <c r="BH749" s="302"/>
      <c r="BI749" s="42"/>
    </row>
    <row r="750" spans="52:61">
      <c r="AZ750" s="302"/>
      <c r="BA750" s="313"/>
      <c r="BB750" s="167"/>
      <c r="BC750" s="42"/>
      <c r="BD750" s="358"/>
      <c r="BH750" s="302"/>
      <c r="BI750" s="42"/>
    </row>
    <row r="751" spans="52:61">
      <c r="AZ751" s="302"/>
      <c r="BA751" s="313"/>
      <c r="BB751" s="167"/>
      <c r="BC751" s="42"/>
      <c r="BD751" s="358"/>
      <c r="BH751" s="302"/>
      <c r="BI751" s="42"/>
    </row>
    <row r="752" spans="52:61">
      <c r="AZ752" s="302"/>
      <c r="BA752" s="313"/>
      <c r="BB752" s="167"/>
      <c r="BC752" s="42"/>
      <c r="BD752" s="358"/>
      <c r="BH752" s="302"/>
      <c r="BI752" s="42"/>
    </row>
    <row r="753" spans="52:61">
      <c r="AZ753" s="302"/>
      <c r="BA753" s="313"/>
      <c r="BB753" s="167"/>
      <c r="BC753" s="42"/>
      <c r="BD753" s="358"/>
      <c r="BH753" s="302"/>
      <c r="BI753" s="42"/>
    </row>
    <row r="754" spans="52:61">
      <c r="AZ754" s="302"/>
      <c r="BA754" s="313"/>
      <c r="BB754" s="167"/>
      <c r="BC754" s="42"/>
      <c r="BD754" s="358"/>
      <c r="BH754" s="302"/>
      <c r="BI754" s="42"/>
    </row>
    <row r="755" spans="52:61">
      <c r="AZ755" s="302"/>
      <c r="BA755" s="313"/>
      <c r="BB755" s="167"/>
      <c r="BC755" s="42"/>
      <c r="BD755" s="358"/>
      <c r="BH755" s="302"/>
      <c r="BI755" s="42"/>
    </row>
    <row r="756" spans="52:61">
      <c r="AZ756" s="302"/>
      <c r="BA756" s="313"/>
      <c r="BB756" s="167"/>
      <c r="BC756" s="42"/>
      <c r="BD756" s="358"/>
      <c r="BH756" s="302"/>
      <c r="BI756" s="42"/>
    </row>
    <row r="757" spans="52:61">
      <c r="AZ757" s="302"/>
      <c r="BA757" s="313"/>
      <c r="BB757" s="167"/>
      <c r="BC757" s="42"/>
      <c r="BD757" s="358"/>
      <c r="BH757" s="302"/>
      <c r="BI757" s="42"/>
    </row>
    <row r="758" spans="52:61">
      <c r="AZ758" s="302"/>
      <c r="BA758" s="313"/>
      <c r="BB758" s="167"/>
      <c r="BC758" s="42"/>
      <c r="BD758" s="358"/>
      <c r="BH758" s="302"/>
      <c r="BI758" s="42"/>
    </row>
    <row r="759" spans="52:61">
      <c r="AZ759" s="302"/>
      <c r="BA759" s="313"/>
      <c r="BB759" s="167"/>
      <c r="BC759" s="42"/>
      <c r="BD759" s="358"/>
      <c r="BH759" s="302"/>
      <c r="BI759" s="42"/>
    </row>
    <row r="760" spans="52:61">
      <c r="AZ760" s="302"/>
      <c r="BA760" s="313"/>
      <c r="BB760" s="167"/>
      <c r="BC760" s="42"/>
      <c r="BD760" s="358"/>
      <c r="BH760" s="302"/>
      <c r="BI760" s="42"/>
    </row>
    <row r="761" spans="52:61">
      <c r="AZ761" s="302"/>
      <c r="BA761" s="313"/>
      <c r="BB761" s="167"/>
      <c r="BC761" s="42"/>
      <c r="BD761" s="358"/>
      <c r="BH761" s="302"/>
      <c r="BI761" s="42"/>
    </row>
    <row r="762" spans="52:61">
      <c r="AZ762" s="302"/>
      <c r="BA762" s="313"/>
      <c r="BB762" s="167"/>
      <c r="BC762" s="42"/>
      <c r="BD762" s="358"/>
      <c r="BH762" s="302"/>
      <c r="BI762" s="42"/>
    </row>
    <row r="763" spans="52:61">
      <c r="AZ763" s="302"/>
      <c r="BA763" s="313"/>
      <c r="BB763" s="167"/>
      <c r="BC763" s="42"/>
      <c r="BD763" s="358"/>
      <c r="BH763" s="302"/>
      <c r="BI763" s="42"/>
    </row>
    <row r="764" spans="52:61">
      <c r="AZ764" s="302"/>
      <c r="BA764" s="313"/>
      <c r="BB764" s="167"/>
      <c r="BC764" s="42"/>
      <c r="BD764" s="358"/>
      <c r="BH764" s="302"/>
      <c r="BI764" s="42"/>
    </row>
    <row r="765" spans="52:61">
      <c r="AZ765" s="302"/>
      <c r="BA765" s="313"/>
      <c r="BB765" s="167"/>
      <c r="BC765" s="42"/>
      <c r="BD765" s="358"/>
      <c r="BH765" s="302"/>
      <c r="BI765" s="42"/>
    </row>
    <row r="766" spans="52:61">
      <c r="AZ766" s="302"/>
      <c r="BA766" s="313"/>
      <c r="BB766" s="167"/>
      <c r="BC766" s="42"/>
      <c r="BD766" s="358"/>
      <c r="BH766" s="302"/>
      <c r="BI766" s="42"/>
    </row>
    <row r="767" spans="52:61">
      <c r="AZ767" s="302"/>
      <c r="BA767" s="313"/>
      <c r="BB767" s="167"/>
      <c r="BC767" s="42"/>
      <c r="BD767" s="358"/>
      <c r="BH767" s="302"/>
      <c r="BI767" s="42"/>
    </row>
    <row r="768" spans="52:61">
      <c r="AZ768" s="302"/>
      <c r="BA768" s="313"/>
      <c r="BB768" s="167"/>
      <c r="BC768" s="42"/>
      <c r="BD768" s="358"/>
      <c r="BH768" s="302"/>
      <c r="BI768" s="42"/>
    </row>
    <row r="769" spans="52:61">
      <c r="AZ769" s="302"/>
      <c r="BA769" s="313"/>
      <c r="BB769" s="167"/>
      <c r="BC769" s="42"/>
      <c r="BD769" s="358"/>
      <c r="BH769" s="302"/>
      <c r="BI769" s="42"/>
    </row>
    <row r="770" spans="52:61">
      <c r="AZ770" s="302"/>
      <c r="BA770" s="313"/>
      <c r="BB770" s="167"/>
      <c r="BC770" s="42"/>
      <c r="BD770" s="358"/>
      <c r="BH770" s="302"/>
      <c r="BI770" s="42"/>
    </row>
    <row r="771" spans="52:61">
      <c r="AZ771" s="302"/>
      <c r="BA771" s="313"/>
      <c r="BB771" s="167"/>
      <c r="BC771" s="42"/>
      <c r="BD771" s="358"/>
      <c r="BH771" s="302"/>
      <c r="BI771" s="42"/>
    </row>
    <row r="772" spans="52:61">
      <c r="AZ772" s="302"/>
      <c r="BA772" s="313"/>
      <c r="BB772" s="167"/>
      <c r="BC772" s="42"/>
      <c r="BD772" s="358"/>
      <c r="BH772" s="302"/>
      <c r="BI772" s="42"/>
    </row>
    <row r="773" spans="52:61">
      <c r="AZ773" s="302"/>
      <c r="BA773" s="313"/>
      <c r="BB773" s="167"/>
      <c r="BC773" s="42"/>
      <c r="BD773" s="358"/>
      <c r="BH773" s="302"/>
      <c r="BI773" s="42"/>
    </row>
    <row r="774" spans="52:61">
      <c r="AZ774" s="302"/>
      <c r="BA774" s="313"/>
      <c r="BB774" s="167"/>
      <c r="BC774" s="42"/>
      <c r="BD774" s="358"/>
      <c r="BH774" s="302"/>
      <c r="BI774" s="42"/>
    </row>
    <row r="775" spans="52:61">
      <c r="AZ775" s="302"/>
      <c r="BA775" s="313"/>
      <c r="BB775" s="167"/>
      <c r="BC775" s="42"/>
      <c r="BD775" s="358"/>
      <c r="BH775" s="302"/>
      <c r="BI775" s="42"/>
    </row>
    <row r="776" spans="52:61">
      <c r="AZ776" s="302"/>
      <c r="BA776" s="313"/>
      <c r="BB776" s="167"/>
      <c r="BC776" s="42"/>
      <c r="BD776" s="358"/>
      <c r="BH776" s="302"/>
      <c r="BI776" s="42"/>
    </row>
    <row r="777" spans="52:61">
      <c r="AZ777" s="302"/>
      <c r="BA777" s="313"/>
      <c r="BB777" s="167"/>
      <c r="BC777" s="42"/>
      <c r="BD777" s="358"/>
      <c r="BH777" s="302"/>
      <c r="BI777" s="42"/>
    </row>
    <row r="778" spans="52:61">
      <c r="AZ778" s="302"/>
      <c r="BA778" s="313"/>
      <c r="BB778" s="167"/>
      <c r="BC778" s="42"/>
      <c r="BD778" s="358"/>
      <c r="BH778" s="302"/>
      <c r="BI778" s="42"/>
    </row>
    <row r="779" spans="52:61">
      <c r="AZ779" s="302"/>
      <c r="BA779" s="313"/>
      <c r="BB779" s="167"/>
      <c r="BC779" s="42"/>
      <c r="BD779" s="358"/>
      <c r="BH779" s="302"/>
      <c r="BI779" s="42"/>
    </row>
    <row r="780" spans="52:61">
      <c r="AZ780" s="302"/>
      <c r="BA780" s="313"/>
      <c r="BB780" s="167"/>
      <c r="BC780" s="42"/>
      <c r="BD780" s="358"/>
      <c r="BH780" s="302"/>
      <c r="BI780" s="42"/>
    </row>
    <row r="781" spans="52:61">
      <c r="AZ781" s="302"/>
      <c r="BA781" s="313"/>
      <c r="BB781" s="167"/>
      <c r="BC781" s="42"/>
      <c r="BD781" s="358"/>
      <c r="BH781" s="302"/>
      <c r="BI781" s="42"/>
    </row>
    <row r="782" spans="52:61">
      <c r="AZ782" s="302"/>
      <c r="BA782" s="313"/>
      <c r="BB782" s="167"/>
      <c r="BC782" s="42"/>
      <c r="BD782" s="358"/>
      <c r="BH782" s="302"/>
      <c r="BI782" s="42"/>
    </row>
    <row r="783" spans="52:61">
      <c r="AZ783" s="302"/>
      <c r="BA783" s="313"/>
      <c r="BB783" s="167"/>
      <c r="BC783" s="42"/>
      <c r="BD783" s="358"/>
      <c r="BH783" s="302"/>
      <c r="BI783" s="42"/>
    </row>
    <row r="784" spans="52:61">
      <c r="AZ784" s="302"/>
      <c r="BA784" s="313"/>
      <c r="BB784" s="167"/>
      <c r="BC784" s="42"/>
      <c r="BD784" s="358"/>
      <c r="BH784" s="302"/>
      <c r="BI784" s="42"/>
    </row>
    <row r="785" spans="52:61">
      <c r="AZ785" s="302"/>
      <c r="BA785" s="313"/>
      <c r="BB785" s="167"/>
      <c r="BC785" s="42"/>
      <c r="BD785" s="358"/>
      <c r="BH785" s="302"/>
      <c r="BI785" s="42"/>
    </row>
    <row r="786" spans="52:61">
      <c r="AZ786" s="302"/>
      <c r="BA786" s="313"/>
      <c r="BB786" s="167"/>
      <c r="BC786" s="42"/>
      <c r="BD786" s="358"/>
      <c r="BH786" s="302"/>
      <c r="BI786" s="42"/>
    </row>
    <row r="787" spans="52:61">
      <c r="AZ787" s="302"/>
      <c r="BA787" s="313"/>
      <c r="BB787" s="167"/>
      <c r="BC787" s="42"/>
      <c r="BD787" s="358"/>
      <c r="BH787" s="302"/>
      <c r="BI787" s="42"/>
    </row>
    <row r="788" spans="52:61">
      <c r="AZ788" s="302"/>
      <c r="BA788" s="313"/>
      <c r="BB788" s="167"/>
      <c r="BC788" s="42"/>
      <c r="BD788" s="358"/>
      <c r="BH788" s="302"/>
      <c r="BI788" s="42"/>
    </row>
    <row r="789" spans="52:61">
      <c r="AZ789" s="302"/>
      <c r="BA789" s="313"/>
      <c r="BB789" s="167"/>
      <c r="BC789" s="42"/>
      <c r="BD789" s="358"/>
      <c r="BH789" s="302"/>
      <c r="BI789" s="42"/>
    </row>
    <row r="790" spans="52:61">
      <c r="AZ790" s="302"/>
      <c r="BA790" s="313"/>
      <c r="BB790" s="167"/>
      <c r="BC790" s="42"/>
      <c r="BD790" s="358"/>
      <c r="BH790" s="302"/>
      <c r="BI790" s="42"/>
    </row>
    <row r="791" spans="52:61">
      <c r="AZ791" s="302"/>
      <c r="BA791" s="313"/>
      <c r="BB791" s="167"/>
      <c r="BC791" s="42"/>
      <c r="BD791" s="358"/>
      <c r="BH791" s="302"/>
      <c r="BI791" s="42"/>
    </row>
    <row r="792" spans="52:61">
      <c r="AZ792" s="302"/>
      <c r="BA792" s="313"/>
      <c r="BB792" s="167"/>
      <c r="BC792" s="42"/>
      <c r="BD792" s="358"/>
      <c r="BH792" s="302"/>
      <c r="BI792" s="42"/>
    </row>
    <row r="793" spans="52:61">
      <c r="AZ793" s="302"/>
      <c r="BA793" s="313"/>
      <c r="BB793" s="167"/>
      <c r="BC793" s="42"/>
      <c r="BD793" s="358"/>
      <c r="BH793" s="302"/>
      <c r="BI793" s="42"/>
    </row>
    <row r="794" spans="52:61">
      <c r="AZ794" s="302"/>
      <c r="BA794" s="313"/>
      <c r="BB794" s="167"/>
      <c r="BC794" s="42"/>
      <c r="BD794" s="358"/>
      <c r="BH794" s="302"/>
      <c r="BI794" s="42"/>
    </row>
    <row r="795" spans="52:61">
      <c r="AZ795" s="302"/>
      <c r="BA795" s="313"/>
      <c r="BB795" s="167"/>
      <c r="BC795" s="42"/>
      <c r="BD795" s="358"/>
      <c r="BH795" s="302"/>
      <c r="BI795" s="42"/>
    </row>
    <row r="796" spans="52:61">
      <c r="AZ796" s="302"/>
      <c r="BA796" s="313"/>
      <c r="BB796" s="167"/>
      <c r="BC796" s="42"/>
      <c r="BD796" s="358"/>
      <c r="BH796" s="302"/>
      <c r="BI796" s="42"/>
    </row>
    <row r="797" spans="52:61">
      <c r="AZ797" s="302"/>
      <c r="BA797" s="313"/>
      <c r="BB797" s="167"/>
      <c r="BC797" s="42"/>
      <c r="BD797" s="358"/>
      <c r="BH797" s="302"/>
      <c r="BI797" s="42"/>
    </row>
    <row r="798" spans="52:61">
      <c r="AZ798" s="302"/>
      <c r="BA798" s="313"/>
      <c r="BB798" s="167"/>
      <c r="BC798" s="42"/>
      <c r="BD798" s="358"/>
      <c r="BH798" s="302"/>
      <c r="BI798" s="42"/>
    </row>
    <row r="799" spans="52:61">
      <c r="AZ799" s="302"/>
      <c r="BA799" s="313"/>
      <c r="BB799" s="167"/>
      <c r="BC799" s="42"/>
      <c r="BD799" s="358"/>
      <c r="BH799" s="302"/>
      <c r="BI799" s="42"/>
    </row>
    <row r="800" spans="52:61">
      <c r="AZ800" s="302"/>
      <c r="BA800" s="313"/>
      <c r="BB800" s="167"/>
      <c r="BC800" s="42"/>
      <c r="BD800" s="358"/>
      <c r="BH800" s="302"/>
      <c r="BI800" s="42"/>
    </row>
    <row r="801" spans="52:61">
      <c r="AZ801" s="302"/>
      <c r="BA801" s="313"/>
      <c r="BB801" s="167"/>
      <c r="BC801" s="42"/>
      <c r="BD801" s="358"/>
      <c r="BH801" s="302"/>
      <c r="BI801" s="42"/>
    </row>
    <row r="802" spans="52:61">
      <c r="AZ802" s="302"/>
      <c r="BA802" s="313"/>
      <c r="BB802" s="167"/>
      <c r="BC802" s="42"/>
      <c r="BD802" s="358"/>
      <c r="BH802" s="302"/>
      <c r="BI802" s="42"/>
    </row>
    <row r="803" spans="52:61">
      <c r="AZ803" s="302"/>
      <c r="BA803" s="313"/>
      <c r="BB803" s="167"/>
      <c r="BC803" s="42"/>
      <c r="BD803" s="358"/>
      <c r="BH803" s="302"/>
      <c r="BI803" s="42"/>
    </row>
    <row r="804" spans="52:61">
      <c r="AZ804" s="302"/>
      <c r="BA804" s="313"/>
      <c r="BB804" s="167"/>
      <c r="BC804" s="42"/>
      <c r="BD804" s="358"/>
      <c r="BH804" s="302"/>
      <c r="BI804" s="42"/>
    </row>
    <row r="805" spans="52:61">
      <c r="AZ805" s="302"/>
      <c r="BA805" s="313"/>
      <c r="BB805" s="167"/>
      <c r="BC805" s="42"/>
      <c r="BD805" s="358"/>
      <c r="BH805" s="302"/>
      <c r="BI805" s="42"/>
    </row>
    <row r="806" spans="52:61">
      <c r="AZ806" s="302"/>
      <c r="BA806" s="313"/>
      <c r="BB806" s="167"/>
      <c r="BC806" s="42"/>
      <c r="BD806" s="358"/>
      <c r="BH806" s="302"/>
      <c r="BI806" s="42"/>
    </row>
    <row r="807" spans="52:61">
      <c r="AZ807" s="302"/>
      <c r="BA807" s="313"/>
      <c r="BB807" s="167"/>
      <c r="BC807" s="42"/>
      <c r="BD807" s="358"/>
      <c r="BH807" s="302"/>
      <c r="BI807" s="42"/>
    </row>
    <row r="808" spans="52:61">
      <c r="AZ808" s="302"/>
      <c r="BA808" s="313"/>
      <c r="BB808" s="167"/>
      <c r="BC808" s="42"/>
      <c r="BD808" s="358"/>
      <c r="BH808" s="302"/>
      <c r="BI808" s="42"/>
    </row>
    <row r="809" spans="52:61">
      <c r="AZ809" s="302"/>
      <c r="BA809" s="313"/>
      <c r="BB809" s="167"/>
      <c r="BC809" s="42"/>
      <c r="BD809" s="358"/>
      <c r="BH809" s="302"/>
      <c r="BI809" s="42"/>
    </row>
    <row r="810" spans="52:61">
      <c r="AZ810" s="302"/>
      <c r="BA810" s="313"/>
      <c r="BB810" s="167"/>
      <c r="BC810" s="42"/>
      <c r="BD810" s="358"/>
      <c r="BH810" s="302"/>
      <c r="BI810" s="42"/>
    </row>
    <row r="811" spans="52:61">
      <c r="AZ811" s="302"/>
      <c r="BA811" s="313"/>
      <c r="BB811" s="167"/>
      <c r="BC811" s="42"/>
      <c r="BD811" s="358"/>
      <c r="BH811" s="302"/>
      <c r="BI811" s="42"/>
    </row>
    <row r="812" spans="52:61">
      <c r="AZ812" s="302"/>
      <c r="BA812" s="313"/>
      <c r="BB812" s="167"/>
      <c r="BC812" s="42"/>
      <c r="BD812" s="358"/>
      <c r="BH812" s="302"/>
      <c r="BI812" s="42"/>
    </row>
    <row r="813" spans="52:61">
      <c r="AZ813" s="302"/>
      <c r="BA813" s="313"/>
      <c r="BB813" s="167"/>
      <c r="BC813" s="42"/>
      <c r="BD813" s="358"/>
      <c r="BH813" s="302"/>
      <c r="BI813" s="42"/>
    </row>
    <row r="814" spans="52:61">
      <c r="AZ814" s="302"/>
      <c r="BA814" s="313"/>
      <c r="BB814" s="167"/>
      <c r="BC814" s="42"/>
      <c r="BD814" s="358"/>
      <c r="BH814" s="302"/>
      <c r="BI814" s="42"/>
    </row>
    <row r="815" spans="52:61">
      <c r="AZ815" s="302"/>
      <c r="BA815" s="313"/>
      <c r="BB815" s="167"/>
      <c r="BC815" s="42"/>
      <c r="BD815" s="358"/>
      <c r="BH815" s="302"/>
      <c r="BI815" s="42"/>
    </row>
    <row r="816" spans="52:61">
      <c r="AZ816" s="302"/>
      <c r="BA816" s="313"/>
      <c r="BB816" s="167"/>
      <c r="BC816" s="42"/>
      <c r="BD816" s="358"/>
      <c r="BH816" s="302"/>
      <c r="BI816" s="42"/>
    </row>
    <row r="817" spans="52:61">
      <c r="AZ817" s="302"/>
      <c r="BA817" s="313"/>
      <c r="BB817" s="167"/>
      <c r="BC817" s="42"/>
      <c r="BD817" s="358"/>
      <c r="BH817" s="302"/>
      <c r="BI817" s="42"/>
    </row>
    <row r="818" spans="52:61">
      <c r="AZ818" s="302"/>
      <c r="BA818" s="313"/>
      <c r="BB818" s="167"/>
      <c r="BC818" s="42"/>
      <c r="BD818" s="358"/>
      <c r="BH818" s="302"/>
      <c r="BI818" s="42"/>
    </row>
    <row r="819" spans="52:61">
      <c r="AZ819" s="302"/>
      <c r="BA819" s="313"/>
      <c r="BB819" s="167"/>
      <c r="BC819" s="42"/>
      <c r="BD819" s="358"/>
      <c r="BH819" s="302"/>
      <c r="BI819" s="42"/>
    </row>
    <row r="820" spans="52:61">
      <c r="AZ820" s="302"/>
      <c r="BA820" s="313"/>
      <c r="BB820" s="167"/>
      <c r="BC820" s="42"/>
      <c r="BD820" s="358"/>
      <c r="BH820" s="302"/>
      <c r="BI820" s="42"/>
    </row>
    <row r="821" spans="52:61">
      <c r="AZ821" s="302"/>
      <c r="BA821" s="313"/>
      <c r="BB821" s="167"/>
      <c r="BC821" s="42"/>
      <c r="BD821" s="358"/>
      <c r="BH821" s="302"/>
      <c r="BI821" s="42"/>
    </row>
    <row r="822" spans="52:61">
      <c r="AZ822" s="302"/>
      <c r="BA822" s="313"/>
      <c r="BB822" s="167"/>
      <c r="BC822" s="42"/>
      <c r="BD822" s="358"/>
      <c r="BH822" s="302"/>
      <c r="BI822" s="42"/>
    </row>
    <row r="823" spans="52:61">
      <c r="AZ823" s="302"/>
      <c r="BA823" s="313"/>
      <c r="BB823" s="167"/>
      <c r="BC823" s="42"/>
      <c r="BD823" s="358"/>
      <c r="BH823" s="302"/>
      <c r="BI823" s="42"/>
    </row>
    <row r="824" spans="52:61">
      <c r="AZ824" s="302"/>
      <c r="BA824" s="313"/>
      <c r="BB824" s="167"/>
      <c r="BC824" s="42"/>
      <c r="BD824" s="358"/>
      <c r="BH824" s="302"/>
      <c r="BI824" s="42"/>
    </row>
    <row r="825" spans="52:61">
      <c r="AZ825" s="302"/>
      <c r="BA825" s="313"/>
      <c r="BB825" s="167"/>
      <c r="BC825" s="42"/>
      <c r="BD825" s="358"/>
      <c r="BH825" s="302"/>
      <c r="BI825" s="42"/>
    </row>
    <row r="826" spans="52:61">
      <c r="AZ826" s="302"/>
      <c r="BA826" s="313"/>
      <c r="BB826" s="167"/>
      <c r="BC826" s="42"/>
      <c r="BD826" s="358"/>
      <c r="BH826" s="302"/>
      <c r="BI826" s="42"/>
    </row>
    <row r="827" spans="52:61">
      <c r="AZ827" s="302"/>
      <c r="BA827" s="313"/>
      <c r="BB827" s="167"/>
      <c r="BC827" s="42"/>
      <c r="BD827" s="358"/>
      <c r="BH827" s="302"/>
      <c r="BI827" s="42"/>
    </row>
    <row r="828" spans="52:61">
      <c r="AZ828" s="302"/>
      <c r="BA828" s="313"/>
      <c r="BB828" s="167"/>
      <c r="BC828" s="42"/>
      <c r="BD828" s="358"/>
      <c r="BH828" s="302"/>
      <c r="BI828" s="42"/>
    </row>
    <row r="829" spans="52:61">
      <c r="AZ829" s="302"/>
      <c r="BA829" s="313"/>
      <c r="BB829" s="167"/>
      <c r="BC829" s="42"/>
      <c r="BD829" s="358"/>
      <c r="BH829" s="302"/>
      <c r="BI829" s="42"/>
    </row>
    <row r="830" spans="52:61">
      <c r="AZ830" s="302"/>
      <c r="BA830" s="313"/>
      <c r="BB830" s="167"/>
      <c r="BC830" s="42"/>
      <c r="BD830" s="358"/>
      <c r="BH830" s="302"/>
      <c r="BI830" s="42"/>
    </row>
    <row r="831" spans="52:61">
      <c r="AZ831" s="302"/>
      <c r="BA831" s="313"/>
      <c r="BB831" s="167"/>
      <c r="BC831" s="42"/>
      <c r="BD831" s="358"/>
      <c r="BH831" s="302"/>
      <c r="BI831" s="42"/>
    </row>
    <row r="832" spans="52:61">
      <c r="AZ832" s="302"/>
      <c r="BA832" s="313"/>
      <c r="BB832" s="167"/>
      <c r="BC832" s="42"/>
      <c r="BD832" s="358"/>
      <c r="BH832" s="302"/>
      <c r="BI832" s="42"/>
    </row>
    <row r="833" spans="52:61">
      <c r="AZ833" s="302"/>
      <c r="BA833" s="313"/>
      <c r="BB833" s="167"/>
      <c r="BC833" s="42"/>
      <c r="BD833" s="358"/>
      <c r="BH833" s="302"/>
      <c r="BI833" s="42"/>
    </row>
    <row r="834" spans="52:61">
      <c r="AZ834" s="302"/>
      <c r="BA834" s="313"/>
      <c r="BB834" s="167"/>
      <c r="BC834" s="42"/>
      <c r="BD834" s="358"/>
      <c r="BH834" s="302"/>
      <c r="BI834" s="42"/>
    </row>
    <row r="835" spans="52:61">
      <c r="AZ835" s="302"/>
      <c r="BA835" s="313"/>
      <c r="BB835" s="167"/>
      <c r="BC835" s="42"/>
      <c r="BD835" s="358"/>
      <c r="BH835" s="302"/>
      <c r="BI835" s="42"/>
    </row>
    <row r="836" spans="52:61">
      <c r="AZ836" s="302"/>
      <c r="BA836" s="313"/>
      <c r="BB836" s="167"/>
      <c r="BC836" s="42"/>
      <c r="BD836" s="358"/>
      <c r="BH836" s="302"/>
      <c r="BI836" s="42"/>
    </row>
    <row r="837" spans="52:61">
      <c r="AZ837" s="302"/>
      <c r="BA837" s="313"/>
      <c r="BB837" s="167"/>
      <c r="BC837" s="42"/>
      <c r="BD837" s="358"/>
      <c r="BH837" s="302"/>
      <c r="BI837" s="42"/>
    </row>
    <row r="838" spans="52:61">
      <c r="AZ838" s="302"/>
      <c r="BA838" s="313"/>
      <c r="BB838" s="167"/>
      <c r="BC838" s="42"/>
      <c r="BD838" s="358"/>
      <c r="BH838" s="302"/>
      <c r="BI838" s="42"/>
    </row>
    <row r="839" spans="52:61">
      <c r="AZ839" s="302"/>
      <c r="BA839" s="313"/>
      <c r="BB839" s="167"/>
      <c r="BC839" s="42"/>
      <c r="BD839" s="358"/>
      <c r="BH839" s="302"/>
      <c r="BI839" s="42"/>
    </row>
    <row r="840" spans="52:61">
      <c r="AZ840" s="302"/>
      <c r="BA840" s="313"/>
      <c r="BB840" s="167"/>
      <c r="BC840" s="42"/>
      <c r="BD840" s="358"/>
      <c r="BH840" s="302"/>
      <c r="BI840" s="42"/>
    </row>
    <row r="841" spans="52:61">
      <c r="AZ841" s="302"/>
      <c r="BA841" s="313"/>
      <c r="BB841" s="167"/>
      <c r="BC841" s="42"/>
      <c r="BD841" s="358"/>
      <c r="BH841" s="302"/>
      <c r="BI841" s="42"/>
    </row>
    <row r="842" spans="52:61">
      <c r="AZ842" s="302"/>
      <c r="BA842" s="313"/>
      <c r="BB842" s="167"/>
      <c r="BC842" s="42"/>
      <c r="BD842" s="358"/>
      <c r="BH842" s="302"/>
      <c r="BI842" s="42"/>
    </row>
    <row r="843" spans="52:61">
      <c r="AZ843" s="302"/>
      <c r="BA843" s="313"/>
      <c r="BB843" s="167"/>
      <c r="BC843" s="42"/>
      <c r="BD843" s="358"/>
      <c r="BH843" s="302"/>
      <c r="BI843" s="42"/>
    </row>
    <row r="844" spans="52:61">
      <c r="AZ844" s="302"/>
      <c r="BA844" s="313"/>
      <c r="BB844" s="167"/>
      <c r="BC844" s="42"/>
      <c r="BD844" s="358"/>
      <c r="BH844" s="302"/>
      <c r="BI844" s="42"/>
    </row>
    <row r="845" spans="52:61">
      <c r="AZ845" s="302"/>
      <c r="BA845" s="313"/>
      <c r="BB845" s="167"/>
      <c r="BC845" s="42"/>
      <c r="BD845" s="358"/>
      <c r="BH845" s="302"/>
      <c r="BI845" s="42"/>
    </row>
    <row r="846" spans="52:61">
      <c r="AZ846" s="302"/>
      <c r="BA846" s="313"/>
      <c r="BB846" s="167"/>
      <c r="BC846" s="42"/>
      <c r="BD846" s="358"/>
      <c r="BH846" s="302"/>
      <c r="BI846" s="42"/>
    </row>
    <row r="847" spans="52:61">
      <c r="AZ847" s="302"/>
      <c r="BA847" s="313"/>
      <c r="BB847" s="167"/>
      <c r="BC847" s="42"/>
      <c r="BD847" s="358"/>
      <c r="BH847" s="302"/>
      <c r="BI847" s="42"/>
    </row>
    <row r="848" spans="52:61">
      <c r="AZ848" s="302"/>
      <c r="BA848" s="313"/>
      <c r="BB848" s="167"/>
      <c r="BC848" s="42"/>
      <c r="BD848" s="358"/>
      <c r="BH848" s="302"/>
      <c r="BI848" s="42"/>
    </row>
    <row r="849" spans="52:61">
      <c r="AZ849" s="302"/>
      <c r="BA849" s="313"/>
      <c r="BB849" s="167"/>
      <c r="BC849" s="42"/>
      <c r="BD849" s="358"/>
      <c r="BH849" s="302"/>
      <c r="BI849" s="42"/>
    </row>
    <row r="850" spans="52:61">
      <c r="AZ850" s="302"/>
      <c r="BA850" s="313"/>
      <c r="BB850" s="167"/>
      <c r="BC850" s="42"/>
      <c r="BD850" s="358"/>
      <c r="BH850" s="302"/>
      <c r="BI850" s="42"/>
    </row>
    <row r="851" spans="52:61">
      <c r="AZ851" s="302"/>
      <c r="BA851" s="313"/>
      <c r="BB851" s="167"/>
      <c r="BC851" s="42"/>
      <c r="BD851" s="358"/>
      <c r="BH851" s="302"/>
      <c r="BI851" s="42"/>
    </row>
    <row r="852" spans="52:61">
      <c r="AZ852" s="302"/>
      <c r="BA852" s="313"/>
      <c r="BB852" s="167"/>
      <c r="BC852" s="42"/>
      <c r="BD852" s="358"/>
      <c r="BH852" s="302"/>
      <c r="BI852" s="42"/>
    </row>
    <row r="853" spans="52:61">
      <c r="AZ853" s="302"/>
      <c r="BA853" s="313"/>
      <c r="BB853" s="167"/>
      <c r="BC853" s="42"/>
      <c r="BD853" s="358"/>
      <c r="BH853" s="302"/>
      <c r="BI853" s="42"/>
    </row>
    <row r="854" spans="52:61">
      <c r="AZ854" s="302"/>
      <c r="BA854" s="313"/>
      <c r="BB854" s="167"/>
      <c r="BC854" s="42"/>
      <c r="BD854" s="358"/>
      <c r="BH854" s="302"/>
      <c r="BI854" s="42"/>
    </row>
    <row r="855" spans="52:61">
      <c r="AZ855" s="302"/>
      <c r="BA855" s="313"/>
      <c r="BB855" s="167"/>
      <c r="BC855" s="42"/>
      <c r="BD855" s="358"/>
      <c r="BH855" s="302"/>
      <c r="BI855" s="42"/>
    </row>
    <row r="856" spans="52:61">
      <c r="AZ856" s="302"/>
      <c r="BA856" s="313"/>
      <c r="BB856" s="167"/>
      <c r="BC856" s="42"/>
      <c r="BD856" s="358"/>
      <c r="BH856" s="302"/>
      <c r="BI856" s="42"/>
    </row>
    <row r="857" spans="52:61">
      <c r="AZ857" s="302"/>
      <c r="BA857" s="313"/>
      <c r="BB857" s="167"/>
      <c r="BC857" s="42"/>
      <c r="BD857" s="358"/>
      <c r="BH857" s="302"/>
      <c r="BI857" s="42"/>
    </row>
    <row r="858" spans="52:61">
      <c r="AZ858" s="302"/>
      <c r="BA858" s="313"/>
      <c r="BB858" s="167"/>
      <c r="BC858" s="42"/>
      <c r="BD858" s="358"/>
      <c r="BH858" s="302"/>
      <c r="BI858" s="42"/>
    </row>
    <row r="859" spans="52:61">
      <c r="AZ859" s="302"/>
      <c r="BA859" s="313"/>
      <c r="BB859" s="167"/>
      <c r="BC859" s="42"/>
      <c r="BD859" s="358"/>
      <c r="BH859" s="302"/>
      <c r="BI859" s="42"/>
    </row>
    <row r="860" spans="52:61">
      <c r="AZ860" s="302"/>
      <c r="BA860" s="313"/>
      <c r="BB860" s="167"/>
      <c r="BC860" s="42"/>
      <c r="BD860" s="358"/>
      <c r="BH860" s="302"/>
      <c r="BI860" s="42"/>
    </row>
    <row r="861" spans="52:61">
      <c r="AZ861" s="302"/>
      <c r="BA861" s="313"/>
      <c r="BB861" s="167"/>
      <c r="BC861" s="42"/>
      <c r="BD861" s="358"/>
      <c r="BH861" s="302"/>
      <c r="BI861" s="42"/>
    </row>
    <row r="862" spans="52:61">
      <c r="AZ862" s="302"/>
      <c r="BA862" s="313"/>
      <c r="BB862" s="167"/>
      <c r="BC862" s="42"/>
      <c r="BD862" s="358"/>
      <c r="BH862" s="302"/>
      <c r="BI862" s="42"/>
    </row>
    <row r="863" spans="52:61">
      <c r="AZ863" s="302"/>
      <c r="BA863" s="313"/>
      <c r="BB863" s="167"/>
      <c r="BC863" s="42"/>
      <c r="BD863" s="358"/>
      <c r="BH863" s="302"/>
      <c r="BI863" s="42"/>
    </row>
    <row r="864" spans="52:61">
      <c r="AZ864" s="302"/>
      <c r="BA864" s="313"/>
      <c r="BB864" s="167"/>
      <c r="BC864" s="42"/>
      <c r="BD864" s="358"/>
      <c r="BH864" s="302"/>
      <c r="BI864" s="42"/>
    </row>
    <row r="865" spans="52:61">
      <c r="AZ865" s="302"/>
      <c r="BA865" s="313"/>
      <c r="BB865" s="167"/>
      <c r="BC865" s="42"/>
      <c r="BD865" s="358"/>
      <c r="BH865" s="302"/>
      <c r="BI865" s="42"/>
    </row>
    <row r="866" spans="52:61">
      <c r="AZ866" s="302"/>
      <c r="BA866" s="313"/>
      <c r="BB866" s="167"/>
      <c r="BC866" s="42"/>
      <c r="BD866" s="358"/>
      <c r="BH866" s="302"/>
      <c r="BI866" s="42"/>
    </row>
    <row r="867" spans="52:61">
      <c r="AZ867" s="302"/>
      <c r="BA867" s="313"/>
      <c r="BB867" s="167"/>
      <c r="BC867" s="42"/>
      <c r="BD867" s="358"/>
      <c r="BH867" s="302"/>
      <c r="BI867" s="42"/>
    </row>
    <row r="868" spans="52:61">
      <c r="AZ868" s="302"/>
      <c r="BA868" s="313"/>
      <c r="BB868" s="167"/>
      <c r="BC868" s="42"/>
      <c r="BD868" s="358"/>
      <c r="BH868" s="302"/>
      <c r="BI868" s="42"/>
    </row>
    <row r="869" spans="52:61">
      <c r="AZ869" s="302"/>
      <c r="BA869" s="313"/>
      <c r="BB869" s="167"/>
      <c r="BC869" s="42"/>
      <c r="BD869" s="358"/>
      <c r="BH869" s="302"/>
      <c r="BI869" s="42"/>
    </row>
    <row r="870" spans="52:61">
      <c r="AZ870" s="302"/>
      <c r="BA870" s="313"/>
      <c r="BB870" s="167"/>
      <c r="BC870" s="42"/>
      <c r="BD870" s="358"/>
      <c r="BH870" s="302"/>
      <c r="BI870" s="42"/>
    </row>
    <row r="871" spans="52:61">
      <c r="AZ871" s="302"/>
      <c r="BA871" s="313"/>
      <c r="BB871" s="167"/>
      <c r="BC871" s="42"/>
      <c r="BD871" s="358"/>
      <c r="BH871" s="302"/>
      <c r="BI871" s="42"/>
    </row>
    <row r="872" spans="52:61">
      <c r="AZ872" s="302"/>
      <c r="BA872" s="313"/>
      <c r="BB872" s="167"/>
      <c r="BC872" s="42"/>
      <c r="BD872" s="358"/>
      <c r="BH872" s="302"/>
      <c r="BI872" s="42"/>
    </row>
    <row r="873" spans="52:61">
      <c r="AZ873" s="302"/>
      <c r="BA873" s="313"/>
      <c r="BB873" s="167"/>
      <c r="BC873" s="42"/>
      <c r="BD873" s="358"/>
      <c r="BH873" s="302"/>
      <c r="BI873" s="42"/>
    </row>
    <row r="874" spans="52:61">
      <c r="AZ874" s="302"/>
      <c r="BA874" s="313"/>
      <c r="BB874" s="167"/>
      <c r="BC874" s="42"/>
      <c r="BD874" s="358"/>
      <c r="BH874" s="302"/>
      <c r="BI874" s="42"/>
    </row>
    <row r="875" spans="52:61">
      <c r="AZ875" s="302"/>
      <c r="BA875" s="313"/>
      <c r="BB875" s="167"/>
      <c r="BC875" s="42"/>
      <c r="BD875" s="358"/>
      <c r="BH875" s="302"/>
      <c r="BI875" s="42"/>
    </row>
    <row r="876" spans="52:61">
      <c r="AZ876" s="302"/>
      <c r="BA876" s="313"/>
      <c r="BB876" s="167"/>
      <c r="BC876" s="42"/>
      <c r="BD876" s="358"/>
      <c r="BH876" s="302"/>
      <c r="BI876" s="42"/>
    </row>
    <row r="877" spans="52:61">
      <c r="AZ877" s="302"/>
      <c r="BA877" s="313"/>
      <c r="BB877" s="167"/>
      <c r="BC877" s="42"/>
      <c r="BD877" s="358"/>
      <c r="BH877" s="302"/>
      <c r="BI877" s="42"/>
    </row>
    <row r="878" spans="52:61">
      <c r="AZ878" s="302"/>
      <c r="BA878" s="313"/>
      <c r="BB878" s="167"/>
      <c r="BC878" s="42"/>
      <c r="BD878" s="358"/>
      <c r="BH878" s="302"/>
      <c r="BI878" s="42"/>
    </row>
    <row r="879" spans="52:61">
      <c r="AZ879" s="302"/>
      <c r="BA879" s="313"/>
      <c r="BB879" s="167"/>
      <c r="BC879" s="42"/>
      <c r="BD879" s="358"/>
      <c r="BH879" s="302"/>
      <c r="BI879" s="42"/>
    </row>
    <row r="880" spans="52:61">
      <c r="AZ880" s="302"/>
      <c r="BA880" s="313"/>
      <c r="BB880" s="167"/>
      <c r="BC880" s="42"/>
      <c r="BD880" s="358"/>
      <c r="BH880" s="302"/>
      <c r="BI880" s="42"/>
    </row>
    <row r="881" spans="52:61">
      <c r="AZ881" s="302"/>
      <c r="BA881" s="313"/>
      <c r="BB881" s="167"/>
      <c r="BC881" s="42"/>
      <c r="BD881" s="358"/>
      <c r="BH881" s="302"/>
      <c r="BI881" s="42"/>
    </row>
    <row r="882" spans="52:61">
      <c r="AZ882" s="302"/>
      <c r="BA882" s="313"/>
      <c r="BB882" s="167"/>
      <c r="BC882" s="42"/>
      <c r="BD882" s="358"/>
      <c r="BH882" s="302"/>
      <c r="BI882" s="42"/>
    </row>
    <row r="883" spans="52:61">
      <c r="AZ883" s="302"/>
      <c r="BA883" s="313"/>
      <c r="BB883" s="167"/>
      <c r="BC883" s="42"/>
      <c r="BD883" s="358"/>
      <c r="BH883" s="302"/>
      <c r="BI883" s="42"/>
    </row>
    <row r="884" spans="52:61">
      <c r="AZ884" s="302"/>
      <c r="BA884" s="313"/>
      <c r="BB884" s="167"/>
      <c r="BC884" s="42"/>
      <c r="BD884" s="358"/>
      <c r="BH884" s="302"/>
      <c r="BI884" s="42"/>
    </row>
    <row r="885" spans="52:61">
      <c r="AZ885" s="302"/>
      <c r="BA885" s="313"/>
      <c r="BB885" s="167"/>
      <c r="BC885" s="42"/>
      <c r="BD885" s="358"/>
      <c r="BH885" s="302"/>
      <c r="BI885" s="42"/>
    </row>
    <row r="886" spans="52:61">
      <c r="AZ886" s="302"/>
      <c r="BA886" s="313"/>
      <c r="BB886" s="167"/>
      <c r="BC886" s="42"/>
      <c r="BD886" s="358"/>
      <c r="BH886" s="302"/>
      <c r="BI886" s="42"/>
    </row>
    <row r="887" spans="52:61">
      <c r="AZ887" s="302"/>
      <c r="BA887" s="313"/>
      <c r="BB887" s="167"/>
      <c r="BC887" s="42"/>
      <c r="BD887" s="358"/>
      <c r="BH887" s="302"/>
      <c r="BI887" s="42"/>
    </row>
    <row r="888" spans="52:61">
      <c r="AZ888" s="302"/>
      <c r="BA888" s="313"/>
      <c r="BB888" s="167"/>
      <c r="BC888" s="42"/>
      <c r="BD888" s="358"/>
      <c r="BH888" s="302"/>
      <c r="BI888" s="42"/>
    </row>
    <row r="889" spans="52:61">
      <c r="AZ889" s="302"/>
      <c r="BA889" s="313"/>
      <c r="BB889" s="167"/>
      <c r="BC889" s="42"/>
      <c r="BD889" s="358"/>
      <c r="BH889" s="302"/>
      <c r="BI889" s="42"/>
    </row>
    <row r="890" spans="52:61">
      <c r="AZ890" s="302"/>
      <c r="BA890" s="313"/>
      <c r="BB890" s="167"/>
      <c r="BC890" s="42"/>
      <c r="BD890" s="358"/>
      <c r="BH890" s="302"/>
      <c r="BI890" s="42"/>
    </row>
    <row r="891" spans="52:61">
      <c r="AZ891" s="302"/>
      <c r="BA891" s="313"/>
      <c r="BB891" s="167"/>
      <c r="BC891" s="42"/>
      <c r="BD891" s="358"/>
      <c r="BH891" s="302"/>
      <c r="BI891" s="42"/>
    </row>
    <row r="892" spans="52:61">
      <c r="AZ892" s="302"/>
      <c r="BA892" s="313"/>
      <c r="BB892" s="167"/>
      <c r="BC892" s="42"/>
      <c r="BD892" s="358"/>
      <c r="BH892" s="302"/>
      <c r="BI892" s="42"/>
    </row>
    <row r="893" spans="52:61">
      <c r="AZ893" s="302"/>
      <c r="BA893" s="313"/>
      <c r="BB893" s="167"/>
      <c r="BC893" s="42"/>
      <c r="BD893" s="358"/>
      <c r="BH893" s="302"/>
      <c r="BI893" s="42"/>
    </row>
    <row r="894" spans="52:61">
      <c r="AZ894" s="302"/>
      <c r="BA894" s="313"/>
      <c r="BB894" s="167"/>
      <c r="BC894" s="42"/>
      <c r="BD894" s="358"/>
      <c r="BH894" s="302"/>
      <c r="BI894" s="42"/>
    </row>
    <row r="895" spans="52:61">
      <c r="AZ895" s="302"/>
      <c r="BA895" s="313"/>
      <c r="BB895" s="167"/>
      <c r="BC895" s="42"/>
      <c r="BD895" s="358"/>
      <c r="BH895" s="302"/>
      <c r="BI895" s="42"/>
    </row>
    <row r="896" spans="52:61">
      <c r="AZ896" s="302"/>
      <c r="BA896" s="313"/>
      <c r="BB896" s="167"/>
      <c r="BC896" s="42"/>
      <c r="BD896" s="358"/>
      <c r="BH896" s="302"/>
      <c r="BI896" s="42"/>
    </row>
    <row r="897" spans="52:61">
      <c r="AZ897" s="302"/>
      <c r="BA897" s="313"/>
      <c r="BB897" s="167"/>
      <c r="BC897" s="42"/>
      <c r="BD897" s="358"/>
      <c r="BH897" s="302"/>
      <c r="BI897" s="42"/>
    </row>
    <row r="898" spans="52:61">
      <c r="AZ898" s="302"/>
      <c r="BA898" s="313"/>
      <c r="BB898" s="167"/>
      <c r="BC898" s="42"/>
      <c r="BD898" s="358"/>
      <c r="BH898" s="302"/>
      <c r="BI898" s="42"/>
    </row>
    <row r="899" spans="52:61">
      <c r="AZ899" s="302"/>
      <c r="BA899" s="313"/>
      <c r="BB899" s="167"/>
      <c r="BC899" s="42"/>
      <c r="BD899" s="358"/>
      <c r="BH899" s="302"/>
      <c r="BI899" s="42"/>
    </row>
    <row r="900" spans="52:61">
      <c r="AZ900" s="302"/>
      <c r="BA900" s="313"/>
      <c r="BB900" s="167"/>
      <c r="BC900" s="42"/>
      <c r="BD900" s="358"/>
      <c r="BH900" s="302"/>
      <c r="BI900" s="42"/>
    </row>
    <row r="901" spans="52:61">
      <c r="AZ901" s="302"/>
      <c r="BA901" s="313"/>
      <c r="BB901" s="167"/>
      <c r="BC901" s="42"/>
      <c r="BD901" s="358"/>
      <c r="BH901" s="302"/>
      <c r="BI901" s="42"/>
    </row>
    <row r="902" spans="52:61">
      <c r="AZ902" s="302"/>
      <c r="BA902" s="313"/>
      <c r="BB902" s="167"/>
      <c r="BC902" s="42"/>
      <c r="BD902" s="358"/>
      <c r="BH902" s="302"/>
      <c r="BI902" s="42"/>
    </row>
    <row r="903" spans="52:61">
      <c r="AZ903" s="302"/>
      <c r="BA903" s="313"/>
      <c r="BB903" s="167"/>
      <c r="BC903" s="42"/>
      <c r="BD903" s="358"/>
      <c r="BH903" s="302"/>
      <c r="BI903" s="42"/>
    </row>
    <row r="904" spans="52:61">
      <c r="AZ904" s="302"/>
      <c r="BA904" s="313"/>
      <c r="BB904" s="167"/>
      <c r="BC904" s="42"/>
      <c r="BD904" s="358"/>
      <c r="BH904" s="302"/>
      <c r="BI904" s="42"/>
    </row>
    <row r="905" spans="52:61">
      <c r="AZ905" s="302"/>
      <c r="BA905" s="313"/>
      <c r="BB905" s="167"/>
      <c r="BC905" s="42"/>
      <c r="BD905" s="358"/>
      <c r="BH905" s="302"/>
      <c r="BI905" s="42"/>
    </row>
    <row r="906" spans="52:61">
      <c r="AZ906" s="302"/>
      <c r="BA906" s="313"/>
      <c r="BB906" s="167"/>
      <c r="BC906" s="42"/>
      <c r="BD906" s="358"/>
      <c r="BH906" s="302"/>
      <c r="BI906" s="42"/>
    </row>
    <row r="907" spans="52:61">
      <c r="AZ907" s="302"/>
      <c r="BA907" s="313"/>
      <c r="BB907" s="167"/>
      <c r="BC907" s="42"/>
      <c r="BD907" s="358"/>
      <c r="BH907" s="302"/>
      <c r="BI907" s="42"/>
    </row>
    <row r="908" spans="52:61">
      <c r="AZ908" s="302"/>
      <c r="BA908" s="313"/>
      <c r="BB908" s="167"/>
      <c r="BC908" s="42"/>
      <c r="BD908" s="358"/>
      <c r="BH908" s="302"/>
      <c r="BI908" s="42"/>
    </row>
    <row r="909" spans="52:61">
      <c r="AZ909" s="302"/>
      <c r="BA909" s="313"/>
      <c r="BB909" s="167"/>
      <c r="BC909" s="42"/>
      <c r="BD909" s="358"/>
      <c r="BH909" s="302"/>
      <c r="BI909" s="42"/>
    </row>
    <row r="910" spans="52:61">
      <c r="AZ910" s="302"/>
      <c r="BA910" s="313"/>
      <c r="BB910" s="167"/>
      <c r="BC910" s="42"/>
      <c r="BD910" s="358"/>
      <c r="BH910" s="302"/>
      <c r="BI910" s="42"/>
    </row>
    <row r="911" spans="52:61">
      <c r="AZ911" s="302"/>
      <c r="BA911" s="313"/>
      <c r="BB911" s="167"/>
      <c r="BC911" s="42"/>
      <c r="BD911" s="358"/>
      <c r="BH911" s="302"/>
      <c r="BI911" s="42"/>
    </row>
    <row r="912" spans="52:61">
      <c r="AZ912" s="302"/>
      <c r="BA912" s="313"/>
      <c r="BB912" s="167"/>
      <c r="BC912" s="42"/>
      <c r="BD912" s="358"/>
      <c r="BH912" s="302"/>
      <c r="BI912" s="42"/>
    </row>
    <row r="913" spans="52:61">
      <c r="AZ913" s="302"/>
      <c r="BA913" s="313"/>
      <c r="BB913" s="167"/>
      <c r="BC913" s="42"/>
      <c r="BD913" s="358"/>
      <c r="BH913" s="302"/>
      <c r="BI913" s="42"/>
    </row>
    <row r="914" spans="52:61">
      <c r="AZ914" s="302"/>
      <c r="BA914" s="313"/>
      <c r="BB914" s="167"/>
      <c r="BC914" s="42"/>
      <c r="BD914" s="358"/>
      <c r="BH914" s="302"/>
      <c r="BI914" s="42"/>
    </row>
    <row r="915" spans="52:61">
      <c r="AZ915" s="302"/>
      <c r="BA915" s="313"/>
      <c r="BB915" s="167"/>
      <c r="BC915" s="42"/>
      <c r="BD915" s="358"/>
      <c r="BH915" s="302"/>
      <c r="BI915" s="42"/>
    </row>
    <row r="916" spans="52:61">
      <c r="AZ916" s="302"/>
      <c r="BA916" s="313"/>
      <c r="BB916" s="167"/>
      <c r="BC916" s="42"/>
      <c r="BD916" s="358"/>
      <c r="BH916" s="302"/>
      <c r="BI916" s="42"/>
    </row>
    <row r="917" spans="52:61">
      <c r="AZ917" s="302"/>
      <c r="BA917" s="313"/>
      <c r="BB917" s="167"/>
      <c r="BC917" s="42"/>
      <c r="BD917" s="358"/>
      <c r="BH917" s="302"/>
      <c r="BI917" s="42"/>
    </row>
    <row r="918" spans="52:61">
      <c r="AZ918" s="302"/>
      <c r="BA918" s="313"/>
      <c r="BB918" s="167"/>
      <c r="BC918" s="42"/>
      <c r="BD918" s="358"/>
      <c r="BH918" s="302"/>
      <c r="BI918" s="42"/>
    </row>
    <row r="919" spans="52:61">
      <c r="AZ919" s="302"/>
      <c r="BA919" s="313"/>
      <c r="BB919" s="167"/>
      <c r="BC919" s="42"/>
      <c r="BD919" s="358"/>
      <c r="BH919" s="302"/>
      <c r="BI919" s="42"/>
    </row>
    <row r="920" spans="52:61">
      <c r="AZ920" s="302"/>
      <c r="BA920" s="313"/>
      <c r="BB920" s="167"/>
      <c r="BC920" s="42"/>
      <c r="BD920" s="358"/>
      <c r="BH920" s="302"/>
      <c r="BI920" s="42"/>
    </row>
    <row r="921" spans="52:61">
      <c r="AZ921" s="302"/>
      <c r="BA921" s="313"/>
      <c r="BB921" s="167"/>
      <c r="BC921" s="42"/>
      <c r="BD921" s="358"/>
      <c r="BH921" s="302"/>
      <c r="BI921" s="42"/>
    </row>
    <row r="922" spans="52:61">
      <c r="AZ922" s="302"/>
      <c r="BA922" s="313"/>
      <c r="BB922" s="167"/>
      <c r="BC922" s="42"/>
      <c r="BD922" s="358"/>
      <c r="BH922" s="302"/>
      <c r="BI922" s="42"/>
    </row>
    <row r="923" spans="52:61">
      <c r="AZ923" s="302"/>
      <c r="BA923" s="313"/>
      <c r="BB923" s="167"/>
      <c r="BC923" s="42"/>
      <c r="BD923" s="358"/>
      <c r="BH923" s="302"/>
      <c r="BI923" s="42"/>
    </row>
    <row r="924" spans="52:61">
      <c r="AZ924" s="302"/>
      <c r="BA924" s="313"/>
      <c r="BB924" s="167"/>
      <c r="BC924" s="42"/>
      <c r="BD924" s="358"/>
      <c r="BH924" s="302"/>
      <c r="BI924" s="42"/>
    </row>
    <row r="925" spans="52:61">
      <c r="AZ925" s="302"/>
      <c r="BA925" s="313"/>
      <c r="BB925" s="167"/>
      <c r="BC925" s="42"/>
      <c r="BD925" s="358"/>
      <c r="BH925" s="302"/>
      <c r="BI925" s="42"/>
    </row>
    <row r="926" spans="52:61">
      <c r="AZ926" s="302"/>
      <c r="BA926" s="313"/>
      <c r="BB926" s="167"/>
      <c r="BC926" s="42"/>
      <c r="BD926" s="358"/>
      <c r="BH926" s="302"/>
      <c r="BI926" s="42"/>
    </row>
    <row r="927" spans="52:61">
      <c r="AZ927" s="302"/>
      <c r="BA927" s="313"/>
      <c r="BB927" s="167"/>
      <c r="BC927" s="42"/>
      <c r="BD927" s="358"/>
      <c r="BH927" s="302"/>
      <c r="BI927" s="42"/>
    </row>
    <row r="928" spans="52:61">
      <c r="AZ928" s="302"/>
      <c r="BA928" s="313"/>
      <c r="BB928" s="167"/>
      <c r="BC928" s="42"/>
      <c r="BD928" s="358"/>
      <c r="BH928" s="302"/>
      <c r="BI928" s="42"/>
    </row>
    <row r="929" spans="52:61">
      <c r="AZ929" s="302"/>
      <c r="BA929" s="313"/>
      <c r="BB929" s="167"/>
      <c r="BC929" s="42"/>
      <c r="BD929" s="358"/>
      <c r="BH929" s="302"/>
      <c r="BI929" s="42"/>
    </row>
    <row r="930" spans="52:61">
      <c r="AZ930" s="302"/>
      <c r="BA930" s="313"/>
      <c r="BB930" s="167"/>
      <c r="BC930" s="42"/>
      <c r="BD930" s="358"/>
      <c r="BH930" s="302"/>
      <c r="BI930" s="42"/>
    </row>
    <row r="931" spans="52:61">
      <c r="AZ931" s="302"/>
      <c r="BA931" s="313"/>
      <c r="BB931" s="167"/>
      <c r="BC931" s="42"/>
      <c r="BD931" s="358"/>
      <c r="BH931" s="302"/>
      <c r="BI931" s="42"/>
    </row>
    <row r="932" spans="52:61">
      <c r="AZ932" s="302"/>
      <c r="BA932" s="313"/>
      <c r="BB932" s="167"/>
      <c r="BC932" s="42"/>
      <c r="BD932" s="358"/>
      <c r="BH932" s="302"/>
      <c r="BI932" s="42"/>
    </row>
    <row r="933" spans="52:61">
      <c r="AZ933" s="302"/>
      <c r="BA933" s="313"/>
      <c r="BB933" s="167"/>
      <c r="BC933" s="42"/>
      <c r="BD933" s="358"/>
      <c r="BH933" s="302"/>
      <c r="BI933" s="42"/>
    </row>
    <row r="934" spans="52:61">
      <c r="AZ934" s="302"/>
      <c r="BA934" s="313"/>
      <c r="BB934" s="167"/>
      <c r="BC934" s="42"/>
      <c r="BD934" s="358"/>
      <c r="BH934" s="302"/>
      <c r="BI934" s="42"/>
    </row>
    <row r="935" spans="52:61">
      <c r="AZ935" s="302"/>
      <c r="BA935" s="313"/>
      <c r="BB935" s="167"/>
      <c r="BC935" s="42"/>
      <c r="BD935" s="358"/>
      <c r="BH935" s="302"/>
      <c r="BI935" s="42"/>
    </row>
    <row r="936" spans="52:61">
      <c r="AZ936" s="302"/>
      <c r="BA936" s="313"/>
      <c r="BB936" s="167"/>
      <c r="BC936" s="42"/>
      <c r="BD936" s="358"/>
      <c r="BH936" s="302"/>
      <c r="BI936" s="42"/>
    </row>
    <row r="937" spans="52:61">
      <c r="AZ937" s="302"/>
      <c r="BA937" s="313"/>
      <c r="BB937" s="167"/>
      <c r="BC937" s="42"/>
      <c r="BD937" s="358"/>
      <c r="BH937" s="302"/>
      <c r="BI937" s="42"/>
    </row>
    <row r="938" spans="52:61">
      <c r="AZ938" s="302"/>
      <c r="BA938" s="313"/>
      <c r="BB938" s="167"/>
      <c r="BC938" s="42"/>
      <c r="BD938" s="358"/>
      <c r="BH938" s="302"/>
      <c r="BI938" s="42"/>
    </row>
    <row r="939" spans="52:61">
      <c r="AZ939" s="302"/>
      <c r="BA939" s="313"/>
      <c r="BB939" s="167"/>
      <c r="BC939" s="42"/>
      <c r="BD939" s="358"/>
      <c r="BH939" s="302"/>
      <c r="BI939" s="42"/>
    </row>
    <row r="940" spans="52:61">
      <c r="AZ940" s="302"/>
      <c r="BA940" s="313"/>
      <c r="BB940" s="167"/>
      <c r="BC940" s="42"/>
      <c r="BD940" s="358"/>
      <c r="BH940" s="302"/>
      <c r="BI940" s="42"/>
    </row>
    <row r="941" spans="52:61">
      <c r="AZ941" s="302"/>
      <c r="BA941" s="313"/>
      <c r="BB941" s="167"/>
      <c r="BC941" s="42"/>
      <c r="BD941" s="358"/>
      <c r="BH941" s="302"/>
      <c r="BI941" s="42"/>
    </row>
    <row r="942" spans="52:61">
      <c r="AZ942" s="302"/>
      <c r="BA942" s="313"/>
      <c r="BB942" s="167"/>
      <c r="BC942" s="42"/>
      <c r="BD942" s="358"/>
      <c r="BH942" s="302"/>
      <c r="BI942" s="42"/>
    </row>
    <row r="943" spans="52:61">
      <c r="AZ943" s="302"/>
      <c r="BA943" s="313"/>
      <c r="BB943" s="167"/>
      <c r="BC943" s="42"/>
      <c r="BD943" s="358"/>
      <c r="BH943" s="302"/>
      <c r="BI943" s="42"/>
    </row>
    <row r="944" spans="52:61">
      <c r="AZ944" s="302"/>
      <c r="BA944" s="313"/>
      <c r="BB944" s="167"/>
      <c r="BC944" s="42"/>
      <c r="BD944" s="358"/>
      <c r="BH944" s="302"/>
      <c r="BI944" s="42"/>
    </row>
    <row r="945" spans="52:61">
      <c r="AZ945" s="302"/>
      <c r="BA945" s="313"/>
      <c r="BB945" s="167"/>
      <c r="BC945" s="42"/>
      <c r="BD945" s="358"/>
      <c r="BH945" s="302"/>
      <c r="BI945" s="42"/>
    </row>
    <row r="946" spans="52:61">
      <c r="AZ946" s="302"/>
      <c r="BA946" s="313"/>
      <c r="BB946" s="167"/>
      <c r="BC946" s="42"/>
      <c r="BD946" s="358"/>
      <c r="BH946" s="302"/>
      <c r="BI946" s="42"/>
    </row>
    <row r="947" spans="52:61">
      <c r="AZ947" s="302"/>
      <c r="BA947" s="313"/>
      <c r="BB947" s="167"/>
      <c r="BC947" s="42"/>
      <c r="BD947" s="358"/>
      <c r="BH947" s="302"/>
      <c r="BI947" s="42"/>
    </row>
    <row r="948" spans="52:61">
      <c r="AZ948" s="302"/>
      <c r="BA948" s="313"/>
      <c r="BB948" s="167"/>
      <c r="BC948" s="42"/>
      <c r="BD948" s="358"/>
      <c r="BH948" s="302"/>
      <c r="BI948" s="42"/>
    </row>
    <row r="949" spans="52:61">
      <c r="AZ949" s="302"/>
      <c r="BA949" s="313"/>
      <c r="BB949" s="167"/>
      <c r="BC949" s="42"/>
      <c r="BD949" s="358"/>
      <c r="BH949" s="302"/>
      <c r="BI949" s="42"/>
    </row>
    <row r="950" spans="52:61">
      <c r="AZ950" s="302"/>
      <c r="BA950" s="313"/>
      <c r="BB950" s="167"/>
      <c r="BC950" s="42"/>
      <c r="BD950" s="358"/>
      <c r="BH950" s="302"/>
      <c r="BI950" s="42"/>
    </row>
    <row r="951" spans="52:61">
      <c r="AZ951" s="302"/>
      <c r="BA951" s="313"/>
      <c r="BB951" s="167"/>
      <c r="BC951" s="42"/>
      <c r="BD951" s="358"/>
      <c r="BH951" s="302"/>
      <c r="BI951" s="42"/>
    </row>
    <row r="952" spans="52:61">
      <c r="AZ952" s="302"/>
      <c r="BA952" s="313"/>
      <c r="BB952" s="167"/>
      <c r="BC952" s="42"/>
      <c r="BD952" s="358"/>
      <c r="BH952" s="302"/>
      <c r="BI952" s="42"/>
    </row>
    <row r="953" spans="52:61">
      <c r="AZ953" s="302"/>
      <c r="BA953" s="313"/>
      <c r="BB953" s="167"/>
      <c r="BC953" s="42"/>
      <c r="BD953" s="358"/>
      <c r="BH953" s="302"/>
      <c r="BI953" s="42"/>
    </row>
    <row r="954" spans="52:61">
      <c r="AZ954" s="302"/>
      <c r="BA954" s="313"/>
      <c r="BB954" s="167"/>
      <c r="BC954" s="42"/>
      <c r="BD954" s="358"/>
      <c r="BH954" s="302"/>
      <c r="BI954" s="42"/>
    </row>
    <row r="955" spans="52:61">
      <c r="AZ955" s="302"/>
      <c r="BA955" s="313"/>
      <c r="BB955" s="167"/>
      <c r="BC955" s="42"/>
      <c r="BD955" s="358"/>
      <c r="BH955" s="302"/>
      <c r="BI955" s="42"/>
    </row>
    <row r="956" spans="52:61">
      <c r="AZ956" s="302"/>
      <c r="BA956" s="313"/>
      <c r="BB956" s="167"/>
      <c r="BC956" s="42"/>
      <c r="BD956" s="358"/>
      <c r="BH956" s="302"/>
      <c r="BI956" s="42"/>
    </row>
    <row r="957" spans="52:61">
      <c r="AZ957" s="302"/>
      <c r="BA957" s="313"/>
      <c r="BB957" s="167"/>
      <c r="BC957" s="42"/>
      <c r="BD957" s="358"/>
      <c r="BH957" s="302"/>
      <c r="BI957" s="42"/>
    </row>
    <row r="958" spans="52:61">
      <c r="AZ958" s="302"/>
      <c r="BA958" s="313"/>
      <c r="BB958" s="167"/>
      <c r="BC958" s="42"/>
      <c r="BD958" s="358"/>
      <c r="BH958" s="302"/>
      <c r="BI958" s="42"/>
    </row>
    <row r="959" spans="52:61">
      <c r="AZ959" s="302"/>
      <c r="BA959" s="313"/>
      <c r="BB959" s="167"/>
      <c r="BC959" s="42"/>
      <c r="BD959" s="358"/>
      <c r="BH959" s="302"/>
      <c r="BI959" s="42"/>
    </row>
    <row r="960" spans="52:61">
      <c r="AZ960" s="302"/>
      <c r="BA960" s="313"/>
      <c r="BB960" s="167"/>
      <c r="BC960" s="42"/>
      <c r="BD960" s="358"/>
      <c r="BH960" s="302"/>
      <c r="BI960" s="42"/>
    </row>
    <row r="961" spans="52:61">
      <c r="AZ961" s="302"/>
      <c r="BA961" s="313"/>
      <c r="BB961" s="167"/>
      <c r="BC961" s="42"/>
      <c r="BD961" s="358"/>
      <c r="BH961" s="302"/>
      <c r="BI961" s="42"/>
    </row>
    <row r="962" spans="52:61">
      <c r="AZ962" s="302"/>
      <c r="BA962" s="313"/>
      <c r="BB962" s="167"/>
      <c r="BC962" s="42"/>
      <c r="BD962" s="358"/>
      <c r="BH962" s="302"/>
      <c r="BI962" s="42"/>
    </row>
    <row r="963" spans="52:61">
      <c r="AZ963" s="302"/>
      <c r="BA963" s="313"/>
      <c r="BB963" s="167"/>
      <c r="BC963" s="42"/>
      <c r="BD963" s="358"/>
      <c r="BH963" s="302"/>
      <c r="BI963" s="42"/>
    </row>
    <row r="964" spans="52:61">
      <c r="AZ964" s="302"/>
      <c r="BA964" s="313"/>
      <c r="BB964" s="167"/>
      <c r="BC964" s="42"/>
      <c r="BD964" s="358"/>
      <c r="BH964" s="302"/>
      <c r="BI964" s="42"/>
    </row>
    <row r="965" spans="52:61">
      <c r="AZ965" s="302"/>
      <c r="BA965" s="313"/>
      <c r="BB965" s="167"/>
      <c r="BC965" s="42"/>
      <c r="BD965" s="358"/>
      <c r="BH965" s="302"/>
      <c r="BI965" s="42"/>
    </row>
    <row r="966" spans="52:61">
      <c r="AZ966" s="302"/>
      <c r="BA966" s="313"/>
      <c r="BB966" s="167"/>
      <c r="BC966" s="42"/>
      <c r="BD966" s="358"/>
      <c r="BH966" s="302"/>
      <c r="BI966" s="42"/>
    </row>
    <row r="967" spans="52:61">
      <c r="AZ967" s="302"/>
      <c r="BA967" s="313"/>
      <c r="BB967" s="167"/>
      <c r="BC967" s="42"/>
      <c r="BD967" s="358"/>
      <c r="BH967" s="302"/>
      <c r="BI967" s="42"/>
    </row>
    <row r="968" spans="52:61">
      <c r="AZ968" s="302"/>
      <c r="BA968" s="313"/>
      <c r="BB968" s="167"/>
      <c r="BC968" s="42"/>
      <c r="BD968" s="358"/>
      <c r="BH968" s="302"/>
      <c r="BI968" s="42"/>
    </row>
    <row r="969" spans="52:61">
      <c r="AZ969" s="302"/>
      <c r="BA969" s="313"/>
      <c r="BB969" s="167"/>
      <c r="BC969" s="42"/>
      <c r="BD969" s="358"/>
      <c r="BH969" s="302"/>
      <c r="BI969" s="42"/>
    </row>
    <row r="970" spans="52:61">
      <c r="AZ970" s="302"/>
      <c r="BA970" s="313"/>
      <c r="BB970" s="167"/>
      <c r="BC970" s="42"/>
      <c r="BD970" s="358"/>
      <c r="BH970" s="302"/>
      <c r="BI970" s="42"/>
    </row>
    <row r="971" spans="52:61">
      <c r="AZ971" s="302"/>
      <c r="BA971" s="313"/>
      <c r="BB971" s="167"/>
      <c r="BC971" s="42"/>
      <c r="BD971" s="358"/>
      <c r="BH971" s="302"/>
      <c r="BI971" s="42"/>
    </row>
    <row r="972" spans="52:61">
      <c r="AZ972" s="302"/>
      <c r="BA972" s="313"/>
      <c r="BB972" s="167"/>
      <c r="BC972" s="42"/>
      <c r="BD972" s="358"/>
      <c r="BH972" s="302"/>
      <c r="BI972" s="42"/>
    </row>
    <row r="973" spans="52:61">
      <c r="AZ973" s="302"/>
      <c r="BA973" s="313"/>
      <c r="BB973" s="167"/>
      <c r="BC973" s="42"/>
      <c r="BD973" s="358"/>
      <c r="BH973" s="302"/>
      <c r="BI973" s="42"/>
    </row>
    <row r="974" spans="52:61">
      <c r="AZ974" s="302"/>
      <c r="BA974" s="313"/>
      <c r="BB974" s="167"/>
      <c r="BC974" s="42"/>
      <c r="BD974" s="358"/>
      <c r="BH974" s="302"/>
      <c r="BI974" s="42"/>
    </row>
    <row r="975" spans="52:61">
      <c r="AZ975" s="302"/>
      <c r="BA975" s="313"/>
      <c r="BB975" s="167"/>
      <c r="BC975" s="42"/>
      <c r="BD975" s="358"/>
      <c r="BH975" s="302"/>
      <c r="BI975" s="42"/>
    </row>
    <row r="976" spans="52:61">
      <c r="AZ976" s="302"/>
      <c r="BA976" s="313"/>
      <c r="BB976" s="167"/>
      <c r="BC976" s="42"/>
      <c r="BD976" s="358"/>
      <c r="BH976" s="302"/>
      <c r="BI976" s="42"/>
    </row>
    <row r="977" spans="52:61">
      <c r="AZ977" s="302"/>
      <c r="BA977" s="313"/>
      <c r="BB977" s="167"/>
      <c r="BC977" s="42"/>
      <c r="BD977" s="358"/>
      <c r="BH977" s="302"/>
      <c r="BI977" s="42"/>
    </row>
    <row r="978" spans="52:61">
      <c r="AZ978" s="302"/>
      <c r="BA978" s="313"/>
      <c r="BB978" s="167"/>
      <c r="BC978" s="42"/>
      <c r="BD978" s="358"/>
      <c r="BH978" s="302"/>
      <c r="BI978" s="42"/>
    </row>
    <row r="979" spans="52:61">
      <c r="AZ979" s="302"/>
      <c r="BA979" s="313"/>
      <c r="BB979" s="167"/>
      <c r="BC979" s="42"/>
      <c r="BD979" s="358"/>
      <c r="BH979" s="302"/>
      <c r="BI979" s="42"/>
    </row>
    <row r="980" spans="52:61">
      <c r="AZ980" s="302"/>
      <c r="BA980" s="313"/>
      <c r="BB980" s="167"/>
      <c r="BC980" s="42"/>
      <c r="BD980" s="358"/>
      <c r="BH980" s="302"/>
      <c r="BI980" s="42"/>
    </row>
    <row r="981" spans="52:61">
      <c r="AZ981" s="302"/>
      <c r="BA981" s="313"/>
      <c r="BB981" s="167"/>
      <c r="BC981" s="42"/>
      <c r="BD981" s="358"/>
      <c r="BH981" s="302"/>
      <c r="BI981" s="42"/>
    </row>
    <row r="982" spans="52:61">
      <c r="AZ982" s="302"/>
      <c r="BA982" s="313"/>
      <c r="BB982" s="167"/>
      <c r="BC982" s="42"/>
      <c r="BD982" s="358"/>
      <c r="BH982" s="302"/>
      <c r="BI982" s="42"/>
    </row>
    <row r="983" spans="52:61">
      <c r="AZ983" s="302"/>
      <c r="BA983" s="313"/>
      <c r="BB983" s="167"/>
      <c r="BC983" s="42"/>
      <c r="BD983" s="358"/>
      <c r="BH983" s="302"/>
      <c r="BI983" s="42"/>
    </row>
    <row r="984" spans="52:61">
      <c r="AZ984" s="302"/>
      <c r="BA984" s="313"/>
      <c r="BB984" s="167"/>
      <c r="BC984" s="42"/>
      <c r="BD984" s="358"/>
      <c r="BH984" s="302"/>
      <c r="BI984" s="42"/>
    </row>
    <row r="985" spans="52:61">
      <c r="AZ985" s="302"/>
      <c r="BA985" s="313"/>
      <c r="BB985" s="167"/>
      <c r="BC985" s="42"/>
      <c r="BD985" s="358"/>
      <c r="BH985" s="302"/>
      <c r="BI985" s="42"/>
    </row>
    <row r="986" spans="52:61">
      <c r="AZ986" s="302"/>
      <c r="BA986" s="313"/>
      <c r="BB986" s="167"/>
      <c r="BC986" s="42"/>
      <c r="BD986" s="358"/>
      <c r="BH986" s="302"/>
      <c r="BI986" s="42"/>
    </row>
    <row r="987" spans="52:61">
      <c r="AZ987" s="302"/>
      <c r="BA987" s="313"/>
      <c r="BB987" s="167"/>
      <c r="BC987" s="42"/>
      <c r="BD987" s="358"/>
      <c r="BH987" s="302"/>
      <c r="BI987" s="42"/>
    </row>
    <row r="988" spans="52:61">
      <c r="AZ988" s="302"/>
      <c r="BA988" s="313"/>
      <c r="BB988" s="167"/>
      <c r="BC988" s="42"/>
      <c r="BD988" s="358"/>
      <c r="BH988" s="302"/>
      <c r="BI988" s="42"/>
    </row>
    <row r="989" spans="52:61">
      <c r="AZ989" s="302"/>
      <c r="BA989" s="313"/>
      <c r="BB989" s="167"/>
      <c r="BC989" s="42"/>
      <c r="BD989" s="358"/>
      <c r="BH989" s="302"/>
      <c r="BI989" s="42"/>
    </row>
    <row r="990" spans="52:61">
      <c r="AZ990" s="302"/>
      <c r="BA990" s="313"/>
      <c r="BB990" s="167"/>
      <c r="BC990" s="42"/>
      <c r="BD990" s="358"/>
      <c r="BH990" s="302"/>
      <c r="BI990" s="42"/>
    </row>
    <row r="991" spans="52:61">
      <c r="AZ991" s="302"/>
      <c r="BA991" s="313"/>
      <c r="BB991" s="167"/>
      <c r="BC991" s="42"/>
      <c r="BD991" s="358"/>
      <c r="BH991" s="302"/>
      <c r="BI991" s="42"/>
    </row>
    <row r="992" spans="52:61">
      <c r="AZ992" s="302"/>
      <c r="BA992" s="313"/>
      <c r="BB992" s="167"/>
      <c r="BC992" s="42"/>
      <c r="BD992" s="358"/>
      <c r="BH992" s="302"/>
      <c r="BI992" s="42"/>
    </row>
    <row r="993" spans="52:61">
      <c r="AZ993" s="302"/>
      <c r="BA993" s="313"/>
      <c r="BB993" s="167"/>
      <c r="BC993" s="42"/>
      <c r="BD993" s="358"/>
      <c r="BH993" s="302"/>
      <c r="BI993" s="42"/>
    </row>
    <row r="994" spans="52:61">
      <c r="AZ994" s="302"/>
      <c r="BA994" s="313"/>
      <c r="BB994" s="167"/>
      <c r="BC994" s="42"/>
      <c r="BD994" s="358"/>
      <c r="BH994" s="302"/>
      <c r="BI994" s="42"/>
    </row>
    <row r="995" spans="52:61">
      <c r="AZ995" s="302"/>
      <c r="BA995" s="313"/>
      <c r="BB995" s="167"/>
      <c r="BC995" s="42"/>
      <c r="BD995" s="358"/>
      <c r="BH995" s="302"/>
      <c r="BI995" s="42"/>
    </row>
    <row r="996" spans="52:61">
      <c r="AZ996" s="302"/>
      <c r="BA996" s="313"/>
      <c r="BB996" s="167"/>
      <c r="BC996" s="42"/>
      <c r="BD996" s="358"/>
      <c r="BH996" s="302"/>
      <c r="BI996" s="42"/>
    </row>
    <row r="997" spans="52:61">
      <c r="AZ997" s="302"/>
      <c r="BA997" s="313"/>
      <c r="BB997" s="167"/>
      <c r="BC997" s="42"/>
      <c r="BD997" s="358"/>
      <c r="BH997" s="302"/>
      <c r="BI997" s="42"/>
    </row>
    <row r="998" spans="52:61">
      <c r="AZ998" s="302"/>
      <c r="BA998" s="313"/>
      <c r="BB998" s="167"/>
      <c r="BC998" s="42"/>
      <c r="BD998" s="358"/>
      <c r="BH998" s="302"/>
      <c r="BI998" s="42"/>
    </row>
    <row r="999" spans="52:61">
      <c r="AZ999" s="302"/>
      <c r="BA999" s="313"/>
      <c r="BB999" s="167"/>
      <c r="BC999" s="42"/>
      <c r="BD999" s="358"/>
      <c r="BH999" s="302"/>
      <c r="BI999" s="42"/>
    </row>
    <row r="1000" spans="52:61">
      <c r="AZ1000" s="302"/>
      <c r="BA1000" s="313"/>
      <c r="BB1000" s="167"/>
      <c r="BC1000" s="42"/>
      <c r="BD1000" s="358"/>
      <c r="BH1000" s="302"/>
      <c r="BI1000" s="42"/>
    </row>
    <row r="1001" spans="52:61">
      <c r="AZ1001" s="302"/>
      <c r="BA1001" s="313"/>
      <c r="BB1001" s="167"/>
      <c r="BC1001" s="42"/>
      <c r="BD1001" s="358"/>
      <c r="BH1001" s="302"/>
      <c r="BI1001" s="42"/>
    </row>
    <row r="1002" spans="52:61">
      <c r="AZ1002" s="302"/>
      <c r="BA1002" s="313"/>
      <c r="BB1002" s="167"/>
      <c r="BC1002" s="42"/>
      <c r="BD1002" s="358"/>
      <c r="BH1002" s="302"/>
      <c r="BI1002" s="42"/>
    </row>
    <row r="1003" spans="52:61">
      <c r="AZ1003" s="302"/>
      <c r="BA1003" s="313"/>
      <c r="BB1003" s="167"/>
      <c r="BC1003" s="42"/>
      <c r="BD1003" s="358"/>
      <c r="BH1003" s="302"/>
      <c r="BI1003" s="42"/>
    </row>
    <row r="1004" spans="52:61">
      <c r="AZ1004" s="302"/>
      <c r="BA1004" s="313"/>
      <c r="BB1004" s="167"/>
      <c r="BC1004" s="42"/>
      <c r="BD1004" s="358"/>
      <c r="BH1004" s="302"/>
      <c r="BI1004" s="42"/>
    </row>
    <row r="1005" spans="52:61">
      <c r="AZ1005" s="302"/>
      <c r="BA1005" s="313"/>
      <c r="BB1005" s="167"/>
      <c r="BC1005" s="42"/>
      <c r="BD1005" s="358"/>
      <c r="BH1005" s="302"/>
      <c r="BI1005" s="42"/>
    </row>
    <row r="1006" spans="52:61">
      <c r="AZ1006" s="302"/>
      <c r="BA1006" s="313"/>
      <c r="BB1006" s="167"/>
      <c r="BC1006" s="42"/>
      <c r="BD1006" s="358"/>
      <c r="BH1006" s="302"/>
      <c r="BI1006" s="42"/>
    </row>
    <row r="1007" spans="52:61">
      <c r="AZ1007" s="302"/>
      <c r="BA1007" s="313"/>
      <c r="BB1007" s="167"/>
      <c r="BC1007" s="42"/>
      <c r="BD1007" s="358"/>
      <c r="BH1007" s="302"/>
      <c r="BI1007" s="42"/>
    </row>
    <row r="1008" spans="52:61">
      <c r="AZ1008" s="302"/>
      <c r="BA1008" s="313"/>
      <c r="BB1008" s="167"/>
      <c r="BC1008" s="42"/>
      <c r="BD1008" s="358"/>
      <c r="BH1008" s="302"/>
      <c r="BI1008" s="42"/>
    </row>
    <row r="1009" spans="52:61">
      <c r="AZ1009" s="302"/>
      <c r="BA1009" s="313"/>
      <c r="BB1009" s="167"/>
      <c r="BC1009" s="42"/>
      <c r="BD1009" s="358"/>
      <c r="BH1009" s="302"/>
      <c r="BI1009" s="42"/>
    </row>
    <row r="1010" spans="52:61">
      <c r="AZ1010" s="302"/>
      <c r="BA1010" s="313"/>
      <c r="BB1010" s="167"/>
      <c r="BC1010" s="42"/>
      <c r="BD1010" s="358"/>
      <c r="BH1010" s="302"/>
      <c r="BI1010" s="42"/>
    </row>
    <row r="1011" spans="52:61">
      <c r="AZ1011" s="302"/>
      <c r="BA1011" s="313"/>
      <c r="BB1011" s="167"/>
      <c r="BC1011" s="42"/>
      <c r="BD1011" s="358"/>
      <c r="BH1011" s="302"/>
      <c r="BI1011" s="42"/>
    </row>
    <row r="1012" spans="52:61">
      <c r="AZ1012" s="302"/>
      <c r="BA1012" s="313"/>
      <c r="BB1012" s="167"/>
      <c r="BC1012" s="42"/>
      <c r="BD1012" s="358"/>
      <c r="BH1012" s="302"/>
      <c r="BI1012" s="42"/>
    </row>
    <row r="1013" spans="52:61">
      <c r="AZ1013" s="302"/>
      <c r="BA1013" s="313"/>
      <c r="BB1013" s="167"/>
      <c r="BC1013" s="42"/>
      <c r="BD1013" s="358"/>
      <c r="BH1013" s="302"/>
      <c r="BI1013" s="42"/>
    </row>
    <row r="1014" spans="52:61">
      <c r="AZ1014" s="302"/>
      <c r="BA1014" s="313"/>
      <c r="BB1014" s="167"/>
      <c r="BC1014" s="42"/>
      <c r="BD1014" s="358"/>
      <c r="BH1014" s="302"/>
      <c r="BI1014" s="42"/>
    </row>
    <row r="1015" spans="52:61">
      <c r="AZ1015" s="302"/>
      <c r="BA1015" s="313"/>
      <c r="BB1015" s="167"/>
      <c r="BC1015" s="42"/>
      <c r="BD1015" s="358"/>
      <c r="BH1015" s="302"/>
      <c r="BI1015" s="42"/>
    </row>
    <row r="1016" spans="52:61">
      <c r="AZ1016" s="302"/>
      <c r="BA1016" s="313"/>
      <c r="BB1016" s="167"/>
      <c r="BC1016" s="42"/>
      <c r="BD1016" s="358"/>
      <c r="BH1016" s="302"/>
      <c r="BI1016" s="42"/>
    </row>
    <row r="1017" spans="52:61">
      <c r="AZ1017" s="302"/>
      <c r="BA1017" s="313"/>
      <c r="BB1017" s="167"/>
      <c r="BC1017" s="42"/>
      <c r="BD1017" s="358"/>
      <c r="BH1017" s="302"/>
      <c r="BI1017" s="42"/>
    </row>
    <row r="1018" spans="52:61">
      <c r="AZ1018" s="302"/>
      <c r="BA1018" s="313"/>
      <c r="BB1018" s="167"/>
      <c r="BC1018" s="42"/>
      <c r="BD1018" s="358"/>
      <c r="BH1018" s="302"/>
      <c r="BI1018" s="42"/>
    </row>
    <row r="1019" spans="52:61">
      <c r="AZ1019" s="302"/>
      <c r="BA1019" s="313"/>
      <c r="BB1019" s="167"/>
      <c r="BC1019" s="42"/>
      <c r="BD1019" s="358"/>
      <c r="BH1019" s="302"/>
      <c r="BI1019" s="42"/>
    </row>
    <row r="1020" spans="52:61">
      <c r="AZ1020" s="302"/>
      <c r="BA1020" s="313"/>
      <c r="BB1020" s="167"/>
      <c r="BC1020" s="42"/>
      <c r="BD1020" s="358"/>
      <c r="BH1020" s="302"/>
      <c r="BI1020" s="42"/>
    </row>
    <row r="1021" spans="52:61">
      <c r="AZ1021" s="302"/>
      <c r="BA1021" s="313"/>
      <c r="BB1021" s="167"/>
      <c r="BC1021" s="42"/>
      <c r="BD1021" s="358"/>
      <c r="BH1021" s="302"/>
      <c r="BI1021" s="42"/>
    </row>
    <row r="1022" spans="52:61">
      <c r="AZ1022" s="302"/>
      <c r="BA1022" s="313"/>
      <c r="BB1022" s="167"/>
      <c r="BC1022" s="42"/>
      <c r="BD1022" s="358"/>
      <c r="BH1022" s="302"/>
      <c r="BI1022" s="42"/>
    </row>
    <row r="1023" spans="52:61">
      <c r="AZ1023" s="302"/>
      <c r="BA1023" s="313"/>
      <c r="BB1023" s="167"/>
      <c r="BC1023" s="42"/>
      <c r="BD1023" s="358"/>
      <c r="BH1023" s="302"/>
      <c r="BI1023" s="42"/>
    </row>
    <row r="1024" spans="52:61">
      <c r="AZ1024" s="302"/>
      <c r="BA1024" s="313"/>
      <c r="BB1024" s="167"/>
      <c r="BC1024" s="42"/>
      <c r="BD1024" s="358"/>
      <c r="BH1024" s="302"/>
      <c r="BI1024" s="42"/>
    </row>
    <row r="1025" spans="52:61">
      <c r="AZ1025" s="302"/>
      <c r="BA1025" s="313"/>
      <c r="BB1025" s="167"/>
      <c r="BC1025" s="42"/>
      <c r="BD1025" s="358"/>
      <c r="BH1025" s="302"/>
      <c r="BI1025" s="42"/>
    </row>
    <row r="1026" spans="52:61">
      <c r="AZ1026" s="302"/>
      <c r="BA1026" s="313"/>
      <c r="BB1026" s="167"/>
      <c r="BC1026" s="42"/>
      <c r="BD1026" s="358"/>
      <c r="BH1026" s="302"/>
      <c r="BI1026" s="42"/>
    </row>
    <row r="1027" spans="52:61">
      <c r="AZ1027" s="302"/>
      <c r="BA1027" s="313"/>
      <c r="BB1027" s="167"/>
      <c r="BC1027" s="42"/>
      <c r="BD1027" s="358"/>
      <c r="BH1027" s="302"/>
      <c r="BI1027" s="42"/>
    </row>
    <row r="1028" spans="52:61">
      <c r="AZ1028" s="302"/>
      <c r="BA1028" s="313"/>
      <c r="BB1028" s="167"/>
      <c r="BC1028" s="42"/>
      <c r="BD1028" s="358"/>
      <c r="BH1028" s="302"/>
      <c r="BI1028" s="42"/>
    </row>
    <row r="1029" spans="52:61">
      <c r="AZ1029" s="302"/>
      <c r="BA1029" s="313"/>
      <c r="BB1029" s="167"/>
      <c r="BC1029" s="42"/>
      <c r="BD1029" s="358"/>
      <c r="BH1029" s="302"/>
      <c r="BI1029" s="42"/>
    </row>
    <row r="1030" spans="52:61">
      <c r="AZ1030" s="302"/>
      <c r="BA1030" s="313"/>
      <c r="BB1030" s="167"/>
      <c r="BC1030" s="42"/>
      <c r="BD1030" s="358"/>
      <c r="BH1030" s="302"/>
      <c r="BI1030" s="42"/>
    </row>
    <row r="1031" spans="52:61">
      <c r="AZ1031" s="302"/>
      <c r="BA1031" s="313"/>
      <c r="BB1031" s="167"/>
      <c r="BC1031" s="42"/>
      <c r="BD1031" s="358"/>
      <c r="BH1031" s="302"/>
      <c r="BI1031" s="42"/>
    </row>
    <row r="1032" spans="52:61">
      <c r="AZ1032" s="302"/>
      <c r="BA1032" s="313"/>
      <c r="BB1032" s="167"/>
      <c r="BC1032" s="42"/>
      <c r="BD1032" s="358"/>
      <c r="BH1032" s="302"/>
      <c r="BI1032" s="42"/>
    </row>
    <row r="1033" spans="52:61">
      <c r="AZ1033" s="302"/>
      <c r="BA1033" s="313"/>
      <c r="BB1033" s="167"/>
      <c r="BC1033" s="42"/>
      <c r="BD1033" s="358"/>
      <c r="BH1033" s="302"/>
      <c r="BI1033" s="42"/>
    </row>
    <row r="1034" spans="52:61">
      <c r="AZ1034" s="302"/>
      <c r="BA1034" s="313"/>
      <c r="BB1034" s="167"/>
      <c r="BC1034" s="42"/>
      <c r="BD1034" s="358"/>
      <c r="BH1034" s="302"/>
      <c r="BI1034" s="42"/>
    </row>
    <row r="1035" spans="52:61">
      <c r="AZ1035" s="302"/>
      <c r="BA1035" s="313"/>
      <c r="BB1035" s="167"/>
      <c r="BC1035" s="42"/>
      <c r="BD1035" s="358"/>
      <c r="BH1035" s="302"/>
      <c r="BI1035" s="42"/>
    </row>
    <row r="1036" spans="52:61">
      <c r="AZ1036" s="302"/>
      <c r="BA1036" s="313"/>
      <c r="BB1036" s="167"/>
      <c r="BC1036" s="42"/>
      <c r="BD1036" s="358"/>
      <c r="BH1036" s="302"/>
      <c r="BI1036" s="42"/>
    </row>
    <row r="1037" spans="52:61">
      <c r="AZ1037" s="302"/>
      <c r="BA1037" s="313"/>
      <c r="BB1037" s="167"/>
      <c r="BC1037" s="42"/>
      <c r="BD1037" s="358"/>
      <c r="BH1037" s="302"/>
      <c r="BI1037" s="42"/>
    </row>
    <row r="1038" spans="52:61">
      <c r="AZ1038" s="302"/>
      <c r="BA1038" s="313"/>
      <c r="BB1038" s="167"/>
      <c r="BC1038" s="42"/>
      <c r="BD1038" s="358"/>
      <c r="BH1038" s="302"/>
      <c r="BI1038" s="42"/>
    </row>
    <row r="1039" spans="52:61">
      <c r="AZ1039" s="302"/>
      <c r="BA1039" s="313"/>
      <c r="BB1039" s="167"/>
      <c r="BC1039" s="42"/>
      <c r="BD1039" s="358"/>
      <c r="BH1039" s="302"/>
      <c r="BI1039" s="42"/>
    </row>
    <row r="1040" spans="52:61">
      <c r="AZ1040" s="302"/>
      <c r="BA1040" s="313"/>
      <c r="BB1040" s="167"/>
      <c r="BC1040" s="42"/>
      <c r="BD1040" s="358"/>
      <c r="BH1040" s="302"/>
      <c r="BI1040" s="42"/>
    </row>
    <row r="1041" spans="52:61">
      <c r="AZ1041" s="302"/>
      <c r="BA1041" s="313"/>
      <c r="BB1041" s="167"/>
      <c r="BC1041" s="42"/>
      <c r="BD1041" s="358"/>
      <c r="BH1041" s="302"/>
      <c r="BI1041" s="42"/>
    </row>
    <row r="1042" spans="52:61">
      <c r="AZ1042" s="302"/>
      <c r="BA1042" s="313"/>
      <c r="BB1042" s="167"/>
      <c r="BC1042" s="42"/>
      <c r="BD1042" s="358"/>
      <c r="BH1042" s="302"/>
      <c r="BI1042" s="42"/>
    </row>
    <row r="1043" spans="52:61">
      <c r="AZ1043" s="302"/>
      <c r="BA1043" s="313"/>
      <c r="BB1043" s="167"/>
      <c r="BC1043" s="42"/>
      <c r="BD1043" s="358"/>
      <c r="BH1043" s="302"/>
      <c r="BI1043" s="42"/>
    </row>
    <row r="1044" spans="52:61">
      <c r="AZ1044" s="302"/>
      <c r="BA1044" s="313"/>
      <c r="BB1044" s="167"/>
      <c r="BC1044" s="42"/>
      <c r="BD1044" s="358"/>
      <c r="BH1044" s="302"/>
      <c r="BI1044" s="42"/>
    </row>
    <row r="1045" spans="52:61">
      <c r="AZ1045" s="302"/>
      <c r="BA1045" s="313"/>
      <c r="BB1045" s="167"/>
      <c r="BC1045" s="42"/>
      <c r="BD1045" s="358"/>
      <c r="BH1045" s="302"/>
      <c r="BI1045" s="42"/>
    </row>
    <row r="1046" spans="52:61">
      <c r="AZ1046" s="302"/>
      <c r="BA1046" s="313"/>
      <c r="BB1046" s="167"/>
      <c r="BC1046" s="42"/>
      <c r="BD1046" s="358"/>
      <c r="BH1046" s="302"/>
      <c r="BI1046" s="42"/>
    </row>
    <row r="1047" spans="52:61">
      <c r="AZ1047" s="302"/>
      <c r="BA1047" s="313"/>
      <c r="BB1047" s="167"/>
      <c r="BC1047" s="42"/>
      <c r="BD1047" s="358"/>
      <c r="BH1047" s="302"/>
      <c r="BI1047" s="42"/>
    </row>
    <row r="1048" spans="52:61">
      <c r="AZ1048" s="302"/>
      <c r="BA1048" s="313"/>
      <c r="BB1048" s="167"/>
      <c r="BC1048" s="42"/>
      <c r="BD1048" s="358"/>
      <c r="BH1048" s="302"/>
      <c r="BI1048" s="42"/>
    </row>
    <row r="1049" spans="52:61">
      <c r="AZ1049" s="302"/>
      <c r="BA1049" s="313"/>
      <c r="BB1049" s="167"/>
      <c r="BC1049" s="42"/>
      <c r="BD1049" s="358"/>
      <c r="BH1049" s="302"/>
      <c r="BI1049" s="42"/>
    </row>
    <row r="1050" spans="52:61">
      <c r="AZ1050" s="302"/>
      <c r="BA1050" s="313"/>
      <c r="BB1050" s="167"/>
      <c r="BC1050" s="42"/>
      <c r="BD1050" s="358"/>
      <c r="BH1050" s="302"/>
      <c r="BI1050" s="42"/>
    </row>
    <row r="1051" spans="52:61">
      <c r="AZ1051" s="302"/>
      <c r="BA1051" s="313"/>
      <c r="BB1051" s="167"/>
      <c r="BC1051" s="42"/>
      <c r="BD1051" s="358"/>
      <c r="BH1051" s="302"/>
      <c r="BI1051" s="42"/>
    </row>
    <row r="1052" spans="52:61">
      <c r="AZ1052" s="302"/>
      <c r="BA1052" s="313"/>
      <c r="BB1052" s="167"/>
      <c r="BC1052" s="42"/>
      <c r="BD1052" s="358"/>
      <c r="BH1052" s="302"/>
      <c r="BI1052" s="42"/>
    </row>
    <row r="1053" spans="52:61">
      <c r="AZ1053" s="302"/>
      <c r="BA1053" s="313"/>
      <c r="BB1053" s="167"/>
      <c r="BC1053" s="42"/>
      <c r="BD1053" s="358"/>
      <c r="BH1053" s="302"/>
      <c r="BI1053" s="42"/>
    </row>
    <row r="1054" spans="52:61">
      <c r="AZ1054" s="302"/>
      <c r="BA1054" s="313"/>
      <c r="BB1054" s="167"/>
      <c r="BC1054" s="42"/>
      <c r="BD1054" s="358"/>
      <c r="BH1054" s="302"/>
      <c r="BI1054" s="42"/>
    </row>
    <row r="1055" spans="52:61">
      <c r="AZ1055" s="302"/>
      <c r="BA1055" s="313"/>
      <c r="BB1055" s="167"/>
      <c r="BC1055" s="42"/>
      <c r="BD1055" s="358"/>
      <c r="BH1055" s="302"/>
      <c r="BI1055" s="42"/>
    </row>
    <row r="1056" spans="52:61">
      <c r="AZ1056" s="302"/>
      <c r="BA1056" s="313"/>
      <c r="BB1056" s="167"/>
      <c r="BC1056" s="42"/>
      <c r="BD1056" s="358"/>
      <c r="BH1056" s="302"/>
      <c r="BI1056" s="42"/>
    </row>
    <row r="1057" spans="52:61">
      <c r="AZ1057" s="302"/>
      <c r="BA1057" s="313"/>
      <c r="BB1057" s="167"/>
      <c r="BC1057" s="42"/>
      <c r="BD1057" s="358"/>
      <c r="BH1057" s="302"/>
      <c r="BI1057" s="42"/>
    </row>
    <row r="1058" spans="52:61">
      <c r="AZ1058" s="302"/>
      <c r="BA1058" s="313"/>
      <c r="BB1058" s="167"/>
      <c r="BC1058" s="42"/>
      <c r="BD1058" s="358"/>
      <c r="BH1058" s="302"/>
      <c r="BI1058" s="42"/>
    </row>
    <row r="1059" spans="52:61">
      <c r="AZ1059" s="302"/>
      <c r="BA1059" s="313"/>
      <c r="BB1059" s="167"/>
      <c r="BC1059" s="42"/>
      <c r="BD1059" s="358"/>
      <c r="BH1059" s="302"/>
      <c r="BI1059" s="42"/>
    </row>
    <row r="1060" spans="52:61">
      <c r="AZ1060" s="302"/>
      <c r="BA1060" s="313"/>
      <c r="BB1060" s="167"/>
      <c r="BC1060" s="42"/>
      <c r="BD1060" s="358"/>
      <c r="BH1060" s="302"/>
      <c r="BI1060" s="42"/>
    </row>
    <row r="1061" spans="52:61">
      <c r="AZ1061" s="302"/>
      <c r="BA1061" s="313"/>
      <c r="BB1061" s="167"/>
      <c r="BC1061" s="42"/>
      <c r="BD1061" s="358"/>
      <c r="BH1061" s="302"/>
      <c r="BI1061" s="42"/>
    </row>
    <row r="1062" spans="52:61">
      <c r="AZ1062" s="302"/>
      <c r="BA1062" s="313"/>
      <c r="BB1062" s="167"/>
      <c r="BC1062" s="42"/>
      <c r="BD1062" s="358"/>
      <c r="BH1062" s="302"/>
      <c r="BI1062" s="42"/>
    </row>
    <row r="1063" spans="52:61">
      <c r="AZ1063" s="302"/>
      <c r="BA1063" s="313"/>
      <c r="BB1063" s="167"/>
      <c r="BC1063" s="42"/>
      <c r="BD1063" s="358"/>
      <c r="BH1063" s="302"/>
      <c r="BI1063" s="42"/>
    </row>
    <row r="1064" spans="52:61">
      <c r="AZ1064" s="302"/>
      <c r="BA1064" s="313"/>
      <c r="BB1064" s="167"/>
      <c r="BC1064" s="42"/>
      <c r="BD1064" s="358"/>
      <c r="BH1064" s="302"/>
      <c r="BI1064" s="42"/>
    </row>
    <row r="1065" spans="52:61">
      <c r="AZ1065" s="302"/>
      <c r="BA1065" s="313"/>
      <c r="BB1065" s="167"/>
      <c r="BC1065" s="42"/>
      <c r="BD1065" s="358"/>
      <c r="BH1065" s="302"/>
      <c r="BI1065" s="42"/>
    </row>
    <row r="1066" spans="52:61">
      <c r="AZ1066" s="302"/>
      <c r="BA1066" s="313"/>
      <c r="BB1066" s="167"/>
      <c r="BC1066" s="42"/>
      <c r="BD1066" s="358"/>
      <c r="BH1066" s="302"/>
      <c r="BI1066" s="42"/>
    </row>
    <row r="1067" spans="52:61">
      <c r="AZ1067" s="302"/>
      <c r="BA1067" s="313"/>
      <c r="BB1067" s="167"/>
      <c r="BC1067" s="42"/>
      <c r="BD1067" s="358"/>
      <c r="BH1067" s="302"/>
      <c r="BI1067" s="42"/>
    </row>
    <row r="1068" spans="52:61">
      <c r="AZ1068" s="302"/>
      <c r="BA1068" s="313"/>
      <c r="BB1068" s="167"/>
      <c r="BC1068" s="42"/>
      <c r="BD1068" s="358"/>
      <c r="BH1068" s="302"/>
      <c r="BI1068" s="42"/>
    </row>
    <row r="1069" spans="52:61">
      <c r="AZ1069" s="302"/>
      <c r="BA1069" s="313"/>
      <c r="BB1069" s="167"/>
      <c r="BC1069" s="42"/>
      <c r="BD1069" s="358"/>
      <c r="BH1069" s="302"/>
      <c r="BI1069" s="42"/>
    </row>
    <row r="1070" spans="52:61">
      <c r="AZ1070" s="302"/>
      <c r="BA1070" s="313"/>
      <c r="BB1070" s="167"/>
      <c r="BC1070" s="42"/>
      <c r="BD1070" s="358"/>
      <c r="BH1070" s="302"/>
      <c r="BI1070" s="42"/>
    </row>
    <row r="1071" spans="52:61">
      <c r="AZ1071" s="302"/>
      <c r="BA1071" s="313"/>
      <c r="BB1071" s="167"/>
      <c r="BC1071" s="42"/>
      <c r="BD1071" s="358"/>
      <c r="BH1071" s="302"/>
      <c r="BI1071" s="42"/>
    </row>
    <row r="1072" spans="52:61">
      <c r="AZ1072" s="302"/>
      <c r="BA1072" s="313"/>
      <c r="BB1072" s="167"/>
      <c r="BC1072" s="42"/>
      <c r="BD1072" s="358"/>
      <c r="BH1072" s="302"/>
      <c r="BI1072" s="42"/>
    </row>
    <row r="1073" spans="52:61">
      <c r="AZ1073" s="302"/>
      <c r="BA1073" s="313"/>
      <c r="BB1073" s="167"/>
      <c r="BC1073" s="42"/>
      <c r="BD1073" s="358"/>
      <c r="BH1073" s="302"/>
      <c r="BI1073" s="42"/>
    </row>
    <row r="1074" spans="52:61">
      <c r="AZ1074" s="302"/>
      <c r="BA1074" s="313"/>
      <c r="BB1074" s="167"/>
      <c r="BC1074" s="42"/>
      <c r="BD1074" s="358"/>
      <c r="BH1074" s="302"/>
      <c r="BI1074" s="42"/>
    </row>
    <row r="1075" spans="52:61">
      <c r="AZ1075" s="302"/>
      <c r="BA1075" s="313"/>
      <c r="BB1075" s="167"/>
      <c r="BC1075" s="42"/>
      <c r="BD1075" s="358"/>
      <c r="BH1075" s="302"/>
      <c r="BI1075" s="42"/>
    </row>
    <row r="1076" spans="52:61">
      <c r="AZ1076" s="302"/>
      <c r="BA1076" s="313"/>
      <c r="BB1076" s="167"/>
      <c r="BC1076" s="42"/>
      <c r="BD1076" s="358"/>
      <c r="BH1076" s="302"/>
      <c r="BI1076" s="42"/>
    </row>
    <row r="1077" spans="52:61">
      <c r="AZ1077" s="302"/>
      <c r="BA1077" s="313"/>
      <c r="BB1077" s="167"/>
      <c r="BC1077" s="42"/>
      <c r="BD1077" s="358"/>
      <c r="BH1077" s="302"/>
      <c r="BI1077" s="42"/>
    </row>
    <row r="1078" spans="52:61">
      <c r="AZ1078" s="302"/>
      <c r="BA1078" s="313"/>
      <c r="BB1078" s="167"/>
      <c r="BC1078" s="42"/>
      <c r="BD1078" s="358"/>
      <c r="BH1078" s="302"/>
      <c r="BI1078" s="42"/>
    </row>
    <row r="1079" spans="52:61">
      <c r="AZ1079" s="302"/>
      <c r="BA1079" s="313"/>
      <c r="BB1079" s="167"/>
      <c r="BC1079" s="42"/>
      <c r="BD1079" s="358"/>
      <c r="BH1079" s="302"/>
      <c r="BI1079" s="42"/>
    </row>
    <row r="1080" spans="52:61">
      <c r="AZ1080" s="302"/>
      <c r="BA1080" s="313"/>
      <c r="BB1080" s="167"/>
      <c r="BC1080" s="42"/>
      <c r="BD1080" s="358"/>
      <c r="BH1080" s="302"/>
      <c r="BI1080" s="42"/>
    </row>
    <row r="1081" spans="52:61">
      <c r="AZ1081" s="302"/>
      <c r="BA1081" s="313"/>
      <c r="BB1081" s="167"/>
      <c r="BC1081" s="42"/>
      <c r="BD1081" s="358"/>
      <c r="BH1081" s="302"/>
      <c r="BI1081" s="42"/>
    </row>
    <row r="1082" spans="52:61">
      <c r="AZ1082" s="302"/>
      <c r="BA1082" s="313"/>
      <c r="BB1082" s="167"/>
      <c r="BC1082" s="42"/>
      <c r="BD1082" s="358"/>
      <c r="BH1082" s="302"/>
      <c r="BI1082" s="42"/>
    </row>
    <row r="1083" spans="52:61">
      <c r="AZ1083" s="302"/>
      <c r="BA1083" s="313"/>
      <c r="BB1083" s="167"/>
      <c r="BC1083" s="42"/>
      <c r="BD1083" s="358"/>
      <c r="BH1083" s="302"/>
      <c r="BI1083" s="42"/>
    </row>
    <row r="1084" spans="52:61">
      <c r="AZ1084" s="302"/>
      <c r="BA1084" s="313"/>
      <c r="BB1084" s="167"/>
      <c r="BC1084" s="42"/>
      <c r="BD1084" s="358"/>
      <c r="BH1084" s="302"/>
      <c r="BI1084" s="42"/>
    </row>
    <row r="1085" spans="52:61">
      <c r="AZ1085" s="302"/>
      <c r="BA1085" s="313"/>
      <c r="BB1085" s="167"/>
      <c r="BC1085" s="42"/>
      <c r="BD1085" s="358"/>
      <c r="BH1085" s="302"/>
      <c r="BI1085" s="42"/>
    </row>
    <row r="1086" spans="52:61">
      <c r="AZ1086" s="302"/>
      <c r="BA1086" s="313"/>
      <c r="BB1086" s="167"/>
      <c r="BC1086" s="42"/>
      <c r="BD1086" s="358"/>
      <c r="BH1086" s="302"/>
      <c r="BI1086" s="42"/>
    </row>
    <row r="1087" spans="52:61">
      <c r="AZ1087" s="302"/>
      <c r="BA1087" s="313"/>
      <c r="BB1087" s="167"/>
      <c r="BC1087" s="42"/>
      <c r="BD1087" s="358"/>
      <c r="BH1087" s="302"/>
      <c r="BI1087" s="42"/>
    </row>
    <row r="1088" spans="52:61">
      <c r="AZ1088" s="302"/>
      <c r="BA1088" s="313"/>
      <c r="BB1088" s="167"/>
      <c r="BC1088" s="42"/>
      <c r="BD1088" s="358"/>
      <c r="BH1088" s="302"/>
      <c r="BI1088" s="42"/>
    </row>
    <row r="1089" spans="52:61">
      <c r="AZ1089" s="302"/>
      <c r="BA1089" s="313"/>
      <c r="BB1089" s="167"/>
      <c r="BC1089" s="42"/>
      <c r="BD1089" s="358"/>
      <c r="BH1089" s="302"/>
      <c r="BI1089" s="42"/>
    </row>
    <row r="1090" spans="52:61">
      <c r="AZ1090" s="302"/>
      <c r="BA1090" s="313"/>
      <c r="BB1090" s="167"/>
      <c r="BC1090" s="42"/>
      <c r="BD1090" s="358"/>
      <c r="BH1090" s="302"/>
      <c r="BI1090" s="42"/>
    </row>
    <row r="1091" spans="52:61">
      <c r="AZ1091" s="302"/>
      <c r="BA1091" s="313"/>
      <c r="BB1091" s="167"/>
      <c r="BC1091" s="42"/>
      <c r="BD1091" s="358"/>
      <c r="BH1091" s="302"/>
      <c r="BI1091" s="42"/>
    </row>
    <row r="1092" spans="52:61">
      <c r="AZ1092" s="302"/>
      <c r="BA1092" s="313"/>
      <c r="BB1092" s="167"/>
      <c r="BC1092" s="42"/>
      <c r="BD1092" s="358"/>
      <c r="BH1092" s="302"/>
      <c r="BI1092" s="42"/>
    </row>
    <row r="1093" spans="52:61">
      <c r="AZ1093" s="302"/>
      <c r="BA1093" s="313"/>
      <c r="BB1093" s="167"/>
      <c r="BC1093" s="42"/>
      <c r="BD1093" s="358"/>
      <c r="BH1093" s="302"/>
      <c r="BI1093" s="42"/>
    </row>
    <row r="1094" spans="52:61">
      <c r="AZ1094" s="302"/>
      <c r="BA1094" s="313"/>
      <c r="BB1094" s="167"/>
      <c r="BC1094" s="42"/>
      <c r="BD1094" s="358"/>
      <c r="BH1094" s="302"/>
      <c r="BI1094" s="42"/>
    </row>
    <row r="1095" spans="52:61">
      <c r="AZ1095" s="302"/>
      <c r="BA1095" s="313"/>
      <c r="BB1095" s="167"/>
      <c r="BC1095" s="42"/>
      <c r="BD1095" s="358"/>
      <c r="BH1095" s="302"/>
      <c r="BI1095" s="42"/>
    </row>
    <row r="1096" spans="52:61">
      <c r="AZ1096" s="302"/>
      <c r="BA1096" s="313"/>
      <c r="BB1096" s="167"/>
      <c r="BC1096" s="42"/>
      <c r="BD1096" s="358"/>
      <c r="BH1096" s="302"/>
      <c r="BI1096" s="42"/>
    </row>
    <row r="1097" spans="52:61">
      <c r="AZ1097" s="302"/>
      <c r="BA1097" s="313"/>
      <c r="BB1097" s="167"/>
      <c r="BC1097" s="42"/>
      <c r="BD1097" s="358"/>
      <c r="BH1097" s="302"/>
      <c r="BI1097" s="42"/>
    </row>
    <row r="1098" spans="52:61">
      <c r="AZ1098" s="302"/>
      <c r="BA1098" s="313"/>
      <c r="BB1098" s="167"/>
      <c r="BC1098" s="42"/>
      <c r="BD1098" s="358"/>
      <c r="BH1098" s="302"/>
      <c r="BI1098" s="42"/>
    </row>
    <row r="1099" spans="52:61">
      <c r="AZ1099" s="302"/>
      <c r="BA1099" s="313"/>
      <c r="BB1099" s="167"/>
      <c r="BC1099" s="42"/>
      <c r="BD1099" s="358"/>
      <c r="BH1099" s="302"/>
      <c r="BI1099" s="42"/>
    </row>
    <row r="1100" spans="52:61">
      <c r="AZ1100" s="302"/>
      <c r="BA1100" s="313"/>
      <c r="BB1100" s="167"/>
      <c r="BC1100" s="42"/>
      <c r="BD1100" s="358"/>
      <c r="BH1100" s="302"/>
      <c r="BI1100" s="42"/>
    </row>
    <row r="1101" spans="52:61">
      <c r="AZ1101" s="302"/>
      <c r="BA1101" s="313"/>
      <c r="BB1101" s="167"/>
      <c r="BC1101" s="42"/>
      <c r="BD1101" s="358"/>
      <c r="BH1101" s="302"/>
      <c r="BI1101" s="42"/>
    </row>
    <row r="1102" spans="52:61">
      <c r="AZ1102" s="302"/>
      <c r="BA1102" s="313"/>
      <c r="BB1102" s="167"/>
      <c r="BC1102" s="42"/>
      <c r="BD1102" s="358"/>
      <c r="BH1102" s="302"/>
      <c r="BI1102" s="42"/>
    </row>
    <row r="1103" spans="52:61">
      <c r="AZ1103" s="302"/>
      <c r="BA1103" s="313"/>
      <c r="BB1103" s="167"/>
      <c r="BC1103" s="42"/>
      <c r="BD1103" s="358"/>
      <c r="BH1103" s="302"/>
      <c r="BI1103" s="42"/>
    </row>
    <row r="1104" spans="52:61">
      <c r="AZ1104" s="302"/>
      <c r="BA1104" s="313"/>
      <c r="BB1104" s="167"/>
      <c r="BC1104" s="42"/>
      <c r="BD1104" s="358"/>
      <c r="BH1104" s="302"/>
      <c r="BI1104" s="42"/>
    </row>
    <row r="1105" spans="52:61">
      <c r="AZ1105" s="302"/>
      <c r="BA1105" s="313"/>
      <c r="BB1105" s="167"/>
      <c r="BC1105" s="42"/>
      <c r="BD1105" s="358"/>
      <c r="BH1105" s="302"/>
      <c r="BI1105" s="42"/>
    </row>
    <row r="1106" spans="52:61">
      <c r="AZ1106" s="302"/>
      <c r="BA1106" s="313"/>
      <c r="BB1106" s="167"/>
      <c r="BC1106" s="42"/>
      <c r="BD1106" s="358"/>
      <c r="BH1106" s="302"/>
      <c r="BI1106" s="42"/>
    </row>
    <row r="1107" spans="52:61">
      <c r="AZ1107" s="302"/>
      <c r="BA1107" s="313"/>
      <c r="BB1107" s="167"/>
      <c r="BC1107" s="42"/>
      <c r="BD1107" s="358"/>
      <c r="BH1107" s="302"/>
      <c r="BI1107" s="42"/>
    </row>
    <row r="1108" spans="52:61">
      <c r="AZ1108" s="302"/>
      <c r="BA1108" s="313"/>
      <c r="BB1108" s="167"/>
      <c r="BC1108" s="42"/>
      <c r="BD1108" s="358"/>
      <c r="BH1108" s="302"/>
      <c r="BI1108" s="42"/>
    </row>
    <row r="1109" spans="52:61">
      <c r="AZ1109" s="302"/>
      <c r="BA1109" s="313"/>
      <c r="BB1109" s="167"/>
      <c r="BC1109" s="42"/>
      <c r="BD1109" s="358"/>
      <c r="BH1109" s="302"/>
      <c r="BI1109" s="42"/>
    </row>
    <row r="1110" spans="52:61">
      <c r="AZ1110" s="302"/>
      <c r="BA1110" s="313"/>
      <c r="BB1110" s="167"/>
      <c r="BC1110" s="42"/>
      <c r="BD1110" s="358"/>
      <c r="BH1110" s="302"/>
      <c r="BI1110" s="42"/>
    </row>
    <row r="1111" spans="52:61">
      <c r="AZ1111" s="302"/>
      <c r="BA1111" s="313"/>
      <c r="BB1111" s="167"/>
      <c r="BC1111" s="42"/>
      <c r="BD1111" s="358"/>
      <c r="BH1111" s="302"/>
      <c r="BI1111" s="42"/>
    </row>
    <row r="1112" spans="52:61">
      <c r="AZ1112" s="302"/>
      <c r="BA1112" s="313"/>
      <c r="BB1112" s="167"/>
      <c r="BC1112" s="42"/>
      <c r="BD1112" s="358"/>
      <c r="BH1112" s="302"/>
      <c r="BI1112" s="42"/>
    </row>
    <row r="1113" spans="52:61">
      <c r="AZ1113" s="302"/>
      <c r="BA1113" s="313"/>
      <c r="BB1113" s="167"/>
      <c r="BC1113" s="42"/>
      <c r="BD1113" s="358"/>
      <c r="BH1113" s="302"/>
      <c r="BI1113" s="42"/>
    </row>
    <row r="1114" spans="52:61">
      <c r="AZ1114" s="302"/>
      <c r="BA1114" s="313"/>
      <c r="BB1114" s="167"/>
      <c r="BC1114" s="42"/>
      <c r="BD1114" s="358"/>
      <c r="BH1114" s="302"/>
      <c r="BI1114" s="42"/>
    </row>
    <row r="1115" spans="52:61">
      <c r="AZ1115" s="302"/>
      <c r="BA1115" s="313"/>
      <c r="BB1115" s="167"/>
      <c r="BC1115" s="42"/>
      <c r="BD1115" s="358"/>
      <c r="BH1115" s="302"/>
      <c r="BI1115" s="42"/>
    </row>
    <row r="1116" spans="52:61">
      <c r="AZ1116" s="302"/>
      <c r="BA1116" s="313"/>
      <c r="BB1116" s="167"/>
      <c r="BC1116" s="42"/>
      <c r="BD1116" s="358"/>
      <c r="BH1116" s="302"/>
      <c r="BI1116" s="42"/>
    </row>
    <row r="1117" spans="52:61">
      <c r="AZ1117" s="302"/>
      <c r="BA1117" s="313"/>
      <c r="BB1117" s="167"/>
      <c r="BC1117" s="42"/>
      <c r="BD1117" s="358"/>
      <c r="BH1117" s="302"/>
      <c r="BI1117" s="42"/>
    </row>
    <row r="1118" spans="52:61">
      <c r="AZ1118" s="302"/>
      <c r="BA1118" s="313"/>
      <c r="BB1118" s="167"/>
      <c r="BC1118" s="42"/>
      <c r="BD1118" s="358"/>
      <c r="BH1118" s="302"/>
      <c r="BI1118" s="42"/>
    </row>
    <row r="1119" spans="52:61">
      <c r="AZ1119" s="302"/>
      <c r="BA1119" s="313"/>
      <c r="BB1119" s="167"/>
      <c r="BC1119" s="42"/>
      <c r="BD1119" s="358"/>
      <c r="BH1119" s="302"/>
      <c r="BI1119" s="42"/>
    </row>
    <row r="1120" spans="52:61">
      <c r="AZ1120" s="302"/>
      <c r="BA1120" s="313"/>
      <c r="BB1120" s="167"/>
      <c r="BC1120" s="42"/>
      <c r="BD1120" s="358"/>
      <c r="BH1120" s="302"/>
      <c r="BI1120" s="42"/>
    </row>
    <row r="1121" spans="52:61">
      <c r="AZ1121" s="302"/>
      <c r="BA1121" s="313"/>
      <c r="BB1121" s="167"/>
      <c r="BC1121" s="42"/>
      <c r="BD1121" s="358"/>
      <c r="BH1121" s="302"/>
      <c r="BI1121" s="42"/>
    </row>
    <row r="1122" spans="52:61">
      <c r="AZ1122" s="302"/>
      <c r="BA1122" s="313"/>
      <c r="BB1122" s="167"/>
      <c r="BC1122" s="42"/>
      <c r="BD1122" s="358"/>
      <c r="BH1122" s="302"/>
      <c r="BI1122" s="42"/>
    </row>
    <row r="1123" spans="52:61">
      <c r="AZ1123" s="302"/>
      <c r="BA1123" s="313"/>
      <c r="BB1123" s="167"/>
      <c r="BC1123" s="42"/>
      <c r="BD1123" s="358"/>
      <c r="BH1123" s="302"/>
      <c r="BI1123" s="42"/>
    </row>
    <row r="1124" spans="52:61">
      <c r="AZ1124" s="302"/>
      <c r="BA1124" s="313"/>
      <c r="BB1124" s="167"/>
      <c r="BC1124" s="42"/>
      <c r="BD1124" s="358"/>
      <c r="BH1124" s="302"/>
      <c r="BI1124" s="42"/>
    </row>
    <row r="1125" spans="52:61">
      <c r="AZ1125" s="302"/>
      <c r="BA1125" s="313"/>
      <c r="BB1125" s="167"/>
      <c r="BC1125" s="42"/>
      <c r="BD1125" s="358"/>
      <c r="BH1125" s="302"/>
      <c r="BI1125" s="42"/>
    </row>
    <row r="1126" spans="52:61">
      <c r="AZ1126" s="302"/>
      <c r="BA1126" s="313"/>
      <c r="BB1126" s="167"/>
      <c r="BC1126" s="42"/>
      <c r="BD1126" s="358"/>
      <c r="BH1126" s="302"/>
      <c r="BI1126" s="42"/>
    </row>
    <row r="1127" spans="52:61">
      <c r="AZ1127" s="302"/>
      <c r="BA1127" s="313"/>
      <c r="BB1127" s="167"/>
      <c r="BC1127" s="42"/>
      <c r="BD1127" s="358"/>
      <c r="BH1127" s="302"/>
      <c r="BI1127" s="42"/>
    </row>
    <row r="1128" spans="52:61">
      <c r="AZ1128" s="302"/>
      <c r="BA1128" s="313"/>
      <c r="BB1128" s="167"/>
      <c r="BC1128" s="42"/>
      <c r="BD1128" s="358"/>
      <c r="BH1128" s="302"/>
      <c r="BI1128" s="42"/>
    </row>
    <row r="1129" spans="52:61">
      <c r="AZ1129" s="302"/>
      <c r="BA1129" s="313"/>
      <c r="BB1129" s="167"/>
      <c r="BC1129" s="42"/>
      <c r="BD1129" s="358"/>
      <c r="BH1129" s="302"/>
      <c r="BI1129" s="42"/>
    </row>
    <row r="1130" spans="52:61">
      <c r="AZ1130" s="302"/>
      <c r="BA1130" s="313"/>
      <c r="BB1130" s="167"/>
      <c r="BC1130" s="42"/>
      <c r="BD1130" s="358"/>
      <c r="BH1130" s="302"/>
      <c r="BI1130" s="42"/>
    </row>
    <row r="1131" spans="52:61">
      <c r="AZ1131" s="302"/>
      <c r="BA1131" s="313"/>
      <c r="BB1131" s="167"/>
      <c r="BC1131" s="42"/>
      <c r="BD1131" s="358"/>
      <c r="BH1131" s="302"/>
      <c r="BI1131" s="42"/>
    </row>
    <row r="1132" spans="52:61">
      <c r="AZ1132" s="302"/>
      <c r="BA1132" s="313"/>
      <c r="BB1132" s="167"/>
      <c r="BC1132" s="42"/>
      <c r="BD1132" s="358"/>
      <c r="BH1132" s="302"/>
      <c r="BI1132" s="42"/>
    </row>
    <row r="1133" spans="52:61">
      <c r="AZ1133" s="302"/>
      <c r="BA1133" s="313"/>
      <c r="BB1133" s="167"/>
      <c r="BC1133" s="42"/>
      <c r="BD1133" s="358"/>
      <c r="BH1133" s="302"/>
      <c r="BI1133" s="42"/>
    </row>
    <row r="1134" spans="52:61">
      <c r="AZ1134" s="302"/>
      <c r="BA1134" s="313"/>
      <c r="BB1134" s="167"/>
      <c r="BC1134" s="42"/>
      <c r="BD1134" s="358"/>
      <c r="BH1134" s="302"/>
      <c r="BI1134" s="42"/>
    </row>
    <row r="1135" spans="52:61">
      <c r="AZ1135" s="302"/>
      <c r="BA1135" s="313"/>
      <c r="BB1135" s="167"/>
      <c r="BC1135" s="42"/>
      <c r="BD1135" s="358"/>
      <c r="BH1135" s="302"/>
      <c r="BI1135" s="42"/>
    </row>
    <row r="1136" spans="52:61">
      <c r="AZ1136" s="302"/>
      <c r="BA1136" s="313"/>
      <c r="BB1136" s="167"/>
      <c r="BC1136" s="42"/>
      <c r="BD1136" s="358"/>
      <c r="BH1136" s="302"/>
      <c r="BI1136" s="42"/>
    </row>
    <row r="1137" spans="52:61">
      <c r="AZ1137" s="302"/>
      <c r="BA1137" s="313"/>
      <c r="BB1137" s="167"/>
      <c r="BC1137" s="42"/>
      <c r="BD1137" s="358"/>
      <c r="BH1137" s="302"/>
      <c r="BI1137" s="42"/>
    </row>
    <row r="1138" spans="52:61">
      <c r="AZ1138" s="302"/>
      <c r="BA1138" s="313"/>
      <c r="BB1138" s="167"/>
      <c r="BC1138" s="42"/>
      <c r="BD1138" s="358"/>
      <c r="BH1138" s="302"/>
      <c r="BI1138" s="42"/>
    </row>
    <row r="1139" spans="52:61">
      <c r="AZ1139" s="302"/>
      <c r="BA1139" s="313"/>
      <c r="BB1139" s="167"/>
      <c r="BC1139" s="42"/>
      <c r="BD1139" s="358"/>
      <c r="BH1139" s="302"/>
      <c r="BI1139" s="42"/>
    </row>
    <row r="1140" spans="52:61">
      <c r="AZ1140" s="302"/>
      <c r="BA1140" s="313"/>
      <c r="BB1140" s="167"/>
      <c r="BC1140" s="42"/>
      <c r="BD1140" s="358"/>
      <c r="BH1140" s="302"/>
      <c r="BI1140" s="42"/>
    </row>
    <row r="1141" spans="52:61">
      <c r="AZ1141" s="302"/>
      <c r="BA1141" s="313"/>
      <c r="BB1141" s="167"/>
      <c r="BC1141" s="42"/>
      <c r="BD1141" s="358"/>
      <c r="BH1141" s="302"/>
      <c r="BI1141" s="42"/>
    </row>
    <row r="1142" spans="52:61">
      <c r="AZ1142" s="302"/>
      <c r="BA1142" s="313"/>
      <c r="BB1142" s="167"/>
      <c r="BC1142" s="42"/>
      <c r="BD1142" s="358"/>
      <c r="BH1142" s="302"/>
      <c r="BI1142" s="42"/>
    </row>
    <row r="1143" spans="52:61">
      <c r="AZ1143" s="302"/>
      <c r="BA1143" s="313"/>
      <c r="BB1143" s="167"/>
      <c r="BC1143" s="42"/>
      <c r="BD1143" s="358"/>
      <c r="BH1143" s="302"/>
      <c r="BI1143" s="42"/>
    </row>
    <row r="1144" spans="52:61">
      <c r="AZ1144" s="302"/>
      <c r="BA1144" s="313"/>
      <c r="BB1144" s="167"/>
      <c r="BC1144" s="42"/>
      <c r="BD1144" s="358"/>
      <c r="BH1144" s="302"/>
      <c r="BI1144" s="42"/>
    </row>
    <row r="1145" spans="52:61">
      <c r="AZ1145" s="302"/>
      <c r="BA1145" s="313"/>
      <c r="BB1145" s="167"/>
      <c r="BC1145" s="42"/>
      <c r="BD1145" s="358"/>
      <c r="BH1145" s="302"/>
      <c r="BI1145" s="42"/>
    </row>
    <row r="1146" spans="52:61">
      <c r="AZ1146" s="302"/>
      <c r="BA1146" s="313"/>
      <c r="BB1146" s="167"/>
      <c r="BC1146" s="42"/>
      <c r="BD1146" s="358"/>
      <c r="BH1146" s="302"/>
      <c r="BI1146" s="42"/>
    </row>
    <row r="1147" spans="52:61">
      <c r="AZ1147" s="302"/>
      <c r="BA1147" s="313"/>
      <c r="BB1147" s="167"/>
      <c r="BC1147" s="42"/>
      <c r="BD1147" s="358"/>
      <c r="BH1147" s="302"/>
      <c r="BI1147" s="42"/>
    </row>
    <row r="1148" spans="52:61">
      <c r="AZ1148" s="302"/>
      <c r="BA1148" s="313"/>
      <c r="BB1148" s="167"/>
      <c r="BC1148" s="42"/>
      <c r="BD1148" s="358"/>
      <c r="BH1148" s="302"/>
      <c r="BI1148" s="42"/>
    </row>
    <row r="1149" spans="52:61">
      <c r="AZ1149" s="302"/>
      <c r="BA1149" s="313"/>
      <c r="BB1149" s="167"/>
      <c r="BC1149" s="42"/>
      <c r="BD1149" s="358"/>
      <c r="BH1149" s="302"/>
      <c r="BI1149" s="42"/>
    </row>
    <row r="1150" spans="52:61">
      <c r="AZ1150" s="302"/>
      <c r="BA1150" s="313"/>
      <c r="BB1150" s="167"/>
      <c r="BC1150" s="42"/>
      <c r="BD1150" s="358"/>
      <c r="BH1150" s="302"/>
      <c r="BI1150" s="42"/>
    </row>
    <row r="1151" spans="52:61">
      <c r="AZ1151" s="302"/>
      <c r="BA1151" s="313"/>
      <c r="BB1151" s="167"/>
      <c r="BC1151" s="42"/>
      <c r="BD1151" s="358"/>
      <c r="BH1151" s="302"/>
      <c r="BI1151" s="42"/>
    </row>
    <row r="1152" spans="52:61">
      <c r="AZ1152" s="302"/>
      <c r="BA1152" s="313"/>
      <c r="BB1152" s="167"/>
      <c r="BC1152" s="42"/>
      <c r="BD1152" s="358"/>
      <c r="BH1152" s="302"/>
      <c r="BI1152" s="42"/>
    </row>
    <row r="1153" spans="52:61">
      <c r="AZ1153" s="302"/>
      <c r="BA1153" s="313"/>
      <c r="BB1153" s="167"/>
      <c r="BC1153" s="42"/>
      <c r="BD1153" s="358"/>
      <c r="BH1153" s="302"/>
      <c r="BI1153" s="42"/>
    </row>
    <row r="1154" spans="52:61">
      <c r="AZ1154" s="302"/>
      <c r="BA1154" s="313"/>
      <c r="BB1154" s="167"/>
      <c r="BC1154" s="42"/>
      <c r="BD1154" s="358"/>
      <c r="BH1154" s="302"/>
      <c r="BI1154" s="42"/>
    </row>
    <row r="1155" spans="52:61">
      <c r="AZ1155" s="302"/>
      <c r="BA1155" s="313"/>
      <c r="BB1155" s="167"/>
      <c r="BC1155" s="42"/>
      <c r="BD1155" s="358"/>
      <c r="BH1155" s="302"/>
      <c r="BI1155" s="42"/>
    </row>
    <row r="1156" spans="52:61">
      <c r="AZ1156" s="302"/>
      <c r="BA1156" s="313"/>
      <c r="BB1156" s="167"/>
      <c r="BC1156" s="42"/>
      <c r="BD1156" s="358"/>
      <c r="BH1156" s="302"/>
      <c r="BI1156" s="42"/>
    </row>
    <row r="1157" spans="52:61">
      <c r="AZ1157" s="302"/>
      <c r="BA1157" s="313"/>
      <c r="BB1157" s="167"/>
      <c r="BC1157" s="42"/>
      <c r="BD1157" s="358"/>
      <c r="BH1157" s="302"/>
      <c r="BI1157" s="42"/>
    </row>
    <row r="1158" spans="52:61">
      <c r="AZ1158" s="302"/>
      <c r="BA1158" s="313"/>
      <c r="BB1158" s="167"/>
      <c r="BC1158" s="42"/>
      <c r="BD1158" s="358"/>
      <c r="BH1158" s="302"/>
      <c r="BI1158" s="42"/>
    </row>
    <row r="1159" spans="52:61">
      <c r="AZ1159" s="302"/>
      <c r="BA1159" s="313"/>
      <c r="BB1159" s="167"/>
      <c r="BC1159" s="42"/>
      <c r="BD1159" s="358"/>
      <c r="BH1159" s="302"/>
      <c r="BI1159" s="42"/>
    </row>
    <row r="1160" spans="52:61">
      <c r="AZ1160" s="302"/>
      <c r="BA1160" s="313"/>
      <c r="BB1160" s="167"/>
      <c r="BC1160" s="42"/>
      <c r="BD1160" s="358"/>
      <c r="BH1160" s="302"/>
      <c r="BI1160" s="42"/>
    </row>
    <row r="1161" spans="52:61">
      <c r="AZ1161" s="302"/>
      <c r="BA1161" s="313"/>
      <c r="BB1161" s="167"/>
      <c r="BC1161" s="42"/>
      <c r="BD1161" s="358"/>
      <c r="BH1161" s="302"/>
      <c r="BI1161" s="42"/>
    </row>
    <row r="1162" spans="52:61">
      <c r="AZ1162" s="302"/>
      <c r="BA1162" s="313"/>
      <c r="BB1162" s="167"/>
      <c r="BC1162" s="42"/>
      <c r="BD1162" s="358"/>
      <c r="BH1162" s="302"/>
      <c r="BI1162" s="42"/>
    </row>
    <row r="1163" spans="52:61">
      <c r="AZ1163" s="302"/>
      <c r="BA1163" s="313"/>
      <c r="BB1163" s="167"/>
      <c r="BC1163" s="42"/>
      <c r="BD1163" s="358"/>
      <c r="BH1163" s="302"/>
      <c r="BI1163" s="42"/>
    </row>
    <row r="1164" spans="52:61">
      <c r="AZ1164" s="302"/>
      <c r="BA1164" s="313"/>
      <c r="BB1164" s="167"/>
      <c r="BC1164" s="42"/>
      <c r="BD1164" s="358"/>
      <c r="BH1164" s="302"/>
      <c r="BI1164" s="42"/>
    </row>
    <row r="1165" spans="52:61">
      <c r="AZ1165" s="302"/>
      <c r="BA1165" s="313"/>
      <c r="BB1165" s="167"/>
      <c r="BC1165" s="42"/>
      <c r="BD1165" s="358"/>
      <c r="BH1165" s="302"/>
      <c r="BI1165" s="42"/>
    </row>
    <row r="1166" spans="52:61">
      <c r="AZ1166" s="302"/>
      <c r="BA1166" s="313"/>
      <c r="BB1166" s="167"/>
      <c r="BC1166" s="42"/>
      <c r="BD1166" s="358"/>
      <c r="BH1166" s="302"/>
      <c r="BI1166" s="42"/>
    </row>
    <row r="1167" spans="52:61">
      <c r="AZ1167" s="302"/>
      <c r="BA1167" s="313"/>
      <c r="BB1167" s="167"/>
      <c r="BC1167" s="42"/>
      <c r="BD1167" s="358"/>
      <c r="BH1167" s="302"/>
      <c r="BI1167" s="42"/>
    </row>
    <row r="1168" spans="52:61">
      <c r="AZ1168" s="302"/>
      <c r="BA1168" s="313"/>
      <c r="BB1168" s="167"/>
      <c r="BC1168" s="42"/>
      <c r="BD1168" s="358"/>
      <c r="BH1168" s="302"/>
      <c r="BI1168" s="42"/>
    </row>
    <row r="1169" spans="52:61">
      <c r="AZ1169" s="302"/>
      <c r="BA1169" s="313"/>
      <c r="BB1169" s="167"/>
      <c r="BC1169" s="42"/>
      <c r="BD1169" s="358"/>
      <c r="BH1169" s="302"/>
      <c r="BI1169" s="42"/>
    </row>
    <row r="1170" spans="52:61">
      <c r="AZ1170" s="302"/>
      <c r="BA1170" s="313"/>
      <c r="BB1170" s="167"/>
      <c r="BC1170" s="42"/>
      <c r="BD1170" s="358"/>
      <c r="BH1170" s="302"/>
      <c r="BI1170" s="42"/>
    </row>
    <row r="1171" spans="52:61">
      <c r="AZ1171" s="302"/>
      <c r="BA1171" s="313"/>
      <c r="BB1171" s="167"/>
      <c r="BC1171" s="42"/>
      <c r="BD1171" s="358"/>
      <c r="BH1171" s="302"/>
      <c r="BI1171" s="42"/>
    </row>
    <row r="1172" spans="52:61">
      <c r="AZ1172" s="302"/>
      <c r="BA1172" s="313"/>
      <c r="BB1172" s="167"/>
      <c r="BC1172" s="42"/>
      <c r="BD1172" s="358"/>
      <c r="BH1172" s="302"/>
      <c r="BI1172" s="42"/>
    </row>
    <row r="1173" spans="52:61">
      <c r="AZ1173" s="302"/>
      <c r="BA1173" s="313"/>
      <c r="BB1173" s="167"/>
      <c r="BC1173" s="42"/>
      <c r="BD1173" s="358"/>
      <c r="BH1173" s="302"/>
      <c r="BI1173" s="42"/>
    </row>
    <row r="1174" spans="52:61">
      <c r="AZ1174" s="302"/>
      <c r="BA1174" s="313"/>
      <c r="BB1174" s="167"/>
      <c r="BC1174" s="42"/>
      <c r="BD1174" s="358"/>
      <c r="BH1174" s="302"/>
      <c r="BI1174" s="42"/>
    </row>
    <row r="1175" spans="52:61">
      <c r="AZ1175" s="302"/>
      <c r="BA1175" s="313"/>
      <c r="BB1175" s="167"/>
      <c r="BC1175" s="42"/>
      <c r="BD1175" s="358"/>
      <c r="BH1175" s="302"/>
      <c r="BI1175" s="42"/>
    </row>
    <row r="1176" spans="52:61">
      <c r="AZ1176" s="302"/>
      <c r="BA1176" s="313"/>
      <c r="BB1176" s="167"/>
      <c r="BC1176" s="42"/>
      <c r="BD1176" s="358"/>
      <c r="BH1176" s="302"/>
      <c r="BI1176" s="42"/>
    </row>
    <row r="1177" spans="52:61">
      <c r="AZ1177" s="302"/>
      <c r="BA1177" s="313"/>
      <c r="BB1177" s="167"/>
      <c r="BC1177" s="42"/>
      <c r="BD1177" s="358"/>
      <c r="BH1177" s="302"/>
      <c r="BI1177" s="42"/>
    </row>
    <row r="1178" spans="52:61">
      <c r="AZ1178" s="302"/>
      <c r="BA1178" s="313"/>
      <c r="BB1178" s="167"/>
      <c r="BC1178" s="42"/>
      <c r="BD1178" s="358"/>
      <c r="BH1178" s="302"/>
      <c r="BI1178" s="42"/>
    </row>
    <row r="1179" spans="52:61">
      <c r="AZ1179" s="302"/>
      <c r="BA1179" s="313"/>
      <c r="BB1179" s="167"/>
      <c r="BC1179" s="42"/>
      <c r="BD1179" s="358"/>
      <c r="BH1179" s="302"/>
      <c r="BI1179" s="42"/>
    </row>
    <row r="1180" spans="52:61">
      <c r="AZ1180" s="302"/>
      <c r="BA1180" s="313"/>
      <c r="BB1180" s="167"/>
      <c r="BC1180" s="42"/>
      <c r="BD1180" s="358"/>
      <c r="BH1180" s="302"/>
      <c r="BI1180" s="42"/>
    </row>
    <row r="1181" spans="52:61">
      <c r="AZ1181" s="302"/>
      <c r="BA1181" s="313"/>
      <c r="BB1181" s="167"/>
      <c r="BC1181" s="42"/>
      <c r="BD1181" s="358"/>
      <c r="BH1181" s="302"/>
      <c r="BI1181" s="42"/>
    </row>
    <row r="1182" spans="52:61">
      <c r="AZ1182" s="302"/>
      <c r="BA1182" s="313"/>
      <c r="BB1182" s="167"/>
      <c r="BC1182" s="42"/>
      <c r="BD1182" s="358"/>
      <c r="BH1182" s="302"/>
      <c r="BI1182" s="42"/>
    </row>
    <row r="1183" spans="52:61">
      <c r="AZ1183" s="302"/>
      <c r="BA1183" s="313"/>
      <c r="BB1183" s="167"/>
      <c r="BC1183" s="42"/>
      <c r="BD1183" s="358"/>
      <c r="BH1183" s="302"/>
      <c r="BI1183" s="42"/>
    </row>
    <row r="1184" spans="52:61">
      <c r="AZ1184" s="302"/>
      <c r="BA1184" s="313"/>
      <c r="BB1184" s="167"/>
      <c r="BC1184" s="42"/>
      <c r="BD1184" s="358"/>
      <c r="BH1184" s="302"/>
      <c r="BI1184" s="42"/>
    </row>
    <row r="1185" spans="52:61">
      <c r="AZ1185" s="302"/>
      <c r="BA1185" s="313"/>
      <c r="BB1185" s="167"/>
      <c r="BC1185" s="42"/>
      <c r="BD1185" s="358"/>
      <c r="BH1185" s="302"/>
      <c r="BI1185" s="42"/>
    </row>
    <row r="1186" spans="52:61">
      <c r="AZ1186" s="302"/>
      <c r="BA1186" s="313"/>
      <c r="BB1186" s="167"/>
      <c r="BC1186" s="42"/>
      <c r="BD1186" s="358"/>
      <c r="BH1186" s="302"/>
      <c r="BI1186" s="42"/>
    </row>
    <row r="1187" spans="52:61">
      <c r="AZ1187" s="302"/>
      <c r="BA1187" s="313"/>
      <c r="BB1187" s="167"/>
      <c r="BC1187" s="42"/>
      <c r="BD1187" s="358"/>
      <c r="BH1187" s="302"/>
      <c r="BI1187" s="42"/>
    </row>
    <row r="1188" spans="52:61">
      <c r="AZ1188" s="302"/>
      <c r="BA1188" s="313"/>
      <c r="BB1188" s="167"/>
      <c r="BC1188" s="42"/>
      <c r="BD1188" s="358"/>
      <c r="BH1188" s="302"/>
      <c r="BI1188" s="42"/>
    </row>
    <row r="1189" spans="52:61">
      <c r="AZ1189" s="302"/>
      <c r="BA1189" s="313"/>
      <c r="BB1189" s="167"/>
      <c r="BC1189" s="42"/>
      <c r="BD1189" s="358"/>
      <c r="BH1189" s="302"/>
      <c r="BI1189" s="42"/>
    </row>
    <row r="1190" spans="52:61">
      <c r="AZ1190" s="302"/>
      <c r="BA1190" s="313"/>
      <c r="BB1190" s="167"/>
      <c r="BC1190" s="42"/>
      <c r="BD1190" s="358"/>
      <c r="BH1190" s="302"/>
      <c r="BI1190" s="42"/>
    </row>
    <row r="1191" spans="52:61">
      <c r="AZ1191" s="302"/>
      <c r="BA1191" s="313"/>
      <c r="BB1191" s="167"/>
      <c r="BC1191" s="42"/>
      <c r="BD1191" s="358"/>
      <c r="BH1191" s="302"/>
      <c r="BI1191" s="42"/>
    </row>
    <row r="1192" spans="52:61">
      <c r="AZ1192" s="302"/>
      <c r="BA1192" s="313"/>
      <c r="BB1192" s="167"/>
      <c r="BC1192" s="42"/>
      <c r="BD1192" s="358"/>
      <c r="BH1192" s="302"/>
      <c r="BI1192" s="42"/>
    </row>
    <row r="1193" spans="52:61">
      <c r="AZ1193" s="302"/>
      <c r="BA1193" s="313"/>
      <c r="BB1193" s="167"/>
      <c r="BC1193" s="42"/>
      <c r="BD1193" s="358"/>
      <c r="BH1193" s="302"/>
      <c r="BI1193" s="42"/>
    </row>
    <row r="1194" spans="52:61">
      <c r="AZ1194" s="302"/>
      <c r="BA1194" s="313"/>
      <c r="BB1194" s="167"/>
      <c r="BC1194" s="42"/>
      <c r="BD1194" s="358"/>
      <c r="BH1194" s="302"/>
      <c r="BI1194" s="42"/>
    </row>
    <row r="1195" spans="52:61">
      <c r="AZ1195" s="302"/>
      <c r="BA1195" s="313"/>
      <c r="BB1195" s="167"/>
      <c r="BC1195" s="42"/>
      <c r="BD1195" s="358"/>
      <c r="BH1195" s="302"/>
      <c r="BI1195" s="42"/>
    </row>
    <row r="1196" spans="52:61">
      <c r="AZ1196" s="302"/>
      <c r="BA1196" s="313"/>
      <c r="BB1196" s="167"/>
      <c r="BC1196" s="42"/>
      <c r="BD1196" s="358"/>
      <c r="BH1196" s="302"/>
      <c r="BI1196" s="42"/>
    </row>
    <row r="1197" spans="52:61">
      <c r="AZ1197" s="302"/>
      <c r="BA1197" s="313"/>
      <c r="BB1197" s="167"/>
      <c r="BC1197" s="42"/>
      <c r="BD1197" s="358"/>
      <c r="BH1197" s="302"/>
      <c r="BI1197" s="42"/>
    </row>
    <row r="1198" spans="52:61">
      <c r="AZ1198" s="302"/>
      <c r="BA1198" s="313"/>
      <c r="BB1198" s="167"/>
      <c r="BC1198" s="42"/>
      <c r="BD1198" s="358"/>
      <c r="BH1198" s="302"/>
      <c r="BI1198" s="42"/>
    </row>
    <row r="1199" spans="52:61">
      <c r="AZ1199" s="302"/>
      <c r="BA1199" s="313"/>
      <c r="BB1199" s="167"/>
      <c r="BC1199" s="42"/>
      <c r="BD1199" s="358"/>
      <c r="BH1199" s="302"/>
      <c r="BI1199" s="42"/>
    </row>
    <row r="1200" spans="52:61">
      <c r="AZ1200" s="302"/>
      <c r="BA1200" s="313"/>
      <c r="BB1200" s="167"/>
      <c r="BC1200" s="42"/>
      <c r="BD1200" s="358"/>
      <c r="BH1200" s="302"/>
      <c r="BI1200" s="42"/>
    </row>
    <row r="1201" spans="52:61">
      <c r="AZ1201" s="302"/>
      <c r="BA1201" s="313"/>
      <c r="BB1201" s="167"/>
      <c r="BC1201" s="42"/>
      <c r="BD1201" s="358"/>
      <c r="BH1201" s="302"/>
      <c r="BI1201" s="42"/>
    </row>
    <row r="1202" spans="52:61">
      <c r="AZ1202" s="302"/>
      <c r="BA1202" s="313"/>
      <c r="BB1202" s="167"/>
      <c r="BC1202" s="42"/>
      <c r="BD1202" s="358"/>
      <c r="BH1202" s="302"/>
      <c r="BI1202" s="42"/>
    </row>
    <row r="1203" spans="52:61">
      <c r="AZ1203" s="302"/>
      <c r="BA1203" s="313"/>
      <c r="BB1203" s="167"/>
      <c r="BC1203" s="42"/>
      <c r="BD1203" s="358"/>
      <c r="BH1203" s="302"/>
      <c r="BI1203" s="42"/>
    </row>
    <row r="1204" spans="52:61">
      <c r="AZ1204" s="302"/>
      <c r="BA1204" s="313"/>
      <c r="BB1204" s="167"/>
      <c r="BC1204" s="42"/>
      <c r="BD1204" s="358"/>
      <c r="BH1204" s="302"/>
      <c r="BI1204" s="42"/>
    </row>
    <row r="1205" spans="52:61">
      <c r="AZ1205" s="302"/>
      <c r="BA1205" s="313"/>
      <c r="BB1205" s="167"/>
      <c r="BC1205" s="42"/>
      <c r="BD1205" s="358"/>
      <c r="BH1205" s="302"/>
      <c r="BI1205" s="42"/>
    </row>
    <row r="1206" spans="52:61">
      <c r="AZ1206" s="302"/>
      <c r="BA1206" s="313"/>
      <c r="BB1206" s="167"/>
      <c r="BC1206" s="42"/>
      <c r="BD1206" s="358"/>
      <c r="BH1206" s="302"/>
      <c r="BI1206" s="42"/>
    </row>
    <row r="1207" spans="52:61">
      <c r="AZ1207" s="302"/>
      <c r="BA1207" s="313"/>
      <c r="BB1207" s="167"/>
      <c r="BC1207" s="42"/>
      <c r="BD1207" s="358"/>
      <c r="BH1207" s="302"/>
      <c r="BI1207" s="42"/>
    </row>
    <row r="1208" spans="52:61">
      <c r="AZ1208" s="302"/>
      <c r="BA1208" s="313"/>
      <c r="BB1208" s="167"/>
      <c r="BC1208" s="42"/>
      <c r="BD1208" s="358"/>
      <c r="BH1208" s="302"/>
      <c r="BI1208" s="42"/>
    </row>
    <row r="1209" spans="52:61">
      <c r="AZ1209" s="302"/>
      <c r="BA1209" s="313"/>
      <c r="BB1209" s="167"/>
      <c r="BC1209" s="42"/>
      <c r="BD1209" s="358"/>
      <c r="BH1209" s="302"/>
      <c r="BI1209" s="42"/>
    </row>
    <row r="1210" spans="52:61">
      <c r="AZ1210" s="302"/>
      <c r="BA1210" s="313"/>
      <c r="BB1210" s="167"/>
      <c r="BC1210" s="42"/>
      <c r="BD1210" s="358"/>
      <c r="BH1210" s="302"/>
      <c r="BI1210" s="42"/>
    </row>
    <row r="1211" spans="52:61">
      <c r="AZ1211" s="302"/>
      <c r="BA1211" s="313"/>
      <c r="BB1211" s="167"/>
      <c r="BC1211" s="42"/>
      <c r="BD1211" s="358"/>
      <c r="BH1211" s="302"/>
      <c r="BI1211" s="42"/>
    </row>
    <row r="1212" spans="52:61">
      <c r="AZ1212" s="302"/>
      <c r="BA1212" s="313"/>
      <c r="BB1212" s="167"/>
      <c r="BC1212" s="42"/>
      <c r="BD1212" s="358"/>
      <c r="BH1212" s="302"/>
      <c r="BI1212" s="42"/>
    </row>
    <row r="1213" spans="52:61">
      <c r="AZ1213" s="302"/>
      <c r="BA1213" s="313"/>
      <c r="BB1213" s="167"/>
      <c r="BC1213" s="42"/>
      <c r="BD1213" s="358"/>
      <c r="BH1213" s="302"/>
      <c r="BI1213" s="42"/>
    </row>
    <row r="1214" spans="52:61">
      <c r="AZ1214" s="302"/>
      <c r="BA1214" s="313"/>
      <c r="BB1214" s="167"/>
      <c r="BC1214" s="42"/>
      <c r="BD1214" s="358"/>
      <c r="BH1214" s="302"/>
      <c r="BI1214" s="42"/>
    </row>
    <row r="1215" spans="52:61">
      <c r="AZ1215" s="302"/>
      <c r="BA1215" s="313"/>
      <c r="BB1215" s="167"/>
      <c r="BC1215" s="42"/>
      <c r="BD1215" s="358"/>
      <c r="BH1215" s="302"/>
      <c r="BI1215" s="42"/>
    </row>
    <row r="1216" spans="52:61">
      <c r="AZ1216" s="302"/>
      <c r="BA1216" s="313"/>
      <c r="BB1216" s="167"/>
      <c r="BC1216" s="42"/>
      <c r="BD1216" s="358"/>
      <c r="BH1216" s="302"/>
      <c r="BI1216" s="42"/>
    </row>
    <row r="1217" spans="52:61">
      <c r="AZ1217" s="302"/>
      <c r="BA1217" s="313"/>
      <c r="BB1217" s="167"/>
      <c r="BC1217" s="42"/>
      <c r="BD1217" s="358"/>
      <c r="BH1217" s="302"/>
      <c r="BI1217" s="42"/>
    </row>
    <row r="1218" spans="52:61">
      <c r="AZ1218" s="302"/>
      <c r="BA1218" s="313"/>
      <c r="BB1218" s="167"/>
      <c r="BC1218" s="42"/>
      <c r="BD1218" s="358"/>
      <c r="BH1218" s="302"/>
      <c r="BI1218" s="42"/>
    </row>
    <row r="1219" spans="52:61">
      <c r="AZ1219" s="302"/>
      <c r="BA1219" s="313"/>
      <c r="BB1219" s="167"/>
      <c r="BC1219" s="42"/>
      <c r="BD1219" s="358"/>
      <c r="BH1219" s="302"/>
      <c r="BI1219" s="42"/>
    </row>
    <row r="1220" spans="52:61">
      <c r="AZ1220" s="302"/>
      <c r="BA1220" s="313"/>
      <c r="BB1220" s="167"/>
      <c r="BC1220" s="42"/>
      <c r="BD1220" s="358"/>
      <c r="BH1220" s="302"/>
      <c r="BI1220" s="42"/>
    </row>
    <row r="1221" spans="52:61">
      <c r="AZ1221" s="302"/>
      <c r="BA1221" s="313"/>
      <c r="BB1221" s="167"/>
      <c r="BC1221" s="42"/>
      <c r="BD1221" s="358"/>
      <c r="BH1221" s="302"/>
      <c r="BI1221" s="42"/>
    </row>
    <row r="1222" spans="52:61">
      <c r="AZ1222" s="302"/>
      <c r="BA1222" s="313"/>
      <c r="BB1222" s="167"/>
      <c r="BC1222" s="42"/>
      <c r="BD1222" s="358"/>
      <c r="BH1222" s="302"/>
      <c r="BI1222" s="42"/>
    </row>
    <row r="1223" spans="52:61">
      <c r="AZ1223" s="302"/>
      <c r="BA1223" s="313"/>
      <c r="BB1223" s="167"/>
      <c r="BC1223" s="42"/>
      <c r="BD1223" s="358"/>
      <c r="BH1223" s="302"/>
      <c r="BI1223" s="42"/>
    </row>
    <row r="1224" spans="52:61">
      <c r="AZ1224" s="302"/>
      <c r="BA1224" s="313"/>
      <c r="BB1224" s="167"/>
      <c r="BC1224" s="42"/>
      <c r="BD1224" s="358"/>
      <c r="BH1224" s="302"/>
      <c r="BI1224" s="42"/>
    </row>
    <row r="1225" spans="52:61">
      <c r="AZ1225" s="302"/>
      <c r="BA1225" s="313"/>
      <c r="BB1225" s="167"/>
      <c r="BC1225" s="42"/>
      <c r="BD1225" s="358"/>
      <c r="BH1225" s="302"/>
      <c r="BI1225" s="42"/>
    </row>
    <row r="1226" spans="52:61">
      <c r="AZ1226" s="302"/>
      <c r="BA1226" s="313"/>
      <c r="BB1226" s="167"/>
      <c r="BC1226" s="42"/>
      <c r="BD1226" s="358"/>
      <c r="BH1226" s="302"/>
      <c r="BI1226" s="42"/>
    </row>
    <row r="1227" spans="52:61">
      <c r="AZ1227" s="302"/>
      <c r="BA1227" s="313"/>
      <c r="BB1227" s="167"/>
      <c r="BC1227" s="42"/>
      <c r="BD1227" s="358"/>
      <c r="BH1227" s="302"/>
      <c r="BI1227" s="42"/>
    </row>
    <row r="1228" spans="52:61">
      <c r="AZ1228" s="302"/>
      <c r="BA1228" s="313"/>
      <c r="BB1228" s="167"/>
      <c r="BC1228" s="42"/>
      <c r="BD1228" s="358"/>
      <c r="BH1228" s="302"/>
      <c r="BI1228" s="42"/>
    </row>
    <row r="1229" spans="52:61">
      <c r="AZ1229" s="302"/>
      <c r="BA1229" s="313"/>
      <c r="BB1229" s="167"/>
      <c r="BC1229" s="42"/>
      <c r="BD1229" s="358"/>
      <c r="BH1229" s="302"/>
      <c r="BI1229" s="42"/>
    </row>
    <row r="1230" spans="52:61">
      <c r="AZ1230" s="302"/>
      <c r="BA1230" s="313"/>
      <c r="BB1230" s="167"/>
      <c r="BC1230" s="42"/>
      <c r="BD1230" s="358"/>
      <c r="BH1230" s="302"/>
      <c r="BI1230" s="42"/>
    </row>
    <row r="1231" spans="52:61">
      <c r="AZ1231" s="302"/>
      <c r="BA1231" s="313"/>
      <c r="BB1231" s="167"/>
      <c r="BC1231" s="42"/>
      <c r="BD1231" s="358"/>
      <c r="BH1231" s="302"/>
      <c r="BI1231" s="42"/>
    </row>
    <row r="1232" spans="52:61">
      <c r="AZ1232" s="302"/>
      <c r="BA1232" s="313"/>
      <c r="BB1232" s="167"/>
      <c r="BC1232" s="42"/>
      <c r="BD1232" s="358"/>
      <c r="BH1232" s="302"/>
      <c r="BI1232" s="42"/>
    </row>
    <row r="1233" spans="52:61">
      <c r="AZ1233" s="302"/>
      <c r="BA1233" s="313"/>
      <c r="BB1233" s="167"/>
      <c r="BC1233" s="42"/>
      <c r="BD1233" s="358"/>
      <c r="BH1233" s="302"/>
      <c r="BI1233" s="42"/>
    </row>
    <row r="1234" spans="52:61">
      <c r="AZ1234" s="302"/>
      <c r="BA1234" s="313"/>
      <c r="BB1234" s="167"/>
      <c r="BC1234" s="42"/>
      <c r="BD1234" s="358"/>
      <c r="BH1234" s="302"/>
      <c r="BI1234" s="42"/>
    </row>
    <row r="1235" spans="52:61">
      <c r="AZ1235" s="302"/>
      <c r="BA1235" s="313"/>
      <c r="BB1235" s="167"/>
      <c r="BC1235" s="42"/>
      <c r="BD1235" s="358"/>
      <c r="BH1235" s="302"/>
      <c r="BI1235" s="42"/>
    </row>
    <row r="1236" spans="52:61">
      <c r="AZ1236" s="302"/>
      <c r="BA1236" s="313"/>
      <c r="BB1236" s="167"/>
      <c r="BC1236" s="42"/>
      <c r="BD1236" s="358"/>
      <c r="BH1236" s="302"/>
      <c r="BI1236" s="42"/>
    </row>
    <row r="1237" spans="52:61">
      <c r="AZ1237" s="302"/>
      <c r="BA1237" s="313"/>
      <c r="BB1237" s="167"/>
      <c r="BC1237" s="42"/>
      <c r="BD1237" s="358"/>
      <c r="BH1237" s="302"/>
      <c r="BI1237" s="42"/>
    </row>
    <row r="1238" spans="52:61">
      <c r="AZ1238" s="302"/>
      <c r="BA1238" s="313"/>
      <c r="BB1238" s="167"/>
      <c r="BC1238" s="42"/>
      <c r="BD1238" s="358"/>
      <c r="BH1238" s="302"/>
      <c r="BI1238" s="42"/>
    </row>
    <row r="1239" spans="52:61">
      <c r="AZ1239" s="302"/>
      <c r="BA1239" s="313"/>
      <c r="BB1239" s="167"/>
      <c r="BC1239" s="42"/>
      <c r="BD1239" s="358"/>
      <c r="BH1239" s="302"/>
      <c r="BI1239" s="42"/>
    </row>
    <row r="1240" spans="52:61">
      <c r="AZ1240" s="302"/>
      <c r="BA1240" s="313"/>
      <c r="BB1240" s="167"/>
      <c r="BC1240" s="42"/>
      <c r="BD1240" s="358"/>
      <c r="BH1240" s="302"/>
      <c r="BI1240" s="42"/>
    </row>
    <row r="1241" spans="52:61">
      <c r="AZ1241" s="302"/>
      <c r="BA1241" s="313"/>
      <c r="BB1241" s="167"/>
      <c r="BC1241" s="42"/>
      <c r="BD1241" s="358"/>
      <c r="BH1241" s="302"/>
      <c r="BI1241" s="42"/>
    </row>
    <row r="1242" spans="52:61">
      <c r="AZ1242" s="302"/>
      <c r="BA1242" s="313"/>
      <c r="BB1242" s="167"/>
      <c r="BC1242" s="42"/>
      <c r="BD1242" s="358"/>
      <c r="BH1242" s="302"/>
      <c r="BI1242" s="42"/>
    </row>
    <row r="1243" spans="52:61">
      <c r="AZ1243" s="302"/>
      <c r="BA1243" s="313"/>
      <c r="BB1243" s="167"/>
      <c r="BC1243" s="42"/>
      <c r="BD1243" s="358"/>
      <c r="BH1243" s="302"/>
      <c r="BI1243" s="42"/>
    </row>
    <row r="1244" spans="52:61">
      <c r="AZ1244" s="302"/>
      <c r="BA1244" s="313"/>
      <c r="BB1244" s="167"/>
      <c r="BC1244" s="42"/>
      <c r="BD1244" s="358"/>
      <c r="BH1244" s="302"/>
      <c r="BI1244" s="42"/>
    </row>
    <row r="1245" spans="52:61">
      <c r="AZ1245" s="302"/>
      <c r="BA1245" s="313"/>
      <c r="BB1245" s="167"/>
      <c r="BC1245" s="42"/>
      <c r="BD1245" s="358"/>
      <c r="BH1245" s="302"/>
      <c r="BI1245" s="42"/>
    </row>
    <row r="1246" spans="52:61">
      <c r="AZ1246" s="302"/>
      <c r="BA1246" s="313"/>
      <c r="BB1246" s="167"/>
      <c r="BC1246" s="42"/>
      <c r="BD1246" s="358"/>
      <c r="BH1246" s="302"/>
      <c r="BI1246" s="42"/>
    </row>
    <row r="1247" spans="52:61">
      <c r="AZ1247" s="302"/>
      <c r="BA1247" s="313"/>
      <c r="BB1247" s="167"/>
      <c r="BC1247" s="42"/>
      <c r="BD1247" s="358"/>
      <c r="BH1247" s="302"/>
      <c r="BI1247" s="42"/>
    </row>
    <row r="1248" spans="52:61">
      <c r="AZ1248" s="302"/>
      <c r="BA1248" s="313"/>
      <c r="BB1248" s="167"/>
      <c r="BC1248" s="42"/>
      <c r="BD1248" s="358"/>
      <c r="BH1248" s="302"/>
      <c r="BI1248" s="42"/>
    </row>
    <row r="1249" spans="52:61">
      <c r="AZ1249" s="302"/>
      <c r="BA1249" s="313"/>
      <c r="BB1249" s="167"/>
      <c r="BC1249" s="42"/>
      <c r="BD1249" s="358"/>
      <c r="BH1249" s="302"/>
      <c r="BI1249" s="42"/>
    </row>
    <row r="1250" spans="52:61">
      <c r="AZ1250" s="302"/>
      <c r="BA1250" s="313"/>
      <c r="BB1250" s="167"/>
      <c r="BC1250" s="42"/>
      <c r="BD1250" s="358"/>
      <c r="BH1250" s="302"/>
      <c r="BI1250" s="42"/>
    </row>
    <row r="1251" spans="52:61">
      <c r="AZ1251" s="302"/>
      <c r="BA1251" s="313"/>
      <c r="BB1251" s="167"/>
      <c r="BC1251" s="42"/>
      <c r="BD1251" s="358"/>
      <c r="BH1251" s="302"/>
      <c r="BI1251" s="42"/>
    </row>
    <row r="1252" spans="52:61">
      <c r="AZ1252" s="302"/>
      <c r="BA1252" s="313"/>
      <c r="BB1252" s="167"/>
      <c r="BC1252" s="42"/>
      <c r="BD1252" s="358"/>
      <c r="BH1252" s="302"/>
      <c r="BI1252" s="42"/>
    </row>
    <row r="1253" spans="52:61">
      <c r="AZ1253" s="302"/>
      <c r="BA1253" s="313"/>
      <c r="BB1253" s="167"/>
      <c r="BC1253" s="42"/>
      <c r="BD1253" s="358"/>
      <c r="BH1253" s="302"/>
      <c r="BI1253" s="42"/>
    </row>
    <row r="1254" spans="52:61">
      <c r="AZ1254" s="302"/>
      <c r="BA1254" s="313"/>
      <c r="BB1254" s="167"/>
      <c r="BC1254" s="42"/>
      <c r="BD1254" s="358"/>
      <c r="BH1254" s="302"/>
      <c r="BI1254" s="42"/>
    </row>
    <row r="1255" spans="52:61">
      <c r="AZ1255" s="302"/>
      <c r="BA1255" s="313"/>
      <c r="BB1255" s="167"/>
      <c r="BC1255" s="42"/>
      <c r="BD1255" s="358"/>
      <c r="BH1255" s="302"/>
      <c r="BI1255" s="42"/>
    </row>
    <row r="1256" spans="52:61">
      <c r="AZ1256" s="302"/>
      <c r="BA1256" s="313"/>
      <c r="BB1256" s="167"/>
      <c r="BC1256" s="42"/>
      <c r="BD1256" s="358"/>
      <c r="BH1256" s="302"/>
      <c r="BI1256" s="42"/>
    </row>
    <row r="1257" spans="52:61">
      <c r="AZ1257" s="302"/>
      <c r="BA1257" s="313"/>
      <c r="BB1257" s="167"/>
      <c r="BC1257" s="42"/>
      <c r="BD1257" s="358"/>
      <c r="BH1257" s="302"/>
      <c r="BI1257" s="42"/>
    </row>
    <row r="1258" spans="52:61">
      <c r="AZ1258" s="302"/>
      <c r="BA1258" s="313"/>
      <c r="BB1258" s="167"/>
      <c r="BC1258" s="42"/>
      <c r="BD1258" s="358"/>
      <c r="BH1258" s="302"/>
      <c r="BI1258" s="42"/>
    </row>
    <row r="1259" spans="52:61">
      <c r="AZ1259" s="302"/>
      <c r="BA1259" s="313"/>
      <c r="BB1259" s="167"/>
      <c r="BC1259" s="42"/>
      <c r="BD1259" s="358"/>
      <c r="BH1259" s="302"/>
      <c r="BI1259" s="42"/>
    </row>
    <row r="1260" spans="52:61">
      <c r="AZ1260" s="302"/>
      <c r="BA1260" s="313"/>
      <c r="BB1260" s="167"/>
      <c r="BC1260" s="42"/>
      <c r="BD1260" s="358"/>
      <c r="BH1260" s="302"/>
      <c r="BI1260" s="42"/>
    </row>
    <row r="1261" spans="52:61">
      <c r="AZ1261" s="302"/>
      <c r="BA1261" s="313"/>
      <c r="BB1261" s="167"/>
      <c r="BC1261" s="42"/>
      <c r="BD1261" s="358"/>
      <c r="BH1261" s="302"/>
      <c r="BI1261" s="42"/>
    </row>
    <row r="1262" spans="52:61">
      <c r="AZ1262" s="302"/>
      <c r="BA1262" s="313"/>
      <c r="BB1262" s="167"/>
      <c r="BC1262" s="42"/>
      <c r="BD1262" s="358"/>
      <c r="BH1262" s="302"/>
      <c r="BI1262" s="42"/>
    </row>
    <row r="1263" spans="52:61">
      <c r="AZ1263" s="302"/>
      <c r="BA1263" s="313"/>
      <c r="BB1263" s="167"/>
      <c r="BC1263" s="42"/>
      <c r="BD1263" s="358"/>
      <c r="BH1263" s="302"/>
      <c r="BI1263" s="42"/>
    </row>
    <row r="1264" spans="52:61">
      <c r="AZ1264" s="302"/>
      <c r="BA1264" s="313"/>
      <c r="BB1264" s="167"/>
      <c r="BC1264" s="42"/>
      <c r="BD1264" s="358"/>
      <c r="BH1264" s="302"/>
      <c r="BI1264" s="42"/>
    </row>
    <row r="1265" spans="52:61">
      <c r="AZ1265" s="302"/>
      <c r="BA1265" s="313"/>
      <c r="BB1265" s="167"/>
      <c r="BC1265" s="42"/>
      <c r="BD1265" s="358"/>
      <c r="BH1265" s="302"/>
      <c r="BI1265" s="42"/>
    </row>
    <row r="1266" spans="52:61">
      <c r="AZ1266" s="302"/>
      <c r="BA1266" s="313"/>
      <c r="BB1266" s="167"/>
      <c r="BC1266" s="42"/>
      <c r="BD1266" s="358"/>
      <c r="BH1266" s="302"/>
      <c r="BI1266" s="42"/>
    </row>
    <row r="1267" spans="52:61">
      <c r="AZ1267" s="302"/>
      <c r="BA1267" s="313"/>
      <c r="BB1267" s="167"/>
      <c r="BC1267" s="42"/>
      <c r="BD1267" s="358"/>
      <c r="BH1267" s="302"/>
      <c r="BI1267" s="42"/>
    </row>
    <row r="1268" spans="52:61">
      <c r="AZ1268" s="302"/>
      <c r="BA1268" s="313"/>
      <c r="BB1268" s="167"/>
      <c r="BC1268" s="42"/>
      <c r="BD1268" s="358"/>
      <c r="BH1268" s="302"/>
      <c r="BI1268" s="42"/>
    </row>
    <row r="1269" spans="52:61">
      <c r="AZ1269" s="302"/>
      <c r="BA1269" s="313"/>
      <c r="BB1269" s="167"/>
      <c r="BC1269" s="42"/>
      <c r="BD1269" s="358"/>
      <c r="BH1269" s="302"/>
      <c r="BI1269" s="42"/>
    </row>
    <row r="1270" spans="52:61">
      <c r="AZ1270" s="302"/>
      <c r="BA1270" s="313"/>
      <c r="BB1270" s="167"/>
      <c r="BC1270" s="42"/>
      <c r="BD1270" s="358"/>
      <c r="BH1270" s="302"/>
      <c r="BI1270" s="42"/>
    </row>
    <row r="1271" spans="52:61">
      <c r="AZ1271" s="302"/>
      <c r="BA1271" s="313"/>
      <c r="BB1271" s="167"/>
      <c r="BC1271" s="42"/>
      <c r="BD1271" s="358"/>
      <c r="BH1271" s="302"/>
      <c r="BI1271" s="42"/>
    </row>
    <row r="1272" spans="52:61">
      <c r="AZ1272" s="302"/>
      <c r="BA1272" s="313"/>
      <c r="BB1272" s="167"/>
      <c r="BC1272" s="42"/>
      <c r="BD1272" s="358"/>
      <c r="BH1272" s="302"/>
      <c r="BI1272" s="42"/>
    </row>
    <row r="1273" spans="52:61">
      <c r="AZ1273" s="302"/>
      <c r="BA1273" s="313"/>
      <c r="BB1273" s="167"/>
      <c r="BC1273" s="42"/>
      <c r="BD1273" s="358"/>
      <c r="BH1273" s="302"/>
      <c r="BI1273" s="42"/>
    </row>
    <row r="1274" spans="52:61">
      <c r="AZ1274" s="302"/>
      <c r="BA1274" s="313"/>
      <c r="BB1274" s="167"/>
      <c r="BC1274" s="42"/>
      <c r="BD1274" s="358"/>
      <c r="BH1274" s="302"/>
      <c r="BI1274" s="42"/>
    </row>
    <row r="1275" spans="52:61">
      <c r="AZ1275" s="302"/>
      <c r="BA1275" s="313"/>
      <c r="BB1275" s="167"/>
      <c r="BC1275" s="42"/>
      <c r="BD1275" s="358"/>
      <c r="BH1275" s="302"/>
      <c r="BI1275" s="42"/>
    </row>
    <row r="1276" spans="52:61">
      <c r="AZ1276" s="302"/>
      <c r="BA1276" s="313"/>
      <c r="BB1276" s="167"/>
      <c r="BC1276" s="42"/>
      <c r="BD1276" s="358"/>
      <c r="BH1276" s="302"/>
      <c r="BI1276" s="42"/>
    </row>
    <row r="1277" spans="52:61">
      <c r="AZ1277" s="302"/>
      <c r="BA1277" s="313"/>
      <c r="BB1277" s="167"/>
      <c r="BC1277" s="42"/>
      <c r="BD1277" s="358"/>
      <c r="BH1277" s="302"/>
      <c r="BI1277" s="42"/>
    </row>
    <row r="1278" spans="52:61">
      <c r="AZ1278" s="302"/>
      <c r="BA1278" s="313"/>
      <c r="BB1278" s="167"/>
      <c r="BC1278" s="42"/>
      <c r="BD1278" s="358"/>
      <c r="BH1278" s="302"/>
      <c r="BI1278" s="42"/>
    </row>
    <row r="1279" spans="52:61">
      <c r="AZ1279" s="302"/>
      <c r="BA1279" s="313"/>
      <c r="BB1279" s="167"/>
      <c r="BC1279" s="42"/>
      <c r="BD1279" s="358"/>
      <c r="BH1279" s="302"/>
      <c r="BI1279" s="42"/>
    </row>
    <row r="1280" spans="52:61">
      <c r="AZ1280" s="302"/>
      <c r="BA1280" s="313"/>
      <c r="BB1280" s="167"/>
      <c r="BC1280" s="42"/>
      <c r="BD1280" s="358"/>
      <c r="BH1280" s="302"/>
      <c r="BI1280" s="42"/>
    </row>
    <row r="1281" spans="52:61">
      <c r="AZ1281" s="302"/>
      <c r="BA1281" s="313"/>
      <c r="BB1281" s="167"/>
      <c r="BC1281" s="42"/>
      <c r="BD1281" s="358"/>
      <c r="BH1281" s="302"/>
      <c r="BI1281" s="42"/>
    </row>
    <row r="1282" spans="52:61">
      <c r="AZ1282" s="302"/>
      <c r="BA1282" s="313"/>
      <c r="BB1282" s="167"/>
      <c r="BC1282" s="42"/>
      <c r="BD1282" s="358"/>
      <c r="BH1282" s="302"/>
      <c r="BI1282" s="42"/>
    </row>
    <row r="1283" spans="52:61">
      <c r="AZ1283" s="302"/>
      <c r="BA1283" s="313"/>
      <c r="BB1283" s="167"/>
      <c r="BC1283" s="42"/>
      <c r="BD1283" s="358"/>
      <c r="BH1283" s="302"/>
      <c r="BI1283" s="42"/>
    </row>
    <row r="1284" spans="52:61">
      <c r="AZ1284" s="302"/>
      <c r="BA1284" s="313"/>
      <c r="BB1284" s="167"/>
      <c r="BC1284" s="42"/>
      <c r="BD1284" s="358"/>
      <c r="BH1284" s="302"/>
      <c r="BI1284" s="42"/>
    </row>
    <row r="1285" spans="52:61">
      <c r="AZ1285" s="302"/>
      <c r="BA1285" s="313"/>
      <c r="BB1285" s="167"/>
      <c r="BC1285" s="42"/>
      <c r="BD1285" s="358"/>
      <c r="BH1285" s="302"/>
      <c r="BI1285" s="42"/>
    </row>
    <row r="1286" spans="52:61">
      <c r="AZ1286" s="302"/>
      <c r="BA1286" s="313"/>
      <c r="BB1286" s="167"/>
      <c r="BC1286" s="42"/>
      <c r="BD1286" s="358"/>
      <c r="BH1286" s="302"/>
      <c r="BI1286" s="42"/>
    </row>
    <row r="1287" spans="52:61">
      <c r="AZ1287" s="302"/>
      <c r="BA1287" s="313"/>
      <c r="BB1287" s="167"/>
      <c r="BC1287" s="42"/>
      <c r="BD1287" s="358"/>
      <c r="BH1287" s="302"/>
      <c r="BI1287" s="42"/>
    </row>
    <row r="1288" spans="52:61">
      <c r="AZ1288" s="302"/>
      <c r="BA1288" s="313"/>
      <c r="BB1288" s="167"/>
      <c r="BC1288" s="42"/>
      <c r="BD1288" s="358"/>
      <c r="BH1288" s="302"/>
      <c r="BI1288" s="42"/>
    </row>
    <row r="1289" spans="52:61">
      <c r="AZ1289" s="302"/>
      <c r="BA1289" s="313"/>
      <c r="BB1289" s="167"/>
      <c r="BC1289" s="42"/>
      <c r="BD1289" s="358"/>
      <c r="BH1289" s="302"/>
      <c r="BI1289" s="42"/>
    </row>
    <row r="1290" spans="52:61">
      <c r="AZ1290" s="302"/>
      <c r="BA1290" s="313"/>
      <c r="BB1290" s="167"/>
      <c r="BC1290" s="42"/>
      <c r="BD1290" s="358"/>
      <c r="BH1290" s="302"/>
      <c r="BI1290" s="42"/>
    </row>
    <row r="1291" spans="52:61">
      <c r="AZ1291" s="302"/>
      <c r="BA1291" s="313"/>
      <c r="BB1291" s="167"/>
      <c r="BC1291" s="42"/>
      <c r="BD1291" s="358"/>
      <c r="BH1291" s="302"/>
      <c r="BI1291" s="42"/>
    </row>
    <row r="1292" spans="52:61">
      <c r="AZ1292" s="302"/>
      <c r="BA1292" s="313"/>
      <c r="BB1292" s="167"/>
      <c r="BC1292" s="42"/>
      <c r="BD1292" s="358"/>
      <c r="BH1292" s="302"/>
      <c r="BI1292" s="42"/>
    </row>
    <row r="1293" spans="52:61">
      <c r="AZ1293" s="302"/>
      <c r="BA1293" s="313"/>
      <c r="BB1293" s="167"/>
      <c r="BC1293" s="42"/>
      <c r="BD1293" s="358"/>
      <c r="BH1293" s="302"/>
      <c r="BI1293" s="42"/>
    </row>
    <row r="1294" spans="52:61">
      <c r="AZ1294" s="302"/>
      <c r="BA1294" s="313"/>
      <c r="BB1294" s="167"/>
      <c r="BC1294" s="42"/>
      <c r="BD1294" s="358"/>
      <c r="BH1294" s="302"/>
      <c r="BI1294" s="42"/>
    </row>
    <row r="1295" spans="52:61">
      <c r="AZ1295" s="302"/>
      <c r="BA1295" s="313"/>
      <c r="BB1295" s="167"/>
      <c r="BC1295" s="42"/>
      <c r="BD1295" s="358"/>
      <c r="BH1295" s="302"/>
      <c r="BI1295" s="42"/>
    </row>
    <row r="1296" spans="52:61">
      <c r="AZ1296" s="302"/>
      <c r="BA1296" s="313"/>
      <c r="BB1296" s="167"/>
      <c r="BC1296" s="42"/>
      <c r="BD1296" s="358"/>
      <c r="BH1296" s="302"/>
      <c r="BI1296" s="42"/>
    </row>
    <row r="1297" spans="52:61">
      <c r="AZ1297" s="302"/>
      <c r="BA1297" s="313"/>
      <c r="BB1297" s="167"/>
      <c r="BC1297" s="42"/>
      <c r="BD1297" s="358"/>
      <c r="BH1297" s="302"/>
      <c r="BI1297" s="42"/>
    </row>
    <row r="1298" spans="52:61">
      <c r="AZ1298" s="302"/>
      <c r="BA1298" s="313"/>
      <c r="BB1298" s="167"/>
      <c r="BC1298" s="42"/>
      <c r="BD1298" s="358"/>
      <c r="BH1298" s="302"/>
      <c r="BI1298" s="42"/>
    </row>
    <row r="1299" spans="52:61">
      <c r="AZ1299" s="302"/>
      <c r="BA1299" s="313"/>
      <c r="BB1299" s="167"/>
      <c r="BC1299" s="42"/>
      <c r="BD1299" s="358"/>
      <c r="BH1299" s="302"/>
      <c r="BI1299" s="42"/>
    </row>
    <row r="1300" spans="52:61">
      <c r="AZ1300" s="302"/>
      <c r="BA1300" s="313"/>
      <c r="BB1300" s="167"/>
      <c r="BC1300" s="42"/>
      <c r="BD1300" s="358"/>
      <c r="BH1300" s="302"/>
      <c r="BI1300" s="42"/>
    </row>
    <row r="1301" spans="52:61">
      <c r="AZ1301" s="302"/>
      <c r="BA1301" s="313"/>
      <c r="BB1301" s="167"/>
      <c r="BC1301" s="42"/>
      <c r="BD1301" s="358"/>
      <c r="BH1301" s="302"/>
      <c r="BI1301" s="42"/>
    </row>
    <row r="1302" spans="52:61">
      <c r="AZ1302" s="302"/>
      <c r="BA1302" s="313"/>
      <c r="BB1302" s="167"/>
      <c r="BC1302" s="42"/>
      <c r="BD1302" s="358"/>
      <c r="BH1302" s="302"/>
      <c r="BI1302" s="42"/>
    </row>
    <row r="1303" spans="52:61">
      <c r="AZ1303" s="302"/>
      <c r="BA1303" s="313"/>
      <c r="BB1303" s="167"/>
      <c r="BC1303" s="42"/>
      <c r="BD1303" s="358"/>
      <c r="BH1303" s="302"/>
      <c r="BI1303" s="42"/>
    </row>
    <row r="1304" spans="52:61">
      <c r="AZ1304" s="302"/>
      <c r="BA1304" s="313"/>
      <c r="BB1304" s="167"/>
      <c r="BC1304" s="42"/>
      <c r="BD1304" s="358"/>
      <c r="BH1304" s="302"/>
      <c r="BI1304" s="42"/>
    </row>
    <row r="1305" spans="52:61">
      <c r="AZ1305" s="302"/>
      <c r="BA1305" s="313"/>
      <c r="BB1305" s="167"/>
      <c r="BC1305" s="42"/>
      <c r="BD1305" s="358"/>
      <c r="BH1305" s="302"/>
      <c r="BI1305" s="42"/>
    </row>
    <row r="1306" spans="52:61">
      <c r="AZ1306" s="302"/>
      <c r="BA1306" s="313"/>
      <c r="BB1306" s="167"/>
      <c r="BC1306" s="42"/>
      <c r="BD1306" s="358"/>
      <c r="BH1306" s="302"/>
      <c r="BI1306" s="42"/>
    </row>
    <row r="1307" spans="52:61">
      <c r="AZ1307" s="302"/>
      <c r="BA1307" s="313"/>
      <c r="BB1307" s="167"/>
      <c r="BC1307" s="42"/>
      <c r="BD1307" s="358"/>
      <c r="BH1307" s="302"/>
      <c r="BI1307" s="42"/>
    </row>
    <row r="1308" spans="52:61">
      <c r="AZ1308" s="302"/>
      <c r="BA1308" s="313"/>
      <c r="BB1308" s="167"/>
      <c r="BC1308" s="42"/>
      <c r="BD1308" s="358"/>
      <c r="BH1308" s="302"/>
      <c r="BI1308" s="42"/>
    </row>
    <row r="1309" spans="52:61">
      <c r="AZ1309" s="302"/>
      <c r="BA1309" s="313"/>
      <c r="BB1309" s="167"/>
      <c r="BC1309" s="42"/>
      <c r="BD1309" s="358"/>
      <c r="BH1309" s="302"/>
      <c r="BI1309" s="42"/>
    </row>
    <row r="1310" spans="52:61">
      <c r="AZ1310" s="302"/>
      <c r="BA1310" s="313"/>
      <c r="BB1310" s="167"/>
      <c r="BC1310" s="42"/>
      <c r="BD1310" s="358"/>
      <c r="BH1310" s="302"/>
      <c r="BI1310" s="42"/>
    </row>
    <row r="1311" spans="52:61">
      <c r="AZ1311" s="302"/>
      <c r="BA1311" s="313"/>
      <c r="BB1311" s="167"/>
      <c r="BC1311" s="42"/>
      <c r="BD1311" s="358"/>
      <c r="BH1311" s="302"/>
      <c r="BI1311" s="42"/>
    </row>
    <row r="1312" spans="52:61">
      <c r="AZ1312" s="302"/>
      <c r="BA1312" s="313"/>
      <c r="BB1312" s="167"/>
      <c r="BC1312" s="42"/>
      <c r="BD1312" s="358"/>
      <c r="BH1312" s="302"/>
      <c r="BI1312" s="42"/>
    </row>
    <row r="1313" spans="52:61">
      <c r="AZ1313" s="302"/>
      <c r="BA1313" s="313"/>
      <c r="BB1313" s="167"/>
      <c r="BC1313" s="42"/>
      <c r="BD1313" s="358"/>
      <c r="BH1313" s="302"/>
      <c r="BI1313" s="42"/>
    </row>
    <row r="1314" spans="52:61">
      <c r="AZ1314" s="302"/>
      <c r="BA1314" s="313"/>
      <c r="BB1314" s="167"/>
      <c r="BC1314" s="42"/>
      <c r="BD1314" s="358"/>
      <c r="BH1314" s="302"/>
      <c r="BI1314" s="42"/>
    </row>
    <row r="1315" spans="52:61">
      <c r="AZ1315" s="302"/>
      <c r="BA1315" s="313"/>
      <c r="BB1315" s="167"/>
      <c r="BC1315" s="42"/>
      <c r="BD1315" s="358"/>
      <c r="BH1315" s="302"/>
      <c r="BI1315" s="42"/>
    </row>
    <row r="1316" spans="52:61">
      <c r="AZ1316" s="302"/>
      <c r="BA1316" s="313"/>
      <c r="BB1316" s="167"/>
      <c r="BC1316" s="42"/>
      <c r="BD1316" s="358"/>
      <c r="BH1316" s="302"/>
      <c r="BI1316" s="42"/>
    </row>
    <row r="1317" spans="52:61">
      <c r="AZ1317" s="302"/>
      <c r="BA1317" s="313"/>
      <c r="BB1317" s="167"/>
      <c r="BC1317" s="42"/>
      <c r="BD1317" s="358"/>
      <c r="BH1317" s="302"/>
      <c r="BI1317" s="42"/>
    </row>
    <row r="1318" spans="52:61">
      <c r="AZ1318" s="302"/>
      <c r="BA1318" s="313"/>
      <c r="BB1318" s="167"/>
      <c r="BC1318" s="42"/>
      <c r="BD1318" s="358"/>
      <c r="BH1318" s="302"/>
      <c r="BI1318" s="42"/>
    </row>
    <row r="1319" spans="52:61">
      <c r="AZ1319" s="302"/>
      <c r="BA1319" s="313"/>
      <c r="BB1319" s="167"/>
      <c r="BC1319" s="42"/>
      <c r="BD1319" s="358"/>
      <c r="BH1319" s="302"/>
      <c r="BI1319" s="42"/>
    </row>
    <row r="1320" spans="52:61">
      <c r="AZ1320" s="302"/>
      <c r="BA1320" s="313"/>
      <c r="BB1320" s="167"/>
      <c r="BC1320" s="42"/>
      <c r="BD1320" s="358"/>
      <c r="BH1320" s="302"/>
      <c r="BI1320" s="42"/>
    </row>
    <row r="1321" spans="52:61">
      <c r="AZ1321" s="302"/>
      <c r="BA1321" s="313"/>
      <c r="BB1321" s="167"/>
      <c r="BC1321" s="42"/>
      <c r="BD1321" s="358"/>
      <c r="BH1321" s="302"/>
      <c r="BI1321" s="42"/>
    </row>
    <row r="1322" spans="52:61">
      <c r="AZ1322" s="302"/>
      <c r="BA1322" s="313"/>
      <c r="BB1322" s="167"/>
      <c r="BC1322" s="42"/>
      <c r="BD1322" s="358"/>
      <c r="BH1322" s="302"/>
      <c r="BI1322" s="42"/>
    </row>
    <row r="1323" spans="52:61">
      <c r="AZ1323" s="302"/>
      <c r="BA1323" s="313"/>
      <c r="BB1323" s="167"/>
      <c r="BC1323" s="42"/>
      <c r="BD1323" s="358"/>
      <c r="BH1323" s="302"/>
      <c r="BI1323" s="42"/>
    </row>
    <row r="1324" spans="52:61">
      <c r="AZ1324" s="302"/>
      <c r="BA1324" s="313"/>
      <c r="BB1324" s="167"/>
      <c r="BC1324" s="42"/>
      <c r="BD1324" s="358"/>
      <c r="BH1324" s="302"/>
      <c r="BI1324" s="42"/>
    </row>
    <row r="1325" spans="52:61">
      <c r="AZ1325" s="302"/>
      <c r="BA1325" s="313"/>
      <c r="BB1325" s="167"/>
      <c r="BC1325" s="42"/>
      <c r="BD1325" s="358"/>
      <c r="BH1325" s="302"/>
      <c r="BI1325" s="42"/>
    </row>
    <row r="1326" spans="52:61">
      <c r="AZ1326" s="302"/>
      <c r="BA1326" s="313"/>
      <c r="BB1326" s="167"/>
      <c r="BC1326" s="42"/>
      <c r="BD1326" s="358"/>
      <c r="BH1326" s="302"/>
      <c r="BI1326" s="42"/>
    </row>
    <row r="1327" spans="52:61">
      <c r="AZ1327" s="302"/>
      <c r="BA1327" s="313"/>
      <c r="BB1327" s="167"/>
      <c r="BC1327" s="42"/>
      <c r="BD1327" s="358"/>
      <c r="BH1327" s="302"/>
      <c r="BI1327" s="42"/>
    </row>
    <row r="1328" spans="52:61">
      <c r="AZ1328" s="302"/>
      <c r="BA1328" s="313"/>
      <c r="BB1328" s="167"/>
      <c r="BC1328" s="42"/>
      <c r="BD1328" s="358"/>
      <c r="BH1328" s="302"/>
      <c r="BI1328" s="42"/>
    </row>
    <row r="1329" spans="52:61">
      <c r="AZ1329" s="302"/>
      <c r="BA1329" s="313"/>
      <c r="BB1329" s="167"/>
      <c r="BC1329" s="42"/>
      <c r="BD1329" s="358"/>
      <c r="BH1329" s="302"/>
      <c r="BI1329" s="42"/>
    </row>
    <row r="1330" spans="52:61">
      <c r="AZ1330" s="302"/>
      <c r="BA1330" s="313"/>
      <c r="BB1330" s="167"/>
      <c r="BC1330" s="42"/>
      <c r="BD1330" s="358"/>
      <c r="BH1330" s="302"/>
      <c r="BI1330" s="42"/>
    </row>
    <row r="1331" spans="52:61">
      <c r="AZ1331" s="302"/>
      <c r="BA1331" s="313"/>
      <c r="BB1331" s="167"/>
      <c r="BC1331" s="42"/>
      <c r="BD1331" s="358"/>
      <c r="BH1331" s="302"/>
      <c r="BI1331" s="42"/>
    </row>
    <row r="1332" spans="52:61">
      <c r="AZ1332" s="302"/>
      <c r="BA1332" s="313"/>
      <c r="BB1332" s="167"/>
      <c r="BC1332" s="42"/>
      <c r="BD1332" s="358"/>
      <c r="BH1332" s="302"/>
      <c r="BI1332" s="42"/>
    </row>
    <row r="1333" spans="52:61">
      <c r="AZ1333" s="302"/>
      <c r="BA1333" s="313"/>
      <c r="BB1333" s="167"/>
      <c r="BC1333" s="42"/>
      <c r="BD1333" s="358"/>
      <c r="BH1333" s="302"/>
      <c r="BI1333" s="42"/>
    </row>
    <row r="1334" spans="52:61">
      <c r="AZ1334" s="302"/>
      <c r="BA1334" s="313"/>
      <c r="BB1334" s="167"/>
      <c r="BC1334" s="42"/>
      <c r="BD1334" s="358"/>
      <c r="BH1334" s="302"/>
      <c r="BI1334" s="42"/>
    </row>
    <row r="1335" spans="52:61">
      <c r="AZ1335" s="302"/>
      <c r="BA1335" s="313"/>
      <c r="BB1335" s="167"/>
      <c r="BC1335" s="42"/>
      <c r="BD1335" s="358"/>
      <c r="BH1335" s="302"/>
      <c r="BI1335" s="42"/>
    </row>
    <row r="1336" spans="52:61">
      <c r="AZ1336" s="302"/>
      <c r="BA1336" s="313"/>
      <c r="BB1336" s="167"/>
      <c r="BC1336" s="42"/>
      <c r="BD1336" s="358"/>
      <c r="BH1336" s="302"/>
      <c r="BI1336" s="42"/>
    </row>
    <row r="1337" spans="52:61">
      <c r="AZ1337" s="302"/>
      <c r="BA1337" s="313"/>
      <c r="BB1337" s="167"/>
      <c r="BC1337" s="42"/>
      <c r="BD1337" s="358"/>
      <c r="BH1337" s="302"/>
      <c r="BI1337" s="42"/>
    </row>
    <row r="1338" spans="52:61">
      <c r="AZ1338" s="302"/>
      <c r="BA1338" s="313"/>
      <c r="BB1338" s="167"/>
      <c r="BC1338" s="42"/>
      <c r="BD1338" s="358"/>
      <c r="BH1338" s="302"/>
      <c r="BI1338" s="42"/>
    </row>
    <row r="1339" spans="52:61">
      <c r="AZ1339" s="302"/>
      <c r="BA1339" s="313"/>
      <c r="BB1339" s="167"/>
      <c r="BC1339" s="42"/>
      <c r="BD1339" s="358"/>
      <c r="BH1339" s="302"/>
      <c r="BI1339" s="42"/>
    </row>
    <row r="1340" spans="52:61">
      <c r="AZ1340" s="302"/>
      <c r="BA1340" s="313"/>
      <c r="BB1340" s="167"/>
      <c r="BC1340" s="42"/>
      <c r="BD1340" s="358"/>
      <c r="BH1340" s="302"/>
      <c r="BI1340" s="42"/>
    </row>
    <row r="1341" spans="52:61">
      <c r="AZ1341" s="302"/>
      <c r="BA1341" s="313"/>
      <c r="BB1341" s="167"/>
      <c r="BC1341" s="42"/>
      <c r="BD1341" s="358"/>
      <c r="BH1341" s="302"/>
      <c r="BI1341" s="42"/>
    </row>
    <row r="1342" spans="52:61">
      <c r="AZ1342" s="302"/>
      <c r="BA1342" s="313"/>
      <c r="BB1342" s="167"/>
      <c r="BC1342" s="42"/>
      <c r="BD1342" s="358"/>
      <c r="BH1342" s="302"/>
      <c r="BI1342" s="42"/>
    </row>
    <row r="1343" spans="52:61">
      <c r="AZ1343" s="302"/>
      <c r="BA1343" s="313"/>
      <c r="BB1343" s="167"/>
      <c r="BC1343" s="42"/>
      <c r="BD1343" s="358"/>
      <c r="BH1343" s="302"/>
      <c r="BI1343" s="42"/>
    </row>
    <row r="1344" spans="52:61">
      <c r="AZ1344" s="302"/>
      <c r="BA1344" s="313"/>
      <c r="BB1344" s="167"/>
      <c r="BC1344" s="42"/>
      <c r="BD1344" s="358"/>
      <c r="BH1344" s="302"/>
      <c r="BI1344" s="42"/>
    </row>
    <row r="1345" spans="52:61">
      <c r="AZ1345" s="302"/>
      <c r="BA1345" s="313"/>
      <c r="BB1345" s="167"/>
      <c r="BC1345" s="42"/>
      <c r="BD1345" s="358"/>
      <c r="BH1345" s="302"/>
      <c r="BI1345" s="42"/>
    </row>
    <row r="1346" spans="52:61">
      <c r="AZ1346" s="302"/>
      <c r="BA1346" s="313"/>
      <c r="BB1346" s="167"/>
      <c r="BC1346" s="42"/>
      <c r="BD1346" s="358"/>
      <c r="BH1346" s="302"/>
      <c r="BI1346" s="42"/>
    </row>
    <row r="1347" spans="52:61">
      <c r="AZ1347" s="302"/>
      <c r="BA1347" s="313"/>
      <c r="BB1347" s="167"/>
      <c r="BC1347" s="42"/>
      <c r="BD1347" s="358"/>
      <c r="BH1347" s="302"/>
      <c r="BI1347" s="42"/>
    </row>
    <row r="1348" spans="52:61">
      <c r="AZ1348" s="302"/>
      <c r="BA1348" s="313"/>
      <c r="BB1348" s="167"/>
      <c r="BC1348" s="42"/>
      <c r="BD1348" s="358"/>
      <c r="BH1348" s="302"/>
      <c r="BI1348" s="42"/>
    </row>
    <row r="1349" spans="52:61">
      <c r="AZ1349" s="302"/>
      <c r="BA1349" s="313"/>
      <c r="BB1349" s="167"/>
      <c r="BC1349" s="42"/>
      <c r="BD1349" s="358"/>
      <c r="BH1349" s="302"/>
      <c r="BI1349" s="42"/>
    </row>
    <row r="1350" spans="52:61">
      <c r="AZ1350" s="302"/>
      <c r="BA1350" s="313"/>
      <c r="BB1350" s="167"/>
      <c r="BC1350" s="42"/>
      <c r="BD1350" s="358"/>
      <c r="BH1350" s="302"/>
      <c r="BI1350" s="42"/>
    </row>
    <row r="1351" spans="52:61">
      <c r="AZ1351" s="302"/>
      <c r="BA1351" s="313"/>
      <c r="BB1351" s="167"/>
      <c r="BC1351" s="42"/>
      <c r="BD1351" s="358"/>
      <c r="BH1351" s="302"/>
      <c r="BI1351" s="42"/>
    </row>
    <row r="1352" spans="52:61">
      <c r="AZ1352" s="302"/>
      <c r="BA1352" s="313"/>
      <c r="BB1352" s="167"/>
      <c r="BC1352" s="42"/>
      <c r="BD1352" s="358"/>
      <c r="BH1352" s="302"/>
      <c r="BI1352" s="42"/>
    </row>
    <row r="1353" spans="52:61">
      <c r="AZ1353" s="302"/>
      <c r="BA1353" s="313"/>
      <c r="BB1353" s="167"/>
      <c r="BC1353" s="42"/>
      <c r="BD1353" s="358"/>
      <c r="BH1353" s="302"/>
      <c r="BI1353" s="42"/>
    </row>
    <row r="1354" spans="52:61">
      <c r="AZ1354" s="302"/>
      <c r="BA1354" s="313"/>
      <c r="BB1354" s="167"/>
      <c r="BC1354" s="42"/>
      <c r="BD1354" s="358"/>
      <c r="BH1354" s="302"/>
      <c r="BI1354" s="42"/>
    </row>
    <row r="1355" spans="52:61">
      <c r="AZ1355" s="302"/>
      <c r="BA1355" s="313"/>
      <c r="BB1355" s="167"/>
      <c r="BC1355" s="42"/>
      <c r="BD1355" s="358"/>
      <c r="BH1355" s="302"/>
      <c r="BI1355" s="42"/>
    </row>
    <row r="1356" spans="52:61">
      <c r="AZ1356" s="302"/>
      <c r="BA1356" s="313"/>
      <c r="BB1356" s="167"/>
      <c r="BC1356" s="42"/>
      <c r="BD1356" s="358"/>
      <c r="BH1356" s="302"/>
      <c r="BI1356" s="42"/>
    </row>
    <row r="1357" spans="52:61">
      <c r="AZ1357" s="302"/>
      <c r="BA1357" s="313"/>
      <c r="BB1357" s="167"/>
      <c r="BC1357" s="42"/>
      <c r="BD1357" s="358"/>
      <c r="BH1357" s="302"/>
      <c r="BI1357" s="42"/>
    </row>
    <row r="1358" spans="52:61">
      <c r="AZ1358" s="302"/>
      <c r="BA1358" s="313"/>
      <c r="BB1358" s="167"/>
      <c r="BC1358" s="42"/>
      <c r="BD1358" s="358"/>
      <c r="BH1358" s="302"/>
      <c r="BI1358" s="42"/>
    </row>
    <row r="1359" spans="52:61">
      <c r="AZ1359" s="302"/>
      <c r="BA1359" s="313"/>
      <c r="BB1359" s="167"/>
      <c r="BC1359" s="42"/>
      <c r="BD1359" s="358"/>
      <c r="BH1359" s="302"/>
      <c r="BI1359" s="42"/>
    </row>
    <row r="1360" spans="52:61">
      <c r="AZ1360" s="302"/>
      <c r="BA1360" s="313"/>
      <c r="BB1360" s="167"/>
      <c r="BC1360" s="42"/>
      <c r="BD1360" s="358"/>
      <c r="BH1360" s="302"/>
      <c r="BI1360" s="42"/>
    </row>
    <row r="1361" spans="52:61">
      <c r="AZ1361" s="302"/>
      <c r="BA1361" s="313"/>
      <c r="BB1361" s="167"/>
      <c r="BC1361" s="42"/>
      <c r="BD1361" s="358"/>
      <c r="BH1361" s="302"/>
      <c r="BI1361" s="42"/>
    </row>
    <row r="1362" spans="52:61">
      <c r="AZ1362" s="302"/>
      <c r="BA1362" s="313"/>
      <c r="BB1362" s="167"/>
      <c r="BC1362" s="42"/>
      <c r="BD1362" s="358"/>
      <c r="BH1362" s="302"/>
      <c r="BI1362" s="42"/>
    </row>
    <row r="1363" spans="52:61">
      <c r="AZ1363" s="302"/>
      <c r="BA1363" s="313"/>
      <c r="BB1363" s="167"/>
      <c r="BC1363" s="42"/>
      <c r="BD1363" s="358"/>
      <c r="BH1363" s="302"/>
      <c r="BI1363" s="42"/>
    </row>
    <row r="1364" spans="52:61">
      <c r="AZ1364" s="302"/>
      <c r="BA1364" s="313"/>
      <c r="BB1364" s="167"/>
      <c r="BC1364" s="42"/>
      <c r="BD1364" s="358"/>
      <c r="BH1364" s="302"/>
      <c r="BI1364" s="42"/>
    </row>
    <row r="1365" spans="52:61">
      <c r="AZ1365" s="302"/>
      <c r="BA1365" s="313"/>
      <c r="BB1365" s="167"/>
      <c r="BC1365" s="42"/>
      <c r="BD1365" s="358"/>
      <c r="BH1365" s="302"/>
      <c r="BI1365" s="42"/>
    </row>
    <row r="1366" spans="52:61">
      <c r="AZ1366" s="302"/>
      <c r="BA1366" s="313"/>
      <c r="BB1366" s="167"/>
      <c r="BC1366" s="42"/>
      <c r="BD1366" s="358"/>
      <c r="BH1366" s="302"/>
      <c r="BI1366" s="42"/>
    </row>
    <row r="1367" spans="52:61">
      <c r="AZ1367" s="302"/>
      <c r="BA1367" s="313"/>
      <c r="BB1367" s="167"/>
      <c r="BC1367" s="42"/>
      <c r="BD1367" s="358"/>
      <c r="BH1367" s="302"/>
      <c r="BI1367" s="42"/>
    </row>
    <row r="1368" spans="52:61">
      <c r="AZ1368" s="302"/>
      <c r="BA1368" s="313"/>
      <c r="BB1368" s="167"/>
      <c r="BC1368" s="42"/>
      <c r="BD1368" s="358"/>
      <c r="BH1368" s="302"/>
      <c r="BI1368" s="42"/>
    </row>
    <row r="1369" spans="52:61">
      <c r="AZ1369" s="302"/>
      <c r="BA1369" s="313"/>
      <c r="BB1369" s="167"/>
      <c r="BC1369" s="42"/>
      <c r="BD1369" s="358"/>
      <c r="BH1369" s="302"/>
      <c r="BI1369" s="42"/>
    </row>
    <row r="1370" spans="52:61">
      <c r="AZ1370" s="302"/>
      <c r="BA1370" s="313"/>
      <c r="BB1370" s="167"/>
      <c r="BC1370" s="42"/>
      <c r="BD1370" s="358"/>
      <c r="BH1370" s="302"/>
      <c r="BI1370" s="42"/>
    </row>
    <row r="1371" spans="52:61">
      <c r="AZ1371" s="302"/>
      <c r="BA1371" s="313"/>
      <c r="BB1371" s="167"/>
      <c r="BC1371" s="42"/>
      <c r="BD1371" s="358"/>
      <c r="BH1371" s="302"/>
      <c r="BI1371" s="42"/>
    </row>
    <row r="1372" spans="52:61">
      <c r="AZ1372" s="302"/>
      <c r="BA1372" s="313"/>
      <c r="BB1372" s="167"/>
      <c r="BC1372" s="42"/>
      <c r="BD1372" s="358"/>
      <c r="BH1372" s="302"/>
      <c r="BI1372" s="42"/>
    </row>
    <row r="1373" spans="52:61">
      <c r="AZ1373" s="302"/>
      <c r="BA1373" s="313"/>
      <c r="BB1373" s="167"/>
      <c r="BC1373" s="42"/>
      <c r="BD1373" s="358"/>
      <c r="BH1373" s="302"/>
      <c r="BI1373" s="42"/>
    </row>
    <row r="1374" spans="52:61">
      <c r="AZ1374" s="302"/>
      <c r="BA1374" s="313"/>
      <c r="BB1374" s="167"/>
      <c r="BC1374" s="42"/>
      <c r="BD1374" s="358"/>
      <c r="BH1374" s="302"/>
      <c r="BI1374" s="42"/>
    </row>
    <row r="1375" spans="52:61">
      <c r="AZ1375" s="302"/>
      <c r="BA1375" s="313"/>
      <c r="BB1375" s="167"/>
      <c r="BC1375" s="42"/>
      <c r="BD1375" s="358"/>
      <c r="BH1375" s="302"/>
      <c r="BI1375" s="42"/>
    </row>
    <row r="1376" spans="52:61">
      <c r="AZ1376" s="302"/>
      <c r="BA1376" s="313"/>
      <c r="BB1376" s="167"/>
      <c r="BC1376" s="42"/>
      <c r="BD1376" s="358"/>
      <c r="BH1376" s="302"/>
      <c r="BI1376" s="42"/>
    </row>
    <row r="1377" spans="52:61">
      <c r="AZ1377" s="302"/>
      <c r="BA1377" s="313"/>
      <c r="BB1377" s="167"/>
      <c r="BC1377" s="42"/>
      <c r="BD1377" s="358"/>
      <c r="BH1377" s="302"/>
      <c r="BI1377" s="42"/>
    </row>
    <row r="1378" spans="52:61">
      <c r="AZ1378" s="302"/>
      <c r="BA1378" s="313"/>
      <c r="BB1378" s="167"/>
      <c r="BC1378" s="42"/>
      <c r="BD1378" s="358"/>
      <c r="BH1378" s="302"/>
      <c r="BI1378" s="42"/>
    </row>
    <row r="1379" spans="52:61">
      <c r="AZ1379" s="302"/>
      <c r="BA1379" s="313"/>
      <c r="BB1379" s="167"/>
      <c r="BC1379" s="42"/>
      <c r="BD1379" s="358"/>
      <c r="BH1379" s="302"/>
      <c r="BI1379" s="42"/>
    </row>
    <row r="1380" spans="52:61">
      <c r="AZ1380" s="302"/>
      <c r="BA1380" s="313"/>
      <c r="BB1380" s="167"/>
      <c r="BC1380" s="42"/>
      <c r="BD1380" s="358"/>
      <c r="BH1380" s="302"/>
      <c r="BI1380" s="42"/>
    </row>
    <row r="1381" spans="52:61">
      <c r="AZ1381" s="302"/>
      <c r="BA1381" s="313"/>
      <c r="BB1381" s="167"/>
      <c r="BC1381" s="42"/>
      <c r="BD1381" s="358"/>
      <c r="BH1381" s="302"/>
      <c r="BI1381" s="42"/>
    </row>
    <row r="1382" spans="52:61">
      <c r="AZ1382" s="302"/>
      <c r="BA1382" s="313"/>
      <c r="BB1382" s="167"/>
      <c r="BC1382" s="42"/>
      <c r="BD1382" s="358"/>
      <c r="BH1382" s="302"/>
      <c r="BI1382" s="42"/>
    </row>
    <row r="1383" spans="52:61">
      <c r="AZ1383" s="302"/>
      <c r="BA1383" s="313"/>
      <c r="BB1383" s="167"/>
      <c r="BC1383" s="42"/>
      <c r="BD1383" s="358"/>
      <c r="BH1383" s="302"/>
      <c r="BI1383" s="42"/>
    </row>
    <row r="1384" spans="52:61">
      <c r="AZ1384" s="302"/>
      <c r="BA1384" s="313"/>
      <c r="BB1384" s="167"/>
      <c r="BC1384" s="42"/>
      <c r="BD1384" s="358"/>
      <c r="BH1384" s="302"/>
      <c r="BI1384" s="42"/>
    </row>
    <row r="1385" spans="52:61">
      <c r="AZ1385" s="302"/>
      <c r="BA1385" s="313"/>
      <c r="BB1385" s="167"/>
      <c r="BC1385" s="42"/>
      <c r="BD1385" s="358"/>
      <c r="BH1385" s="302"/>
      <c r="BI1385" s="42"/>
    </row>
    <row r="1386" spans="52:61">
      <c r="AZ1386" s="302"/>
      <c r="BA1386" s="313"/>
      <c r="BB1386" s="167"/>
      <c r="BC1386" s="42"/>
      <c r="BD1386" s="358"/>
      <c r="BH1386" s="302"/>
      <c r="BI1386" s="42"/>
    </row>
    <row r="1387" spans="52:61">
      <c r="AZ1387" s="302"/>
      <c r="BA1387" s="313"/>
      <c r="BB1387" s="167"/>
      <c r="BC1387" s="42"/>
      <c r="BD1387" s="358"/>
      <c r="BH1387" s="302"/>
      <c r="BI1387" s="42"/>
    </row>
    <row r="1388" spans="52:61">
      <c r="AZ1388" s="302"/>
      <c r="BA1388" s="313"/>
      <c r="BB1388" s="167"/>
      <c r="BC1388" s="42"/>
      <c r="BD1388" s="358"/>
      <c r="BH1388" s="302"/>
      <c r="BI1388" s="42"/>
    </row>
    <row r="1389" spans="52:61">
      <c r="AZ1389" s="302"/>
      <c r="BA1389" s="313"/>
      <c r="BB1389" s="167"/>
      <c r="BC1389" s="42"/>
      <c r="BD1389" s="358"/>
      <c r="BH1389" s="302"/>
      <c r="BI1389" s="42"/>
    </row>
    <row r="1390" spans="52:61">
      <c r="AZ1390" s="302"/>
      <c r="BA1390" s="313"/>
      <c r="BB1390" s="167"/>
      <c r="BC1390" s="42"/>
      <c r="BD1390" s="358"/>
      <c r="BH1390" s="302"/>
      <c r="BI1390" s="42"/>
    </row>
    <row r="1391" spans="52:61">
      <c r="AZ1391" s="302"/>
      <c r="BA1391" s="313"/>
      <c r="BB1391" s="167"/>
      <c r="BC1391" s="42"/>
      <c r="BD1391" s="358"/>
      <c r="BH1391" s="302"/>
      <c r="BI1391" s="42"/>
    </row>
    <row r="1392" spans="52:61">
      <c r="AZ1392" s="302"/>
      <c r="BA1392" s="313"/>
      <c r="BB1392" s="167"/>
      <c r="BC1392" s="42"/>
      <c r="BD1392" s="358"/>
      <c r="BH1392" s="302"/>
      <c r="BI1392" s="42"/>
    </row>
    <row r="1393" spans="52:61">
      <c r="AZ1393" s="302"/>
      <c r="BA1393" s="313"/>
      <c r="BB1393" s="167"/>
      <c r="BC1393" s="42"/>
      <c r="BD1393" s="358"/>
      <c r="BH1393" s="302"/>
      <c r="BI1393" s="42"/>
    </row>
    <row r="1394" spans="52:61">
      <c r="AZ1394" s="302"/>
      <c r="BA1394" s="313"/>
      <c r="BB1394" s="167"/>
      <c r="BC1394" s="42"/>
      <c r="BD1394" s="358"/>
      <c r="BH1394" s="302"/>
      <c r="BI1394" s="42"/>
    </row>
    <row r="1395" spans="52:61">
      <c r="AZ1395" s="302"/>
      <c r="BA1395" s="313"/>
      <c r="BB1395" s="167"/>
      <c r="BC1395" s="42"/>
      <c r="BD1395" s="358"/>
      <c r="BH1395" s="302"/>
      <c r="BI1395" s="42"/>
    </row>
    <row r="1396" spans="52:61">
      <c r="AZ1396" s="302"/>
      <c r="BA1396" s="313"/>
      <c r="BB1396" s="167"/>
      <c r="BC1396" s="42"/>
      <c r="BD1396" s="358"/>
      <c r="BH1396" s="302"/>
      <c r="BI1396" s="42"/>
    </row>
    <row r="1397" spans="52:61">
      <c r="AZ1397" s="302"/>
      <c r="BA1397" s="313"/>
      <c r="BB1397" s="167"/>
      <c r="BC1397" s="42"/>
      <c r="BD1397" s="358"/>
      <c r="BH1397" s="302"/>
      <c r="BI1397" s="42"/>
    </row>
    <row r="1398" spans="52:61">
      <c r="AZ1398" s="302"/>
      <c r="BA1398" s="313"/>
      <c r="BB1398" s="167"/>
      <c r="BC1398" s="42"/>
      <c r="BD1398" s="358"/>
      <c r="BH1398" s="302"/>
      <c r="BI1398" s="42"/>
    </row>
    <row r="1399" spans="52:61">
      <c r="AZ1399" s="302"/>
      <c r="BA1399" s="313"/>
      <c r="BB1399" s="167"/>
      <c r="BC1399" s="42"/>
      <c r="BD1399" s="358"/>
      <c r="BH1399" s="302"/>
      <c r="BI1399" s="42"/>
    </row>
    <row r="1400" spans="52:61">
      <c r="AZ1400" s="302"/>
      <c r="BA1400" s="313"/>
      <c r="BB1400" s="167"/>
      <c r="BC1400" s="42"/>
      <c r="BD1400" s="358"/>
      <c r="BH1400" s="302"/>
      <c r="BI1400" s="42"/>
    </row>
    <row r="1401" spans="52:61">
      <c r="AZ1401" s="302"/>
      <c r="BA1401" s="313"/>
      <c r="BB1401" s="167"/>
      <c r="BC1401" s="42"/>
      <c r="BD1401" s="358"/>
      <c r="BH1401" s="302"/>
      <c r="BI1401" s="42"/>
    </row>
    <row r="1402" spans="52:61">
      <c r="AZ1402" s="302"/>
      <c r="BA1402" s="313"/>
      <c r="BB1402" s="167"/>
      <c r="BC1402" s="42"/>
      <c r="BD1402" s="358"/>
      <c r="BH1402" s="302"/>
      <c r="BI1402" s="42"/>
    </row>
    <row r="1403" spans="52:61">
      <c r="AZ1403" s="302"/>
      <c r="BA1403" s="313"/>
      <c r="BB1403" s="167"/>
      <c r="BC1403" s="42"/>
      <c r="BD1403" s="358"/>
      <c r="BH1403" s="302"/>
      <c r="BI1403" s="42"/>
    </row>
    <row r="1404" spans="52:61">
      <c r="AZ1404" s="302"/>
      <c r="BA1404" s="313"/>
      <c r="BB1404" s="167"/>
      <c r="BC1404" s="42"/>
      <c r="BD1404" s="358"/>
      <c r="BH1404" s="302"/>
      <c r="BI1404" s="42"/>
    </row>
    <row r="1405" spans="52:61">
      <c r="AZ1405" s="302"/>
      <c r="BA1405" s="313"/>
      <c r="BB1405" s="167"/>
      <c r="BC1405" s="42"/>
      <c r="BD1405" s="358"/>
      <c r="BH1405" s="302"/>
      <c r="BI1405" s="42"/>
    </row>
    <row r="1406" spans="52:61">
      <c r="AZ1406" s="302"/>
      <c r="BA1406" s="313"/>
      <c r="BB1406" s="167"/>
      <c r="BC1406" s="42"/>
      <c r="BD1406" s="358"/>
      <c r="BH1406" s="302"/>
      <c r="BI1406" s="42"/>
    </row>
    <row r="1407" spans="52:61">
      <c r="AZ1407" s="302"/>
      <c r="BA1407" s="313"/>
      <c r="BB1407" s="167"/>
      <c r="BC1407" s="42"/>
      <c r="BD1407" s="358"/>
      <c r="BH1407" s="302"/>
      <c r="BI1407" s="42"/>
    </row>
    <row r="1408" spans="52:61">
      <c r="AZ1408" s="302"/>
      <c r="BA1408" s="313"/>
      <c r="BB1408" s="167"/>
      <c r="BC1408" s="42"/>
      <c r="BD1408" s="358"/>
      <c r="BH1408" s="302"/>
      <c r="BI1408" s="42"/>
    </row>
    <row r="1409" spans="52:61">
      <c r="AZ1409" s="302"/>
      <c r="BA1409" s="313"/>
      <c r="BB1409" s="167"/>
      <c r="BC1409" s="42"/>
      <c r="BD1409" s="358"/>
      <c r="BH1409" s="302"/>
      <c r="BI1409" s="42"/>
    </row>
    <row r="1410" spans="52:61">
      <c r="AZ1410" s="302"/>
      <c r="BA1410" s="313"/>
      <c r="BB1410" s="167"/>
      <c r="BC1410" s="42"/>
      <c r="BD1410" s="358"/>
      <c r="BH1410" s="302"/>
      <c r="BI1410" s="42"/>
    </row>
    <row r="1411" spans="52:61">
      <c r="AZ1411" s="302"/>
      <c r="BA1411" s="313"/>
      <c r="BB1411" s="167"/>
      <c r="BC1411" s="42"/>
      <c r="BD1411" s="358"/>
      <c r="BH1411" s="302"/>
      <c r="BI1411" s="42"/>
    </row>
    <row r="1412" spans="52:61">
      <c r="AZ1412" s="302"/>
      <c r="BA1412" s="313"/>
      <c r="BB1412" s="167"/>
      <c r="BC1412" s="42"/>
      <c r="BD1412" s="358"/>
      <c r="BH1412" s="302"/>
      <c r="BI1412" s="42"/>
    </row>
    <row r="1413" spans="52:61">
      <c r="AZ1413" s="302"/>
      <c r="BA1413" s="313"/>
      <c r="BB1413" s="167"/>
      <c r="BC1413" s="42"/>
      <c r="BD1413" s="358"/>
      <c r="BH1413" s="302"/>
      <c r="BI1413" s="42"/>
    </row>
    <row r="1414" spans="52:61">
      <c r="AZ1414" s="302"/>
      <c r="BA1414" s="313"/>
      <c r="BB1414" s="167"/>
      <c r="BC1414" s="42"/>
      <c r="BD1414" s="358"/>
      <c r="BH1414" s="302"/>
      <c r="BI1414" s="42"/>
    </row>
    <row r="1415" spans="52:61">
      <c r="AZ1415" s="302"/>
      <c r="BA1415" s="313"/>
      <c r="BB1415" s="167"/>
      <c r="BC1415" s="42"/>
      <c r="BD1415" s="358"/>
      <c r="BH1415" s="302"/>
      <c r="BI1415" s="42"/>
    </row>
    <row r="1416" spans="52:61">
      <c r="AZ1416" s="302"/>
      <c r="BA1416" s="313"/>
      <c r="BB1416" s="167"/>
      <c r="BC1416" s="42"/>
      <c r="BD1416" s="358"/>
      <c r="BH1416" s="302"/>
      <c r="BI1416" s="42"/>
    </row>
    <row r="1417" spans="52:61">
      <c r="AZ1417" s="302"/>
      <c r="BA1417" s="313"/>
      <c r="BB1417" s="167"/>
      <c r="BC1417" s="42"/>
      <c r="BD1417" s="358"/>
      <c r="BH1417" s="302"/>
      <c r="BI1417" s="42"/>
    </row>
    <row r="1418" spans="52:61">
      <c r="AZ1418" s="302"/>
      <c r="BA1418" s="313"/>
      <c r="BB1418" s="167"/>
      <c r="BC1418" s="42"/>
      <c r="BD1418" s="358"/>
      <c r="BH1418" s="302"/>
      <c r="BI1418" s="42"/>
    </row>
    <row r="1419" spans="52:61">
      <c r="AZ1419" s="302"/>
      <c r="BA1419" s="313"/>
      <c r="BB1419" s="167"/>
      <c r="BC1419" s="42"/>
      <c r="BD1419" s="358"/>
      <c r="BH1419" s="302"/>
      <c r="BI1419" s="42"/>
    </row>
    <row r="1420" spans="52:61">
      <c r="AZ1420" s="302"/>
      <c r="BA1420" s="313"/>
      <c r="BB1420" s="167"/>
      <c r="BC1420" s="42"/>
      <c r="BD1420" s="358"/>
      <c r="BH1420" s="302"/>
      <c r="BI1420" s="42"/>
    </row>
    <row r="1421" spans="52:61">
      <c r="AZ1421" s="302"/>
      <c r="BA1421" s="313"/>
      <c r="BB1421" s="167"/>
      <c r="BC1421" s="42"/>
      <c r="BD1421" s="358"/>
      <c r="BH1421" s="302"/>
      <c r="BI1421" s="42"/>
    </row>
    <row r="1422" spans="52:61">
      <c r="AZ1422" s="302"/>
      <c r="BA1422" s="313"/>
      <c r="BB1422" s="167"/>
      <c r="BC1422" s="42"/>
      <c r="BD1422" s="358"/>
      <c r="BH1422" s="302"/>
      <c r="BI1422" s="42"/>
    </row>
    <row r="1423" spans="52:61">
      <c r="AZ1423" s="302"/>
      <c r="BA1423" s="313"/>
      <c r="BB1423" s="167"/>
      <c r="BC1423" s="42"/>
      <c r="BD1423" s="358"/>
      <c r="BH1423" s="302"/>
      <c r="BI1423" s="42"/>
    </row>
    <row r="1424" spans="52:61">
      <c r="AZ1424" s="302"/>
      <c r="BA1424" s="313"/>
      <c r="BB1424" s="167"/>
      <c r="BC1424" s="42"/>
      <c r="BD1424" s="358"/>
      <c r="BH1424" s="302"/>
      <c r="BI1424" s="42"/>
    </row>
    <row r="1425" spans="52:61">
      <c r="AZ1425" s="302"/>
      <c r="BA1425" s="313"/>
      <c r="BB1425" s="167"/>
      <c r="BC1425" s="42"/>
      <c r="BD1425" s="358"/>
      <c r="BH1425" s="302"/>
      <c r="BI1425" s="42"/>
    </row>
    <row r="1426" spans="52:61">
      <c r="AZ1426" s="302"/>
      <c r="BA1426" s="313"/>
      <c r="BB1426" s="167"/>
      <c r="BC1426" s="42"/>
      <c r="BD1426" s="358"/>
      <c r="BH1426" s="302"/>
      <c r="BI1426" s="42"/>
    </row>
    <row r="1427" spans="52:61">
      <c r="AZ1427" s="302"/>
      <c r="BA1427" s="313"/>
      <c r="BB1427" s="167"/>
      <c r="BC1427" s="42"/>
      <c r="BD1427" s="358"/>
      <c r="BH1427" s="302"/>
      <c r="BI1427" s="42"/>
    </row>
    <row r="1428" spans="52:61">
      <c r="AZ1428" s="302"/>
      <c r="BA1428" s="313"/>
      <c r="BB1428" s="167"/>
      <c r="BC1428" s="42"/>
      <c r="BD1428" s="358"/>
      <c r="BH1428" s="302"/>
      <c r="BI1428" s="42"/>
    </row>
    <row r="1429" spans="52:61">
      <c r="AZ1429" s="302"/>
      <c r="BA1429" s="313"/>
      <c r="BB1429" s="167"/>
      <c r="BC1429" s="42"/>
      <c r="BD1429" s="358"/>
      <c r="BH1429" s="302"/>
      <c r="BI1429" s="42"/>
    </row>
    <row r="1430" spans="52:61">
      <c r="AZ1430" s="302"/>
      <c r="BA1430" s="313"/>
      <c r="BB1430" s="167"/>
      <c r="BC1430" s="42"/>
      <c r="BD1430" s="358"/>
      <c r="BH1430" s="302"/>
      <c r="BI1430" s="42"/>
    </row>
    <row r="1431" spans="52:61">
      <c r="AZ1431" s="302"/>
      <c r="BA1431" s="313"/>
      <c r="BB1431" s="167"/>
      <c r="BC1431" s="42"/>
      <c r="BD1431" s="358"/>
      <c r="BH1431" s="302"/>
      <c r="BI1431" s="42"/>
    </row>
    <row r="1432" spans="52:61">
      <c r="AZ1432" s="302"/>
      <c r="BA1432" s="313"/>
      <c r="BB1432" s="167"/>
      <c r="BC1432" s="42"/>
      <c r="BD1432" s="358"/>
      <c r="BH1432" s="302"/>
      <c r="BI1432" s="42"/>
    </row>
    <row r="1433" spans="52:61">
      <c r="AZ1433" s="302"/>
      <c r="BA1433" s="313"/>
      <c r="BB1433" s="167"/>
      <c r="BC1433" s="42"/>
      <c r="BD1433" s="358"/>
      <c r="BH1433" s="302"/>
      <c r="BI1433" s="42"/>
    </row>
    <row r="1434" spans="52:61">
      <c r="AZ1434" s="302"/>
      <c r="BA1434" s="313"/>
      <c r="BB1434" s="167"/>
      <c r="BC1434" s="42"/>
      <c r="BD1434" s="358"/>
      <c r="BH1434" s="302"/>
      <c r="BI1434" s="42"/>
    </row>
    <row r="1435" spans="52:61">
      <c r="AZ1435" s="302"/>
      <c r="BA1435" s="313"/>
      <c r="BB1435" s="167"/>
      <c r="BC1435" s="42"/>
      <c r="BD1435" s="358"/>
      <c r="BH1435" s="302"/>
      <c r="BI1435" s="42"/>
    </row>
    <row r="1436" spans="52:61">
      <c r="AZ1436" s="302"/>
      <c r="BA1436" s="313"/>
      <c r="BB1436" s="167"/>
      <c r="BC1436" s="42"/>
      <c r="BD1436" s="358"/>
      <c r="BH1436" s="302"/>
      <c r="BI1436" s="42"/>
    </row>
    <row r="1437" spans="52:61">
      <c r="AZ1437" s="302"/>
      <c r="BA1437" s="313"/>
      <c r="BB1437" s="167"/>
      <c r="BC1437" s="42"/>
      <c r="BD1437" s="358"/>
      <c r="BH1437" s="302"/>
      <c r="BI1437" s="42"/>
    </row>
    <row r="1438" spans="52:61">
      <c r="AZ1438" s="302"/>
      <c r="BA1438" s="313"/>
      <c r="BB1438" s="167"/>
      <c r="BC1438" s="42"/>
      <c r="BD1438" s="358"/>
      <c r="BH1438" s="302"/>
      <c r="BI1438" s="42"/>
    </row>
    <row r="1439" spans="52:61">
      <c r="AZ1439" s="302"/>
      <c r="BA1439" s="313"/>
      <c r="BB1439" s="167"/>
      <c r="BC1439" s="42"/>
      <c r="BD1439" s="358"/>
      <c r="BH1439" s="302"/>
      <c r="BI1439" s="42"/>
    </row>
    <row r="1440" spans="52:61">
      <c r="AZ1440" s="302"/>
      <c r="BA1440" s="313"/>
      <c r="BB1440" s="167"/>
      <c r="BC1440" s="42"/>
      <c r="BD1440" s="358"/>
      <c r="BH1440" s="302"/>
      <c r="BI1440" s="42"/>
    </row>
    <row r="1441" spans="52:61">
      <c r="AZ1441" s="302"/>
      <c r="BA1441" s="313"/>
      <c r="BB1441" s="167"/>
      <c r="BC1441" s="42"/>
      <c r="BD1441" s="358"/>
      <c r="BH1441" s="302"/>
      <c r="BI1441" s="42"/>
    </row>
    <row r="1442" spans="52:61">
      <c r="AZ1442" s="302"/>
      <c r="BA1442" s="313"/>
      <c r="BB1442" s="167"/>
      <c r="BC1442" s="42"/>
      <c r="BD1442" s="358"/>
      <c r="BH1442" s="302"/>
      <c r="BI1442" s="42"/>
    </row>
    <row r="1443" spans="52:61">
      <c r="AZ1443" s="302"/>
      <c r="BA1443" s="313"/>
      <c r="BB1443" s="167"/>
      <c r="BC1443" s="42"/>
      <c r="BD1443" s="358"/>
      <c r="BH1443" s="302"/>
      <c r="BI1443" s="42"/>
    </row>
    <row r="1444" spans="52:61">
      <c r="AZ1444" s="302"/>
      <c r="BA1444" s="313"/>
      <c r="BB1444" s="167"/>
      <c r="BC1444" s="42"/>
      <c r="BD1444" s="358"/>
      <c r="BH1444" s="302"/>
      <c r="BI1444" s="42"/>
    </row>
    <row r="1445" spans="52:61">
      <c r="AZ1445" s="302"/>
      <c r="BA1445" s="313"/>
      <c r="BB1445" s="167"/>
      <c r="BC1445" s="42"/>
      <c r="BD1445" s="358"/>
      <c r="BH1445" s="302"/>
      <c r="BI1445" s="42"/>
    </row>
    <row r="1446" spans="52:61">
      <c r="AZ1446" s="302"/>
      <c r="BA1446" s="313"/>
      <c r="BB1446" s="167"/>
      <c r="BC1446" s="42"/>
      <c r="BD1446" s="358"/>
      <c r="BH1446" s="302"/>
      <c r="BI1446" s="42"/>
    </row>
    <row r="1447" spans="52:61">
      <c r="AZ1447" s="302"/>
      <c r="BA1447" s="313"/>
      <c r="BB1447" s="167"/>
      <c r="BC1447" s="42"/>
      <c r="BD1447" s="358"/>
      <c r="BH1447" s="302"/>
      <c r="BI1447" s="42"/>
    </row>
    <row r="1448" spans="52:61">
      <c r="AZ1448" s="302"/>
      <c r="BA1448" s="313"/>
      <c r="BB1448" s="167"/>
      <c r="BC1448" s="42"/>
      <c r="BD1448" s="358"/>
      <c r="BH1448" s="302"/>
      <c r="BI1448" s="42"/>
    </row>
    <row r="1449" spans="52:61">
      <c r="AZ1449" s="302"/>
      <c r="BA1449" s="313"/>
      <c r="BB1449" s="167"/>
      <c r="BC1449" s="42"/>
      <c r="BD1449" s="358"/>
      <c r="BH1449" s="302"/>
      <c r="BI1449" s="42"/>
    </row>
    <row r="1450" spans="52:61">
      <c r="AZ1450" s="302"/>
      <c r="BA1450" s="313"/>
      <c r="BB1450" s="167"/>
      <c r="BC1450" s="42"/>
      <c r="BD1450" s="358"/>
      <c r="BH1450" s="302"/>
      <c r="BI1450" s="42"/>
    </row>
    <row r="1451" spans="52:61">
      <c r="AZ1451" s="302"/>
      <c r="BA1451" s="313"/>
      <c r="BB1451" s="167"/>
      <c r="BC1451" s="42"/>
      <c r="BD1451" s="358"/>
      <c r="BH1451" s="302"/>
      <c r="BI1451" s="42"/>
    </row>
    <row r="1452" spans="52:61">
      <c r="AZ1452" s="302"/>
      <c r="BA1452" s="313"/>
      <c r="BB1452" s="167"/>
      <c r="BC1452" s="42"/>
      <c r="BD1452" s="358"/>
      <c r="BH1452" s="302"/>
      <c r="BI1452" s="42"/>
    </row>
    <row r="1453" spans="52:61">
      <c r="AZ1453" s="302"/>
      <c r="BA1453" s="313"/>
      <c r="BB1453" s="167"/>
      <c r="BC1453" s="42"/>
      <c r="BD1453" s="358"/>
      <c r="BH1453" s="302"/>
      <c r="BI1453" s="42"/>
    </row>
    <row r="1454" spans="52:61">
      <c r="AZ1454" s="302"/>
      <c r="BA1454" s="313"/>
      <c r="BB1454" s="167"/>
      <c r="BC1454" s="42"/>
      <c r="BD1454" s="358"/>
      <c r="BH1454" s="302"/>
      <c r="BI1454" s="42"/>
    </row>
    <row r="1455" spans="52:61">
      <c r="AZ1455" s="302"/>
      <c r="BA1455" s="313"/>
      <c r="BB1455" s="167"/>
      <c r="BC1455" s="42"/>
      <c r="BD1455" s="358"/>
      <c r="BH1455" s="302"/>
      <c r="BI1455" s="42"/>
    </row>
    <row r="1456" spans="52:61">
      <c r="AZ1456" s="302"/>
      <c r="BA1456" s="313"/>
      <c r="BB1456" s="167"/>
      <c r="BC1456" s="42"/>
      <c r="BD1456" s="358"/>
      <c r="BH1456" s="302"/>
      <c r="BI1456" s="42"/>
    </row>
    <row r="1457" spans="52:61">
      <c r="AZ1457" s="302"/>
      <c r="BA1457" s="313"/>
      <c r="BB1457" s="167"/>
      <c r="BC1457" s="42"/>
      <c r="BD1457" s="358"/>
      <c r="BH1457" s="302"/>
      <c r="BI1457" s="42"/>
    </row>
    <row r="1458" spans="52:61">
      <c r="AZ1458" s="302"/>
      <c r="BA1458" s="313"/>
      <c r="BB1458" s="167"/>
      <c r="BC1458" s="42"/>
      <c r="BD1458" s="358"/>
      <c r="BH1458" s="302"/>
      <c r="BI1458" s="42"/>
    </row>
    <row r="1459" spans="52:61">
      <c r="AZ1459" s="302"/>
      <c r="BA1459" s="313"/>
      <c r="BB1459" s="167"/>
      <c r="BC1459" s="42"/>
      <c r="BD1459" s="358"/>
      <c r="BH1459" s="302"/>
      <c r="BI1459" s="42"/>
    </row>
    <row r="1460" spans="52:61">
      <c r="AZ1460" s="302"/>
      <c r="BA1460" s="313"/>
      <c r="BB1460" s="167"/>
      <c r="BC1460" s="42"/>
      <c r="BD1460" s="358"/>
      <c r="BH1460" s="302"/>
      <c r="BI1460" s="42"/>
    </row>
    <row r="1461" spans="52:61">
      <c r="AZ1461" s="302"/>
      <c r="BA1461" s="313"/>
      <c r="BB1461" s="167"/>
      <c r="BC1461" s="42"/>
      <c r="BD1461" s="358"/>
      <c r="BH1461" s="302"/>
      <c r="BI1461" s="42"/>
    </row>
    <row r="1462" spans="52:61">
      <c r="AZ1462" s="302"/>
      <c r="BA1462" s="313"/>
      <c r="BB1462" s="167"/>
      <c r="BC1462" s="42"/>
      <c r="BD1462" s="358"/>
      <c r="BH1462" s="302"/>
      <c r="BI1462" s="42"/>
    </row>
    <row r="1463" spans="52:61">
      <c r="AZ1463" s="302"/>
      <c r="BA1463" s="313"/>
      <c r="BB1463" s="167"/>
      <c r="BC1463" s="42"/>
      <c r="BD1463" s="358"/>
      <c r="BH1463" s="302"/>
      <c r="BI1463" s="42"/>
    </row>
    <row r="1464" spans="52:61">
      <c r="AZ1464" s="302"/>
      <c r="BA1464" s="313"/>
      <c r="BB1464" s="167"/>
      <c r="BC1464" s="42"/>
      <c r="BD1464" s="358"/>
      <c r="BH1464" s="302"/>
      <c r="BI1464" s="42"/>
    </row>
    <row r="1465" spans="52:61">
      <c r="AZ1465" s="302"/>
      <c r="BA1465" s="313"/>
      <c r="BB1465" s="167"/>
      <c r="BC1465" s="42"/>
      <c r="BD1465" s="358"/>
      <c r="BH1465" s="302"/>
      <c r="BI1465" s="42"/>
    </row>
    <row r="1466" spans="52:61">
      <c r="AZ1466" s="302"/>
      <c r="BA1466" s="313"/>
      <c r="BB1466" s="167"/>
      <c r="BC1466" s="42"/>
      <c r="BD1466" s="358"/>
      <c r="BH1466" s="302"/>
      <c r="BI1466" s="42"/>
    </row>
    <row r="1467" spans="52:61">
      <c r="AZ1467" s="302"/>
      <c r="BA1467" s="313"/>
      <c r="BB1467" s="167"/>
      <c r="BC1467" s="42"/>
      <c r="BD1467" s="358"/>
      <c r="BH1467" s="302"/>
      <c r="BI1467" s="42"/>
    </row>
    <row r="1468" spans="52:61">
      <c r="AZ1468" s="302"/>
      <c r="BA1468" s="313"/>
      <c r="BB1468" s="167"/>
      <c r="BC1468" s="42"/>
      <c r="BD1468" s="358"/>
      <c r="BH1468" s="302"/>
      <c r="BI1468" s="42"/>
    </row>
    <row r="1469" spans="52:61">
      <c r="AZ1469" s="302"/>
      <c r="BA1469" s="313"/>
      <c r="BB1469" s="167"/>
      <c r="BC1469" s="42"/>
      <c r="BD1469" s="358"/>
      <c r="BH1469" s="302"/>
      <c r="BI1469" s="42"/>
    </row>
    <row r="1470" spans="52:61">
      <c r="AZ1470" s="302"/>
      <c r="BA1470" s="313"/>
      <c r="BB1470" s="167"/>
      <c r="BC1470" s="42"/>
      <c r="BD1470" s="358"/>
      <c r="BH1470" s="302"/>
      <c r="BI1470" s="42"/>
    </row>
    <row r="1471" spans="52:61">
      <c r="AZ1471" s="302"/>
      <c r="BA1471" s="313"/>
      <c r="BB1471" s="167"/>
      <c r="BC1471" s="42"/>
      <c r="BD1471" s="358"/>
      <c r="BH1471" s="302"/>
      <c r="BI1471" s="42"/>
    </row>
    <row r="1472" spans="52:61">
      <c r="AZ1472" s="302"/>
      <c r="BA1472" s="313"/>
      <c r="BB1472" s="167"/>
      <c r="BC1472" s="42"/>
      <c r="BD1472" s="358"/>
      <c r="BH1472" s="302"/>
      <c r="BI1472" s="42"/>
    </row>
    <row r="1473" spans="52:61">
      <c r="AZ1473" s="302"/>
      <c r="BA1473" s="313"/>
      <c r="BB1473" s="167"/>
      <c r="BC1473" s="42"/>
      <c r="BD1473" s="358"/>
      <c r="BH1473" s="302"/>
      <c r="BI1473" s="42"/>
    </row>
    <row r="1474" spans="52:61">
      <c r="AZ1474" s="302"/>
      <c r="BA1474" s="313"/>
      <c r="BB1474" s="167"/>
      <c r="BC1474" s="42"/>
      <c r="BD1474" s="358"/>
      <c r="BH1474" s="302"/>
      <c r="BI1474" s="42"/>
    </row>
    <row r="1475" spans="52:61">
      <c r="AZ1475" s="302"/>
      <c r="BA1475" s="313"/>
      <c r="BB1475" s="167"/>
      <c r="BC1475" s="42"/>
      <c r="BD1475" s="358"/>
      <c r="BH1475" s="302"/>
      <c r="BI1475" s="42"/>
    </row>
    <row r="1476" spans="52:61">
      <c r="AZ1476" s="302"/>
      <c r="BA1476" s="313"/>
      <c r="BB1476" s="167"/>
      <c r="BC1476" s="42"/>
      <c r="BD1476" s="358"/>
      <c r="BH1476" s="302"/>
      <c r="BI1476" s="42"/>
    </row>
    <row r="1477" spans="52:61">
      <c r="AZ1477" s="302"/>
      <c r="BA1477" s="313"/>
      <c r="BB1477" s="167"/>
      <c r="BC1477" s="42"/>
      <c r="BD1477" s="358"/>
      <c r="BH1477" s="302"/>
      <c r="BI1477" s="42"/>
    </row>
    <row r="1478" spans="52:61">
      <c r="AZ1478" s="302"/>
      <c r="BA1478" s="313"/>
      <c r="BB1478" s="167"/>
      <c r="BC1478" s="42"/>
      <c r="BD1478" s="358"/>
      <c r="BH1478" s="302"/>
      <c r="BI1478" s="42"/>
    </row>
    <row r="1479" spans="52:61">
      <c r="AZ1479" s="302"/>
      <c r="BA1479" s="313"/>
      <c r="BB1479" s="167"/>
      <c r="BC1479" s="42"/>
      <c r="BD1479" s="358"/>
      <c r="BH1479" s="302"/>
      <c r="BI1479" s="42"/>
    </row>
    <row r="1480" spans="52:61">
      <c r="AZ1480" s="302"/>
      <c r="BA1480" s="313"/>
      <c r="BB1480" s="167"/>
      <c r="BC1480" s="42"/>
      <c r="BD1480" s="358"/>
      <c r="BH1480" s="302"/>
      <c r="BI1480" s="42"/>
    </row>
    <row r="1481" spans="52:61">
      <c r="AZ1481" s="302"/>
      <c r="BA1481" s="313"/>
      <c r="BB1481" s="167"/>
      <c r="BC1481" s="42"/>
      <c r="BD1481" s="358"/>
      <c r="BH1481" s="302"/>
      <c r="BI1481" s="42"/>
    </row>
    <row r="1482" spans="52:61">
      <c r="AZ1482" s="302"/>
      <c r="BA1482" s="313"/>
      <c r="BB1482" s="167"/>
      <c r="BC1482" s="42"/>
      <c r="BD1482" s="358"/>
      <c r="BH1482" s="302"/>
      <c r="BI1482" s="42"/>
    </row>
    <row r="1483" spans="52:61">
      <c r="AZ1483" s="302"/>
      <c r="BA1483" s="313"/>
      <c r="BB1483" s="167"/>
      <c r="BC1483" s="42"/>
      <c r="BD1483" s="358"/>
      <c r="BH1483" s="302"/>
      <c r="BI1483" s="42"/>
    </row>
    <row r="1484" spans="52:61">
      <c r="AZ1484" s="302"/>
      <c r="BA1484" s="313"/>
      <c r="BB1484" s="167"/>
      <c r="BC1484" s="42"/>
      <c r="BD1484" s="358"/>
      <c r="BH1484" s="302"/>
      <c r="BI1484" s="42"/>
    </row>
    <row r="1485" spans="52:61">
      <c r="AZ1485" s="302"/>
      <c r="BA1485" s="313"/>
      <c r="BB1485" s="167"/>
      <c r="BC1485" s="42"/>
      <c r="BD1485" s="358"/>
      <c r="BH1485" s="302"/>
      <c r="BI1485" s="42"/>
    </row>
    <row r="1486" spans="52:61">
      <c r="AZ1486" s="302"/>
      <c r="BA1486" s="313"/>
      <c r="BB1486" s="167"/>
      <c r="BC1486" s="42"/>
      <c r="BD1486" s="358"/>
      <c r="BH1486" s="302"/>
      <c r="BI1486" s="42"/>
    </row>
    <row r="1487" spans="52:61">
      <c r="AZ1487" s="302"/>
      <c r="BA1487" s="313"/>
      <c r="BB1487" s="167"/>
      <c r="BC1487" s="42"/>
      <c r="BD1487" s="358"/>
      <c r="BH1487" s="302"/>
      <c r="BI1487" s="42"/>
    </row>
    <row r="1488" spans="52:61">
      <c r="AZ1488" s="302"/>
      <c r="BA1488" s="313"/>
      <c r="BB1488" s="167"/>
      <c r="BC1488" s="42"/>
      <c r="BD1488" s="358"/>
      <c r="BH1488" s="302"/>
      <c r="BI1488" s="42"/>
    </row>
    <row r="1489" spans="52:61">
      <c r="AZ1489" s="302"/>
      <c r="BA1489" s="313"/>
      <c r="BB1489" s="167"/>
      <c r="BC1489" s="42"/>
      <c r="BD1489" s="358"/>
      <c r="BH1489" s="302"/>
      <c r="BI1489" s="42"/>
    </row>
    <row r="1490" spans="52:61">
      <c r="AZ1490" s="302"/>
      <c r="BA1490" s="313"/>
      <c r="BB1490" s="167"/>
      <c r="BC1490" s="42"/>
      <c r="BD1490" s="358"/>
      <c r="BH1490" s="302"/>
      <c r="BI1490" s="42"/>
    </row>
    <row r="1491" spans="52:61">
      <c r="AZ1491" s="302"/>
      <c r="BA1491" s="313"/>
      <c r="BB1491" s="167"/>
      <c r="BC1491" s="42"/>
      <c r="BD1491" s="358"/>
      <c r="BH1491" s="302"/>
      <c r="BI1491" s="42"/>
    </row>
    <row r="1492" spans="52:61">
      <c r="AZ1492" s="302"/>
      <c r="BA1492" s="313"/>
      <c r="BB1492" s="167"/>
      <c r="BC1492" s="42"/>
      <c r="BD1492" s="358"/>
      <c r="BH1492" s="302"/>
      <c r="BI1492" s="42"/>
    </row>
    <row r="1493" spans="52:61">
      <c r="AZ1493" s="302"/>
      <c r="BA1493" s="313"/>
      <c r="BB1493" s="167"/>
      <c r="BC1493" s="42"/>
      <c r="BD1493" s="358"/>
      <c r="BH1493" s="302"/>
      <c r="BI1493" s="42"/>
    </row>
    <row r="1494" spans="52:61">
      <c r="AZ1494" s="302"/>
      <c r="BA1494" s="313"/>
      <c r="BB1494" s="167"/>
      <c r="BC1494" s="42"/>
      <c r="BD1494" s="358"/>
      <c r="BH1494" s="302"/>
      <c r="BI1494" s="42"/>
    </row>
    <row r="1495" spans="52:61">
      <c r="AZ1495" s="302"/>
      <c r="BA1495" s="313"/>
      <c r="BB1495" s="167"/>
      <c r="BC1495" s="42"/>
      <c r="BD1495" s="358"/>
      <c r="BH1495" s="302"/>
      <c r="BI1495" s="42"/>
    </row>
    <row r="1496" spans="52:61">
      <c r="AZ1496" s="302"/>
      <c r="BA1496" s="313"/>
      <c r="BB1496" s="167"/>
      <c r="BC1496" s="42"/>
      <c r="BD1496" s="358"/>
      <c r="BH1496" s="302"/>
      <c r="BI1496" s="42"/>
    </row>
    <row r="1497" spans="52:61">
      <c r="AZ1497" s="302"/>
      <c r="BA1497" s="313"/>
      <c r="BB1497" s="167"/>
      <c r="BC1497" s="42"/>
      <c r="BD1497" s="358"/>
      <c r="BH1497" s="302"/>
      <c r="BI1497" s="42"/>
    </row>
    <row r="1498" spans="52:61">
      <c r="AZ1498" s="302"/>
      <c r="BA1498" s="313"/>
      <c r="BB1498" s="167"/>
      <c r="BC1498" s="42"/>
      <c r="BD1498" s="358"/>
      <c r="BH1498" s="302"/>
      <c r="BI1498" s="42"/>
    </row>
    <row r="1499" spans="52:61">
      <c r="AZ1499" s="302"/>
      <c r="BA1499" s="313"/>
      <c r="BB1499" s="167"/>
      <c r="BC1499" s="42"/>
      <c r="BD1499" s="358"/>
      <c r="BH1499" s="302"/>
      <c r="BI1499" s="42"/>
    </row>
    <row r="1500" spans="52:61">
      <c r="AZ1500" s="302"/>
      <c r="BA1500" s="313"/>
      <c r="BB1500" s="167"/>
      <c r="BC1500" s="42"/>
      <c r="BD1500" s="358"/>
      <c r="BH1500" s="302"/>
      <c r="BI1500" s="42"/>
    </row>
    <row r="1501" spans="52:61">
      <c r="AZ1501" s="302"/>
      <c r="BA1501" s="313"/>
      <c r="BB1501" s="167"/>
      <c r="BC1501" s="42"/>
      <c r="BD1501" s="358"/>
      <c r="BH1501" s="302"/>
      <c r="BI1501" s="42"/>
    </row>
    <row r="1502" spans="52:61">
      <c r="AZ1502" s="302"/>
      <c r="BA1502" s="313"/>
      <c r="BB1502" s="167"/>
      <c r="BC1502" s="42"/>
      <c r="BD1502" s="358"/>
      <c r="BH1502" s="302"/>
      <c r="BI1502" s="42"/>
    </row>
    <row r="1503" spans="52:61">
      <c r="AZ1503" s="302"/>
      <c r="BA1503" s="313"/>
      <c r="BB1503" s="167"/>
      <c r="BC1503" s="42"/>
      <c r="BD1503" s="358"/>
      <c r="BH1503" s="302"/>
      <c r="BI1503" s="42"/>
    </row>
    <row r="1504" spans="52:61">
      <c r="AZ1504" s="302"/>
      <c r="BA1504" s="313"/>
      <c r="BB1504" s="167"/>
      <c r="BC1504" s="42"/>
      <c r="BD1504" s="358"/>
      <c r="BH1504" s="302"/>
      <c r="BI1504" s="42"/>
    </row>
    <row r="1505" spans="52:61">
      <c r="AZ1505" s="302"/>
      <c r="BA1505" s="313"/>
      <c r="BB1505" s="167"/>
      <c r="BC1505" s="42"/>
      <c r="BD1505" s="358"/>
      <c r="BH1505" s="302"/>
      <c r="BI1505" s="42"/>
    </row>
    <row r="1506" spans="52:61">
      <c r="AZ1506" s="302"/>
      <c r="BA1506" s="313"/>
      <c r="BB1506" s="167"/>
      <c r="BC1506" s="42"/>
      <c r="BD1506" s="358"/>
      <c r="BH1506" s="302"/>
      <c r="BI1506" s="42"/>
    </row>
    <row r="1507" spans="52:61">
      <c r="AZ1507" s="302"/>
      <c r="BA1507" s="313"/>
      <c r="BB1507" s="167"/>
      <c r="BC1507" s="42"/>
      <c r="BD1507" s="358"/>
      <c r="BH1507" s="302"/>
      <c r="BI1507" s="42"/>
    </row>
    <row r="1508" spans="52:61">
      <c r="AZ1508" s="302"/>
      <c r="BA1508" s="313"/>
      <c r="BB1508" s="167"/>
      <c r="BC1508" s="42"/>
      <c r="BD1508" s="358"/>
      <c r="BH1508" s="302"/>
      <c r="BI1508" s="42"/>
    </row>
    <row r="1509" spans="52:61">
      <c r="AZ1509" s="302"/>
      <c r="BA1509" s="313"/>
      <c r="BB1509" s="167"/>
      <c r="BC1509" s="42"/>
      <c r="BD1509" s="358"/>
      <c r="BH1509" s="302"/>
      <c r="BI1509" s="42"/>
    </row>
    <row r="1510" spans="52:61">
      <c r="AZ1510" s="302"/>
      <c r="BA1510" s="313"/>
      <c r="BB1510" s="167"/>
      <c r="BC1510" s="42"/>
      <c r="BD1510" s="358"/>
      <c r="BH1510" s="302"/>
      <c r="BI1510" s="42"/>
    </row>
    <row r="1511" spans="52:61">
      <c r="AZ1511" s="302"/>
      <c r="BA1511" s="313"/>
      <c r="BB1511" s="167"/>
      <c r="BC1511" s="42"/>
      <c r="BD1511" s="358"/>
      <c r="BH1511" s="302"/>
      <c r="BI1511" s="42"/>
    </row>
    <row r="1512" spans="52:61">
      <c r="AZ1512" s="302"/>
      <c r="BA1512" s="313"/>
      <c r="BB1512" s="167"/>
      <c r="BC1512" s="42"/>
      <c r="BD1512" s="358"/>
      <c r="BH1512" s="302"/>
      <c r="BI1512" s="42"/>
    </row>
    <row r="1513" spans="52:61">
      <c r="AZ1513" s="302"/>
      <c r="BA1513" s="313"/>
      <c r="BB1513" s="167"/>
      <c r="BC1513" s="42"/>
      <c r="BD1513" s="358"/>
      <c r="BH1513" s="302"/>
      <c r="BI1513" s="42"/>
    </row>
    <row r="1514" spans="52:61">
      <c r="AZ1514" s="302"/>
      <c r="BA1514" s="313"/>
      <c r="BB1514" s="167"/>
      <c r="BC1514" s="42"/>
      <c r="BD1514" s="358"/>
      <c r="BH1514" s="302"/>
      <c r="BI1514" s="42"/>
    </row>
    <row r="1515" spans="52:61">
      <c r="AZ1515" s="302"/>
      <c r="BA1515" s="313"/>
      <c r="BB1515" s="167"/>
      <c r="BC1515" s="42"/>
      <c r="BD1515" s="358"/>
      <c r="BH1515" s="302"/>
      <c r="BI1515" s="42"/>
    </row>
    <row r="1516" spans="52:61">
      <c r="AZ1516" s="302"/>
      <c r="BA1516" s="313"/>
      <c r="BB1516" s="167"/>
      <c r="BC1516" s="42"/>
      <c r="BD1516" s="358"/>
      <c r="BH1516" s="302"/>
      <c r="BI1516" s="42"/>
    </row>
    <row r="1517" spans="52:61">
      <c r="AZ1517" s="302"/>
      <c r="BA1517" s="313"/>
      <c r="BB1517" s="167"/>
      <c r="BC1517" s="42"/>
      <c r="BD1517" s="358"/>
      <c r="BH1517" s="302"/>
      <c r="BI1517" s="42"/>
    </row>
    <row r="1518" spans="52:61">
      <c r="AZ1518" s="302"/>
      <c r="BA1518" s="313"/>
      <c r="BB1518" s="167"/>
      <c r="BC1518" s="42"/>
      <c r="BD1518" s="358"/>
      <c r="BH1518" s="302"/>
      <c r="BI1518" s="42"/>
    </row>
    <row r="1519" spans="52:61">
      <c r="AZ1519" s="302"/>
      <c r="BA1519" s="313"/>
      <c r="BB1519" s="167"/>
      <c r="BC1519" s="42"/>
      <c r="BD1519" s="358"/>
      <c r="BH1519" s="302"/>
      <c r="BI1519" s="42"/>
    </row>
    <row r="1520" spans="52:61">
      <c r="AZ1520" s="302"/>
      <c r="BA1520" s="313"/>
      <c r="BB1520" s="167"/>
      <c r="BC1520" s="42"/>
      <c r="BD1520" s="358"/>
      <c r="BH1520" s="302"/>
      <c r="BI1520" s="42"/>
    </row>
    <row r="1521" spans="52:61">
      <c r="AZ1521" s="302"/>
      <c r="BA1521" s="313"/>
      <c r="BB1521" s="167"/>
      <c r="BC1521" s="42"/>
      <c r="BD1521" s="358"/>
      <c r="BH1521" s="302"/>
      <c r="BI1521" s="42"/>
    </row>
    <row r="1522" spans="52:61">
      <c r="AZ1522" s="302"/>
      <c r="BA1522" s="313"/>
      <c r="BB1522" s="167"/>
      <c r="BC1522" s="42"/>
      <c r="BD1522" s="358"/>
      <c r="BH1522" s="302"/>
      <c r="BI1522" s="42"/>
    </row>
    <row r="1523" spans="52:61">
      <c r="AZ1523" s="302"/>
      <c r="BA1523" s="313"/>
      <c r="BB1523" s="167"/>
      <c r="BC1523" s="42"/>
      <c r="BD1523" s="358"/>
      <c r="BH1523" s="302"/>
      <c r="BI1523" s="42"/>
    </row>
    <row r="1524" spans="52:61">
      <c r="AZ1524" s="302"/>
      <c r="BA1524" s="313"/>
      <c r="BB1524" s="167"/>
      <c r="BC1524" s="42"/>
      <c r="BD1524" s="358"/>
      <c r="BH1524" s="302"/>
      <c r="BI1524" s="42"/>
    </row>
    <row r="1525" spans="52:61">
      <c r="AZ1525" s="302"/>
      <c r="BA1525" s="313"/>
      <c r="BB1525" s="167"/>
      <c r="BC1525" s="42"/>
      <c r="BD1525" s="358"/>
      <c r="BH1525" s="302"/>
      <c r="BI1525" s="42"/>
    </row>
    <row r="1526" spans="52:61">
      <c r="AZ1526" s="302"/>
      <c r="BA1526" s="313"/>
      <c r="BB1526" s="167"/>
      <c r="BC1526" s="42"/>
      <c r="BD1526" s="358"/>
      <c r="BH1526" s="302"/>
      <c r="BI1526" s="42"/>
    </row>
    <row r="1527" spans="52:61">
      <c r="AZ1527" s="302"/>
      <c r="BA1527" s="313"/>
      <c r="BB1527" s="167"/>
      <c r="BC1527" s="42"/>
      <c r="BD1527" s="358"/>
      <c r="BH1527" s="302"/>
      <c r="BI1527" s="42"/>
    </row>
    <row r="1528" spans="52:61">
      <c r="AZ1528" s="302"/>
      <c r="BA1528" s="313"/>
      <c r="BB1528" s="167"/>
      <c r="BC1528" s="42"/>
      <c r="BD1528" s="358"/>
      <c r="BH1528" s="302"/>
      <c r="BI1528" s="42"/>
    </row>
    <row r="1529" spans="52:61">
      <c r="AZ1529" s="302"/>
      <c r="BA1529" s="313"/>
      <c r="BB1529" s="167"/>
      <c r="BC1529" s="42"/>
      <c r="BD1529" s="358"/>
      <c r="BH1529" s="302"/>
      <c r="BI1529" s="42"/>
    </row>
    <row r="1530" spans="52:61">
      <c r="AZ1530" s="302"/>
      <c r="BA1530" s="313"/>
      <c r="BB1530" s="167"/>
      <c r="BC1530" s="42"/>
      <c r="BD1530" s="358"/>
      <c r="BH1530" s="302"/>
      <c r="BI1530" s="42"/>
    </row>
    <row r="1531" spans="52:61">
      <c r="AZ1531" s="302"/>
      <c r="BA1531" s="313"/>
      <c r="BB1531" s="167"/>
      <c r="BC1531" s="42"/>
      <c r="BD1531" s="358"/>
      <c r="BH1531" s="302"/>
      <c r="BI1531" s="42"/>
    </row>
    <row r="1532" spans="52:61">
      <c r="AZ1532" s="302"/>
      <c r="BA1532" s="313"/>
      <c r="BB1532" s="167"/>
      <c r="BC1532" s="42"/>
      <c r="BD1532" s="358"/>
      <c r="BH1532" s="302"/>
      <c r="BI1532" s="42"/>
    </row>
    <row r="1533" spans="52:61">
      <c r="AZ1533" s="302"/>
      <c r="BA1533" s="313"/>
      <c r="BB1533" s="167"/>
      <c r="BC1533" s="42"/>
      <c r="BD1533" s="358"/>
      <c r="BH1533" s="302"/>
      <c r="BI1533" s="42"/>
    </row>
    <row r="1534" spans="52:61">
      <c r="AZ1534" s="302"/>
      <c r="BA1534" s="313"/>
      <c r="BB1534" s="167"/>
      <c r="BC1534" s="42"/>
      <c r="BD1534" s="358"/>
      <c r="BH1534" s="302"/>
      <c r="BI1534" s="42"/>
    </row>
    <row r="1535" spans="52:61">
      <c r="AZ1535" s="302"/>
      <c r="BA1535" s="313"/>
      <c r="BB1535" s="167"/>
      <c r="BC1535" s="42"/>
      <c r="BD1535" s="358"/>
      <c r="BH1535" s="302"/>
      <c r="BI1535" s="42"/>
    </row>
    <row r="1536" spans="52:61">
      <c r="AZ1536" s="302"/>
      <c r="BA1536" s="313"/>
      <c r="BB1536" s="167"/>
      <c r="BC1536" s="42"/>
      <c r="BD1536" s="358"/>
      <c r="BH1536" s="302"/>
      <c r="BI1536" s="42"/>
    </row>
    <row r="1537" spans="52:61">
      <c r="AZ1537" s="302"/>
      <c r="BA1537" s="313"/>
      <c r="BB1537" s="167"/>
      <c r="BC1537" s="42"/>
      <c r="BD1537" s="358"/>
      <c r="BH1537" s="302"/>
      <c r="BI1537" s="42"/>
    </row>
    <row r="1538" spans="52:61">
      <c r="AZ1538" s="302"/>
      <c r="BA1538" s="313"/>
      <c r="BB1538" s="167"/>
      <c r="BC1538" s="42"/>
      <c r="BD1538" s="358"/>
      <c r="BH1538" s="302"/>
      <c r="BI1538" s="42"/>
    </row>
    <row r="1539" spans="52:61">
      <c r="AZ1539" s="302"/>
      <c r="BA1539" s="313"/>
      <c r="BB1539" s="167"/>
      <c r="BC1539" s="42"/>
      <c r="BD1539" s="358"/>
      <c r="BH1539" s="302"/>
      <c r="BI1539" s="42"/>
    </row>
    <row r="1540" spans="52:61">
      <c r="AZ1540" s="302"/>
      <c r="BA1540" s="313"/>
      <c r="BB1540" s="167"/>
      <c r="BC1540" s="42"/>
      <c r="BD1540" s="358"/>
      <c r="BH1540" s="302"/>
      <c r="BI1540" s="42"/>
    </row>
    <row r="1541" spans="52:61">
      <c r="AZ1541" s="302"/>
      <c r="BA1541" s="313"/>
      <c r="BB1541" s="167"/>
      <c r="BC1541" s="42"/>
      <c r="BD1541" s="358"/>
      <c r="BH1541" s="302"/>
      <c r="BI1541" s="42"/>
    </row>
    <row r="1542" spans="52:61">
      <c r="AZ1542" s="302"/>
      <c r="BA1542" s="313"/>
      <c r="BB1542" s="167"/>
      <c r="BC1542" s="42"/>
      <c r="BD1542" s="358"/>
      <c r="BH1542" s="302"/>
      <c r="BI1542" s="42"/>
    </row>
    <row r="1543" spans="52:61">
      <c r="AZ1543" s="302"/>
      <c r="BA1543" s="313"/>
      <c r="BB1543" s="167"/>
      <c r="BC1543" s="42"/>
      <c r="BD1543" s="358"/>
      <c r="BH1543" s="302"/>
      <c r="BI1543" s="42"/>
    </row>
    <row r="1544" spans="52:61">
      <c r="AZ1544" s="302"/>
      <c r="BA1544" s="313"/>
      <c r="BB1544" s="167"/>
      <c r="BC1544" s="42"/>
      <c r="BD1544" s="358"/>
      <c r="BH1544" s="302"/>
      <c r="BI1544" s="42"/>
    </row>
    <row r="1545" spans="52:61">
      <c r="AZ1545" s="302"/>
      <c r="BA1545" s="313"/>
      <c r="BB1545" s="167"/>
      <c r="BC1545" s="42"/>
      <c r="BD1545" s="358"/>
      <c r="BH1545" s="302"/>
      <c r="BI1545" s="42"/>
    </row>
    <row r="1546" spans="52:61">
      <c r="AZ1546" s="302"/>
      <c r="BA1546" s="313"/>
      <c r="BB1546" s="167"/>
      <c r="BC1546" s="42"/>
      <c r="BD1546" s="358"/>
      <c r="BH1546" s="302"/>
      <c r="BI1546" s="42"/>
    </row>
    <row r="1547" spans="52:61">
      <c r="AZ1547" s="302"/>
      <c r="BA1547" s="313"/>
      <c r="BB1547" s="167"/>
      <c r="BC1547" s="42"/>
      <c r="BD1547" s="358"/>
      <c r="BH1547" s="302"/>
      <c r="BI1547" s="42"/>
    </row>
    <row r="1548" spans="52:61">
      <c r="AZ1548" s="302"/>
      <c r="BA1548" s="313"/>
      <c r="BB1548" s="167"/>
      <c r="BC1548" s="42"/>
      <c r="BD1548" s="358"/>
      <c r="BH1548" s="302"/>
      <c r="BI1548" s="42"/>
    </row>
    <row r="1549" spans="52:61">
      <c r="AZ1549" s="302"/>
      <c r="BA1549" s="313"/>
      <c r="BB1549" s="167"/>
      <c r="BC1549" s="42"/>
      <c r="BD1549" s="358"/>
      <c r="BH1549" s="302"/>
      <c r="BI1549" s="42"/>
    </row>
    <row r="1550" spans="52:61">
      <c r="AZ1550" s="302"/>
      <c r="BA1550" s="313"/>
      <c r="BB1550" s="167"/>
      <c r="BC1550" s="42"/>
      <c r="BD1550" s="358"/>
      <c r="BH1550" s="302"/>
      <c r="BI1550" s="42"/>
    </row>
    <row r="1551" spans="52:61">
      <c r="AZ1551" s="302"/>
      <c r="BA1551" s="313"/>
      <c r="BB1551" s="167"/>
      <c r="BC1551" s="42"/>
      <c r="BD1551" s="358"/>
      <c r="BH1551" s="302"/>
      <c r="BI1551" s="42"/>
    </row>
    <row r="1552" spans="52:61">
      <c r="AZ1552" s="302"/>
      <c r="BA1552" s="313"/>
      <c r="BB1552" s="167"/>
      <c r="BC1552" s="42"/>
      <c r="BD1552" s="358"/>
      <c r="BH1552" s="302"/>
      <c r="BI1552" s="42"/>
    </row>
    <row r="1553" spans="52:61">
      <c r="AZ1553" s="302"/>
      <c r="BA1553" s="313"/>
      <c r="BB1553" s="167"/>
      <c r="BC1553" s="42"/>
      <c r="BD1553" s="358"/>
      <c r="BH1553" s="302"/>
      <c r="BI1553" s="42"/>
    </row>
    <row r="1554" spans="52:61">
      <c r="AZ1554" s="302"/>
      <c r="BA1554" s="313"/>
      <c r="BB1554" s="167"/>
      <c r="BC1554" s="42"/>
      <c r="BD1554" s="358"/>
      <c r="BH1554" s="302"/>
      <c r="BI1554" s="42"/>
    </row>
    <row r="1555" spans="52:61">
      <c r="AZ1555" s="302"/>
      <c r="BA1555" s="313"/>
      <c r="BB1555" s="167"/>
      <c r="BC1555" s="42"/>
      <c r="BD1555" s="358"/>
      <c r="BH1555" s="302"/>
      <c r="BI1555" s="42"/>
    </row>
    <row r="1556" spans="52:61">
      <c r="AZ1556" s="302"/>
      <c r="BA1556" s="313"/>
      <c r="BB1556" s="167"/>
      <c r="BC1556" s="42"/>
      <c r="BD1556" s="358"/>
      <c r="BH1556" s="302"/>
      <c r="BI1556" s="42"/>
    </row>
    <row r="1557" spans="52:61">
      <c r="AZ1557" s="302"/>
      <c r="BA1557" s="313"/>
      <c r="BB1557" s="167"/>
      <c r="BC1557" s="42"/>
      <c r="BD1557" s="358"/>
      <c r="BH1557" s="302"/>
      <c r="BI1557" s="42"/>
    </row>
    <row r="1558" spans="52:61">
      <c r="AZ1558" s="302"/>
      <c r="BA1558" s="313"/>
      <c r="BB1558" s="167"/>
      <c r="BC1558" s="42"/>
      <c r="BD1558" s="358"/>
      <c r="BH1558" s="302"/>
      <c r="BI1558" s="42"/>
    </row>
    <row r="1559" spans="52:61">
      <c r="AZ1559" s="302"/>
      <c r="BA1559" s="313"/>
      <c r="BB1559" s="167"/>
      <c r="BC1559" s="42"/>
      <c r="BD1559" s="358"/>
      <c r="BH1559" s="302"/>
      <c r="BI1559" s="42"/>
    </row>
    <row r="1560" spans="52:61">
      <c r="AZ1560" s="302"/>
      <c r="BA1560" s="313"/>
      <c r="BB1560" s="167"/>
      <c r="BC1560" s="42"/>
      <c r="BD1560" s="358"/>
      <c r="BH1560" s="302"/>
      <c r="BI1560" s="42"/>
    </row>
    <row r="1561" spans="52:61">
      <c r="AZ1561" s="302"/>
      <c r="BA1561" s="313"/>
      <c r="BB1561" s="167"/>
      <c r="BC1561" s="42"/>
      <c r="BD1561" s="358"/>
      <c r="BH1561" s="302"/>
      <c r="BI1561" s="42"/>
    </row>
    <row r="1562" spans="52:61">
      <c r="AZ1562" s="302"/>
      <c r="BA1562" s="313"/>
      <c r="BB1562" s="167"/>
      <c r="BC1562" s="42"/>
      <c r="BD1562" s="358"/>
      <c r="BH1562" s="302"/>
      <c r="BI1562" s="42"/>
    </row>
    <row r="1563" spans="52:61">
      <c r="AZ1563" s="302"/>
      <c r="BA1563" s="313"/>
      <c r="BB1563" s="167"/>
      <c r="BC1563" s="42"/>
      <c r="BD1563" s="358"/>
      <c r="BH1563" s="302"/>
      <c r="BI1563" s="42"/>
    </row>
    <row r="1564" spans="52:61">
      <c r="AZ1564" s="302"/>
      <c r="BA1564" s="313"/>
      <c r="BB1564" s="167"/>
      <c r="BC1564" s="42"/>
      <c r="BD1564" s="358"/>
      <c r="BH1564" s="302"/>
      <c r="BI1564" s="42"/>
    </row>
    <row r="1565" spans="52:61">
      <c r="AZ1565" s="302"/>
      <c r="BA1565" s="313"/>
      <c r="BB1565" s="167"/>
      <c r="BC1565" s="42"/>
      <c r="BD1565" s="358"/>
      <c r="BH1565" s="302"/>
      <c r="BI1565" s="42"/>
    </row>
    <row r="1566" spans="52:61">
      <c r="AZ1566" s="302"/>
      <c r="BA1566" s="313"/>
      <c r="BB1566" s="167"/>
      <c r="BC1566" s="42"/>
      <c r="BD1566" s="358"/>
      <c r="BH1566" s="302"/>
      <c r="BI1566" s="42"/>
    </row>
    <row r="1567" spans="52:61">
      <c r="AZ1567" s="302"/>
      <c r="BA1567" s="313"/>
      <c r="BB1567" s="167"/>
      <c r="BC1567" s="42"/>
      <c r="BD1567" s="358"/>
      <c r="BH1567" s="302"/>
      <c r="BI1567" s="42"/>
    </row>
    <row r="1568" spans="52:61">
      <c r="AZ1568" s="302"/>
      <c r="BA1568" s="313"/>
      <c r="BB1568" s="167"/>
      <c r="BC1568" s="42"/>
      <c r="BD1568" s="358"/>
      <c r="BH1568" s="302"/>
      <c r="BI1568" s="42"/>
    </row>
    <row r="1569" spans="52:61">
      <c r="AZ1569" s="302"/>
      <c r="BA1569" s="313"/>
      <c r="BB1569" s="167"/>
      <c r="BC1569" s="42"/>
      <c r="BD1569" s="358"/>
      <c r="BH1569" s="302"/>
      <c r="BI1569" s="42"/>
    </row>
    <row r="1570" spans="52:61">
      <c r="AZ1570" s="302"/>
      <c r="BA1570" s="313"/>
      <c r="BB1570" s="167"/>
      <c r="BC1570" s="42"/>
      <c r="BD1570" s="358"/>
      <c r="BH1570" s="302"/>
      <c r="BI1570" s="42"/>
    </row>
    <row r="1571" spans="52:61">
      <c r="AZ1571" s="302"/>
      <c r="BA1571" s="313"/>
      <c r="BB1571" s="167"/>
      <c r="BC1571" s="42"/>
      <c r="BD1571" s="358"/>
      <c r="BH1571" s="302"/>
      <c r="BI1571" s="42"/>
    </row>
    <row r="1572" spans="52:61">
      <c r="AZ1572" s="302"/>
      <c r="BA1572" s="313"/>
      <c r="BB1572" s="167"/>
      <c r="BC1572" s="42"/>
      <c r="BD1572" s="358"/>
      <c r="BH1572" s="302"/>
      <c r="BI1572" s="42"/>
    </row>
    <row r="1573" spans="52:61">
      <c r="AZ1573" s="302"/>
      <c r="BA1573" s="313"/>
      <c r="BB1573" s="167"/>
      <c r="BC1573" s="42"/>
      <c r="BD1573" s="358"/>
      <c r="BH1573" s="302"/>
      <c r="BI1573" s="42"/>
    </row>
    <row r="1574" spans="52:61">
      <c r="AZ1574" s="302"/>
      <c r="BA1574" s="313"/>
      <c r="BB1574" s="167"/>
      <c r="BC1574" s="42"/>
      <c r="BD1574" s="358"/>
      <c r="BH1574" s="302"/>
      <c r="BI1574" s="42"/>
    </row>
    <row r="1575" spans="52:61">
      <c r="AZ1575" s="302"/>
      <c r="BA1575" s="313"/>
      <c r="BB1575" s="167"/>
      <c r="BC1575" s="42"/>
      <c r="BD1575" s="358"/>
      <c r="BH1575" s="302"/>
      <c r="BI1575" s="42"/>
    </row>
    <row r="1576" spans="52:61">
      <c r="AZ1576" s="302"/>
      <c r="BA1576" s="313"/>
      <c r="BB1576" s="167"/>
      <c r="BC1576" s="42"/>
      <c r="BD1576" s="358"/>
      <c r="BH1576" s="302"/>
      <c r="BI1576" s="42"/>
    </row>
    <row r="1577" spans="52:61">
      <c r="AZ1577" s="302"/>
      <c r="BA1577" s="313"/>
      <c r="BB1577" s="167"/>
      <c r="BC1577" s="42"/>
      <c r="BD1577" s="358"/>
      <c r="BH1577" s="302"/>
      <c r="BI1577" s="42"/>
    </row>
    <row r="1578" spans="52:61">
      <c r="AZ1578" s="302"/>
      <c r="BA1578" s="313"/>
      <c r="BB1578" s="167"/>
      <c r="BC1578" s="42"/>
      <c r="BD1578" s="358"/>
      <c r="BH1578" s="302"/>
      <c r="BI1578" s="42"/>
    </row>
    <row r="1579" spans="52:61">
      <c r="AZ1579" s="302"/>
      <c r="BA1579" s="313"/>
      <c r="BB1579" s="167"/>
      <c r="BC1579" s="42"/>
      <c r="BD1579" s="358"/>
      <c r="BH1579" s="302"/>
      <c r="BI1579" s="42"/>
    </row>
    <row r="1580" spans="52:61">
      <c r="AZ1580" s="302"/>
      <c r="BA1580" s="313"/>
      <c r="BB1580" s="167"/>
      <c r="BC1580" s="42"/>
      <c r="BD1580" s="358"/>
      <c r="BH1580" s="302"/>
      <c r="BI1580" s="42"/>
    </row>
    <row r="1581" spans="52:61">
      <c r="AZ1581" s="302"/>
      <c r="BA1581" s="313"/>
      <c r="BB1581" s="167"/>
      <c r="BC1581" s="42"/>
      <c r="BD1581" s="358"/>
      <c r="BH1581" s="302"/>
      <c r="BI1581" s="42"/>
    </row>
    <row r="1582" spans="52:61">
      <c r="AZ1582" s="302"/>
      <c r="BA1582" s="313"/>
      <c r="BB1582" s="167"/>
      <c r="BC1582" s="42"/>
      <c r="BD1582" s="358"/>
      <c r="BH1582" s="302"/>
      <c r="BI1582" s="42"/>
    </row>
    <row r="1583" spans="52:61">
      <c r="AZ1583" s="302"/>
      <c r="BA1583" s="313"/>
      <c r="BB1583" s="167"/>
      <c r="BC1583" s="42"/>
      <c r="BD1583" s="358"/>
      <c r="BH1583" s="302"/>
      <c r="BI1583" s="42"/>
    </row>
    <row r="1584" spans="52:61">
      <c r="AZ1584" s="302"/>
      <c r="BA1584" s="313"/>
      <c r="BB1584" s="167"/>
      <c r="BC1584" s="42"/>
      <c r="BD1584" s="358"/>
      <c r="BH1584" s="302"/>
      <c r="BI1584" s="42"/>
    </row>
    <row r="1585" spans="52:61">
      <c r="AZ1585" s="302"/>
      <c r="BA1585" s="313"/>
      <c r="BB1585" s="167"/>
      <c r="BC1585" s="42"/>
      <c r="BD1585" s="358"/>
      <c r="BH1585" s="302"/>
      <c r="BI1585" s="42"/>
    </row>
    <row r="1586" spans="52:61">
      <c r="AZ1586" s="302"/>
      <c r="BA1586" s="313"/>
      <c r="BB1586" s="167"/>
      <c r="BC1586" s="42"/>
      <c r="BD1586" s="358"/>
      <c r="BH1586" s="302"/>
      <c r="BI1586" s="42"/>
    </row>
    <row r="1587" spans="52:61">
      <c r="AZ1587" s="302"/>
      <c r="BA1587" s="313"/>
      <c r="BB1587" s="167"/>
      <c r="BC1587" s="42"/>
      <c r="BD1587" s="358"/>
      <c r="BH1587" s="302"/>
      <c r="BI1587" s="42"/>
    </row>
    <row r="1588" spans="52:61">
      <c r="AZ1588" s="302"/>
      <c r="BA1588" s="313"/>
      <c r="BB1588" s="167"/>
      <c r="BC1588" s="42"/>
      <c r="BD1588" s="358"/>
      <c r="BH1588" s="302"/>
      <c r="BI1588" s="42"/>
    </row>
    <row r="1589" spans="52:61">
      <c r="AZ1589" s="302"/>
      <c r="BA1589" s="313"/>
      <c r="BB1589" s="167"/>
      <c r="BC1589" s="42"/>
      <c r="BD1589" s="358"/>
      <c r="BH1589" s="302"/>
      <c r="BI1589" s="42"/>
    </row>
    <row r="1590" spans="52:61">
      <c r="AZ1590" s="302"/>
      <c r="BA1590" s="313"/>
      <c r="BB1590" s="167"/>
      <c r="BC1590" s="42"/>
      <c r="BD1590" s="358"/>
      <c r="BH1590" s="302"/>
      <c r="BI1590" s="42"/>
    </row>
    <row r="1591" spans="52:61">
      <c r="AZ1591" s="302"/>
      <c r="BA1591" s="313"/>
      <c r="BB1591" s="167"/>
      <c r="BC1591" s="42"/>
      <c r="BD1591" s="358"/>
      <c r="BH1591" s="302"/>
      <c r="BI1591" s="42"/>
    </row>
    <row r="1592" spans="52:61">
      <c r="AZ1592" s="302"/>
      <c r="BA1592" s="313"/>
      <c r="BB1592" s="167"/>
      <c r="BC1592" s="42"/>
      <c r="BD1592" s="358"/>
      <c r="BH1592" s="302"/>
      <c r="BI1592" s="42"/>
    </row>
    <row r="1593" spans="52:61">
      <c r="AZ1593" s="302"/>
      <c r="BA1593" s="313"/>
      <c r="BB1593" s="167"/>
      <c r="BC1593" s="42"/>
      <c r="BD1593" s="358"/>
      <c r="BH1593" s="302"/>
      <c r="BI1593" s="42"/>
    </row>
    <row r="1594" spans="52:61">
      <c r="AZ1594" s="302"/>
      <c r="BA1594" s="313"/>
      <c r="BB1594" s="167"/>
      <c r="BC1594" s="42"/>
      <c r="BD1594" s="358"/>
      <c r="BH1594" s="302"/>
      <c r="BI1594" s="42"/>
    </row>
    <row r="1595" spans="52:61">
      <c r="AZ1595" s="302"/>
      <c r="BA1595" s="313"/>
      <c r="BB1595" s="167"/>
      <c r="BC1595" s="42"/>
      <c r="BD1595" s="358"/>
      <c r="BH1595" s="302"/>
      <c r="BI1595" s="42"/>
    </row>
    <row r="1596" spans="52:61">
      <c r="AZ1596" s="302"/>
      <c r="BA1596" s="313"/>
      <c r="BB1596" s="167"/>
      <c r="BC1596" s="42"/>
      <c r="BD1596" s="358"/>
      <c r="BH1596" s="302"/>
      <c r="BI1596" s="42"/>
    </row>
    <row r="1597" spans="52:61">
      <c r="AZ1597" s="302"/>
      <c r="BA1597" s="313"/>
      <c r="BB1597" s="167"/>
      <c r="BC1597" s="42"/>
      <c r="BD1597" s="358"/>
      <c r="BH1597" s="302"/>
      <c r="BI1597" s="42"/>
    </row>
    <row r="1598" spans="52:61">
      <c r="AZ1598" s="302"/>
      <c r="BA1598" s="313"/>
      <c r="BB1598" s="167"/>
      <c r="BC1598" s="42"/>
      <c r="BD1598" s="358"/>
      <c r="BH1598" s="302"/>
      <c r="BI1598" s="42"/>
    </row>
    <row r="1599" spans="52:61">
      <c r="AZ1599" s="302"/>
      <c r="BA1599" s="313"/>
      <c r="BB1599" s="167"/>
      <c r="BC1599" s="42"/>
      <c r="BD1599" s="358"/>
      <c r="BH1599" s="302"/>
      <c r="BI1599" s="42"/>
    </row>
    <row r="1600" spans="52:61">
      <c r="AZ1600" s="302"/>
      <c r="BA1600" s="313"/>
      <c r="BB1600" s="167"/>
      <c r="BC1600" s="42"/>
      <c r="BD1600" s="358"/>
      <c r="BH1600" s="302"/>
      <c r="BI1600" s="42"/>
    </row>
    <row r="1601" spans="52:61">
      <c r="AZ1601" s="302"/>
      <c r="BA1601" s="313"/>
      <c r="BB1601" s="167"/>
      <c r="BC1601" s="42"/>
      <c r="BD1601" s="358"/>
      <c r="BH1601" s="302"/>
      <c r="BI1601" s="42"/>
    </row>
    <row r="1602" spans="52:61">
      <c r="AZ1602" s="302"/>
      <c r="BA1602" s="313"/>
      <c r="BB1602" s="167"/>
      <c r="BC1602" s="42"/>
      <c r="BD1602" s="358"/>
      <c r="BH1602" s="302"/>
      <c r="BI1602" s="42"/>
    </row>
    <row r="1603" spans="52:61">
      <c r="AZ1603" s="302"/>
      <c r="BA1603" s="313"/>
      <c r="BB1603" s="167"/>
      <c r="BC1603" s="42"/>
      <c r="BD1603" s="358"/>
      <c r="BH1603" s="302"/>
      <c r="BI1603" s="42"/>
    </row>
    <row r="1604" spans="52:61">
      <c r="AZ1604" s="302"/>
      <c r="BA1604" s="313"/>
      <c r="BB1604" s="167"/>
      <c r="BC1604" s="42"/>
      <c r="BD1604" s="358"/>
      <c r="BH1604" s="302"/>
      <c r="BI1604" s="42"/>
    </row>
    <row r="1605" spans="52:61">
      <c r="AZ1605" s="302"/>
      <c r="BA1605" s="313"/>
      <c r="BB1605" s="167"/>
      <c r="BC1605" s="42"/>
      <c r="BD1605" s="358"/>
      <c r="BH1605" s="302"/>
      <c r="BI1605" s="42"/>
    </row>
    <row r="1606" spans="52:61">
      <c r="AZ1606" s="302"/>
      <c r="BA1606" s="313"/>
      <c r="BB1606" s="167"/>
      <c r="BC1606" s="42"/>
      <c r="BD1606" s="358"/>
      <c r="BH1606" s="302"/>
      <c r="BI1606" s="42"/>
    </row>
    <row r="1607" spans="52:61">
      <c r="AZ1607" s="302"/>
      <c r="BA1607" s="313"/>
      <c r="BB1607" s="167"/>
      <c r="BC1607" s="42"/>
      <c r="BD1607" s="358"/>
      <c r="BH1607" s="302"/>
      <c r="BI1607" s="42"/>
    </row>
    <row r="1608" spans="52:61">
      <c r="AZ1608" s="302"/>
      <c r="BA1608" s="313"/>
      <c r="BB1608" s="167"/>
      <c r="BC1608" s="42"/>
      <c r="BD1608" s="358"/>
      <c r="BH1608" s="302"/>
      <c r="BI1608" s="42"/>
    </row>
    <row r="1609" spans="52:61">
      <c r="AZ1609" s="302"/>
      <c r="BA1609" s="313"/>
      <c r="BB1609" s="167"/>
      <c r="BC1609" s="42"/>
      <c r="BD1609" s="358"/>
      <c r="BH1609" s="302"/>
      <c r="BI1609" s="42"/>
    </row>
    <row r="1610" spans="52:61">
      <c r="AZ1610" s="302"/>
      <c r="BA1610" s="313"/>
      <c r="BB1610" s="167"/>
      <c r="BC1610" s="42"/>
      <c r="BD1610" s="358"/>
      <c r="BH1610" s="302"/>
      <c r="BI1610" s="42"/>
    </row>
    <row r="1611" spans="52:61">
      <c r="AZ1611" s="302"/>
      <c r="BA1611" s="313"/>
      <c r="BB1611" s="167"/>
      <c r="BC1611" s="42"/>
      <c r="BD1611" s="358"/>
      <c r="BH1611" s="302"/>
      <c r="BI1611" s="42"/>
    </row>
    <row r="1612" spans="52:61">
      <c r="AZ1612" s="302"/>
      <c r="BA1612" s="313"/>
      <c r="BB1612" s="167"/>
      <c r="BC1612" s="42"/>
      <c r="BD1612" s="358"/>
      <c r="BH1612" s="302"/>
      <c r="BI1612" s="42"/>
    </row>
    <row r="1613" spans="52:61">
      <c r="AZ1613" s="302"/>
      <c r="BA1613" s="313"/>
      <c r="BB1613" s="167"/>
      <c r="BC1613" s="42"/>
      <c r="BD1613" s="358"/>
      <c r="BH1613" s="302"/>
      <c r="BI1613" s="42"/>
    </row>
    <row r="1614" spans="52:61">
      <c r="AZ1614" s="302"/>
      <c r="BA1614" s="313"/>
      <c r="BB1614" s="167"/>
      <c r="BC1614" s="42"/>
      <c r="BD1614" s="358"/>
      <c r="BH1614" s="302"/>
      <c r="BI1614" s="42"/>
    </row>
    <row r="1615" spans="52:61">
      <c r="AZ1615" s="302"/>
      <c r="BA1615" s="313"/>
      <c r="BB1615" s="167"/>
      <c r="BC1615" s="42"/>
      <c r="BD1615" s="358"/>
      <c r="BH1615" s="302"/>
      <c r="BI1615" s="42"/>
    </row>
    <row r="1616" spans="52:61">
      <c r="AZ1616" s="302"/>
      <c r="BA1616" s="313"/>
      <c r="BB1616" s="167"/>
      <c r="BC1616" s="42"/>
      <c r="BD1616" s="358"/>
      <c r="BH1616" s="302"/>
      <c r="BI1616" s="42"/>
    </row>
    <row r="1617" spans="52:61">
      <c r="AZ1617" s="302"/>
      <c r="BA1617" s="313"/>
      <c r="BB1617" s="167"/>
      <c r="BC1617" s="42"/>
      <c r="BD1617" s="358"/>
      <c r="BH1617" s="302"/>
      <c r="BI1617" s="42"/>
    </row>
    <row r="1618" spans="52:61">
      <c r="AZ1618" s="302"/>
      <c r="BA1618" s="313"/>
      <c r="BB1618" s="167"/>
      <c r="BC1618" s="42"/>
      <c r="BD1618" s="358"/>
      <c r="BH1618" s="302"/>
      <c r="BI1618" s="42"/>
    </row>
    <row r="1619" spans="52:61">
      <c r="AZ1619" s="302"/>
      <c r="BA1619" s="313"/>
      <c r="BB1619" s="167"/>
      <c r="BC1619" s="42"/>
      <c r="BD1619" s="358"/>
      <c r="BH1619" s="302"/>
      <c r="BI1619" s="42"/>
    </row>
    <row r="1620" spans="52:61">
      <c r="AZ1620" s="302"/>
      <c r="BA1620" s="313"/>
      <c r="BB1620" s="167"/>
      <c r="BC1620" s="42"/>
      <c r="BD1620" s="358"/>
      <c r="BH1620" s="302"/>
      <c r="BI1620" s="42"/>
    </row>
    <row r="1621" spans="52:61">
      <c r="AZ1621" s="302"/>
      <c r="BA1621" s="313"/>
      <c r="BB1621" s="167"/>
      <c r="BC1621" s="42"/>
      <c r="BD1621" s="358"/>
      <c r="BH1621" s="302"/>
      <c r="BI1621" s="42"/>
    </row>
    <row r="1622" spans="52:61">
      <c r="AZ1622" s="302"/>
      <c r="BA1622" s="313"/>
      <c r="BB1622" s="167"/>
      <c r="BC1622" s="42"/>
      <c r="BD1622" s="358"/>
      <c r="BH1622" s="302"/>
      <c r="BI1622" s="42"/>
    </row>
    <row r="1623" spans="52:61">
      <c r="AZ1623" s="302"/>
      <c r="BA1623" s="313"/>
      <c r="BB1623" s="167"/>
      <c r="BC1623" s="42"/>
      <c r="BD1623" s="358"/>
      <c r="BH1623" s="302"/>
      <c r="BI1623" s="42"/>
    </row>
    <row r="1624" spans="52:61">
      <c r="AZ1624" s="302"/>
      <c r="BA1624" s="313"/>
      <c r="BB1624" s="167"/>
      <c r="BC1624" s="42"/>
      <c r="BD1624" s="358"/>
      <c r="BH1624" s="302"/>
      <c r="BI1624" s="42"/>
    </row>
    <row r="1625" spans="52:61">
      <c r="AZ1625" s="302"/>
      <c r="BA1625" s="313"/>
      <c r="BB1625" s="167"/>
      <c r="BC1625" s="42"/>
      <c r="BD1625" s="358"/>
      <c r="BH1625" s="302"/>
      <c r="BI1625" s="42"/>
    </row>
    <row r="1626" spans="52:61">
      <c r="AZ1626" s="302"/>
      <c r="BA1626" s="313"/>
      <c r="BB1626" s="167"/>
      <c r="BC1626" s="42"/>
      <c r="BD1626" s="358"/>
      <c r="BH1626" s="302"/>
      <c r="BI1626" s="42"/>
    </row>
    <row r="1627" spans="52:61">
      <c r="AZ1627" s="302"/>
      <c r="BA1627" s="313"/>
      <c r="BB1627" s="167"/>
      <c r="BC1627" s="42"/>
      <c r="BD1627" s="358"/>
      <c r="BH1627" s="302"/>
      <c r="BI1627" s="42"/>
    </row>
    <row r="1628" spans="52:61">
      <c r="AZ1628" s="302"/>
      <c r="BA1628" s="313"/>
      <c r="BB1628" s="167"/>
      <c r="BC1628" s="42"/>
      <c r="BD1628" s="358"/>
      <c r="BH1628" s="302"/>
      <c r="BI1628" s="42"/>
    </row>
    <row r="1629" spans="52:61">
      <c r="AZ1629" s="302"/>
      <c r="BA1629" s="313"/>
      <c r="BB1629" s="167"/>
      <c r="BC1629" s="42"/>
      <c r="BD1629" s="358"/>
      <c r="BH1629" s="302"/>
      <c r="BI1629" s="42"/>
    </row>
    <row r="1630" spans="52:61">
      <c r="AZ1630" s="302"/>
      <c r="BA1630" s="313"/>
      <c r="BB1630" s="167"/>
      <c r="BC1630" s="42"/>
      <c r="BD1630" s="358"/>
      <c r="BH1630" s="302"/>
      <c r="BI1630" s="42"/>
    </row>
    <row r="1631" spans="52:61">
      <c r="AZ1631" s="302"/>
      <c r="BA1631" s="313"/>
      <c r="BB1631" s="167"/>
      <c r="BC1631" s="42"/>
      <c r="BD1631" s="358"/>
      <c r="BH1631" s="302"/>
      <c r="BI1631" s="42"/>
    </row>
    <row r="1632" spans="52:61">
      <c r="AZ1632" s="302"/>
      <c r="BA1632" s="313"/>
      <c r="BB1632" s="167"/>
      <c r="BC1632" s="42"/>
      <c r="BD1632" s="358"/>
      <c r="BH1632" s="302"/>
      <c r="BI1632" s="42"/>
    </row>
    <row r="1633" spans="52:61">
      <c r="AZ1633" s="302"/>
      <c r="BA1633" s="313"/>
      <c r="BB1633" s="167"/>
      <c r="BC1633" s="42"/>
      <c r="BD1633" s="358"/>
      <c r="BH1633" s="302"/>
      <c r="BI1633" s="42"/>
    </row>
    <row r="1634" spans="52:61">
      <c r="AZ1634" s="302"/>
      <c r="BA1634" s="313"/>
      <c r="BB1634" s="167"/>
      <c r="BC1634" s="42"/>
      <c r="BD1634" s="358"/>
      <c r="BH1634" s="302"/>
      <c r="BI1634" s="42"/>
    </row>
    <row r="1635" spans="52:61">
      <c r="AZ1635" s="302"/>
      <c r="BA1635" s="313"/>
      <c r="BB1635" s="167"/>
      <c r="BC1635" s="42"/>
      <c r="BD1635" s="358"/>
      <c r="BH1635" s="302"/>
      <c r="BI1635" s="42"/>
    </row>
    <row r="1636" spans="52:61">
      <c r="AZ1636" s="302"/>
      <c r="BA1636" s="313"/>
      <c r="BB1636" s="167"/>
      <c r="BC1636" s="42"/>
      <c r="BD1636" s="358"/>
      <c r="BH1636" s="302"/>
      <c r="BI1636" s="42"/>
    </row>
    <row r="1637" spans="52:61">
      <c r="AZ1637" s="302"/>
      <c r="BA1637" s="313"/>
      <c r="BB1637" s="167"/>
      <c r="BC1637" s="42"/>
      <c r="BD1637" s="358"/>
      <c r="BH1637" s="302"/>
      <c r="BI1637" s="42"/>
    </row>
    <row r="1638" spans="52:61">
      <c r="AZ1638" s="302"/>
      <c r="BA1638" s="313"/>
      <c r="BB1638" s="167"/>
      <c r="BC1638" s="42"/>
      <c r="BD1638" s="358"/>
      <c r="BH1638" s="302"/>
      <c r="BI1638" s="42"/>
    </row>
    <row r="1639" spans="52:61">
      <c r="AZ1639" s="302"/>
      <c r="BA1639" s="313"/>
      <c r="BB1639" s="167"/>
      <c r="BC1639" s="42"/>
      <c r="BD1639" s="358"/>
      <c r="BH1639" s="302"/>
      <c r="BI1639" s="42"/>
    </row>
    <row r="1640" spans="52:61">
      <c r="AZ1640" s="302"/>
      <c r="BA1640" s="313"/>
      <c r="BB1640" s="167"/>
      <c r="BC1640" s="42"/>
      <c r="BD1640" s="358"/>
      <c r="BH1640" s="302"/>
      <c r="BI1640" s="42"/>
    </row>
    <row r="1641" spans="52:61">
      <c r="AZ1641" s="302"/>
      <c r="BA1641" s="313"/>
      <c r="BB1641" s="167"/>
      <c r="BC1641" s="42"/>
      <c r="BD1641" s="358"/>
      <c r="BH1641" s="302"/>
      <c r="BI1641" s="42"/>
    </row>
    <row r="1642" spans="52:61">
      <c r="AZ1642" s="302"/>
      <c r="BA1642" s="313"/>
      <c r="BB1642" s="167"/>
      <c r="BC1642" s="42"/>
      <c r="BD1642" s="358"/>
      <c r="BH1642" s="302"/>
      <c r="BI1642" s="42"/>
    </row>
    <row r="1643" spans="52:61">
      <c r="AZ1643" s="302"/>
      <c r="BA1643" s="313"/>
      <c r="BB1643" s="167"/>
      <c r="BC1643" s="42"/>
      <c r="BD1643" s="358"/>
      <c r="BH1643" s="302"/>
      <c r="BI1643" s="42"/>
    </row>
    <row r="1644" spans="52:61">
      <c r="AZ1644" s="302"/>
      <c r="BA1644" s="313"/>
      <c r="BB1644" s="167"/>
      <c r="BC1644" s="42"/>
      <c r="BD1644" s="358"/>
      <c r="BH1644" s="302"/>
      <c r="BI1644" s="42"/>
    </row>
    <row r="1645" spans="52:61">
      <c r="AZ1645" s="302"/>
      <c r="BA1645" s="313"/>
      <c r="BB1645" s="167"/>
      <c r="BC1645" s="42"/>
      <c r="BD1645" s="358"/>
      <c r="BH1645" s="302"/>
      <c r="BI1645" s="42"/>
    </row>
    <row r="1646" spans="52:61">
      <c r="AZ1646" s="302"/>
      <c r="BA1646" s="313"/>
      <c r="BB1646" s="167"/>
      <c r="BC1646" s="42"/>
      <c r="BD1646" s="358"/>
      <c r="BH1646" s="302"/>
      <c r="BI1646" s="42"/>
    </row>
    <row r="1647" spans="52:61">
      <c r="AZ1647" s="302"/>
      <c r="BA1647" s="313"/>
      <c r="BB1647" s="167"/>
      <c r="BC1647" s="42"/>
      <c r="BD1647" s="358"/>
      <c r="BH1647" s="302"/>
      <c r="BI1647" s="42"/>
    </row>
    <row r="1648" spans="52:61">
      <c r="AZ1648" s="302"/>
      <c r="BA1648" s="313"/>
      <c r="BB1648" s="167"/>
      <c r="BC1648" s="42"/>
      <c r="BD1648" s="358"/>
      <c r="BH1648" s="302"/>
      <c r="BI1648" s="42"/>
    </row>
    <row r="1649" spans="52:61">
      <c r="AZ1649" s="302"/>
      <c r="BA1649" s="313"/>
      <c r="BB1649" s="167"/>
      <c r="BC1649" s="42"/>
      <c r="BD1649" s="358"/>
      <c r="BH1649" s="302"/>
      <c r="BI1649" s="42"/>
    </row>
    <row r="1650" spans="52:61">
      <c r="AZ1650" s="302"/>
      <c r="BA1650" s="313"/>
      <c r="BB1650" s="167"/>
      <c r="BC1650" s="42"/>
      <c r="BD1650" s="358"/>
      <c r="BH1650" s="302"/>
      <c r="BI1650" s="42"/>
    </row>
    <row r="1651" spans="52:61">
      <c r="AZ1651" s="302"/>
      <c r="BA1651" s="313"/>
      <c r="BB1651" s="167"/>
      <c r="BC1651" s="42"/>
      <c r="BD1651" s="358"/>
      <c r="BH1651" s="302"/>
      <c r="BI1651" s="42"/>
    </row>
    <row r="1652" spans="52:61">
      <c r="AZ1652" s="302"/>
      <c r="BA1652" s="313"/>
      <c r="BB1652" s="167"/>
      <c r="BC1652" s="42"/>
      <c r="BD1652" s="358"/>
      <c r="BH1652" s="302"/>
      <c r="BI1652" s="42"/>
    </row>
    <row r="1653" spans="52:61">
      <c r="AZ1653" s="302"/>
      <c r="BA1653" s="313"/>
      <c r="BB1653" s="167"/>
      <c r="BC1653" s="42"/>
      <c r="BD1653" s="358"/>
      <c r="BH1653" s="302"/>
      <c r="BI1653" s="42"/>
    </row>
    <row r="1654" spans="52:61">
      <c r="AZ1654" s="302"/>
      <c r="BA1654" s="313"/>
      <c r="BB1654" s="167"/>
      <c r="BC1654" s="42"/>
      <c r="BD1654" s="358"/>
      <c r="BH1654" s="302"/>
      <c r="BI1654" s="42"/>
    </row>
    <row r="1655" spans="52:61">
      <c r="AZ1655" s="302"/>
      <c r="BA1655" s="313"/>
      <c r="BB1655" s="167"/>
      <c r="BC1655" s="42"/>
      <c r="BD1655" s="358"/>
      <c r="BH1655" s="302"/>
      <c r="BI1655" s="42"/>
    </row>
    <row r="1656" spans="52:61">
      <c r="AZ1656" s="302"/>
      <c r="BA1656" s="313"/>
      <c r="BB1656" s="167"/>
      <c r="BC1656" s="42"/>
      <c r="BD1656" s="358"/>
      <c r="BH1656" s="302"/>
      <c r="BI1656" s="42"/>
    </row>
    <row r="1657" spans="52:61">
      <c r="AZ1657" s="302"/>
      <c r="BA1657" s="313"/>
      <c r="BB1657" s="167"/>
      <c r="BC1657" s="42"/>
      <c r="BD1657" s="358"/>
      <c r="BH1657" s="302"/>
      <c r="BI1657" s="42"/>
    </row>
    <row r="1658" spans="52:61">
      <c r="AZ1658" s="302"/>
      <c r="BA1658" s="313"/>
      <c r="BB1658" s="167"/>
      <c r="BC1658" s="42"/>
      <c r="BD1658" s="358"/>
      <c r="BH1658" s="302"/>
      <c r="BI1658" s="42"/>
    </row>
    <row r="1659" spans="52:61">
      <c r="AZ1659" s="302"/>
      <c r="BA1659" s="313"/>
      <c r="BB1659" s="167"/>
      <c r="BC1659" s="42"/>
      <c r="BD1659" s="358"/>
      <c r="BH1659" s="302"/>
      <c r="BI1659" s="42"/>
    </row>
    <row r="1660" spans="52:61">
      <c r="AZ1660" s="302"/>
      <c r="BA1660" s="313"/>
      <c r="BB1660" s="167"/>
      <c r="BC1660" s="42"/>
      <c r="BD1660" s="358"/>
      <c r="BH1660" s="302"/>
      <c r="BI1660" s="42"/>
    </row>
    <row r="1661" spans="52:61">
      <c r="AZ1661" s="302"/>
      <c r="BA1661" s="313"/>
      <c r="BB1661" s="167"/>
      <c r="BC1661" s="42"/>
      <c r="BD1661" s="358"/>
      <c r="BH1661" s="302"/>
      <c r="BI1661" s="42"/>
    </row>
    <row r="1662" spans="52:61">
      <c r="AZ1662" s="302"/>
      <c r="BA1662" s="313"/>
      <c r="BB1662" s="167"/>
      <c r="BC1662" s="42"/>
      <c r="BD1662" s="358"/>
      <c r="BH1662" s="302"/>
      <c r="BI1662" s="42"/>
    </row>
    <row r="1663" spans="52:61">
      <c r="AZ1663" s="302"/>
      <c r="BA1663" s="313"/>
      <c r="BB1663" s="167"/>
      <c r="BC1663" s="42"/>
      <c r="BD1663" s="358"/>
      <c r="BH1663" s="302"/>
      <c r="BI1663" s="42"/>
    </row>
    <row r="1664" spans="52:61">
      <c r="AZ1664" s="302"/>
      <c r="BA1664" s="313"/>
      <c r="BB1664" s="167"/>
      <c r="BC1664" s="42"/>
      <c r="BD1664" s="358"/>
      <c r="BH1664" s="302"/>
      <c r="BI1664" s="42"/>
    </row>
    <row r="1665" spans="52:61">
      <c r="AZ1665" s="302"/>
      <c r="BA1665" s="313"/>
      <c r="BB1665" s="167"/>
      <c r="BC1665" s="42"/>
      <c r="BD1665" s="358"/>
      <c r="BH1665" s="302"/>
      <c r="BI1665" s="42"/>
    </row>
    <row r="1666" spans="52:61">
      <c r="AZ1666" s="302"/>
      <c r="BA1666" s="313"/>
      <c r="BB1666" s="167"/>
      <c r="BC1666" s="42"/>
      <c r="BD1666" s="358"/>
      <c r="BH1666" s="302"/>
      <c r="BI1666" s="42"/>
    </row>
    <row r="1667" spans="52:61">
      <c r="AZ1667" s="302"/>
      <c r="BA1667" s="313"/>
      <c r="BB1667" s="167"/>
      <c r="BC1667" s="42"/>
      <c r="BD1667" s="358"/>
      <c r="BH1667" s="302"/>
      <c r="BI1667" s="42"/>
    </row>
    <row r="1668" spans="52:61">
      <c r="AZ1668" s="302"/>
      <c r="BA1668" s="313"/>
      <c r="BB1668" s="167"/>
      <c r="BC1668" s="42"/>
      <c r="BD1668" s="358"/>
      <c r="BH1668" s="302"/>
      <c r="BI1668" s="42"/>
    </row>
    <row r="1669" spans="52:61">
      <c r="AZ1669" s="302"/>
      <c r="BA1669" s="313"/>
      <c r="BB1669" s="167"/>
      <c r="BC1669" s="42"/>
      <c r="BD1669" s="358"/>
      <c r="BH1669" s="302"/>
      <c r="BI1669" s="42"/>
    </row>
    <row r="1670" spans="52:61">
      <c r="AZ1670" s="302"/>
      <c r="BA1670" s="313"/>
      <c r="BB1670" s="167"/>
      <c r="BC1670" s="42"/>
      <c r="BD1670" s="358"/>
      <c r="BH1670" s="302"/>
      <c r="BI1670" s="42"/>
    </row>
    <row r="1671" spans="52:61">
      <c r="AZ1671" s="302"/>
      <c r="BA1671" s="313"/>
      <c r="BB1671" s="167"/>
      <c r="BC1671" s="42"/>
      <c r="BD1671" s="358"/>
      <c r="BH1671" s="302"/>
      <c r="BI1671" s="42"/>
    </row>
    <row r="1672" spans="52:61">
      <c r="AZ1672" s="302"/>
      <c r="BA1672" s="313"/>
      <c r="BB1672" s="167"/>
      <c r="BC1672" s="42"/>
      <c r="BD1672" s="358"/>
      <c r="BH1672" s="302"/>
      <c r="BI1672" s="42"/>
    </row>
    <row r="1673" spans="52:61">
      <c r="AZ1673" s="302"/>
      <c r="BA1673" s="313"/>
      <c r="BB1673" s="167"/>
      <c r="BC1673" s="42"/>
      <c r="BD1673" s="358"/>
      <c r="BH1673" s="302"/>
      <c r="BI1673" s="42"/>
    </row>
    <row r="1674" spans="52:61">
      <c r="AZ1674" s="302"/>
      <c r="BA1674" s="313"/>
      <c r="BB1674" s="167"/>
      <c r="BC1674" s="42"/>
      <c r="BD1674" s="358"/>
      <c r="BH1674" s="302"/>
      <c r="BI1674" s="42"/>
    </row>
    <row r="1675" spans="52:61">
      <c r="AZ1675" s="302"/>
      <c r="BA1675" s="313"/>
      <c r="BB1675" s="167"/>
      <c r="BC1675" s="42"/>
      <c r="BD1675" s="358"/>
      <c r="BH1675" s="302"/>
      <c r="BI1675" s="42"/>
    </row>
    <row r="1676" spans="52:61">
      <c r="AZ1676" s="302"/>
      <c r="BA1676" s="313"/>
      <c r="BB1676" s="167"/>
      <c r="BC1676" s="42"/>
      <c r="BD1676" s="358"/>
      <c r="BH1676" s="302"/>
      <c r="BI1676" s="42"/>
    </row>
    <row r="1677" spans="52:61">
      <c r="AZ1677" s="302"/>
      <c r="BA1677" s="313"/>
      <c r="BB1677" s="167"/>
      <c r="BC1677" s="42"/>
      <c r="BD1677" s="358"/>
      <c r="BH1677" s="302"/>
      <c r="BI1677" s="42"/>
    </row>
    <row r="1678" spans="52:61">
      <c r="AZ1678" s="302"/>
      <c r="BA1678" s="313"/>
      <c r="BB1678" s="167"/>
      <c r="BC1678" s="42"/>
      <c r="BD1678" s="358"/>
      <c r="BH1678" s="302"/>
      <c r="BI1678" s="42"/>
    </row>
    <row r="1679" spans="52:61">
      <c r="AZ1679" s="302"/>
      <c r="BA1679" s="313"/>
      <c r="BB1679" s="167"/>
      <c r="BC1679" s="42"/>
      <c r="BD1679" s="358"/>
      <c r="BH1679" s="302"/>
      <c r="BI1679" s="42"/>
    </row>
    <row r="1680" spans="52:61">
      <c r="AZ1680" s="302"/>
      <c r="BA1680" s="313"/>
      <c r="BB1680" s="167"/>
      <c r="BC1680" s="42"/>
      <c r="BD1680" s="358"/>
      <c r="BH1680" s="302"/>
      <c r="BI1680" s="42"/>
    </row>
    <row r="1681" spans="52:61">
      <c r="AZ1681" s="302"/>
      <c r="BA1681" s="313"/>
      <c r="BB1681" s="167"/>
      <c r="BC1681" s="42"/>
      <c r="BD1681" s="358"/>
      <c r="BH1681" s="302"/>
      <c r="BI1681" s="42"/>
    </row>
    <row r="1682" spans="52:61">
      <c r="AZ1682" s="302"/>
      <c r="BA1682" s="313"/>
      <c r="BB1682" s="167"/>
      <c r="BC1682" s="42"/>
      <c r="BD1682" s="358"/>
      <c r="BH1682" s="302"/>
      <c r="BI1682" s="42"/>
    </row>
    <row r="1683" spans="52:61">
      <c r="AZ1683" s="302"/>
      <c r="BA1683" s="313"/>
      <c r="BB1683" s="167"/>
      <c r="BC1683" s="42"/>
      <c r="BD1683" s="358"/>
      <c r="BH1683" s="302"/>
      <c r="BI1683" s="42"/>
    </row>
    <row r="1684" spans="52:61">
      <c r="AZ1684" s="302"/>
      <c r="BA1684" s="313"/>
      <c r="BB1684" s="167"/>
      <c r="BC1684" s="42"/>
      <c r="BD1684" s="358"/>
      <c r="BH1684" s="302"/>
      <c r="BI1684" s="42"/>
    </row>
    <row r="1685" spans="52:61">
      <c r="AZ1685" s="302"/>
      <c r="BA1685" s="313"/>
      <c r="BB1685" s="167"/>
      <c r="BC1685" s="42"/>
      <c r="BD1685" s="358"/>
      <c r="BH1685" s="302"/>
      <c r="BI1685" s="42"/>
    </row>
    <row r="1686" spans="52:61">
      <c r="AZ1686" s="302"/>
      <c r="BA1686" s="313"/>
      <c r="BB1686" s="167"/>
      <c r="BC1686" s="42"/>
      <c r="BD1686" s="358"/>
      <c r="BH1686" s="302"/>
      <c r="BI1686" s="42"/>
    </row>
    <row r="1687" spans="52:61">
      <c r="AZ1687" s="302"/>
      <c r="BA1687" s="313"/>
      <c r="BB1687" s="167"/>
      <c r="BC1687" s="42"/>
      <c r="BD1687" s="358"/>
      <c r="BH1687" s="302"/>
      <c r="BI1687" s="42"/>
    </row>
    <row r="1688" spans="52:61">
      <c r="AZ1688" s="302"/>
      <c r="BA1688" s="313"/>
      <c r="BB1688" s="167"/>
      <c r="BC1688" s="42"/>
      <c r="BD1688" s="358"/>
      <c r="BH1688" s="302"/>
      <c r="BI1688" s="42"/>
    </row>
    <row r="1689" spans="52:61">
      <c r="AZ1689" s="302"/>
      <c r="BA1689" s="313"/>
      <c r="BB1689" s="167"/>
      <c r="BC1689" s="42"/>
      <c r="BD1689" s="358"/>
      <c r="BH1689" s="302"/>
      <c r="BI1689" s="42"/>
    </row>
    <row r="1690" spans="52:61">
      <c r="AZ1690" s="302"/>
      <c r="BA1690" s="313"/>
      <c r="BB1690" s="167"/>
      <c r="BC1690" s="42"/>
      <c r="BD1690" s="358"/>
      <c r="BH1690" s="302"/>
      <c r="BI1690" s="42"/>
    </row>
    <row r="1691" spans="52:61">
      <c r="AZ1691" s="302"/>
      <c r="BA1691" s="313"/>
      <c r="BB1691" s="167"/>
      <c r="BC1691" s="42"/>
      <c r="BD1691" s="358"/>
      <c r="BH1691" s="302"/>
      <c r="BI1691" s="42"/>
    </row>
    <row r="1692" spans="52:61">
      <c r="AZ1692" s="302"/>
      <c r="BA1692" s="313"/>
      <c r="BB1692" s="167"/>
      <c r="BC1692" s="42"/>
      <c r="BD1692" s="358"/>
      <c r="BH1692" s="302"/>
      <c r="BI1692" s="42"/>
    </row>
    <row r="1693" spans="52:61">
      <c r="AZ1693" s="302"/>
      <c r="BA1693" s="313"/>
      <c r="BB1693" s="167"/>
      <c r="BC1693" s="42"/>
      <c r="BD1693" s="358"/>
      <c r="BH1693" s="302"/>
      <c r="BI1693" s="42"/>
    </row>
    <row r="1694" spans="52:61">
      <c r="AZ1694" s="302"/>
      <c r="BA1694" s="313"/>
      <c r="BB1694" s="167"/>
      <c r="BC1694" s="42"/>
      <c r="BD1694" s="358"/>
      <c r="BH1694" s="302"/>
      <c r="BI1694" s="42"/>
    </row>
    <row r="1695" spans="52:61">
      <c r="AZ1695" s="302"/>
      <c r="BA1695" s="313"/>
      <c r="BB1695" s="167"/>
      <c r="BC1695" s="42"/>
      <c r="BD1695" s="358"/>
      <c r="BH1695" s="302"/>
      <c r="BI1695" s="42"/>
    </row>
    <row r="1696" spans="52:61">
      <c r="AZ1696" s="302"/>
      <c r="BA1696" s="313"/>
      <c r="BB1696" s="167"/>
      <c r="BC1696" s="42"/>
      <c r="BD1696" s="358"/>
      <c r="BH1696" s="302"/>
      <c r="BI1696" s="42"/>
    </row>
    <row r="1697" spans="52:61">
      <c r="AZ1697" s="302"/>
      <c r="BA1697" s="313"/>
      <c r="BB1697" s="167"/>
      <c r="BC1697" s="42"/>
      <c r="BD1697" s="358"/>
      <c r="BH1697" s="302"/>
      <c r="BI1697" s="42"/>
    </row>
    <row r="1698" spans="52:61">
      <c r="AZ1698" s="302"/>
      <c r="BA1698" s="313"/>
      <c r="BB1698" s="167"/>
      <c r="BC1698" s="42"/>
      <c r="BD1698" s="358"/>
      <c r="BH1698" s="302"/>
      <c r="BI1698" s="42"/>
    </row>
    <row r="1699" spans="52:61">
      <c r="AZ1699" s="302"/>
      <c r="BA1699" s="313"/>
      <c r="BB1699" s="167"/>
      <c r="BC1699" s="42"/>
      <c r="BD1699" s="358"/>
      <c r="BH1699" s="302"/>
      <c r="BI1699" s="42"/>
    </row>
    <row r="1700" spans="52:61">
      <c r="AZ1700" s="302"/>
      <c r="BA1700" s="313"/>
      <c r="BB1700" s="167"/>
      <c r="BC1700" s="42"/>
      <c r="BD1700" s="358"/>
      <c r="BH1700" s="302"/>
      <c r="BI1700" s="42"/>
    </row>
    <row r="1701" spans="52:61">
      <c r="AZ1701" s="302"/>
      <c r="BA1701" s="313"/>
      <c r="BB1701" s="167"/>
      <c r="BC1701" s="42"/>
      <c r="BD1701" s="358"/>
      <c r="BH1701" s="302"/>
      <c r="BI1701" s="42"/>
    </row>
    <row r="1702" spans="52:61">
      <c r="AZ1702" s="302"/>
      <c r="BA1702" s="313"/>
      <c r="BB1702" s="167"/>
      <c r="BC1702" s="42"/>
      <c r="BD1702" s="358"/>
      <c r="BH1702" s="302"/>
      <c r="BI1702" s="42"/>
    </row>
    <row r="1703" spans="52:61">
      <c r="AZ1703" s="302"/>
      <c r="BA1703" s="313"/>
      <c r="BB1703" s="167"/>
      <c r="BC1703" s="42"/>
      <c r="BD1703" s="358"/>
      <c r="BH1703" s="302"/>
      <c r="BI1703" s="42"/>
    </row>
    <row r="1704" spans="52:61">
      <c r="AZ1704" s="302"/>
      <c r="BA1704" s="313"/>
      <c r="BB1704" s="167"/>
      <c r="BC1704" s="42"/>
      <c r="BD1704" s="358"/>
      <c r="BH1704" s="302"/>
      <c r="BI1704" s="42"/>
    </row>
    <row r="1705" spans="52:61">
      <c r="AZ1705" s="302"/>
      <c r="BA1705" s="313"/>
      <c r="BB1705" s="167"/>
      <c r="BC1705" s="42"/>
      <c r="BD1705" s="358"/>
      <c r="BH1705" s="302"/>
      <c r="BI1705" s="42"/>
    </row>
    <row r="1706" spans="52:61">
      <c r="AZ1706" s="302"/>
      <c r="BA1706" s="313"/>
      <c r="BB1706" s="167"/>
      <c r="BC1706" s="42"/>
      <c r="BD1706" s="358"/>
      <c r="BH1706" s="302"/>
      <c r="BI1706" s="42"/>
    </row>
    <row r="1707" spans="52:61">
      <c r="AZ1707" s="302"/>
      <c r="BA1707" s="313"/>
      <c r="BB1707" s="167"/>
      <c r="BC1707" s="42"/>
      <c r="BD1707" s="358"/>
      <c r="BH1707" s="302"/>
      <c r="BI1707" s="42"/>
    </row>
    <row r="1708" spans="52:61">
      <c r="AZ1708" s="302"/>
      <c r="BA1708" s="313"/>
      <c r="BB1708" s="167"/>
      <c r="BC1708" s="42"/>
      <c r="BD1708" s="358"/>
      <c r="BH1708" s="302"/>
      <c r="BI1708" s="42"/>
    </row>
    <row r="1709" spans="52:61">
      <c r="AZ1709" s="302"/>
      <c r="BA1709" s="313"/>
      <c r="BB1709" s="167"/>
      <c r="BC1709" s="42"/>
      <c r="BD1709" s="358"/>
      <c r="BH1709" s="302"/>
      <c r="BI1709" s="42"/>
    </row>
    <row r="1710" spans="52:61">
      <c r="AZ1710" s="302"/>
      <c r="BA1710" s="313"/>
      <c r="BB1710" s="167"/>
      <c r="BC1710" s="42"/>
      <c r="BD1710" s="358"/>
      <c r="BH1710" s="302"/>
      <c r="BI1710" s="42"/>
    </row>
    <row r="1711" spans="52:61">
      <c r="AZ1711" s="302"/>
      <c r="BA1711" s="313"/>
      <c r="BB1711" s="167"/>
      <c r="BC1711" s="42"/>
      <c r="BD1711" s="358"/>
      <c r="BH1711" s="302"/>
      <c r="BI1711" s="42"/>
    </row>
    <row r="1712" spans="52:61">
      <c r="AZ1712" s="302"/>
      <c r="BA1712" s="313"/>
      <c r="BB1712" s="167"/>
      <c r="BC1712" s="42"/>
      <c r="BD1712" s="358"/>
      <c r="BH1712" s="302"/>
      <c r="BI1712" s="42"/>
    </row>
    <row r="1713" spans="52:61">
      <c r="AZ1713" s="302"/>
      <c r="BA1713" s="313"/>
      <c r="BB1713" s="167"/>
      <c r="BC1713" s="42"/>
      <c r="BD1713" s="358"/>
      <c r="BH1713" s="302"/>
      <c r="BI1713" s="42"/>
    </row>
    <row r="1714" spans="52:61">
      <c r="AZ1714" s="302"/>
      <c r="BA1714" s="313"/>
      <c r="BB1714" s="167"/>
      <c r="BC1714" s="42"/>
      <c r="BD1714" s="358"/>
      <c r="BH1714" s="302"/>
      <c r="BI1714" s="42"/>
    </row>
    <row r="1715" spans="52:61">
      <c r="AZ1715" s="302"/>
      <c r="BA1715" s="313"/>
      <c r="BB1715" s="167"/>
      <c r="BC1715" s="42"/>
      <c r="BD1715" s="358"/>
      <c r="BH1715" s="302"/>
      <c r="BI1715" s="42"/>
    </row>
    <row r="1716" spans="52:61">
      <c r="AZ1716" s="302"/>
      <c r="BA1716" s="313"/>
      <c r="BB1716" s="167"/>
      <c r="BC1716" s="42"/>
      <c r="BD1716" s="358"/>
      <c r="BH1716" s="302"/>
      <c r="BI1716" s="42"/>
    </row>
    <row r="1717" spans="52:61">
      <c r="AZ1717" s="302"/>
      <c r="BA1717" s="313"/>
      <c r="BB1717" s="167"/>
      <c r="BC1717" s="42"/>
      <c r="BD1717" s="358"/>
      <c r="BH1717" s="302"/>
      <c r="BI1717" s="42"/>
    </row>
    <row r="1718" spans="52:61">
      <c r="AZ1718" s="302"/>
      <c r="BA1718" s="313"/>
      <c r="BB1718" s="167"/>
      <c r="BC1718" s="42"/>
      <c r="BD1718" s="358"/>
      <c r="BH1718" s="302"/>
      <c r="BI1718" s="42"/>
    </row>
    <row r="1719" spans="52:61">
      <c r="AZ1719" s="302"/>
      <c r="BA1719" s="313"/>
      <c r="BB1719" s="167"/>
      <c r="BC1719" s="42"/>
      <c r="BD1719" s="358"/>
      <c r="BH1719" s="302"/>
      <c r="BI1719" s="42"/>
    </row>
    <row r="1720" spans="52:61">
      <c r="AZ1720" s="302"/>
      <c r="BA1720" s="313"/>
      <c r="BB1720" s="167"/>
      <c r="BC1720" s="42"/>
      <c r="BD1720" s="358"/>
      <c r="BH1720" s="302"/>
      <c r="BI1720" s="42"/>
    </row>
    <row r="1721" spans="52:61">
      <c r="AZ1721" s="302"/>
      <c r="BA1721" s="313"/>
      <c r="BB1721" s="167"/>
      <c r="BC1721" s="42"/>
      <c r="BD1721" s="358"/>
      <c r="BH1721" s="302"/>
      <c r="BI1721" s="42"/>
    </row>
    <row r="1722" spans="52:61">
      <c r="AZ1722" s="302"/>
      <c r="BA1722" s="313"/>
      <c r="BB1722" s="167"/>
      <c r="BC1722" s="42"/>
      <c r="BD1722" s="358"/>
      <c r="BH1722" s="302"/>
      <c r="BI1722" s="42"/>
    </row>
    <row r="1723" spans="52:61">
      <c r="AZ1723" s="302"/>
      <c r="BA1723" s="313"/>
      <c r="BB1723" s="167"/>
      <c r="BC1723" s="42"/>
      <c r="BD1723" s="358"/>
      <c r="BH1723" s="302"/>
      <c r="BI1723" s="42"/>
    </row>
    <row r="1724" spans="52:61">
      <c r="AZ1724" s="302"/>
      <c r="BA1724" s="313"/>
      <c r="BB1724" s="167"/>
      <c r="BC1724" s="42"/>
      <c r="BD1724" s="358"/>
      <c r="BH1724" s="302"/>
      <c r="BI1724" s="42"/>
    </row>
    <row r="1725" spans="52:61">
      <c r="AZ1725" s="302"/>
      <c r="BA1725" s="313"/>
      <c r="BB1725" s="167"/>
      <c r="BC1725" s="42"/>
      <c r="BD1725" s="358"/>
      <c r="BH1725" s="302"/>
      <c r="BI1725" s="42"/>
    </row>
    <row r="1726" spans="52:61">
      <c r="AZ1726" s="302"/>
      <c r="BA1726" s="313"/>
      <c r="BB1726" s="167"/>
      <c r="BC1726" s="42"/>
      <c r="BD1726" s="358"/>
      <c r="BH1726" s="302"/>
      <c r="BI1726" s="42"/>
    </row>
    <row r="1727" spans="52:61">
      <c r="AZ1727" s="302"/>
      <c r="BA1727" s="313"/>
      <c r="BB1727" s="167"/>
      <c r="BC1727" s="42"/>
      <c r="BD1727" s="358"/>
      <c r="BH1727" s="302"/>
      <c r="BI1727" s="42"/>
    </row>
    <row r="1728" spans="52:61">
      <c r="AZ1728" s="302"/>
      <c r="BA1728" s="313"/>
      <c r="BB1728" s="167"/>
      <c r="BC1728" s="42"/>
      <c r="BD1728" s="358"/>
      <c r="BH1728" s="302"/>
      <c r="BI1728" s="42"/>
    </row>
    <row r="1729" spans="52:61">
      <c r="AZ1729" s="302"/>
      <c r="BA1729" s="313"/>
      <c r="BB1729" s="167"/>
      <c r="BC1729" s="42"/>
      <c r="BD1729" s="358"/>
      <c r="BH1729" s="302"/>
      <c r="BI1729" s="42"/>
    </row>
    <row r="1730" spans="52:61">
      <c r="AZ1730" s="302"/>
      <c r="BA1730" s="313"/>
      <c r="BB1730" s="167"/>
      <c r="BC1730" s="42"/>
      <c r="BD1730" s="358"/>
      <c r="BH1730" s="302"/>
      <c r="BI1730" s="42"/>
    </row>
    <row r="1731" spans="52:61">
      <c r="AZ1731" s="302"/>
      <c r="BA1731" s="313"/>
      <c r="BB1731" s="167"/>
      <c r="BC1731" s="42"/>
      <c r="BD1731" s="358"/>
      <c r="BH1731" s="302"/>
      <c r="BI1731" s="42"/>
    </row>
    <row r="1732" spans="52:61">
      <c r="AZ1732" s="302"/>
      <c r="BA1732" s="313"/>
      <c r="BB1732" s="167"/>
      <c r="BC1732" s="42"/>
      <c r="BD1732" s="358"/>
      <c r="BH1732" s="302"/>
      <c r="BI1732" s="42"/>
    </row>
    <row r="1733" spans="52:61">
      <c r="AZ1733" s="302"/>
      <c r="BA1733" s="313"/>
      <c r="BB1733" s="167"/>
      <c r="BC1733" s="42"/>
      <c r="BD1733" s="358"/>
      <c r="BH1733" s="302"/>
      <c r="BI1733" s="42"/>
    </row>
    <row r="1734" spans="52:61">
      <c r="AZ1734" s="302"/>
      <c r="BA1734" s="313"/>
      <c r="BB1734" s="167"/>
      <c r="BC1734" s="42"/>
      <c r="BD1734" s="358"/>
      <c r="BH1734" s="302"/>
      <c r="BI1734" s="42"/>
    </row>
    <row r="1735" spans="52:61">
      <c r="AZ1735" s="302"/>
      <c r="BA1735" s="313"/>
      <c r="BB1735" s="167"/>
      <c r="BC1735" s="42"/>
      <c r="BD1735" s="358"/>
      <c r="BH1735" s="302"/>
      <c r="BI1735" s="42"/>
    </row>
    <row r="1736" spans="52:61">
      <c r="AZ1736" s="302"/>
      <c r="BA1736" s="313"/>
      <c r="BB1736" s="167"/>
      <c r="BC1736" s="42"/>
      <c r="BD1736" s="358"/>
      <c r="BH1736" s="302"/>
      <c r="BI1736" s="42"/>
    </row>
    <row r="1737" spans="52:61">
      <c r="AZ1737" s="302"/>
      <c r="BA1737" s="313"/>
      <c r="BB1737" s="167"/>
      <c r="BC1737" s="42"/>
      <c r="BD1737" s="358"/>
      <c r="BH1737" s="302"/>
      <c r="BI1737" s="42"/>
    </row>
    <row r="1738" spans="52:61">
      <c r="AZ1738" s="302"/>
      <c r="BA1738" s="313"/>
      <c r="BB1738" s="167"/>
      <c r="BC1738" s="42"/>
      <c r="BD1738" s="358"/>
      <c r="BH1738" s="302"/>
      <c r="BI1738" s="42"/>
    </row>
    <row r="1739" spans="52:61">
      <c r="AZ1739" s="302"/>
      <c r="BA1739" s="313"/>
      <c r="BB1739" s="167"/>
      <c r="BC1739" s="42"/>
      <c r="BD1739" s="358"/>
      <c r="BH1739" s="302"/>
      <c r="BI1739" s="42"/>
    </row>
    <row r="1740" spans="52:61">
      <c r="AZ1740" s="302"/>
      <c r="BA1740" s="313"/>
      <c r="BB1740" s="167"/>
      <c r="BC1740" s="42"/>
      <c r="BD1740" s="358"/>
      <c r="BH1740" s="302"/>
      <c r="BI1740" s="42"/>
    </row>
    <row r="1741" spans="52:61">
      <c r="AZ1741" s="302"/>
      <c r="BA1741" s="313"/>
      <c r="BB1741" s="167"/>
      <c r="BC1741" s="42"/>
      <c r="BD1741" s="358"/>
      <c r="BH1741" s="302"/>
      <c r="BI1741" s="42"/>
    </row>
    <row r="1742" spans="52:61">
      <c r="AZ1742" s="302"/>
      <c r="BA1742" s="313"/>
      <c r="BB1742" s="167"/>
      <c r="BC1742" s="42"/>
      <c r="BD1742" s="358"/>
      <c r="BH1742" s="302"/>
      <c r="BI1742" s="42"/>
    </row>
    <row r="1743" spans="52:61">
      <c r="AZ1743" s="302"/>
      <c r="BA1743" s="313"/>
      <c r="BB1743" s="167"/>
      <c r="BC1743" s="42"/>
      <c r="BD1743" s="358"/>
      <c r="BH1743" s="302"/>
      <c r="BI1743" s="42"/>
    </row>
    <row r="1744" spans="52:61">
      <c r="AZ1744" s="302"/>
      <c r="BA1744" s="313"/>
      <c r="BB1744" s="167"/>
      <c r="BC1744" s="42"/>
      <c r="BD1744" s="358"/>
      <c r="BH1744" s="302"/>
      <c r="BI1744" s="42"/>
    </row>
    <row r="1745" spans="52:61">
      <c r="AZ1745" s="302"/>
      <c r="BA1745" s="313"/>
      <c r="BB1745" s="167"/>
      <c r="BC1745" s="42"/>
      <c r="BD1745" s="358"/>
      <c r="BH1745" s="302"/>
      <c r="BI1745" s="42"/>
    </row>
    <row r="1746" spans="52:61">
      <c r="AZ1746" s="302"/>
      <c r="BA1746" s="313"/>
      <c r="BB1746" s="167"/>
      <c r="BC1746" s="42"/>
      <c r="BD1746" s="358"/>
      <c r="BH1746" s="302"/>
      <c r="BI1746" s="42"/>
    </row>
    <row r="1747" spans="52:61">
      <c r="AZ1747" s="302"/>
      <c r="BA1747" s="313"/>
      <c r="BB1747" s="167"/>
      <c r="BC1747" s="42"/>
      <c r="BD1747" s="358"/>
      <c r="BH1747" s="302"/>
      <c r="BI1747" s="42"/>
    </row>
    <row r="1748" spans="52:61">
      <c r="AZ1748" s="302"/>
      <c r="BA1748" s="313"/>
      <c r="BB1748" s="167"/>
      <c r="BC1748" s="42"/>
      <c r="BD1748" s="358"/>
      <c r="BH1748" s="302"/>
      <c r="BI1748" s="42"/>
    </row>
    <row r="1749" spans="52:61">
      <c r="AZ1749" s="302"/>
      <c r="BA1749" s="313"/>
      <c r="BB1749" s="167"/>
      <c r="BC1749" s="42"/>
      <c r="BD1749" s="358"/>
      <c r="BH1749" s="302"/>
      <c r="BI1749" s="42"/>
    </row>
    <row r="1750" spans="52:61">
      <c r="AZ1750" s="302"/>
      <c r="BA1750" s="313"/>
      <c r="BB1750" s="167"/>
      <c r="BC1750" s="42"/>
      <c r="BD1750" s="358"/>
      <c r="BH1750" s="302"/>
      <c r="BI1750" s="42"/>
    </row>
    <row r="1751" spans="52:61">
      <c r="AZ1751" s="302"/>
      <c r="BA1751" s="313"/>
      <c r="BB1751" s="167"/>
      <c r="BC1751" s="42"/>
      <c r="BD1751" s="358"/>
      <c r="BH1751" s="302"/>
      <c r="BI1751" s="42"/>
    </row>
    <row r="1752" spans="52:61">
      <c r="AZ1752" s="302"/>
      <c r="BA1752" s="313"/>
      <c r="BB1752" s="167"/>
      <c r="BC1752" s="42"/>
      <c r="BD1752" s="358"/>
      <c r="BH1752" s="302"/>
      <c r="BI1752" s="42"/>
    </row>
    <row r="1753" spans="52:61">
      <c r="AZ1753" s="302"/>
      <c r="BA1753" s="313"/>
      <c r="BB1753" s="167"/>
      <c r="BC1753" s="42"/>
      <c r="BD1753" s="358"/>
      <c r="BH1753" s="302"/>
      <c r="BI1753" s="42"/>
    </row>
    <row r="1754" spans="52:61">
      <c r="AZ1754" s="302"/>
      <c r="BA1754" s="313"/>
      <c r="BB1754" s="167"/>
      <c r="BC1754" s="42"/>
      <c r="BD1754" s="358"/>
      <c r="BH1754" s="302"/>
      <c r="BI1754" s="42"/>
    </row>
    <row r="1755" spans="52:61">
      <c r="AZ1755" s="302"/>
      <c r="BA1755" s="313"/>
      <c r="BB1755" s="167"/>
      <c r="BC1755" s="42"/>
      <c r="BD1755" s="358"/>
      <c r="BH1755" s="302"/>
      <c r="BI1755" s="42"/>
    </row>
    <row r="1756" spans="52:61">
      <c r="AZ1756" s="302"/>
      <c r="BA1756" s="313"/>
      <c r="BB1756" s="167"/>
      <c r="BC1756" s="42"/>
      <c r="BD1756" s="358"/>
      <c r="BH1756" s="302"/>
      <c r="BI1756" s="42"/>
    </row>
    <row r="1757" spans="52:61">
      <c r="AZ1757" s="302"/>
      <c r="BA1757" s="313"/>
      <c r="BB1757" s="167"/>
      <c r="BC1757" s="42"/>
      <c r="BD1757" s="358"/>
      <c r="BH1757" s="302"/>
      <c r="BI1757" s="42"/>
    </row>
    <row r="1758" spans="52:61">
      <c r="AZ1758" s="302"/>
      <c r="BA1758" s="313"/>
      <c r="BB1758" s="167"/>
      <c r="BC1758" s="42"/>
      <c r="BD1758" s="358"/>
      <c r="BH1758" s="302"/>
      <c r="BI1758" s="42"/>
    </row>
    <row r="1759" spans="52:61">
      <c r="AZ1759" s="302"/>
      <c r="BA1759" s="313"/>
      <c r="BB1759" s="167"/>
      <c r="BC1759" s="42"/>
      <c r="BD1759" s="358"/>
      <c r="BH1759" s="302"/>
      <c r="BI1759" s="42"/>
    </row>
    <row r="1760" spans="52:61">
      <c r="AZ1760" s="302"/>
      <c r="BA1760" s="313"/>
      <c r="BB1760" s="167"/>
      <c r="BC1760" s="42"/>
      <c r="BD1760" s="358"/>
      <c r="BH1760" s="302"/>
      <c r="BI1760" s="42"/>
    </row>
    <row r="1761" spans="52:61">
      <c r="AZ1761" s="302"/>
      <c r="BA1761" s="313"/>
      <c r="BB1761" s="167"/>
      <c r="BC1761" s="42"/>
      <c r="BD1761" s="358"/>
      <c r="BH1761" s="302"/>
      <c r="BI1761" s="42"/>
    </row>
    <row r="1762" spans="52:61">
      <c r="AZ1762" s="302"/>
      <c r="BA1762" s="313"/>
      <c r="BB1762" s="167"/>
      <c r="BC1762" s="42"/>
      <c r="BD1762" s="358"/>
      <c r="BH1762" s="302"/>
      <c r="BI1762" s="42"/>
    </row>
    <row r="1763" spans="52:61">
      <c r="AZ1763" s="302"/>
      <c r="BA1763" s="313"/>
      <c r="BB1763" s="167"/>
      <c r="BC1763" s="42"/>
      <c r="BD1763" s="358"/>
      <c r="BH1763" s="302"/>
      <c r="BI1763" s="42"/>
    </row>
    <row r="1764" spans="52:61">
      <c r="AZ1764" s="302"/>
      <c r="BA1764" s="313"/>
      <c r="BB1764" s="167"/>
      <c r="BC1764" s="42"/>
      <c r="BD1764" s="358"/>
      <c r="BH1764" s="302"/>
      <c r="BI1764" s="42"/>
    </row>
    <row r="1765" spans="52:61">
      <c r="AZ1765" s="302"/>
      <c r="BA1765" s="313"/>
      <c r="BB1765" s="167"/>
      <c r="BC1765" s="42"/>
      <c r="BD1765" s="358"/>
      <c r="BH1765" s="302"/>
      <c r="BI1765" s="42"/>
    </row>
    <row r="1766" spans="52:61">
      <c r="AZ1766" s="302"/>
      <c r="BA1766" s="313"/>
      <c r="BB1766" s="167"/>
      <c r="BC1766" s="42"/>
      <c r="BD1766" s="358"/>
      <c r="BH1766" s="302"/>
      <c r="BI1766" s="42"/>
    </row>
    <row r="1767" spans="52:61">
      <c r="AZ1767" s="302"/>
      <c r="BA1767" s="313"/>
      <c r="BB1767" s="167"/>
      <c r="BC1767" s="42"/>
      <c r="BD1767" s="358"/>
      <c r="BH1767" s="302"/>
      <c r="BI1767" s="42"/>
    </row>
    <row r="1768" spans="52:61">
      <c r="AZ1768" s="302"/>
      <c r="BA1768" s="313"/>
      <c r="BB1768" s="167"/>
      <c r="BC1768" s="42"/>
      <c r="BD1768" s="358"/>
      <c r="BH1768" s="302"/>
      <c r="BI1768" s="42"/>
    </row>
    <row r="1769" spans="52:61">
      <c r="AZ1769" s="302"/>
      <c r="BA1769" s="313"/>
      <c r="BB1769" s="167"/>
      <c r="BC1769" s="42"/>
      <c r="BD1769" s="358"/>
      <c r="BH1769" s="302"/>
      <c r="BI1769" s="42"/>
    </row>
    <row r="1770" spans="52:61">
      <c r="AZ1770" s="302"/>
      <c r="BA1770" s="313"/>
      <c r="BB1770" s="167"/>
      <c r="BC1770" s="42"/>
      <c r="BD1770" s="358"/>
      <c r="BH1770" s="302"/>
      <c r="BI1770" s="42"/>
    </row>
    <row r="1771" spans="52:61">
      <c r="AZ1771" s="302"/>
      <c r="BA1771" s="313"/>
      <c r="BB1771" s="167"/>
      <c r="BC1771" s="42"/>
      <c r="BD1771" s="358"/>
      <c r="BH1771" s="302"/>
      <c r="BI1771" s="42"/>
    </row>
    <row r="1772" spans="52:61">
      <c r="AZ1772" s="302"/>
      <c r="BA1772" s="313"/>
      <c r="BB1772" s="167"/>
      <c r="BC1772" s="42"/>
      <c r="BD1772" s="358"/>
      <c r="BH1772" s="302"/>
      <c r="BI1772" s="42"/>
    </row>
    <row r="1773" spans="52:61">
      <c r="AZ1773" s="302"/>
      <c r="BA1773" s="313"/>
      <c r="BB1773" s="167"/>
      <c r="BC1773" s="42"/>
      <c r="BD1773" s="358"/>
      <c r="BH1773" s="302"/>
      <c r="BI1773" s="42"/>
    </row>
    <row r="1774" spans="52:61">
      <c r="AZ1774" s="302"/>
      <c r="BA1774" s="313"/>
      <c r="BB1774" s="167"/>
      <c r="BC1774" s="42"/>
      <c r="BD1774" s="358"/>
      <c r="BH1774" s="302"/>
      <c r="BI1774" s="42"/>
    </row>
    <row r="1775" spans="52:61">
      <c r="AZ1775" s="302"/>
      <c r="BA1775" s="313"/>
      <c r="BB1775" s="167"/>
      <c r="BC1775" s="42"/>
      <c r="BD1775" s="358"/>
      <c r="BH1775" s="302"/>
      <c r="BI1775" s="42"/>
    </row>
    <row r="1776" spans="52:61">
      <c r="AZ1776" s="302"/>
      <c r="BA1776" s="313"/>
      <c r="BB1776" s="167"/>
      <c r="BC1776" s="42"/>
      <c r="BD1776" s="358"/>
      <c r="BH1776" s="302"/>
      <c r="BI1776" s="42"/>
    </row>
    <row r="1777" spans="52:61">
      <c r="AZ1777" s="302"/>
      <c r="BA1777" s="313"/>
      <c r="BB1777" s="167"/>
      <c r="BC1777" s="42"/>
      <c r="BD1777" s="358"/>
      <c r="BH1777" s="302"/>
      <c r="BI1777" s="42"/>
    </row>
    <row r="1778" spans="52:61">
      <c r="AZ1778" s="302"/>
      <c r="BA1778" s="313"/>
      <c r="BB1778" s="167"/>
      <c r="BC1778" s="42"/>
      <c r="BD1778" s="358"/>
      <c r="BH1778" s="302"/>
      <c r="BI1778" s="42"/>
    </row>
    <row r="1779" spans="52:61">
      <c r="AZ1779" s="302"/>
      <c r="BA1779" s="313"/>
      <c r="BB1779" s="167"/>
      <c r="BC1779" s="42"/>
      <c r="BD1779" s="358"/>
      <c r="BH1779" s="302"/>
      <c r="BI1779" s="42"/>
    </row>
    <row r="1780" spans="52:61">
      <c r="AZ1780" s="302"/>
      <c r="BA1780" s="313"/>
      <c r="BB1780" s="167"/>
      <c r="BC1780" s="42"/>
      <c r="BD1780" s="358"/>
      <c r="BH1780" s="302"/>
      <c r="BI1780" s="42"/>
    </row>
    <row r="1781" spans="52:61">
      <c r="AZ1781" s="302"/>
      <c r="BA1781" s="313"/>
      <c r="BB1781" s="167"/>
      <c r="BC1781" s="42"/>
      <c r="BD1781" s="358"/>
      <c r="BH1781" s="302"/>
      <c r="BI1781" s="42"/>
    </row>
    <row r="1782" spans="52:61">
      <c r="AZ1782" s="302"/>
      <c r="BA1782" s="313"/>
      <c r="BB1782" s="167"/>
      <c r="BC1782" s="42"/>
      <c r="BD1782" s="358"/>
      <c r="BH1782" s="302"/>
      <c r="BI1782" s="42"/>
    </row>
    <row r="1783" spans="52:61">
      <c r="AZ1783" s="302"/>
      <c r="BA1783" s="313"/>
      <c r="BB1783" s="167"/>
      <c r="BC1783" s="42"/>
      <c r="BD1783" s="358"/>
      <c r="BH1783" s="302"/>
      <c r="BI1783" s="42"/>
    </row>
    <row r="1784" spans="52:61">
      <c r="AZ1784" s="302"/>
      <c r="BA1784" s="313"/>
      <c r="BB1784" s="167"/>
      <c r="BC1784" s="42"/>
      <c r="BD1784" s="358"/>
      <c r="BH1784" s="302"/>
      <c r="BI1784" s="42"/>
    </row>
    <row r="1785" spans="52:61">
      <c r="AZ1785" s="302"/>
      <c r="BA1785" s="313"/>
      <c r="BB1785" s="167"/>
      <c r="BC1785" s="42"/>
      <c r="BD1785" s="358"/>
      <c r="BH1785" s="302"/>
      <c r="BI1785" s="42"/>
    </row>
    <row r="1786" spans="52:61">
      <c r="AZ1786" s="302"/>
      <c r="BA1786" s="313"/>
      <c r="BB1786" s="167"/>
      <c r="BC1786" s="42"/>
      <c r="BD1786" s="358"/>
      <c r="BH1786" s="302"/>
      <c r="BI1786" s="42"/>
    </row>
    <row r="1787" spans="52:61">
      <c r="AZ1787" s="302"/>
      <c r="BA1787" s="313"/>
      <c r="BB1787" s="167"/>
      <c r="BC1787" s="42"/>
      <c r="BD1787" s="358"/>
      <c r="BH1787" s="302"/>
      <c r="BI1787" s="42"/>
    </row>
    <row r="1788" spans="52:61">
      <c r="AZ1788" s="302"/>
      <c r="BA1788" s="313"/>
      <c r="BB1788" s="167"/>
      <c r="BC1788" s="42"/>
      <c r="BD1788" s="358"/>
      <c r="BH1788" s="302"/>
      <c r="BI1788" s="42"/>
    </row>
    <row r="1789" spans="52:61">
      <c r="AZ1789" s="302"/>
      <c r="BA1789" s="313"/>
      <c r="BB1789" s="167"/>
      <c r="BC1789" s="42"/>
      <c r="BD1789" s="358"/>
      <c r="BH1789" s="302"/>
      <c r="BI1789" s="42"/>
    </row>
    <row r="1790" spans="52:61">
      <c r="AZ1790" s="302"/>
      <c r="BA1790" s="313"/>
      <c r="BB1790" s="167"/>
      <c r="BC1790" s="42"/>
      <c r="BD1790" s="358"/>
      <c r="BH1790" s="302"/>
      <c r="BI1790" s="42"/>
    </row>
    <row r="1791" spans="52:61">
      <c r="AZ1791" s="302"/>
      <c r="BA1791" s="313"/>
      <c r="BB1791" s="167"/>
      <c r="BC1791" s="42"/>
      <c r="BD1791" s="358"/>
      <c r="BH1791" s="302"/>
      <c r="BI1791" s="42"/>
    </row>
    <row r="1792" spans="52:61">
      <c r="AZ1792" s="302"/>
      <c r="BA1792" s="313"/>
      <c r="BB1792" s="167"/>
      <c r="BC1792" s="42"/>
      <c r="BD1792" s="358"/>
      <c r="BH1792" s="302"/>
      <c r="BI1792" s="42"/>
    </row>
    <row r="1793" spans="52:61">
      <c r="AZ1793" s="302"/>
      <c r="BA1793" s="313"/>
      <c r="BB1793" s="167"/>
      <c r="BC1793" s="42"/>
      <c r="BD1793" s="358"/>
      <c r="BH1793" s="302"/>
      <c r="BI1793" s="42"/>
    </row>
    <row r="1794" spans="52:61">
      <c r="AZ1794" s="302"/>
      <c r="BA1794" s="313"/>
      <c r="BB1794" s="167"/>
      <c r="BC1794" s="42"/>
      <c r="BD1794" s="358"/>
      <c r="BH1794" s="302"/>
      <c r="BI1794" s="42"/>
    </row>
    <row r="1795" spans="52:61">
      <c r="AZ1795" s="302"/>
      <c r="BA1795" s="313"/>
      <c r="BB1795" s="167"/>
      <c r="BC1795" s="42"/>
      <c r="BD1795" s="358"/>
      <c r="BH1795" s="302"/>
      <c r="BI1795" s="42"/>
    </row>
    <row r="1796" spans="52:61">
      <c r="AZ1796" s="302"/>
      <c r="BA1796" s="313"/>
      <c r="BB1796" s="167"/>
      <c r="BC1796" s="42"/>
      <c r="BD1796" s="358"/>
      <c r="BH1796" s="302"/>
      <c r="BI1796" s="42"/>
    </row>
    <row r="1797" spans="52:61">
      <c r="AZ1797" s="302"/>
      <c r="BA1797" s="313"/>
      <c r="BB1797" s="167"/>
      <c r="BC1797" s="42"/>
      <c r="BD1797" s="358"/>
      <c r="BH1797" s="302"/>
      <c r="BI1797" s="42"/>
    </row>
    <row r="1798" spans="52:61">
      <c r="AZ1798" s="302"/>
      <c r="BA1798" s="313"/>
      <c r="BB1798" s="167"/>
      <c r="BC1798" s="42"/>
      <c r="BD1798" s="358"/>
      <c r="BH1798" s="302"/>
      <c r="BI1798" s="42"/>
    </row>
    <row r="1799" spans="52:61">
      <c r="AZ1799" s="302"/>
      <c r="BA1799" s="313"/>
      <c r="BB1799" s="167"/>
      <c r="BC1799" s="42"/>
      <c r="BD1799" s="358"/>
      <c r="BH1799" s="302"/>
      <c r="BI1799" s="42"/>
    </row>
    <row r="1800" spans="52:61">
      <c r="AZ1800" s="302"/>
      <c r="BA1800" s="313"/>
      <c r="BB1800" s="167"/>
      <c r="BC1800" s="42"/>
      <c r="BD1800" s="358"/>
      <c r="BH1800" s="302"/>
      <c r="BI1800" s="42"/>
    </row>
    <row r="1801" spans="52:61">
      <c r="AZ1801" s="302"/>
      <c r="BA1801" s="313"/>
      <c r="BB1801" s="167"/>
      <c r="BC1801" s="42"/>
      <c r="BD1801" s="358"/>
      <c r="BH1801" s="302"/>
      <c r="BI1801" s="42"/>
    </row>
    <row r="1802" spans="52:61">
      <c r="AZ1802" s="302"/>
      <c r="BA1802" s="313"/>
      <c r="BB1802" s="167"/>
      <c r="BC1802" s="42"/>
      <c r="BD1802" s="358"/>
      <c r="BH1802" s="302"/>
      <c r="BI1802" s="42"/>
    </row>
    <row r="1803" spans="52:61">
      <c r="AZ1803" s="302"/>
      <c r="BA1803" s="313"/>
      <c r="BB1803" s="167"/>
      <c r="BC1803" s="42"/>
      <c r="BD1803" s="358"/>
      <c r="BH1803" s="302"/>
      <c r="BI1803" s="42"/>
    </row>
    <row r="1804" spans="52:61">
      <c r="AZ1804" s="302"/>
      <c r="BA1804" s="313"/>
      <c r="BB1804" s="167"/>
      <c r="BC1804" s="42"/>
      <c r="BD1804" s="358"/>
      <c r="BH1804" s="302"/>
      <c r="BI1804" s="42"/>
    </row>
    <row r="1805" spans="52:61">
      <c r="AZ1805" s="302"/>
      <c r="BA1805" s="313"/>
      <c r="BB1805" s="167"/>
      <c r="BC1805" s="42"/>
      <c r="BD1805" s="358"/>
      <c r="BH1805" s="302"/>
      <c r="BI1805" s="42"/>
    </row>
    <row r="1806" spans="52:61">
      <c r="AZ1806" s="302"/>
      <c r="BA1806" s="313"/>
      <c r="BB1806" s="167"/>
      <c r="BC1806" s="42"/>
      <c r="BD1806" s="358"/>
      <c r="BH1806" s="302"/>
      <c r="BI1806" s="42"/>
    </row>
    <row r="1807" spans="52:61">
      <c r="AZ1807" s="302"/>
      <c r="BA1807" s="313"/>
      <c r="BB1807" s="167"/>
      <c r="BC1807" s="42"/>
      <c r="BD1807" s="358"/>
      <c r="BH1807" s="302"/>
      <c r="BI1807" s="42"/>
    </row>
    <row r="1808" spans="52:61">
      <c r="AZ1808" s="302"/>
      <c r="BA1808" s="313"/>
      <c r="BB1808" s="167"/>
      <c r="BC1808" s="42"/>
      <c r="BD1808" s="358"/>
      <c r="BH1808" s="302"/>
      <c r="BI1808" s="42"/>
    </row>
    <row r="1809" spans="52:61">
      <c r="AZ1809" s="302"/>
      <c r="BA1809" s="313"/>
      <c r="BB1809" s="167"/>
      <c r="BC1809" s="42"/>
      <c r="BD1809" s="358"/>
      <c r="BH1809" s="302"/>
      <c r="BI1809" s="42"/>
    </row>
    <row r="1810" spans="52:61">
      <c r="AZ1810" s="302"/>
      <c r="BA1810" s="313"/>
      <c r="BB1810" s="167"/>
      <c r="BC1810" s="42"/>
      <c r="BD1810" s="358"/>
      <c r="BH1810" s="302"/>
      <c r="BI1810" s="42"/>
    </row>
    <row r="1811" spans="52:61">
      <c r="AZ1811" s="302"/>
      <c r="BA1811" s="313"/>
      <c r="BB1811" s="167"/>
      <c r="BC1811" s="42"/>
      <c r="BD1811" s="358"/>
      <c r="BH1811" s="302"/>
      <c r="BI1811" s="42"/>
    </row>
    <row r="1812" spans="52:61">
      <c r="AZ1812" s="302"/>
      <c r="BA1812" s="313"/>
      <c r="BB1812" s="167"/>
      <c r="BC1812" s="42"/>
      <c r="BD1812" s="358"/>
      <c r="BH1812" s="302"/>
      <c r="BI1812" s="42"/>
    </row>
    <row r="1813" spans="52:61">
      <c r="AZ1813" s="302"/>
      <c r="BA1813" s="313"/>
      <c r="BB1813" s="167"/>
      <c r="BC1813" s="42"/>
      <c r="BD1813" s="358"/>
      <c r="BH1813" s="302"/>
      <c r="BI1813" s="42"/>
    </row>
    <row r="1814" spans="52:61">
      <c r="AZ1814" s="302"/>
      <c r="BA1814" s="313"/>
      <c r="BB1814" s="167"/>
      <c r="BC1814" s="42"/>
      <c r="BD1814" s="358"/>
      <c r="BH1814" s="302"/>
      <c r="BI1814" s="42"/>
    </row>
    <row r="1815" spans="52:61">
      <c r="AZ1815" s="302"/>
      <c r="BA1815" s="313"/>
      <c r="BB1815" s="167"/>
      <c r="BC1815" s="42"/>
      <c r="BD1815" s="358"/>
      <c r="BH1815" s="302"/>
      <c r="BI1815" s="42"/>
    </row>
    <row r="1816" spans="52:61">
      <c r="AZ1816" s="302"/>
      <c r="BA1816" s="313"/>
      <c r="BB1816" s="167"/>
      <c r="BC1816" s="42"/>
      <c r="BD1816" s="358"/>
      <c r="BH1816" s="302"/>
      <c r="BI1816" s="42"/>
    </row>
    <row r="1817" spans="52:61">
      <c r="AZ1817" s="302"/>
      <c r="BA1817" s="313"/>
      <c r="BB1817" s="167"/>
      <c r="BC1817" s="42"/>
      <c r="BD1817" s="358"/>
      <c r="BH1817" s="302"/>
      <c r="BI1817" s="42"/>
    </row>
    <row r="1818" spans="52:61">
      <c r="AZ1818" s="302"/>
      <c r="BA1818" s="313"/>
      <c r="BB1818" s="167"/>
      <c r="BC1818" s="42"/>
      <c r="BD1818" s="358"/>
      <c r="BH1818" s="302"/>
      <c r="BI1818" s="42"/>
    </row>
    <row r="1819" spans="52:61">
      <c r="AZ1819" s="302"/>
      <c r="BA1819" s="313"/>
      <c r="BB1819" s="167"/>
      <c r="BC1819" s="42"/>
      <c r="BD1819" s="358"/>
      <c r="BH1819" s="302"/>
      <c r="BI1819" s="42"/>
    </row>
    <row r="1820" spans="52:61">
      <c r="AZ1820" s="302"/>
      <c r="BA1820" s="313"/>
      <c r="BB1820" s="167"/>
      <c r="BC1820" s="42"/>
      <c r="BD1820" s="358"/>
      <c r="BH1820" s="302"/>
      <c r="BI1820" s="42"/>
    </row>
    <row r="1821" spans="52:61">
      <c r="AZ1821" s="302"/>
      <c r="BA1821" s="313"/>
      <c r="BB1821" s="167"/>
      <c r="BC1821" s="42"/>
      <c r="BD1821" s="358"/>
      <c r="BH1821" s="302"/>
      <c r="BI1821" s="42"/>
    </row>
    <row r="1822" spans="52:61">
      <c r="AZ1822" s="302"/>
      <c r="BA1822" s="313"/>
      <c r="BB1822" s="167"/>
      <c r="BC1822" s="42"/>
      <c r="BD1822" s="358"/>
      <c r="BH1822" s="302"/>
      <c r="BI1822" s="42"/>
    </row>
    <row r="1823" spans="52:61">
      <c r="AZ1823" s="302"/>
      <c r="BA1823" s="313"/>
      <c r="BB1823" s="167"/>
      <c r="BC1823" s="42"/>
      <c r="BD1823" s="358"/>
      <c r="BH1823" s="302"/>
      <c r="BI1823" s="42"/>
    </row>
    <row r="1824" spans="52:61">
      <c r="AZ1824" s="302"/>
      <c r="BA1824" s="313"/>
      <c r="BB1824" s="167"/>
      <c r="BC1824" s="42"/>
      <c r="BD1824" s="358"/>
      <c r="BH1824" s="302"/>
      <c r="BI1824" s="42"/>
    </row>
    <row r="1825" spans="52:61">
      <c r="AZ1825" s="302"/>
      <c r="BA1825" s="313"/>
      <c r="BB1825" s="167"/>
      <c r="BC1825" s="42"/>
      <c r="BD1825" s="358"/>
      <c r="BH1825" s="302"/>
      <c r="BI1825" s="42"/>
    </row>
    <row r="1826" spans="52:61">
      <c r="AZ1826" s="302"/>
      <c r="BA1826" s="313"/>
      <c r="BB1826" s="167"/>
      <c r="BC1826" s="42"/>
      <c r="BD1826" s="358"/>
      <c r="BH1826" s="302"/>
      <c r="BI1826" s="42"/>
    </row>
    <row r="1827" spans="52:61">
      <c r="AZ1827" s="302"/>
      <c r="BA1827" s="313"/>
      <c r="BB1827" s="167"/>
      <c r="BC1827" s="42"/>
      <c r="BD1827" s="358"/>
      <c r="BH1827" s="302"/>
      <c r="BI1827" s="42"/>
    </row>
    <row r="1828" spans="52:61">
      <c r="AZ1828" s="302"/>
      <c r="BA1828" s="313"/>
      <c r="BB1828" s="167"/>
      <c r="BC1828" s="42"/>
      <c r="BD1828" s="358"/>
      <c r="BH1828" s="302"/>
      <c r="BI1828" s="42"/>
    </row>
    <row r="1829" spans="52:61">
      <c r="AZ1829" s="302"/>
      <c r="BA1829" s="313"/>
      <c r="BB1829" s="167"/>
      <c r="BC1829" s="42"/>
      <c r="BD1829" s="358"/>
      <c r="BH1829" s="302"/>
      <c r="BI1829" s="42"/>
    </row>
    <row r="1830" spans="52:61">
      <c r="AZ1830" s="302"/>
      <c r="BA1830" s="313"/>
      <c r="BB1830" s="167"/>
      <c r="BC1830" s="42"/>
      <c r="BD1830" s="358"/>
      <c r="BH1830" s="302"/>
      <c r="BI1830" s="42"/>
    </row>
    <row r="1831" spans="52:61">
      <c r="AZ1831" s="302"/>
      <c r="BA1831" s="313"/>
      <c r="BB1831" s="167"/>
      <c r="BC1831" s="42"/>
      <c r="BD1831" s="358"/>
      <c r="BH1831" s="302"/>
      <c r="BI1831" s="42"/>
    </row>
    <row r="1832" spans="52:61">
      <c r="AZ1832" s="302"/>
      <c r="BA1832" s="313"/>
      <c r="BB1832" s="167"/>
      <c r="BC1832" s="42"/>
      <c r="BD1832" s="358"/>
      <c r="BH1832" s="302"/>
      <c r="BI1832" s="42"/>
    </row>
    <row r="1833" spans="52:61">
      <c r="AZ1833" s="302"/>
      <c r="BA1833" s="313"/>
      <c r="BB1833" s="167"/>
      <c r="BC1833" s="42"/>
      <c r="BD1833" s="358"/>
      <c r="BH1833" s="302"/>
      <c r="BI1833" s="42"/>
    </row>
    <row r="1834" spans="52:61">
      <c r="AZ1834" s="302"/>
      <c r="BA1834" s="313"/>
      <c r="BB1834" s="167"/>
      <c r="BC1834" s="42"/>
      <c r="BD1834" s="358"/>
      <c r="BH1834" s="302"/>
      <c r="BI1834" s="42"/>
    </row>
    <row r="1835" spans="52:61">
      <c r="AZ1835" s="302"/>
      <c r="BA1835" s="313"/>
      <c r="BB1835" s="167"/>
      <c r="BC1835" s="42"/>
      <c r="BD1835" s="358"/>
      <c r="BH1835" s="302"/>
      <c r="BI1835" s="42"/>
    </row>
    <row r="1836" spans="52:61">
      <c r="AZ1836" s="302"/>
      <c r="BA1836" s="313"/>
      <c r="BB1836" s="167"/>
      <c r="BC1836" s="42"/>
      <c r="BD1836" s="358"/>
      <c r="BH1836" s="302"/>
      <c r="BI1836" s="42"/>
    </row>
    <row r="1837" spans="52:61">
      <c r="AZ1837" s="302"/>
      <c r="BA1837" s="313"/>
      <c r="BB1837" s="167"/>
      <c r="BC1837" s="42"/>
      <c r="BD1837" s="358"/>
      <c r="BH1837" s="302"/>
      <c r="BI1837" s="42"/>
    </row>
    <row r="1838" spans="52:61">
      <c r="AZ1838" s="302"/>
      <c r="BA1838" s="313"/>
      <c r="BB1838" s="167"/>
      <c r="BC1838" s="42"/>
      <c r="BD1838" s="358"/>
      <c r="BH1838" s="302"/>
      <c r="BI1838" s="42"/>
    </row>
    <row r="1839" spans="52:61">
      <c r="AZ1839" s="302"/>
      <c r="BA1839" s="313"/>
      <c r="BB1839" s="167"/>
      <c r="BC1839" s="42"/>
      <c r="BD1839" s="358"/>
      <c r="BH1839" s="302"/>
      <c r="BI1839" s="42"/>
    </row>
    <row r="1840" spans="52:61">
      <c r="AZ1840" s="302"/>
      <c r="BA1840" s="313"/>
      <c r="BB1840" s="167"/>
      <c r="BC1840" s="42"/>
      <c r="BD1840" s="358"/>
      <c r="BH1840" s="302"/>
      <c r="BI1840" s="42"/>
    </row>
    <row r="1841" spans="52:61">
      <c r="AZ1841" s="302"/>
      <c r="BA1841" s="313"/>
      <c r="BB1841" s="167"/>
      <c r="BC1841" s="42"/>
      <c r="BD1841" s="358"/>
      <c r="BH1841" s="302"/>
      <c r="BI1841" s="42"/>
    </row>
    <row r="1842" spans="52:61">
      <c r="AZ1842" s="302"/>
      <c r="BA1842" s="313"/>
      <c r="BB1842" s="167"/>
      <c r="BC1842" s="42"/>
      <c r="BD1842" s="358"/>
      <c r="BH1842" s="302"/>
      <c r="BI1842" s="42"/>
    </row>
    <row r="1843" spans="52:61">
      <c r="AZ1843" s="302"/>
      <c r="BA1843" s="313"/>
      <c r="BB1843" s="167"/>
      <c r="BC1843" s="42"/>
      <c r="BD1843" s="358"/>
      <c r="BH1843" s="302"/>
      <c r="BI1843" s="42"/>
    </row>
    <row r="1844" spans="52:61">
      <c r="AZ1844" s="302"/>
      <c r="BA1844" s="313"/>
      <c r="BB1844" s="167"/>
      <c r="BC1844" s="42"/>
      <c r="BD1844" s="358"/>
      <c r="BH1844" s="302"/>
      <c r="BI1844" s="42"/>
    </row>
    <row r="1845" spans="52:61">
      <c r="AZ1845" s="302"/>
      <c r="BA1845" s="313"/>
      <c r="BB1845" s="167"/>
      <c r="BC1845" s="42"/>
      <c r="BD1845" s="358"/>
      <c r="BH1845" s="302"/>
      <c r="BI1845" s="42"/>
    </row>
    <row r="1846" spans="52:61">
      <c r="AZ1846" s="302"/>
      <c r="BA1846" s="313"/>
      <c r="BB1846" s="167"/>
      <c r="BC1846" s="42"/>
      <c r="BD1846" s="358"/>
      <c r="BH1846" s="302"/>
      <c r="BI1846" s="42"/>
    </row>
    <row r="1847" spans="52:61">
      <c r="AZ1847" s="302"/>
      <c r="BA1847" s="313"/>
      <c r="BB1847" s="167"/>
      <c r="BC1847" s="42"/>
      <c r="BD1847" s="358"/>
      <c r="BH1847" s="302"/>
      <c r="BI1847" s="42"/>
    </row>
    <row r="1848" spans="52:61">
      <c r="AZ1848" s="302"/>
      <c r="BA1848" s="313"/>
      <c r="BB1848" s="167"/>
      <c r="BC1848" s="42"/>
      <c r="BD1848" s="358"/>
      <c r="BH1848" s="302"/>
      <c r="BI1848" s="42"/>
    </row>
    <row r="1849" spans="52:61">
      <c r="AZ1849" s="302"/>
      <c r="BA1849" s="313"/>
      <c r="BB1849" s="167"/>
      <c r="BC1849" s="42"/>
      <c r="BD1849" s="358"/>
      <c r="BH1849" s="302"/>
      <c r="BI1849" s="42"/>
    </row>
    <row r="1850" spans="52:61">
      <c r="AZ1850" s="302"/>
      <c r="BA1850" s="313"/>
      <c r="BB1850" s="167"/>
      <c r="BC1850" s="42"/>
      <c r="BD1850" s="358"/>
      <c r="BH1850" s="302"/>
      <c r="BI1850" s="42"/>
    </row>
    <row r="1851" spans="52:61">
      <c r="AZ1851" s="302"/>
      <c r="BA1851" s="313"/>
      <c r="BB1851" s="167"/>
      <c r="BC1851" s="42"/>
      <c r="BD1851" s="358"/>
      <c r="BH1851" s="302"/>
      <c r="BI1851" s="42"/>
    </row>
    <row r="1852" spans="52:61">
      <c r="AZ1852" s="302"/>
      <c r="BA1852" s="313"/>
      <c r="BB1852" s="167"/>
      <c r="BC1852" s="42"/>
      <c r="BD1852" s="358"/>
      <c r="BH1852" s="302"/>
      <c r="BI1852" s="42"/>
    </row>
    <row r="1853" spans="52:61">
      <c r="AZ1853" s="302"/>
      <c r="BA1853" s="313"/>
      <c r="BB1853" s="167"/>
      <c r="BC1853" s="42"/>
      <c r="BD1853" s="358"/>
      <c r="BH1853" s="302"/>
      <c r="BI1853" s="42"/>
    </row>
    <row r="1854" spans="52:61">
      <c r="AZ1854" s="302"/>
      <c r="BA1854" s="313"/>
      <c r="BB1854" s="167"/>
      <c r="BC1854" s="42"/>
      <c r="BD1854" s="358"/>
      <c r="BH1854" s="302"/>
      <c r="BI1854" s="42"/>
    </row>
    <row r="1855" spans="52:61">
      <c r="AZ1855" s="302"/>
      <c r="BA1855" s="313"/>
      <c r="BB1855" s="167"/>
      <c r="BC1855" s="42"/>
      <c r="BD1855" s="358"/>
      <c r="BH1855" s="302"/>
      <c r="BI1855" s="42"/>
    </row>
    <row r="1856" spans="52:61">
      <c r="AZ1856" s="302"/>
      <c r="BA1856" s="313"/>
      <c r="BB1856" s="167"/>
      <c r="BC1856" s="42"/>
      <c r="BD1856" s="358"/>
      <c r="BH1856" s="302"/>
      <c r="BI1856" s="42"/>
    </row>
    <row r="1857" spans="52:61">
      <c r="AZ1857" s="302"/>
      <c r="BA1857" s="313"/>
      <c r="BB1857" s="167"/>
      <c r="BC1857" s="42"/>
      <c r="BD1857" s="358"/>
      <c r="BH1857" s="302"/>
      <c r="BI1857" s="42"/>
    </row>
    <row r="1858" spans="52:61">
      <c r="AZ1858" s="302"/>
      <c r="BA1858" s="313"/>
      <c r="BB1858" s="167"/>
      <c r="BC1858" s="42"/>
      <c r="BD1858" s="358"/>
      <c r="BH1858" s="302"/>
      <c r="BI1858" s="42"/>
    </row>
    <row r="1859" spans="52:61">
      <c r="AZ1859" s="302"/>
      <c r="BA1859" s="313"/>
      <c r="BB1859" s="167"/>
      <c r="BC1859" s="42"/>
      <c r="BD1859" s="358"/>
      <c r="BH1859" s="302"/>
      <c r="BI1859" s="42"/>
    </row>
    <row r="1860" spans="52:61">
      <c r="AZ1860" s="302"/>
      <c r="BA1860" s="313"/>
      <c r="BB1860" s="167"/>
      <c r="BC1860" s="42"/>
      <c r="BD1860" s="358"/>
      <c r="BH1860" s="302"/>
      <c r="BI1860" s="42"/>
    </row>
    <row r="1861" spans="52:61">
      <c r="AZ1861" s="302"/>
      <c r="BA1861" s="313"/>
      <c r="BB1861" s="167"/>
      <c r="BC1861" s="42"/>
      <c r="BD1861" s="358"/>
      <c r="BH1861" s="302"/>
      <c r="BI1861" s="42"/>
    </row>
    <row r="1862" spans="52:61">
      <c r="AZ1862" s="302"/>
      <c r="BA1862" s="313"/>
      <c r="BB1862" s="167"/>
      <c r="BC1862" s="42"/>
      <c r="BD1862" s="358"/>
      <c r="BH1862" s="302"/>
      <c r="BI1862" s="42"/>
    </row>
    <row r="1863" spans="52:61">
      <c r="AZ1863" s="302"/>
      <c r="BA1863" s="313"/>
      <c r="BB1863" s="167"/>
      <c r="BC1863" s="42"/>
      <c r="BD1863" s="358"/>
      <c r="BH1863" s="302"/>
      <c r="BI1863" s="42"/>
    </row>
    <row r="1864" spans="52:61">
      <c r="AZ1864" s="302"/>
      <c r="BA1864" s="313"/>
      <c r="BB1864" s="167"/>
      <c r="BC1864" s="42"/>
      <c r="BD1864" s="358"/>
      <c r="BH1864" s="302"/>
      <c r="BI1864" s="42"/>
    </row>
    <row r="1865" spans="52:61">
      <c r="AZ1865" s="302"/>
      <c r="BA1865" s="313"/>
      <c r="BB1865" s="167"/>
      <c r="BC1865" s="42"/>
      <c r="BD1865" s="358"/>
      <c r="BH1865" s="302"/>
      <c r="BI1865" s="42"/>
    </row>
    <row r="1866" spans="52:61">
      <c r="AZ1866" s="302"/>
      <c r="BA1866" s="313"/>
      <c r="BB1866" s="167"/>
      <c r="BC1866" s="42"/>
      <c r="BD1866" s="358"/>
      <c r="BH1866" s="302"/>
      <c r="BI1866" s="42"/>
    </row>
    <row r="1867" spans="52:61">
      <c r="AZ1867" s="302"/>
      <c r="BA1867" s="313"/>
      <c r="BB1867" s="167"/>
      <c r="BC1867" s="42"/>
      <c r="BD1867" s="358"/>
      <c r="BH1867" s="302"/>
      <c r="BI1867" s="42"/>
    </row>
    <row r="1868" spans="52:61">
      <c r="AZ1868" s="302"/>
      <c r="BA1868" s="313"/>
      <c r="BB1868" s="167"/>
      <c r="BC1868" s="42"/>
      <c r="BD1868" s="358"/>
      <c r="BH1868" s="302"/>
      <c r="BI1868" s="42"/>
    </row>
    <row r="1869" spans="52:61">
      <c r="AZ1869" s="302"/>
      <c r="BA1869" s="313"/>
      <c r="BB1869" s="167"/>
      <c r="BC1869" s="42"/>
      <c r="BD1869" s="358"/>
      <c r="BH1869" s="302"/>
      <c r="BI1869" s="42"/>
    </row>
    <row r="1870" spans="52:61">
      <c r="AZ1870" s="302"/>
      <c r="BA1870" s="313"/>
      <c r="BB1870" s="167"/>
      <c r="BC1870" s="42"/>
      <c r="BD1870" s="358"/>
      <c r="BH1870" s="302"/>
      <c r="BI1870" s="42"/>
    </row>
    <row r="1871" spans="52:61">
      <c r="AZ1871" s="302"/>
      <c r="BA1871" s="313"/>
      <c r="BB1871" s="167"/>
      <c r="BC1871" s="42"/>
      <c r="BD1871" s="358"/>
      <c r="BH1871" s="302"/>
      <c r="BI1871" s="42"/>
    </row>
    <row r="1872" spans="52:61">
      <c r="AZ1872" s="302"/>
      <c r="BA1872" s="313"/>
      <c r="BB1872" s="167"/>
      <c r="BC1872" s="42"/>
      <c r="BD1872" s="358"/>
      <c r="BH1872" s="302"/>
      <c r="BI1872" s="42"/>
    </row>
    <row r="1873" spans="52:61">
      <c r="AZ1873" s="302"/>
      <c r="BA1873" s="313"/>
      <c r="BB1873" s="167"/>
      <c r="BC1873" s="42"/>
      <c r="BD1873" s="358"/>
      <c r="BH1873" s="302"/>
      <c r="BI1873" s="42"/>
    </row>
    <row r="1874" spans="52:61">
      <c r="AZ1874" s="302"/>
      <c r="BA1874" s="313"/>
      <c r="BB1874" s="167"/>
      <c r="BC1874" s="42"/>
      <c r="BD1874" s="358"/>
      <c r="BH1874" s="302"/>
      <c r="BI1874" s="42"/>
    </row>
    <row r="1875" spans="52:61">
      <c r="AZ1875" s="302"/>
      <c r="BA1875" s="313"/>
      <c r="BB1875" s="167"/>
      <c r="BC1875" s="42"/>
      <c r="BD1875" s="358"/>
      <c r="BH1875" s="302"/>
      <c r="BI1875" s="42"/>
    </row>
    <row r="1876" spans="52:61">
      <c r="AZ1876" s="302"/>
      <c r="BA1876" s="313"/>
      <c r="BB1876" s="167"/>
      <c r="BC1876" s="42"/>
      <c r="BD1876" s="358"/>
      <c r="BH1876" s="302"/>
      <c r="BI1876" s="42"/>
    </row>
    <row r="1877" spans="52:61">
      <c r="AZ1877" s="302"/>
      <c r="BA1877" s="313"/>
      <c r="BB1877" s="167"/>
      <c r="BC1877" s="42"/>
      <c r="BD1877" s="358"/>
      <c r="BH1877" s="302"/>
      <c r="BI1877" s="42"/>
    </row>
    <row r="1878" spans="52:61">
      <c r="AZ1878" s="302"/>
      <c r="BA1878" s="313"/>
      <c r="BB1878" s="167"/>
      <c r="BC1878" s="42"/>
      <c r="BD1878" s="358"/>
      <c r="BH1878" s="302"/>
      <c r="BI1878" s="42"/>
    </row>
    <row r="1879" spans="52:61">
      <c r="AZ1879" s="302"/>
      <c r="BA1879" s="313"/>
      <c r="BB1879" s="167"/>
      <c r="BC1879" s="42"/>
      <c r="BD1879" s="358"/>
      <c r="BH1879" s="302"/>
      <c r="BI1879" s="42"/>
    </row>
    <row r="1880" spans="52:61">
      <c r="AZ1880" s="302"/>
      <c r="BA1880" s="313"/>
      <c r="BB1880" s="167"/>
      <c r="BC1880" s="42"/>
      <c r="BD1880" s="358"/>
      <c r="BH1880" s="302"/>
      <c r="BI1880" s="42"/>
    </row>
    <row r="1881" spans="52:61">
      <c r="AZ1881" s="302"/>
      <c r="BA1881" s="313"/>
      <c r="BB1881" s="167"/>
      <c r="BC1881" s="42"/>
      <c r="BD1881" s="358"/>
      <c r="BH1881" s="302"/>
      <c r="BI1881" s="42"/>
    </row>
    <row r="1882" spans="52:61">
      <c r="AZ1882" s="302"/>
      <c r="BA1882" s="313"/>
      <c r="BB1882" s="167"/>
      <c r="BC1882" s="42"/>
      <c r="BD1882" s="358"/>
      <c r="BH1882" s="302"/>
      <c r="BI1882" s="42"/>
    </row>
    <row r="1883" spans="52:61">
      <c r="AZ1883" s="302"/>
      <c r="BA1883" s="313"/>
      <c r="BB1883" s="167"/>
      <c r="BC1883" s="42"/>
      <c r="BD1883" s="358"/>
      <c r="BH1883" s="302"/>
      <c r="BI1883" s="42"/>
    </row>
    <row r="1884" spans="52:61">
      <c r="AZ1884" s="302"/>
      <c r="BA1884" s="313"/>
      <c r="BB1884" s="167"/>
      <c r="BC1884" s="42"/>
      <c r="BD1884" s="358"/>
      <c r="BH1884" s="302"/>
      <c r="BI1884" s="42"/>
    </row>
    <row r="1885" spans="52:61">
      <c r="AZ1885" s="302"/>
      <c r="BA1885" s="313"/>
      <c r="BB1885" s="167"/>
      <c r="BC1885" s="42"/>
      <c r="BD1885" s="358"/>
      <c r="BH1885" s="302"/>
      <c r="BI1885" s="42"/>
    </row>
    <row r="1886" spans="52:61">
      <c r="AZ1886" s="302"/>
      <c r="BA1886" s="313"/>
      <c r="BB1886" s="167"/>
      <c r="BC1886" s="42"/>
      <c r="BD1886" s="358"/>
      <c r="BH1886" s="302"/>
      <c r="BI1886" s="42"/>
    </row>
    <row r="1887" spans="52:61">
      <c r="AZ1887" s="302"/>
      <c r="BA1887" s="313"/>
      <c r="BB1887" s="167"/>
      <c r="BC1887" s="42"/>
      <c r="BD1887" s="358"/>
      <c r="BH1887" s="302"/>
      <c r="BI1887" s="42"/>
    </row>
    <row r="1888" spans="52:61">
      <c r="AZ1888" s="302"/>
      <c r="BA1888" s="313"/>
      <c r="BB1888" s="167"/>
      <c r="BC1888" s="42"/>
      <c r="BD1888" s="358"/>
      <c r="BH1888" s="302"/>
      <c r="BI1888" s="42"/>
    </row>
    <row r="1889" spans="52:61">
      <c r="AZ1889" s="302"/>
      <c r="BA1889" s="313"/>
      <c r="BB1889" s="167"/>
      <c r="BC1889" s="42"/>
      <c r="BD1889" s="358"/>
      <c r="BH1889" s="302"/>
      <c r="BI1889" s="42"/>
    </row>
    <row r="1890" spans="52:61">
      <c r="AZ1890" s="302"/>
      <c r="BA1890" s="313"/>
      <c r="BB1890" s="167"/>
      <c r="BC1890" s="42"/>
      <c r="BD1890" s="358"/>
      <c r="BH1890" s="302"/>
      <c r="BI1890" s="42"/>
    </row>
    <row r="1891" spans="52:61">
      <c r="AZ1891" s="302"/>
      <c r="BA1891" s="313"/>
      <c r="BB1891" s="167"/>
      <c r="BC1891" s="42"/>
      <c r="BD1891" s="358"/>
      <c r="BH1891" s="302"/>
      <c r="BI1891" s="42"/>
    </row>
    <row r="1892" spans="52:61">
      <c r="AZ1892" s="302"/>
      <c r="BA1892" s="313"/>
      <c r="BB1892" s="167"/>
      <c r="BC1892" s="42"/>
      <c r="BD1892" s="358"/>
      <c r="BH1892" s="302"/>
      <c r="BI1892" s="42"/>
    </row>
    <row r="1893" spans="52:61">
      <c r="AZ1893" s="302"/>
      <c r="BA1893" s="313"/>
      <c r="BB1893" s="167"/>
      <c r="BC1893" s="42"/>
      <c r="BD1893" s="358"/>
      <c r="BH1893" s="302"/>
      <c r="BI1893" s="42"/>
    </row>
    <row r="1894" spans="52:61">
      <c r="AZ1894" s="302"/>
      <c r="BA1894" s="313"/>
      <c r="BB1894" s="167"/>
      <c r="BC1894" s="42"/>
      <c r="BD1894" s="358"/>
      <c r="BH1894" s="302"/>
      <c r="BI1894" s="42"/>
    </row>
    <row r="1895" spans="52:61">
      <c r="AZ1895" s="302"/>
      <c r="BA1895" s="313"/>
      <c r="BB1895" s="167"/>
      <c r="BC1895" s="42"/>
      <c r="BD1895" s="358"/>
      <c r="BH1895" s="302"/>
      <c r="BI1895" s="42"/>
    </row>
    <row r="1896" spans="52:61">
      <c r="AZ1896" s="302"/>
      <c r="BA1896" s="313"/>
      <c r="BB1896" s="167"/>
      <c r="BC1896" s="42"/>
      <c r="BD1896" s="358"/>
      <c r="BH1896" s="302"/>
      <c r="BI1896" s="42"/>
    </row>
    <row r="1897" spans="52:61">
      <c r="AZ1897" s="302"/>
      <c r="BA1897" s="313"/>
      <c r="BB1897" s="167"/>
      <c r="BC1897" s="42"/>
      <c r="BD1897" s="358"/>
      <c r="BH1897" s="302"/>
      <c r="BI1897" s="42"/>
    </row>
    <row r="1898" spans="52:61">
      <c r="AZ1898" s="302"/>
      <c r="BA1898" s="313"/>
      <c r="BB1898" s="167"/>
      <c r="BC1898" s="42"/>
      <c r="BD1898" s="358"/>
      <c r="BH1898" s="302"/>
      <c r="BI1898" s="42"/>
    </row>
    <row r="1899" spans="52:61">
      <c r="AZ1899" s="302"/>
      <c r="BA1899" s="313"/>
      <c r="BB1899" s="167"/>
      <c r="BC1899" s="42"/>
      <c r="BD1899" s="358"/>
      <c r="BH1899" s="302"/>
      <c r="BI1899" s="42"/>
    </row>
    <row r="1900" spans="52:61">
      <c r="AZ1900" s="302"/>
      <c r="BA1900" s="313"/>
      <c r="BB1900" s="167"/>
      <c r="BC1900" s="42"/>
      <c r="BD1900" s="358"/>
      <c r="BH1900" s="302"/>
      <c r="BI1900" s="42"/>
    </row>
    <row r="1901" spans="52:61">
      <c r="AZ1901" s="302"/>
      <c r="BA1901" s="313"/>
      <c r="BB1901" s="167"/>
      <c r="BC1901" s="42"/>
      <c r="BD1901" s="358"/>
      <c r="BH1901" s="302"/>
      <c r="BI1901" s="42"/>
    </row>
    <row r="1902" spans="52:61">
      <c r="AZ1902" s="302"/>
      <c r="BA1902" s="313"/>
      <c r="BB1902" s="167"/>
      <c r="BC1902" s="42"/>
      <c r="BD1902" s="358"/>
      <c r="BH1902" s="302"/>
      <c r="BI1902" s="42"/>
    </row>
    <row r="1903" spans="52:61">
      <c r="AZ1903" s="302"/>
      <c r="BA1903" s="313"/>
      <c r="BB1903" s="167"/>
      <c r="BC1903" s="42"/>
      <c r="BD1903" s="358"/>
      <c r="BH1903" s="302"/>
      <c r="BI1903" s="42"/>
    </row>
    <row r="1904" spans="52:61">
      <c r="AZ1904" s="302"/>
      <c r="BA1904" s="313"/>
      <c r="BB1904" s="167"/>
      <c r="BC1904" s="42"/>
      <c r="BD1904" s="358"/>
      <c r="BH1904" s="302"/>
      <c r="BI1904" s="42"/>
    </row>
    <row r="1905" spans="52:61">
      <c r="AZ1905" s="302"/>
      <c r="BA1905" s="313"/>
      <c r="BB1905" s="167"/>
      <c r="BC1905" s="42"/>
      <c r="BD1905" s="358"/>
      <c r="BH1905" s="302"/>
      <c r="BI1905" s="42"/>
    </row>
    <row r="1906" spans="52:61">
      <c r="AZ1906" s="302"/>
      <c r="BA1906" s="313"/>
      <c r="BB1906" s="167"/>
      <c r="BC1906" s="42"/>
      <c r="BD1906" s="358"/>
      <c r="BH1906" s="302"/>
      <c r="BI1906" s="42"/>
    </row>
    <row r="1907" spans="52:61">
      <c r="AZ1907" s="302"/>
      <c r="BA1907" s="313"/>
      <c r="BB1907" s="167"/>
      <c r="BC1907" s="42"/>
      <c r="BD1907" s="358"/>
      <c r="BH1907" s="302"/>
      <c r="BI1907" s="42"/>
    </row>
    <row r="1908" spans="52:61">
      <c r="AZ1908" s="302"/>
      <c r="BA1908" s="313"/>
      <c r="BB1908" s="167"/>
      <c r="BC1908" s="42"/>
      <c r="BD1908" s="358"/>
      <c r="BH1908" s="302"/>
      <c r="BI1908" s="42"/>
    </row>
    <row r="1909" spans="52:61">
      <c r="AZ1909" s="302"/>
      <c r="BA1909" s="313"/>
      <c r="BB1909" s="167"/>
      <c r="BC1909" s="42"/>
      <c r="BD1909" s="358"/>
      <c r="BH1909" s="302"/>
      <c r="BI1909" s="42"/>
    </row>
    <row r="1910" spans="52:61">
      <c r="AZ1910" s="302"/>
      <c r="BA1910" s="313"/>
      <c r="BB1910" s="167"/>
      <c r="BC1910" s="42"/>
      <c r="BD1910" s="358"/>
      <c r="BH1910" s="302"/>
      <c r="BI1910" s="42"/>
    </row>
    <row r="1911" spans="52:61">
      <c r="AZ1911" s="302"/>
      <c r="BA1911" s="313"/>
      <c r="BB1911" s="167"/>
      <c r="BC1911" s="42"/>
      <c r="BD1911" s="358"/>
      <c r="BH1911" s="302"/>
      <c r="BI1911" s="42"/>
    </row>
    <row r="1912" spans="52:61">
      <c r="AZ1912" s="302"/>
      <c r="BA1912" s="313"/>
      <c r="BB1912" s="167"/>
      <c r="BC1912" s="42"/>
      <c r="BD1912" s="358"/>
      <c r="BH1912" s="302"/>
      <c r="BI1912" s="42"/>
    </row>
    <row r="1913" spans="52:61">
      <c r="AZ1913" s="302"/>
      <c r="BA1913" s="313"/>
      <c r="BB1913" s="167"/>
      <c r="BC1913" s="42"/>
      <c r="BD1913" s="358"/>
      <c r="BH1913" s="302"/>
      <c r="BI1913" s="42"/>
    </row>
    <row r="1914" spans="52:61">
      <c r="AZ1914" s="302"/>
      <c r="BA1914" s="313"/>
      <c r="BB1914" s="167"/>
      <c r="BC1914" s="42"/>
      <c r="BD1914" s="358"/>
      <c r="BH1914" s="302"/>
      <c r="BI1914" s="42"/>
    </row>
    <row r="1915" spans="52:61">
      <c r="AZ1915" s="302"/>
      <c r="BA1915" s="313"/>
      <c r="BB1915" s="167"/>
      <c r="BC1915" s="42"/>
      <c r="BD1915" s="358"/>
      <c r="BH1915" s="302"/>
      <c r="BI1915" s="42"/>
    </row>
    <row r="1916" spans="52:61">
      <c r="AZ1916" s="302"/>
      <c r="BA1916" s="313"/>
      <c r="BB1916" s="167"/>
      <c r="BC1916" s="42"/>
      <c r="BD1916" s="358"/>
      <c r="BH1916" s="302"/>
      <c r="BI1916" s="42"/>
    </row>
    <row r="1917" spans="52:61">
      <c r="AZ1917" s="302"/>
      <c r="BA1917" s="313"/>
      <c r="BB1917" s="167"/>
      <c r="BC1917" s="42"/>
      <c r="BD1917" s="358"/>
      <c r="BH1917" s="302"/>
      <c r="BI1917" s="42"/>
    </row>
    <row r="1918" spans="52:61">
      <c r="AZ1918" s="302"/>
      <c r="BA1918" s="313"/>
      <c r="BB1918" s="167"/>
      <c r="BC1918" s="42"/>
      <c r="BD1918" s="358"/>
      <c r="BH1918" s="302"/>
      <c r="BI1918" s="42"/>
    </row>
    <row r="1919" spans="52:61">
      <c r="AZ1919" s="302"/>
      <c r="BA1919" s="313"/>
      <c r="BB1919" s="167"/>
      <c r="BC1919" s="42"/>
      <c r="BD1919" s="358"/>
      <c r="BH1919" s="302"/>
      <c r="BI1919" s="42"/>
    </row>
    <row r="1920" spans="52:61">
      <c r="AZ1920" s="302"/>
      <c r="BA1920" s="313"/>
      <c r="BB1920" s="167"/>
      <c r="BC1920" s="42"/>
      <c r="BD1920" s="358"/>
      <c r="BH1920" s="302"/>
      <c r="BI1920" s="42"/>
    </row>
    <row r="1921" spans="52:61">
      <c r="AZ1921" s="302"/>
      <c r="BA1921" s="313"/>
      <c r="BB1921" s="167"/>
      <c r="BC1921" s="42"/>
      <c r="BD1921" s="358"/>
      <c r="BH1921" s="302"/>
      <c r="BI1921" s="42"/>
    </row>
    <row r="1922" spans="52:61">
      <c r="AZ1922" s="302"/>
      <c r="BA1922" s="313"/>
      <c r="BB1922" s="167"/>
      <c r="BC1922" s="42"/>
      <c r="BD1922" s="358"/>
      <c r="BH1922" s="302"/>
      <c r="BI1922" s="42"/>
    </row>
    <row r="1923" spans="52:61">
      <c r="AZ1923" s="302"/>
      <c r="BA1923" s="313"/>
      <c r="BB1923" s="167"/>
      <c r="BC1923" s="42"/>
      <c r="BD1923" s="358"/>
      <c r="BH1923" s="302"/>
      <c r="BI1923" s="42"/>
    </row>
    <row r="1924" spans="52:61">
      <c r="AZ1924" s="302"/>
      <c r="BA1924" s="313"/>
      <c r="BB1924" s="167"/>
      <c r="BC1924" s="42"/>
      <c r="BD1924" s="358"/>
      <c r="BH1924" s="302"/>
      <c r="BI1924" s="42"/>
    </row>
    <row r="1925" spans="52:61">
      <c r="AZ1925" s="302"/>
      <c r="BA1925" s="313"/>
      <c r="BB1925" s="167"/>
      <c r="BC1925" s="42"/>
      <c r="BD1925" s="358"/>
      <c r="BH1925" s="302"/>
      <c r="BI1925" s="42"/>
    </row>
    <row r="1926" spans="52:61">
      <c r="AZ1926" s="302"/>
      <c r="BA1926" s="313"/>
      <c r="BB1926" s="167"/>
      <c r="BC1926" s="42"/>
      <c r="BD1926" s="358"/>
      <c r="BH1926" s="302"/>
      <c r="BI1926" s="42"/>
    </row>
    <row r="1927" spans="52:61">
      <c r="AZ1927" s="302"/>
      <c r="BA1927" s="313"/>
      <c r="BB1927" s="167"/>
      <c r="BC1927" s="42"/>
      <c r="BD1927" s="358"/>
      <c r="BH1927" s="302"/>
      <c r="BI1927" s="42"/>
    </row>
    <row r="1928" spans="52:61">
      <c r="AZ1928" s="302"/>
      <c r="BA1928" s="313"/>
      <c r="BB1928" s="167"/>
      <c r="BC1928" s="42"/>
      <c r="BD1928" s="358"/>
      <c r="BH1928" s="302"/>
      <c r="BI1928" s="42"/>
    </row>
    <row r="1929" spans="52:61">
      <c r="AZ1929" s="302"/>
      <c r="BA1929" s="313"/>
      <c r="BB1929" s="167"/>
      <c r="BC1929" s="42"/>
      <c r="BD1929" s="358"/>
      <c r="BH1929" s="302"/>
      <c r="BI1929" s="42"/>
    </row>
    <row r="1930" spans="52:61">
      <c r="AZ1930" s="302"/>
      <c r="BA1930" s="313"/>
      <c r="BB1930" s="167"/>
      <c r="BC1930" s="42"/>
      <c r="BD1930" s="358"/>
      <c r="BH1930" s="302"/>
      <c r="BI1930" s="42"/>
    </row>
    <row r="1931" spans="52:61">
      <c r="AZ1931" s="302"/>
      <c r="BA1931" s="313"/>
      <c r="BB1931" s="167"/>
      <c r="BC1931" s="42"/>
      <c r="BD1931" s="358"/>
      <c r="BH1931" s="302"/>
      <c r="BI1931" s="42"/>
    </row>
    <row r="1932" spans="52:61">
      <c r="AZ1932" s="302"/>
      <c r="BA1932" s="313"/>
      <c r="BB1932" s="167"/>
      <c r="BC1932" s="42"/>
      <c r="BD1932" s="358"/>
      <c r="BH1932" s="302"/>
      <c r="BI1932" s="42"/>
    </row>
    <row r="1933" spans="52:61">
      <c r="AZ1933" s="302"/>
      <c r="BA1933" s="313"/>
      <c r="BB1933" s="167"/>
      <c r="BC1933" s="42"/>
      <c r="BD1933" s="358"/>
      <c r="BH1933" s="302"/>
      <c r="BI1933" s="42"/>
    </row>
    <row r="1934" spans="52:61">
      <c r="AZ1934" s="302"/>
      <c r="BA1934" s="313"/>
      <c r="BB1934" s="167"/>
      <c r="BC1934" s="42"/>
      <c r="BD1934" s="358"/>
      <c r="BH1934" s="302"/>
      <c r="BI1934" s="42"/>
    </row>
    <row r="1935" spans="52:61">
      <c r="AZ1935" s="302"/>
      <c r="BA1935" s="313"/>
      <c r="BB1935" s="167"/>
      <c r="BC1935" s="42"/>
      <c r="BD1935" s="358"/>
      <c r="BH1935" s="302"/>
      <c r="BI1935" s="42"/>
    </row>
    <row r="1936" spans="52:61">
      <c r="AZ1936" s="302"/>
      <c r="BA1936" s="313"/>
      <c r="BB1936" s="167"/>
      <c r="BC1936" s="42"/>
      <c r="BD1936" s="358"/>
      <c r="BH1936" s="302"/>
      <c r="BI1936" s="42"/>
    </row>
    <row r="1937" spans="52:61">
      <c r="AZ1937" s="302"/>
      <c r="BA1937" s="313"/>
      <c r="BB1937" s="167"/>
      <c r="BC1937" s="42"/>
      <c r="BD1937" s="358"/>
      <c r="BH1937" s="302"/>
      <c r="BI1937" s="42"/>
    </row>
    <row r="1938" spans="52:61">
      <c r="AZ1938" s="302"/>
      <c r="BA1938" s="313"/>
      <c r="BB1938" s="167"/>
      <c r="BC1938" s="42"/>
      <c r="BD1938" s="358"/>
      <c r="BH1938" s="302"/>
      <c r="BI1938" s="42"/>
    </row>
    <row r="1939" spans="52:61">
      <c r="AZ1939" s="302"/>
      <c r="BA1939" s="313"/>
      <c r="BB1939" s="167"/>
      <c r="BC1939" s="42"/>
      <c r="BD1939" s="358"/>
      <c r="BH1939" s="302"/>
      <c r="BI1939" s="42"/>
    </row>
    <row r="1940" spans="52:61">
      <c r="AZ1940" s="302"/>
      <c r="BA1940" s="313"/>
      <c r="BB1940" s="167"/>
      <c r="BC1940" s="42"/>
      <c r="BD1940" s="358"/>
      <c r="BH1940" s="302"/>
      <c r="BI1940" s="42"/>
    </row>
    <row r="1941" spans="52:61">
      <c r="AZ1941" s="302"/>
      <c r="BA1941" s="313"/>
      <c r="BB1941" s="167"/>
      <c r="BC1941" s="42"/>
      <c r="BD1941" s="358"/>
      <c r="BH1941" s="302"/>
      <c r="BI1941" s="42"/>
    </row>
    <row r="1942" spans="52:61">
      <c r="AZ1942" s="302"/>
      <c r="BA1942" s="313"/>
      <c r="BB1942" s="167"/>
      <c r="BC1942" s="42"/>
      <c r="BD1942" s="358"/>
      <c r="BH1942" s="302"/>
      <c r="BI1942" s="42"/>
    </row>
    <row r="1943" spans="52:61">
      <c r="AZ1943" s="302"/>
      <c r="BA1943" s="313"/>
      <c r="BB1943" s="167"/>
      <c r="BC1943" s="42"/>
      <c r="BD1943" s="358"/>
      <c r="BH1943" s="302"/>
      <c r="BI1943" s="42"/>
    </row>
    <row r="1944" spans="52:61">
      <c r="AZ1944" s="302"/>
      <c r="BA1944" s="313"/>
      <c r="BB1944" s="167"/>
      <c r="BC1944" s="42"/>
      <c r="BD1944" s="358"/>
      <c r="BH1944" s="302"/>
      <c r="BI1944" s="42"/>
    </row>
    <row r="1945" spans="52:61">
      <c r="AZ1945" s="302"/>
      <c r="BA1945" s="313"/>
      <c r="BB1945" s="167"/>
      <c r="BC1945" s="42"/>
      <c r="BD1945" s="358"/>
      <c r="BH1945" s="302"/>
      <c r="BI1945" s="42"/>
    </row>
    <row r="1946" spans="52:61">
      <c r="AZ1946" s="302"/>
      <c r="BA1946" s="313"/>
      <c r="BB1946" s="167"/>
      <c r="BC1946" s="42"/>
      <c r="BD1946" s="358"/>
      <c r="BH1946" s="302"/>
      <c r="BI1946" s="42"/>
    </row>
    <row r="1947" spans="52:61">
      <c r="AZ1947" s="302"/>
      <c r="BA1947" s="313"/>
      <c r="BB1947" s="167"/>
      <c r="BC1947" s="42"/>
      <c r="BD1947" s="358"/>
      <c r="BH1947" s="302"/>
      <c r="BI1947" s="42"/>
    </row>
    <row r="1948" spans="52:61">
      <c r="AZ1948" s="302"/>
      <c r="BA1948" s="313"/>
      <c r="BB1948" s="167"/>
      <c r="BC1948" s="42"/>
      <c r="BD1948" s="358"/>
      <c r="BH1948" s="302"/>
      <c r="BI1948" s="42"/>
    </row>
    <row r="1949" spans="52:61">
      <c r="AZ1949" s="302"/>
      <c r="BA1949" s="313"/>
      <c r="BB1949" s="167"/>
      <c r="BC1949" s="42"/>
      <c r="BD1949" s="358"/>
      <c r="BH1949" s="302"/>
      <c r="BI1949" s="42"/>
    </row>
    <row r="1950" spans="52:61">
      <c r="AZ1950" s="302"/>
      <c r="BA1950" s="313"/>
      <c r="BB1950" s="167"/>
      <c r="BC1950" s="42"/>
      <c r="BD1950" s="358"/>
      <c r="BH1950" s="302"/>
      <c r="BI1950" s="42"/>
    </row>
    <row r="1951" spans="52:61">
      <c r="AZ1951" s="302"/>
      <c r="BA1951" s="313"/>
      <c r="BB1951" s="167"/>
      <c r="BC1951" s="42"/>
      <c r="BD1951" s="358"/>
      <c r="BH1951" s="302"/>
      <c r="BI1951" s="42"/>
    </row>
    <row r="1952" spans="52:61">
      <c r="AZ1952" s="302"/>
      <c r="BA1952" s="313"/>
      <c r="BB1952" s="167"/>
      <c r="BC1952" s="42"/>
      <c r="BD1952" s="358"/>
      <c r="BH1952" s="302"/>
      <c r="BI1952" s="42"/>
    </row>
    <row r="1953" spans="52:61">
      <c r="AZ1953" s="302"/>
      <c r="BA1953" s="313"/>
      <c r="BB1953" s="167"/>
      <c r="BC1953" s="42"/>
      <c r="BD1953" s="358"/>
      <c r="BH1953" s="302"/>
      <c r="BI1953" s="42"/>
    </row>
    <row r="1954" spans="52:61">
      <c r="AZ1954" s="302"/>
      <c r="BA1954" s="313"/>
      <c r="BB1954" s="167"/>
      <c r="BC1954" s="42"/>
      <c r="BD1954" s="358"/>
      <c r="BH1954" s="302"/>
      <c r="BI1954" s="42"/>
    </row>
    <row r="1955" spans="52:61">
      <c r="AZ1955" s="302"/>
      <c r="BA1955" s="313"/>
      <c r="BB1955" s="167"/>
      <c r="BC1955" s="42"/>
      <c r="BD1955" s="358"/>
      <c r="BH1955" s="302"/>
      <c r="BI1955" s="42"/>
    </row>
    <row r="1956" spans="52:61">
      <c r="AZ1956" s="302"/>
      <c r="BA1956" s="313"/>
      <c r="BB1956" s="167"/>
      <c r="BC1956" s="42"/>
      <c r="BD1956" s="358"/>
      <c r="BH1956" s="302"/>
      <c r="BI1956" s="42"/>
    </row>
    <row r="1957" spans="52:61">
      <c r="AZ1957" s="302"/>
      <c r="BA1957" s="313"/>
      <c r="BB1957" s="167"/>
      <c r="BC1957" s="42"/>
      <c r="BD1957" s="358"/>
      <c r="BH1957" s="302"/>
      <c r="BI1957" s="42"/>
    </row>
    <row r="1958" spans="52:61">
      <c r="AZ1958" s="302"/>
      <c r="BA1958" s="313"/>
      <c r="BB1958" s="167"/>
      <c r="BC1958" s="42"/>
      <c r="BD1958" s="358"/>
      <c r="BH1958" s="302"/>
      <c r="BI1958" s="42"/>
    </row>
    <row r="1959" spans="52:61">
      <c r="AZ1959" s="302"/>
      <c r="BA1959" s="313"/>
      <c r="BB1959" s="167"/>
      <c r="BC1959" s="42"/>
      <c r="BD1959" s="358"/>
      <c r="BH1959" s="302"/>
      <c r="BI1959" s="42"/>
    </row>
    <row r="1960" spans="52:61">
      <c r="AZ1960" s="302"/>
      <c r="BA1960" s="313"/>
      <c r="BB1960" s="167"/>
      <c r="BC1960" s="42"/>
      <c r="BD1960" s="358"/>
      <c r="BH1960" s="302"/>
      <c r="BI1960" s="42"/>
    </row>
    <row r="1961" spans="52:61">
      <c r="AZ1961" s="302"/>
      <c r="BA1961" s="313"/>
      <c r="BB1961" s="167"/>
      <c r="BC1961" s="42"/>
      <c r="BD1961" s="358"/>
      <c r="BH1961" s="302"/>
      <c r="BI1961" s="42"/>
    </row>
    <row r="1962" spans="52:61">
      <c r="AZ1962" s="302"/>
      <c r="BA1962" s="313"/>
      <c r="BB1962" s="167"/>
      <c r="BC1962" s="42"/>
      <c r="BD1962" s="358"/>
      <c r="BH1962" s="302"/>
      <c r="BI1962" s="42"/>
    </row>
    <row r="1963" spans="52:61">
      <c r="AZ1963" s="302"/>
      <c r="BA1963" s="313"/>
      <c r="BB1963" s="167"/>
      <c r="BC1963" s="42"/>
      <c r="BD1963" s="358"/>
      <c r="BH1963" s="302"/>
      <c r="BI1963" s="42"/>
    </row>
    <row r="1964" spans="52:61">
      <c r="AZ1964" s="302"/>
      <c r="BA1964" s="313"/>
      <c r="BB1964" s="167"/>
      <c r="BC1964" s="42"/>
      <c r="BD1964" s="358"/>
      <c r="BH1964" s="302"/>
      <c r="BI1964" s="42"/>
    </row>
    <row r="1965" spans="52:61">
      <c r="AZ1965" s="302"/>
      <c r="BA1965" s="313"/>
      <c r="BB1965" s="167"/>
      <c r="BC1965" s="42"/>
      <c r="BD1965" s="358"/>
      <c r="BH1965" s="302"/>
      <c r="BI1965" s="42"/>
    </row>
    <row r="1966" spans="52:61">
      <c r="AZ1966" s="302"/>
      <c r="BA1966" s="313"/>
      <c r="BB1966" s="167"/>
      <c r="BC1966" s="42"/>
      <c r="BD1966" s="358"/>
      <c r="BH1966" s="302"/>
      <c r="BI1966" s="42"/>
    </row>
    <row r="1967" spans="52:61">
      <c r="AZ1967" s="302"/>
      <c r="BA1967" s="313"/>
      <c r="BB1967" s="167"/>
      <c r="BC1967" s="42"/>
      <c r="BD1967" s="358"/>
      <c r="BH1967" s="302"/>
      <c r="BI1967" s="42"/>
    </row>
    <row r="1968" spans="52:61">
      <c r="AZ1968" s="302"/>
      <c r="BA1968" s="313"/>
      <c r="BB1968" s="167"/>
      <c r="BC1968" s="42"/>
      <c r="BD1968" s="358"/>
      <c r="BH1968" s="302"/>
      <c r="BI1968" s="42"/>
    </row>
    <row r="1969" spans="52:61">
      <c r="AZ1969" s="302"/>
      <c r="BA1969" s="313"/>
      <c r="BB1969" s="167"/>
      <c r="BC1969" s="42"/>
      <c r="BD1969" s="358"/>
      <c r="BH1969" s="302"/>
      <c r="BI1969" s="42"/>
    </row>
    <row r="1970" spans="52:61">
      <c r="AZ1970" s="302"/>
      <c r="BA1970" s="313"/>
      <c r="BB1970" s="167"/>
      <c r="BC1970" s="42"/>
      <c r="BD1970" s="358"/>
      <c r="BH1970" s="302"/>
      <c r="BI1970" s="42"/>
    </row>
    <row r="1971" spans="52:61">
      <c r="AZ1971" s="302"/>
      <c r="BA1971" s="313"/>
      <c r="BB1971" s="167"/>
      <c r="BC1971" s="42"/>
      <c r="BD1971" s="358"/>
      <c r="BH1971" s="302"/>
      <c r="BI1971" s="42"/>
    </row>
    <row r="1972" spans="52:61">
      <c r="AZ1972" s="302"/>
      <c r="BA1972" s="313"/>
      <c r="BB1972" s="167"/>
      <c r="BC1972" s="42"/>
      <c r="BD1972" s="358"/>
      <c r="BH1972" s="302"/>
      <c r="BI1972" s="42"/>
    </row>
    <row r="1973" spans="52:61">
      <c r="AZ1973" s="302"/>
      <c r="BA1973" s="313"/>
      <c r="BB1973" s="167"/>
      <c r="BC1973" s="42"/>
      <c r="BD1973" s="358"/>
      <c r="BH1973" s="302"/>
      <c r="BI1973" s="42"/>
    </row>
    <row r="1974" spans="52:61">
      <c r="AZ1974" s="302"/>
      <c r="BA1974" s="313"/>
      <c r="BB1974" s="167"/>
      <c r="BC1974" s="42"/>
      <c r="BD1974" s="358"/>
      <c r="BH1974" s="302"/>
      <c r="BI1974" s="42"/>
    </row>
    <row r="1975" spans="52:61">
      <c r="AZ1975" s="302"/>
      <c r="BA1975" s="313"/>
      <c r="BB1975" s="167"/>
      <c r="BC1975" s="42"/>
      <c r="BD1975" s="358"/>
      <c r="BH1975" s="302"/>
      <c r="BI1975" s="42"/>
    </row>
    <row r="1976" spans="52:61">
      <c r="AZ1976" s="302"/>
      <c r="BA1976" s="313"/>
      <c r="BB1976" s="167"/>
      <c r="BC1976" s="42"/>
      <c r="BD1976" s="358"/>
      <c r="BH1976" s="302"/>
      <c r="BI1976" s="42"/>
    </row>
    <row r="1977" spans="52:61">
      <c r="AZ1977" s="302"/>
      <c r="BA1977" s="313"/>
      <c r="BB1977" s="167"/>
      <c r="BC1977" s="42"/>
      <c r="BD1977" s="358"/>
      <c r="BH1977" s="302"/>
      <c r="BI1977" s="42"/>
    </row>
    <row r="1978" spans="52:61">
      <c r="AZ1978" s="302"/>
      <c r="BA1978" s="313"/>
      <c r="BB1978" s="167"/>
      <c r="BC1978" s="42"/>
      <c r="BD1978" s="358"/>
      <c r="BH1978" s="302"/>
      <c r="BI1978" s="42"/>
    </row>
    <row r="1979" spans="52:61">
      <c r="AZ1979" s="302"/>
      <c r="BA1979" s="313"/>
      <c r="BB1979" s="167"/>
      <c r="BC1979" s="42"/>
      <c r="BD1979" s="358"/>
      <c r="BH1979" s="302"/>
      <c r="BI1979" s="42"/>
    </row>
    <row r="1980" spans="52:61">
      <c r="AZ1980" s="302"/>
      <c r="BA1980" s="313"/>
      <c r="BB1980" s="167"/>
      <c r="BC1980" s="42"/>
      <c r="BD1980" s="358"/>
      <c r="BH1980" s="302"/>
      <c r="BI1980" s="42"/>
    </row>
    <row r="1981" spans="52:61">
      <c r="AZ1981" s="302"/>
      <c r="BA1981" s="313"/>
      <c r="BB1981" s="167"/>
      <c r="BC1981" s="42"/>
      <c r="BD1981" s="358"/>
      <c r="BH1981" s="302"/>
      <c r="BI1981" s="42"/>
    </row>
    <row r="1982" spans="52:61">
      <c r="AZ1982" s="302"/>
      <c r="BA1982" s="313"/>
      <c r="BB1982" s="167"/>
      <c r="BC1982" s="42"/>
      <c r="BD1982" s="358"/>
      <c r="BH1982" s="302"/>
      <c r="BI1982" s="42"/>
    </row>
    <row r="1983" spans="52:61">
      <c r="AZ1983" s="302"/>
      <c r="BA1983" s="313"/>
      <c r="BB1983" s="167"/>
      <c r="BC1983" s="42"/>
      <c r="BD1983" s="358"/>
      <c r="BH1983" s="302"/>
      <c r="BI1983" s="42"/>
    </row>
    <row r="1984" spans="52:61">
      <c r="AZ1984" s="302"/>
      <c r="BA1984" s="313"/>
      <c r="BB1984" s="167"/>
      <c r="BC1984" s="42"/>
      <c r="BD1984" s="358"/>
      <c r="BH1984" s="302"/>
      <c r="BI1984" s="42"/>
    </row>
    <row r="1985" spans="52:61">
      <c r="AZ1985" s="302"/>
      <c r="BA1985" s="313"/>
      <c r="BB1985" s="167"/>
      <c r="BC1985" s="42"/>
      <c r="BD1985" s="358"/>
      <c r="BH1985" s="302"/>
      <c r="BI1985" s="42"/>
    </row>
    <row r="1986" spans="52:61">
      <c r="AZ1986" s="302"/>
      <c r="BA1986" s="313"/>
      <c r="BB1986" s="167"/>
      <c r="BC1986" s="42"/>
      <c r="BD1986" s="358"/>
      <c r="BH1986" s="302"/>
      <c r="BI1986" s="42"/>
    </row>
    <row r="1987" spans="52:61">
      <c r="AZ1987" s="302"/>
      <c r="BA1987" s="313"/>
      <c r="BB1987" s="167"/>
      <c r="BC1987" s="42"/>
      <c r="BD1987" s="358"/>
      <c r="BH1987" s="302"/>
      <c r="BI1987" s="42"/>
    </row>
    <row r="1988" spans="52:61">
      <c r="AZ1988" s="302"/>
      <c r="BA1988" s="313"/>
      <c r="BB1988" s="167"/>
      <c r="BC1988" s="42"/>
      <c r="BD1988" s="358"/>
      <c r="BH1988" s="302"/>
      <c r="BI1988" s="42"/>
    </row>
    <row r="1989" spans="52:61">
      <c r="AZ1989" s="302"/>
      <c r="BA1989" s="313"/>
      <c r="BB1989" s="167"/>
      <c r="BC1989" s="42"/>
      <c r="BD1989" s="358"/>
      <c r="BH1989" s="302"/>
      <c r="BI1989" s="42"/>
    </row>
    <row r="1990" spans="52:61">
      <c r="AZ1990" s="302"/>
      <c r="BA1990" s="313"/>
      <c r="BB1990" s="167"/>
      <c r="BC1990" s="42"/>
      <c r="BD1990" s="358"/>
      <c r="BH1990" s="302"/>
      <c r="BI1990" s="42"/>
    </row>
    <row r="1991" spans="52:61">
      <c r="AZ1991" s="302"/>
      <c r="BA1991" s="313"/>
      <c r="BB1991" s="167"/>
      <c r="BC1991" s="42"/>
      <c r="BD1991" s="358"/>
      <c r="BH1991" s="302"/>
      <c r="BI1991" s="42"/>
    </row>
    <row r="1992" spans="52:61">
      <c r="AZ1992" s="302"/>
      <c r="BA1992" s="313"/>
      <c r="BB1992" s="167"/>
      <c r="BC1992" s="42"/>
      <c r="BD1992" s="358"/>
      <c r="BH1992" s="302"/>
      <c r="BI1992" s="42"/>
    </row>
    <row r="1993" spans="52:61">
      <c r="AZ1993" s="302"/>
      <c r="BA1993" s="313"/>
      <c r="BB1993" s="167"/>
      <c r="BC1993" s="42"/>
      <c r="BD1993" s="358"/>
      <c r="BH1993" s="302"/>
      <c r="BI1993" s="42"/>
    </row>
    <row r="1994" spans="52:61">
      <c r="AZ1994" s="302"/>
      <c r="BA1994" s="313"/>
      <c r="BB1994" s="167"/>
      <c r="BC1994" s="42"/>
      <c r="BD1994" s="358"/>
      <c r="BH1994" s="302"/>
      <c r="BI1994" s="42"/>
    </row>
    <row r="1995" spans="52:61">
      <c r="AZ1995" s="302"/>
      <c r="BA1995" s="313"/>
      <c r="BB1995" s="167"/>
      <c r="BC1995" s="42"/>
      <c r="BD1995" s="358"/>
      <c r="BH1995" s="302"/>
      <c r="BI1995" s="42"/>
    </row>
    <row r="1996" spans="52:61">
      <c r="AZ1996" s="302"/>
      <c r="BA1996" s="313"/>
      <c r="BB1996" s="167"/>
      <c r="BC1996" s="42"/>
      <c r="BD1996" s="358"/>
      <c r="BH1996" s="302"/>
      <c r="BI1996" s="42"/>
    </row>
    <row r="1997" spans="52:61">
      <c r="AZ1997" s="302"/>
      <c r="BA1997" s="313"/>
      <c r="BB1997" s="167"/>
      <c r="BC1997" s="42"/>
      <c r="BD1997" s="358"/>
      <c r="BH1997" s="302"/>
      <c r="BI1997" s="42"/>
    </row>
    <row r="1998" spans="52:61">
      <c r="AZ1998" s="302"/>
      <c r="BA1998" s="313"/>
      <c r="BB1998" s="167"/>
      <c r="BC1998" s="42"/>
      <c r="BD1998" s="358"/>
      <c r="BH1998" s="302"/>
      <c r="BI1998" s="42"/>
    </row>
    <row r="1999" spans="52:61">
      <c r="AZ1999" s="302"/>
      <c r="BA1999" s="313"/>
      <c r="BB1999" s="167"/>
      <c r="BC1999" s="42"/>
      <c r="BD1999" s="358"/>
      <c r="BH1999" s="302"/>
      <c r="BI1999" s="42"/>
    </row>
    <row r="2000" spans="52:61">
      <c r="AZ2000" s="302"/>
      <c r="BA2000" s="313"/>
      <c r="BB2000" s="167"/>
      <c r="BC2000" s="42"/>
      <c r="BD2000" s="358"/>
      <c r="BH2000" s="302"/>
      <c r="BI2000" s="42"/>
    </row>
    <row r="2001" spans="52:61">
      <c r="AZ2001" s="302"/>
      <c r="BA2001" s="313"/>
      <c r="BB2001" s="167"/>
      <c r="BC2001" s="42"/>
      <c r="BD2001" s="358"/>
      <c r="BH2001" s="302"/>
      <c r="BI2001" s="42"/>
    </row>
    <row r="2002" spans="52:61">
      <c r="AZ2002" s="302"/>
      <c r="BA2002" s="313"/>
      <c r="BB2002" s="167"/>
      <c r="BC2002" s="42"/>
      <c r="BD2002" s="358"/>
      <c r="BH2002" s="302"/>
      <c r="BI2002" s="42"/>
    </row>
    <row r="2003" spans="52:61">
      <c r="AZ2003" s="302"/>
      <c r="BA2003" s="313"/>
      <c r="BB2003" s="167"/>
      <c r="BC2003" s="42"/>
      <c r="BD2003" s="358"/>
      <c r="BH2003" s="302"/>
      <c r="BI2003" s="42"/>
    </row>
    <row r="2004" spans="52:61">
      <c r="AZ2004" s="302"/>
      <c r="BA2004" s="313"/>
      <c r="BB2004" s="167"/>
      <c r="BC2004" s="42"/>
      <c r="BD2004" s="358"/>
      <c r="BH2004" s="302"/>
      <c r="BI2004" s="42"/>
    </row>
    <row r="2005" spans="52:61">
      <c r="AZ2005" s="302"/>
      <c r="BA2005" s="313"/>
      <c r="BB2005" s="167"/>
      <c r="BC2005" s="42"/>
      <c r="BD2005" s="358"/>
      <c r="BH2005" s="302"/>
      <c r="BI2005" s="42"/>
    </row>
    <row r="2006" spans="52:61">
      <c r="AZ2006" s="302"/>
      <c r="BA2006" s="313"/>
      <c r="BB2006" s="167"/>
      <c r="BC2006" s="42"/>
      <c r="BD2006" s="358"/>
      <c r="BH2006" s="302"/>
      <c r="BI2006" s="42"/>
    </row>
    <row r="2007" spans="52:61">
      <c r="AZ2007" s="302"/>
      <c r="BA2007" s="313"/>
      <c r="BB2007" s="167"/>
      <c r="BC2007" s="42"/>
      <c r="BD2007" s="358"/>
      <c r="BH2007" s="302"/>
      <c r="BI2007" s="42"/>
    </row>
    <row r="2008" spans="52:61">
      <c r="AZ2008" s="302"/>
      <c r="BA2008" s="313"/>
      <c r="BB2008" s="167"/>
      <c r="BC2008" s="42"/>
      <c r="BD2008" s="358"/>
      <c r="BH2008" s="302"/>
      <c r="BI2008" s="42"/>
    </row>
    <row r="2009" spans="52:61">
      <c r="AZ2009" s="302"/>
      <c r="BA2009" s="313"/>
      <c r="BB2009" s="167"/>
      <c r="BC2009" s="42"/>
      <c r="BD2009" s="358"/>
      <c r="BH2009" s="302"/>
      <c r="BI2009" s="42"/>
    </row>
    <row r="2010" spans="52:61">
      <c r="AZ2010" s="302"/>
      <c r="BA2010" s="313"/>
      <c r="BB2010" s="167"/>
      <c r="BC2010" s="42"/>
      <c r="BD2010" s="358"/>
      <c r="BH2010" s="302"/>
      <c r="BI2010" s="42"/>
    </row>
    <row r="2011" spans="52:61">
      <c r="AZ2011" s="302"/>
      <c r="BA2011" s="313"/>
      <c r="BB2011" s="167"/>
      <c r="BC2011" s="42"/>
      <c r="BD2011" s="358"/>
      <c r="BH2011" s="302"/>
      <c r="BI2011" s="42"/>
    </row>
    <row r="2012" spans="52:61">
      <c r="AZ2012" s="302"/>
      <c r="BA2012" s="313"/>
      <c r="BB2012" s="167"/>
      <c r="BC2012" s="42"/>
      <c r="BD2012" s="358"/>
      <c r="BH2012" s="302"/>
      <c r="BI2012" s="42"/>
    </row>
    <row r="2013" spans="52:61">
      <c r="AZ2013" s="302"/>
      <c r="BA2013" s="313"/>
      <c r="BB2013" s="167"/>
      <c r="BC2013" s="42"/>
      <c r="BD2013" s="358"/>
      <c r="BH2013" s="302"/>
      <c r="BI2013" s="42"/>
    </row>
    <row r="2014" spans="52:61">
      <c r="AZ2014" s="302"/>
      <c r="BA2014" s="313"/>
      <c r="BB2014" s="167"/>
      <c r="BC2014" s="42"/>
      <c r="BD2014" s="358"/>
      <c r="BH2014" s="302"/>
      <c r="BI2014" s="42"/>
    </row>
    <row r="2015" spans="52:61">
      <c r="AZ2015" s="302"/>
      <c r="BA2015" s="313"/>
      <c r="BB2015" s="167"/>
      <c r="BC2015" s="42"/>
      <c r="BD2015" s="358"/>
      <c r="BH2015" s="302"/>
      <c r="BI2015" s="42"/>
    </row>
    <row r="2016" spans="52:61">
      <c r="AZ2016" s="302"/>
      <c r="BA2016" s="313"/>
      <c r="BB2016" s="167"/>
      <c r="BC2016" s="42"/>
      <c r="BD2016" s="358"/>
      <c r="BH2016" s="302"/>
      <c r="BI2016" s="42"/>
    </row>
    <row r="2017" spans="52:61">
      <c r="AZ2017" s="302"/>
      <c r="BA2017" s="313"/>
      <c r="BB2017" s="167"/>
      <c r="BC2017" s="42"/>
      <c r="BD2017" s="358"/>
      <c r="BH2017" s="302"/>
      <c r="BI2017" s="42"/>
    </row>
    <row r="2018" spans="52:61">
      <c r="AZ2018" s="302"/>
      <c r="BA2018" s="313"/>
      <c r="BB2018" s="167"/>
      <c r="BC2018" s="42"/>
      <c r="BD2018" s="358"/>
      <c r="BH2018" s="302"/>
      <c r="BI2018" s="42"/>
    </row>
    <row r="2019" spans="52:61">
      <c r="AZ2019" s="302"/>
      <c r="BA2019" s="313"/>
      <c r="BB2019" s="167"/>
      <c r="BC2019" s="42"/>
      <c r="BD2019" s="358"/>
      <c r="BH2019" s="302"/>
      <c r="BI2019" s="42"/>
    </row>
    <row r="2020" spans="52:61">
      <c r="AZ2020" s="302"/>
      <c r="BA2020" s="313"/>
      <c r="BB2020" s="167"/>
      <c r="BC2020" s="42"/>
      <c r="BD2020" s="358"/>
      <c r="BH2020" s="302"/>
      <c r="BI2020" s="42"/>
    </row>
    <row r="2021" spans="52:61">
      <c r="AZ2021" s="302"/>
      <c r="BA2021" s="313"/>
      <c r="BB2021" s="167"/>
      <c r="BC2021" s="42"/>
      <c r="BD2021" s="358"/>
      <c r="BH2021" s="302"/>
      <c r="BI2021" s="42"/>
    </row>
    <row r="2022" spans="52:61">
      <c r="AZ2022" s="302"/>
      <c r="BA2022" s="313"/>
      <c r="BB2022" s="167"/>
      <c r="BC2022" s="42"/>
      <c r="BD2022" s="358"/>
      <c r="BH2022" s="302"/>
      <c r="BI2022" s="42"/>
    </row>
    <row r="2023" spans="52:61">
      <c r="AZ2023" s="302"/>
      <c r="BA2023" s="313"/>
      <c r="BB2023" s="167"/>
      <c r="BC2023" s="42"/>
      <c r="BD2023" s="358"/>
      <c r="BH2023" s="302"/>
      <c r="BI2023" s="42"/>
    </row>
    <row r="2024" spans="52:61">
      <c r="AZ2024" s="302"/>
      <c r="BA2024" s="313"/>
      <c r="BB2024" s="167"/>
      <c r="BC2024" s="42"/>
      <c r="BD2024" s="358"/>
      <c r="BH2024" s="302"/>
      <c r="BI2024" s="42"/>
    </row>
    <row r="2025" spans="52:61">
      <c r="AZ2025" s="302"/>
      <c r="BA2025" s="313"/>
      <c r="BB2025" s="167"/>
      <c r="BC2025" s="42"/>
      <c r="BD2025" s="358"/>
      <c r="BH2025" s="302"/>
      <c r="BI2025" s="42"/>
    </row>
    <row r="2026" spans="52:61">
      <c r="AZ2026" s="302"/>
      <c r="BA2026" s="313"/>
      <c r="BB2026" s="167"/>
      <c r="BC2026" s="42"/>
      <c r="BD2026" s="358"/>
      <c r="BH2026" s="302"/>
      <c r="BI2026" s="42"/>
    </row>
    <row r="2027" spans="52:61">
      <c r="AZ2027" s="302"/>
      <c r="BA2027" s="313"/>
      <c r="BB2027" s="167"/>
      <c r="BC2027" s="42"/>
      <c r="BD2027" s="358"/>
      <c r="BH2027" s="302"/>
      <c r="BI2027" s="42"/>
    </row>
    <row r="2028" spans="52:61">
      <c r="AZ2028" s="302"/>
      <c r="BA2028" s="313"/>
      <c r="BB2028" s="167"/>
      <c r="BC2028" s="42"/>
      <c r="BD2028" s="358"/>
      <c r="BH2028" s="302"/>
      <c r="BI2028" s="42"/>
    </row>
    <row r="2029" spans="52:61">
      <c r="AZ2029" s="302"/>
      <c r="BA2029" s="313"/>
      <c r="BB2029" s="167"/>
      <c r="BC2029" s="42"/>
      <c r="BD2029" s="358"/>
      <c r="BH2029" s="302"/>
      <c r="BI2029" s="42"/>
    </row>
    <row r="2030" spans="52:61">
      <c r="AZ2030" s="302"/>
      <c r="BA2030" s="313"/>
      <c r="BB2030" s="167"/>
      <c r="BC2030" s="42"/>
      <c r="BD2030" s="358"/>
      <c r="BH2030" s="302"/>
      <c r="BI2030" s="42"/>
    </row>
    <row r="2031" spans="52:61">
      <c r="AZ2031" s="302"/>
      <c r="BA2031" s="313"/>
      <c r="BB2031" s="167"/>
      <c r="BC2031" s="42"/>
      <c r="BD2031" s="358"/>
      <c r="BH2031" s="302"/>
      <c r="BI2031" s="42"/>
    </row>
    <row r="2032" spans="52:61">
      <c r="AZ2032" s="302"/>
      <c r="BA2032" s="313"/>
      <c r="BB2032" s="167"/>
      <c r="BC2032" s="42"/>
      <c r="BD2032" s="358"/>
      <c r="BH2032" s="302"/>
      <c r="BI2032" s="42"/>
    </row>
    <row r="2033" spans="52:61">
      <c r="AZ2033" s="302"/>
      <c r="BA2033" s="313"/>
      <c r="BB2033" s="167"/>
      <c r="BC2033" s="42"/>
      <c r="BD2033" s="358"/>
      <c r="BH2033" s="302"/>
      <c r="BI2033" s="42"/>
    </row>
    <row r="2034" spans="52:61">
      <c r="AZ2034" s="302"/>
      <c r="BA2034" s="313"/>
      <c r="BB2034" s="167"/>
      <c r="BC2034" s="42"/>
      <c r="BD2034" s="358"/>
      <c r="BH2034" s="302"/>
      <c r="BI2034" s="42"/>
    </row>
    <row r="2035" spans="52:61">
      <c r="AZ2035" s="302"/>
      <c r="BA2035" s="313"/>
      <c r="BB2035" s="167"/>
      <c r="BC2035" s="42"/>
      <c r="BD2035" s="358"/>
      <c r="BH2035" s="302"/>
      <c r="BI2035" s="42"/>
    </row>
    <row r="2036" spans="52:61">
      <c r="AZ2036" s="302"/>
      <c r="BA2036" s="313"/>
      <c r="BB2036" s="167"/>
      <c r="BC2036" s="42"/>
      <c r="BD2036" s="358"/>
      <c r="BH2036" s="302"/>
      <c r="BI2036" s="42"/>
    </row>
    <row r="2037" spans="52:61">
      <c r="AZ2037" s="302"/>
      <c r="BA2037" s="313"/>
      <c r="BB2037" s="167"/>
      <c r="BC2037" s="42"/>
      <c r="BD2037" s="358"/>
      <c r="BH2037" s="302"/>
      <c r="BI2037" s="42"/>
    </row>
    <row r="2038" spans="52:61">
      <c r="AZ2038" s="302"/>
      <c r="BA2038" s="313"/>
      <c r="BB2038" s="167"/>
      <c r="BC2038" s="42"/>
      <c r="BD2038" s="358"/>
      <c r="BH2038" s="302"/>
      <c r="BI2038" s="42"/>
    </row>
    <row r="2039" spans="52:61">
      <c r="AZ2039" s="302"/>
      <c r="BA2039" s="313"/>
      <c r="BB2039" s="167"/>
      <c r="BC2039" s="42"/>
      <c r="BD2039" s="358"/>
      <c r="BH2039" s="302"/>
      <c r="BI2039" s="42"/>
    </row>
    <row r="2040" spans="52:61">
      <c r="AZ2040" s="302"/>
      <c r="BA2040" s="313"/>
      <c r="BB2040" s="167"/>
      <c r="BC2040" s="42"/>
      <c r="BD2040" s="358"/>
      <c r="BH2040" s="302"/>
      <c r="BI2040" s="42"/>
    </row>
    <row r="2041" spans="52:61">
      <c r="AZ2041" s="302"/>
      <c r="BA2041" s="313"/>
      <c r="BB2041" s="167"/>
      <c r="BC2041" s="42"/>
      <c r="BD2041" s="358"/>
      <c r="BH2041" s="302"/>
      <c r="BI2041" s="42"/>
    </row>
    <row r="2042" spans="52:61">
      <c r="AZ2042" s="302"/>
      <c r="BA2042" s="313"/>
      <c r="BB2042" s="167"/>
      <c r="BC2042" s="42"/>
      <c r="BD2042" s="358"/>
      <c r="BH2042" s="302"/>
      <c r="BI2042" s="42"/>
    </row>
    <row r="2043" spans="52:61">
      <c r="AZ2043" s="302"/>
      <c r="BA2043" s="313"/>
      <c r="BB2043" s="167"/>
      <c r="BC2043" s="42"/>
      <c r="BD2043" s="358"/>
      <c r="BH2043" s="302"/>
      <c r="BI2043" s="42"/>
    </row>
    <row r="2044" spans="52:61">
      <c r="AZ2044" s="302"/>
      <c r="BA2044" s="313"/>
      <c r="BB2044" s="167"/>
      <c r="BC2044" s="42"/>
      <c r="BD2044" s="358"/>
      <c r="BH2044" s="302"/>
      <c r="BI2044" s="42"/>
    </row>
    <row r="2045" spans="52:61">
      <c r="AZ2045" s="302"/>
      <c r="BA2045" s="313"/>
      <c r="BB2045" s="167"/>
      <c r="BC2045" s="42"/>
      <c r="BD2045" s="358"/>
      <c r="BH2045" s="302"/>
      <c r="BI2045" s="42"/>
    </row>
    <row r="2046" spans="52:61">
      <c r="AZ2046" s="302"/>
      <c r="BA2046" s="313"/>
      <c r="BB2046" s="167"/>
      <c r="BC2046" s="42"/>
      <c r="BD2046" s="358"/>
      <c r="BH2046" s="302"/>
      <c r="BI2046" s="42"/>
    </row>
    <row r="2047" spans="52:61">
      <c r="AZ2047" s="302"/>
      <c r="BA2047" s="313"/>
      <c r="BB2047" s="167"/>
      <c r="BC2047" s="42"/>
      <c r="BD2047" s="358"/>
      <c r="BH2047" s="302"/>
      <c r="BI2047" s="42"/>
    </row>
    <row r="2048" spans="52:61">
      <c r="AZ2048" s="302"/>
      <c r="BA2048" s="313"/>
      <c r="BB2048" s="167"/>
      <c r="BC2048" s="42"/>
      <c r="BD2048" s="358"/>
      <c r="BH2048" s="302"/>
      <c r="BI2048" s="42"/>
    </row>
    <row r="2049" spans="52:61">
      <c r="AZ2049" s="302"/>
      <c r="BA2049" s="313"/>
      <c r="BB2049" s="167"/>
      <c r="BC2049" s="42"/>
      <c r="BD2049" s="358"/>
      <c r="BH2049" s="302"/>
      <c r="BI2049" s="42"/>
    </row>
    <row r="2050" spans="52:61">
      <c r="AZ2050" s="302"/>
      <c r="BA2050" s="313"/>
      <c r="BB2050" s="167"/>
      <c r="BC2050" s="42"/>
      <c r="BD2050" s="358"/>
      <c r="BH2050" s="302"/>
      <c r="BI2050" s="42"/>
    </row>
    <row r="2051" spans="52:61">
      <c r="AZ2051" s="302"/>
      <c r="BA2051" s="313"/>
      <c r="BB2051" s="167"/>
      <c r="BC2051" s="42"/>
      <c r="BD2051" s="358"/>
      <c r="BH2051" s="302"/>
      <c r="BI2051" s="42"/>
    </row>
    <row r="2052" spans="52:61">
      <c r="AZ2052" s="302"/>
      <c r="BA2052" s="313"/>
      <c r="BB2052" s="167"/>
      <c r="BC2052" s="42"/>
      <c r="BD2052" s="358"/>
      <c r="BH2052" s="302"/>
      <c r="BI2052" s="42"/>
    </row>
    <row r="2053" spans="52:61">
      <c r="AZ2053" s="302"/>
      <c r="BA2053" s="313"/>
      <c r="BB2053" s="167"/>
      <c r="BC2053" s="42"/>
      <c r="BD2053" s="358"/>
      <c r="BH2053" s="302"/>
      <c r="BI2053" s="42"/>
    </row>
    <row r="2054" spans="52:61">
      <c r="AZ2054" s="302"/>
      <c r="BA2054" s="313"/>
      <c r="BB2054" s="167"/>
      <c r="BC2054" s="42"/>
      <c r="BD2054" s="358"/>
      <c r="BH2054" s="302"/>
      <c r="BI2054" s="42"/>
    </row>
    <row r="2055" spans="52:61">
      <c r="AZ2055" s="302"/>
      <c r="BA2055" s="313"/>
      <c r="BB2055" s="167"/>
      <c r="BC2055" s="42"/>
      <c r="BD2055" s="358"/>
      <c r="BH2055" s="302"/>
      <c r="BI2055" s="42"/>
    </row>
    <row r="2056" spans="52:61">
      <c r="AZ2056" s="302"/>
      <c r="BA2056" s="313"/>
      <c r="BB2056" s="167"/>
      <c r="BC2056" s="42"/>
      <c r="BD2056" s="358"/>
      <c r="BH2056" s="302"/>
      <c r="BI2056" s="42"/>
    </row>
    <row r="2057" spans="52:61">
      <c r="AZ2057" s="302"/>
      <c r="BA2057" s="313"/>
      <c r="BB2057" s="167"/>
      <c r="BC2057" s="42"/>
      <c r="BD2057" s="358"/>
      <c r="BH2057" s="302"/>
      <c r="BI2057" s="42"/>
    </row>
    <row r="2058" spans="52:61">
      <c r="AZ2058" s="302"/>
      <c r="BA2058" s="313"/>
      <c r="BB2058" s="167"/>
      <c r="BC2058" s="42"/>
      <c r="BD2058" s="358"/>
      <c r="BH2058" s="302"/>
      <c r="BI2058" s="42"/>
    </row>
    <row r="2059" spans="52:61">
      <c r="AZ2059" s="302"/>
      <c r="BA2059" s="313"/>
      <c r="BB2059" s="167"/>
      <c r="BC2059" s="42"/>
      <c r="BD2059" s="358"/>
      <c r="BH2059" s="302"/>
      <c r="BI2059" s="42"/>
    </row>
    <row r="2060" spans="52:61">
      <c r="AZ2060" s="302"/>
      <c r="BA2060" s="313"/>
      <c r="BB2060" s="167"/>
      <c r="BC2060" s="42"/>
      <c r="BD2060" s="358"/>
      <c r="BH2060" s="302"/>
      <c r="BI2060" s="42"/>
    </row>
    <row r="2061" spans="52:61">
      <c r="AZ2061" s="302"/>
      <c r="BA2061" s="313"/>
      <c r="BB2061" s="167"/>
      <c r="BC2061" s="42"/>
      <c r="BD2061" s="358"/>
      <c r="BH2061" s="302"/>
      <c r="BI2061" s="42"/>
    </row>
    <row r="2062" spans="52:61">
      <c r="AZ2062" s="302"/>
      <c r="BA2062" s="313"/>
      <c r="BB2062" s="167"/>
      <c r="BC2062" s="42"/>
      <c r="BD2062" s="358"/>
      <c r="BH2062" s="302"/>
      <c r="BI2062" s="42"/>
    </row>
    <row r="2063" spans="52:61">
      <c r="AZ2063" s="302"/>
      <c r="BA2063" s="313"/>
      <c r="BB2063" s="167"/>
      <c r="BC2063" s="42"/>
      <c r="BD2063" s="358"/>
      <c r="BH2063" s="302"/>
      <c r="BI2063" s="42"/>
    </row>
    <row r="2064" spans="52:61">
      <c r="AZ2064" s="302"/>
      <c r="BA2064" s="313"/>
      <c r="BB2064" s="167"/>
      <c r="BC2064" s="42"/>
      <c r="BD2064" s="358"/>
      <c r="BH2064" s="302"/>
      <c r="BI2064" s="42"/>
    </row>
    <row r="2065" spans="52:61">
      <c r="AZ2065" s="302"/>
      <c r="BA2065" s="313"/>
      <c r="BB2065" s="167"/>
      <c r="BC2065" s="42"/>
      <c r="BD2065" s="358"/>
      <c r="BH2065" s="302"/>
      <c r="BI2065" s="42"/>
    </row>
    <row r="2066" spans="52:61">
      <c r="AZ2066" s="302"/>
      <c r="BA2066" s="313"/>
      <c r="BB2066" s="167"/>
      <c r="BC2066" s="42"/>
      <c r="BD2066" s="358"/>
      <c r="BH2066" s="302"/>
      <c r="BI2066" s="42"/>
    </row>
    <row r="2067" spans="52:61">
      <c r="AZ2067" s="302"/>
      <c r="BA2067" s="313"/>
      <c r="BB2067" s="167"/>
      <c r="BC2067" s="42"/>
      <c r="BD2067" s="358"/>
      <c r="BH2067" s="302"/>
      <c r="BI2067" s="42"/>
    </row>
    <row r="2068" spans="52:61">
      <c r="AZ2068" s="302"/>
      <c r="BA2068" s="313"/>
      <c r="BB2068" s="167"/>
      <c r="BC2068" s="42"/>
      <c r="BD2068" s="358"/>
      <c r="BH2068" s="302"/>
      <c r="BI2068" s="42"/>
    </row>
    <row r="2069" spans="52:61">
      <c r="AZ2069" s="302"/>
      <c r="BA2069" s="313"/>
      <c r="BB2069" s="167"/>
      <c r="BC2069" s="42"/>
      <c r="BD2069" s="358"/>
      <c r="BH2069" s="302"/>
      <c r="BI2069" s="42"/>
    </row>
    <row r="2070" spans="52:61">
      <c r="AZ2070" s="302"/>
      <c r="BA2070" s="313"/>
      <c r="BB2070" s="167"/>
      <c r="BC2070" s="42"/>
      <c r="BD2070" s="358"/>
      <c r="BH2070" s="302"/>
      <c r="BI2070" s="42"/>
    </row>
    <row r="2071" spans="52:61">
      <c r="AZ2071" s="302"/>
      <c r="BA2071" s="313"/>
      <c r="BB2071" s="167"/>
      <c r="BC2071" s="42"/>
      <c r="BD2071" s="358"/>
      <c r="BH2071" s="302"/>
      <c r="BI2071" s="42"/>
    </row>
    <row r="2072" spans="52:61">
      <c r="AZ2072" s="302"/>
      <c r="BA2072" s="313"/>
      <c r="BB2072" s="167"/>
      <c r="BC2072" s="42"/>
      <c r="BD2072" s="358"/>
      <c r="BH2072" s="302"/>
      <c r="BI2072" s="42"/>
    </row>
    <row r="2073" spans="52:61">
      <c r="AZ2073" s="302"/>
      <c r="BA2073" s="313"/>
      <c r="BB2073" s="167"/>
      <c r="BC2073" s="42"/>
      <c r="BD2073" s="358"/>
      <c r="BH2073" s="302"/>
      <c r="BI2073" s="42"/>
    </row>
    <row r="2074" spans="52:61">
      <c r="AZ2074" s="302"/>
      <c r="BA2074" s="313"/>
      <c r="BB2074" s="167"/>
      <c r="BC2074" s="42"/>
      <c r="BD2074" s="358"/>
      <c r="BH2074" s="302"/>
      <c r="BI2074" s="42"/>
    </row>
    <row r="2075" spans="52:61">
      <c r="AZ2075" s="302"/>
      <c r="BA2075" s="313"/>
      <c r="BB2075" s="167"/>
      <c r="BC2075" s="42"/>
      <c r="BD2075" s="358"/>
      <c r="BH2075" s="302"/>
      <c r="BI2075" s="42"/>
    </row>
    <row r="2076" spans="52:61">
      <c r="AZ2076" s="302"/>
      <c r="BA2076" s="313"/>
      <c r="BB2076" s="167"/>
      <c r="BC2076" s="42"/>
      <c r="BD2076" s="358"/>
      <c r="BH2076" s="302"/>
      <c r="BI2076" s="42"/>
    </row>
    <row r="2077" spans="52:61">
      <c r="AZ2077" s="302"/>
      <c r="BA2077" s="313"/>
      <c r="BB2077" s="167"/>
      <c r="BC2077" s="42"/>
      <c r="BD2077" s="358"/>
      <c r="BH2077" s="302"/>
      <c r="BI2077" s="42"/>
    </row>
    <row r="2078" spans="52:61">
      <c r="AZ2078" s="302"/>
      <c r="BA2078" s="313"/>
      <c r="BB2078" s="167"/>
      <c r="BC2078" s="42"/>
      <c r="BD2078" s="358"/>
      <c r="BH2078" s="302"/>
      <c r="BI2078" s="42"/>
    </row>
    <row r="2079" spans="52:61">
      <c r="AZ2079" s="302"/>
      <c r="BA2079" s="313"/>
      <c r="BB2079" s="167"/>
      <c r="BC2079" s="42"/>
      <c r="BD2079" s="358"/>
      <c r="BH2079" s="302"/>
      <c r="BI2079" s="42"/>
    </row>
    <row r="2080" spans="52:61">
      <c r="AZ2080" s="302"/>
      <c r="BA2080" s="313"/>
      <c r="BB2080" s="167"/>
      <c r="BC2080" s="42"/>
      <c r="BD2080" s="358"/>
      <c r="BH2080" s="302"/>
      <c r="BI2080" s="42"/>
    </row>
    <row r="2081" spans="52:61">
      <c r="AZ2081" s="302"/>
      <c r="BA2081" s="313"/>
      <c r="BB2081" s="167"/>
      <c r="BC2081" s="42"/>
      <c r="BD2081" s="358"/>
      <c r="BH2081" s="302"/>
      <c r="BI2081" s="42"/>
    </row>
    <row r="2082" spans="52:61">
      <c r="AZ2082" s="302"/>
      <c r="BA2082" s="313"/>
      <c r="BB2082" s="167"/>
      <c r="BC2082" s="42"/>
      <c r="BD2082" s="358"/>
      <c r="BH2082" s="302"/>
      <c r="BI2082" s="42"/>
    </row>
    <row r="2083" spans="52:61">
      <c r="AZ2083" s="302"/>
      <c r="BA2083" s="313"/>
      <c r="BB2083" s="167"/>
      <c r="BC2083" s="42"/>
      <c r="BD2083" s="358"/>
      <c r="BH2083" s="302"/>
      <c r="BI2083" s="42"/>
    </row>
    <row r="2084" spans="52:61">
      <c r="AZ2084" s="302"/>
      <c r="BA2084" s="313"/>
      <c r="BB2084" s="167"/>
      <c r="BC2084" s="42"/>
      <c r="BD2084" s="358"/>
      <c r="BH2084" s="302"/>
      <c r="BI2084" s="42"/>
    </row>
    <row r="2085" spans="52:61">
      <c r="AZ2085" s="302"/>
      <c r="BA2085" s="313"/>
      <c r="BB2085" s="167"/>
      <c r="BC2085" s="42"/>
      <c r="BD2085" s="358"/>
      <c r="BH2085" s="302"/>
      <c r="BI2085" s="42"/>
    </row>
    <row r="2086" spans="52:61">
      <c r="AZ2086" s="302"/>
      <c r="BA2086" s="313"/>
      <c r="BB2086" s="167"/>
      <c r="BC2086" s="42"/>
      <c r="BD2086" s="358"/>
      <c r="BH2086" s="302"/>
      <c r="BI2086" s="42"/>
    </row>
    <row r="2087" spans="52:61">
      <c r="AZ2087" s="302"/>
      <c r="BA2087" s="313"/>
      <c r="BB2087" s="167"/>
      <c r="BC2087" s="42"/>
      <c r="BD2087" s="358"/>
      <c r="BH2087" s="302"/>
      <c r="BI2087" s="42"/>
    </row>
    <row r="2088" spans="52:61">
      <c r="AZ2088" s="302"/>
      <c r="BA2088" s="313"/>
      <c r="BB2088" s="167"/>
      <c r="BC2088" s="42"/>
      <c r="BD2088" s="358"/>
      <c r="BH2088" s="302"/>
      <c r="BI2088" s="42"/>
    </row>
    <row r="2089" spans="52:61">
      <c r="AZ2089" s="302"/>
      <c r="BA2089" s="313"/>
      <c r="BB2089" s="167"/>
      <c r="BC2089" s="42"/>
      <c r="BD2089" s="358"/>
      <c r="BH2089" s="302"/>
      <c r="BI2089" s="42"/>
    </row>
    <row r="2090" spans="52:61">
      <c r="AZ2090" s="302"/>
      <c r="BA2090" s="313"/>
      <c r="BB2090" s="167"/>
      <c r="BC2090" s="42"/>
      <c r="BD2090" s="358"/>
      <c r="BH2090" s="302"/>
      <c r="BI2090" s="42"/>
    </row>
    <row r="2091" spans="52:61">
      <c r="AZ2091" s="302"/>
      <c r="BA2091" s="313"/>
      <c r="BB2091" s="167"/>
      <c r="BC2091" s="42"/>
      <c r="BD2091" s="358"/>
      <c r="BH2091" s="302"/>
      <c r="BI2091" s="42"/>
    </row>
    <row r="2092" spans="52:61">
      <c r="AZ2092" s="302"/>
      <c r="BA2092" s="313"/>
      <c r="BB2092" s="167"/>
      <c r="BC2092" s="42"/>
      <c r="BD2092" s="358"/>
      <c r="BH2092" s="302"/>
      <c r="BI2092" s="42"/>
    </row>
    <row r="2093" spans="52:61">
      <c r="AZ2093" s="302"/>
      <c r="BA2093" s="313"/>
      <c r="BB2093" s="167"/>
      <c r="BC2093" s="42"/>
      <c r="BD2093" s="358"/>
      <c r="BH2093" s="302"/>
      <c r="BI2093" s="42"/>
    </row>
    <row r="2094" spans="52:61">
      <c r="AZ2094" s="302"/>
      <c r="BA2094" s="313"/>
      <c r="BB2094" s="167"/>
      <c r="BC2094" s="42"/>
      <c r="BD2094" s="358"/>
      <c r="BH2094" s="302"/>
      <c r="BI2094" s="42"/>
    </row>
    <row r="2095" spans="52:61">
      <c r="AZ2095" s="302"/>
      <c r="BA2095" s="313"/>
      <c r="BB2095" s="167"/>
      <c r="BC2095" s="42"/>
      <c r="BD2095" s="358"/>
      <c r="BH2095" s="302"/>
      <c r="BI2095" s="42"/>
    </row>
    <row r="2096" spans="52:61">
      <c r="AZ2096" s="302"/>
      <c r="BA2096" s="313"/>
      <c r="BB2096" s="167"/>
      <c r="BC2096" s="42"/>
      <c r="BD2096" s="358"/>
      <c r="BH2096" s="302"/>
      <c r="BI2096" s="42"/>
    </row>
    <row r="2097" spans="52:61">
      <c r="AZ2097" s="302"/>
      <c r="BA2097" s="313"/>
      <c r="BB2097" s="167"/>
      <c r="BC2097" s="42"/>
      <c r="BD2097" s="358"/>
      <c r="BH2097" s="302"/>
      <c r="BI2097" s="42"/>
    </row>
    <row r="2098" spans="52:61">
      <c r="AZ2098" s="302"/>
      <c r="BA2098" s="313"/>
      <c r="BB2098" s="167"/>
      <c r="BC2098" s="42"/>
      <c r="BD2098" s="358"/>
      <c r="BH2098" s="302"/>
      <c r="BI2098" s="42"/>
    </row>
    <row r="2099" spans="52:61">
      <c r="AZ2099" s="302"/>
      <c r="BA2099" s="313"/>
      <c r="BB2099" s="167"/>
      <c r="BC2099" s="42"/>
      <c r="BD2099" s="358"/>
      <c r="BH2099" s="302"/>
      <c r="BI2099" s="42"/>
    </row>
    <row r="2100" spans="52:61">
      <c r="AZ2100" s="302"/>
      <c r="BA2100" s="313"/>
      <c r="BB2100" s="167"/>
      <c r="BC2100" s="42"/>
      <c r="BD2100" s="358"/>
      <c r="BH2100" s="302"/>
      <c r="BI2100" s="42"/>
    </row>
    <row r="2101" spans="52:61">
      <c r="AZ2101" s="302"/>
      <c r="BA2101" s="313"/>
      <c r="BB2101" s="167"/>
      <c r="BC2101" s="42"/>
      <c r="BD2101" s="358"/>
      <c r="BH2101" s="302"/>
      <c r="BI2101" s="42"/>
    </row>
    <row r="2102" spans="52:61">
      <c r="AZ2102" s="302"/>
      <c r="BA2102" s="313"/>
      <c r="BB2102" s="167"/>
      <c r="BC2102" s="42"/>
      <c r="BD2102" s="358"/>
      <c r="BH2102" s="302"/>
      <c r="BI2102" s="42"/>
    </row>
    <row r="2103" spans="52:61">
      <c r="AZ2103" s="302"/>
      <c r="BA2103" s="313"/>
      <c r="BB2103" s="167"/>
      <c r="BC2103" s="42"/>
      <c r="BD2103" s="358"/>
      <c r="BH2103" s="302"/>
      <c r="BI2103" s="42"/>
    </row>
    <row r="2104" spans="52:61">
      <c r="AZ2104" s="302"/>
      <c r="BA2104" s="313"/>
      <c r="BB2104" s="167"/>
      <c r="BC2104" s="42"/>
      <c r="BD2104" s="358"/>
      <c r="BH2104" s="302"/>
      <c r="BI2104" s="42"/>
    </row>
    <row r="2105" spans="52:61">
      <c r="AZ2105" s="302"/>
      <c r="BA2105" s="313"/>
      <c r="BB2105" s="167"/>
      <c r="BC2105" s="42"/>
      <c r="BD2105" s="358"/>
      <c r="BH2105" s="302"/>
      <c r="BI2105" s="42"/>
    </row>
    <row r="2106" spans="52:61">
      <c r="AZ2106" s="302"/>
      <c r="BA2106" s="313"/>
      <c r="BB2106" s="167"/>
      <c r="BC2106" s="42"/>
      <c r="BD2106" s="358"/>
      <c r="BH2106" s="302"/>
      <c r="BI2106" s="42"/>
    </row>
    <row r="2107" spans="52:61">
      <c r="AZ2107" s="302"/>
      <c r="BA2107" s="313"/>
      <c r="BB2107" s="167"/>
      <c r="BC2107" s="42"/>
      <c r="BD2107" s="358"/>
      <c r="BH2107" s="302"/>
      <c r="BI2107" s="42"/>
    </row>
    <row r="2108" spans="52:61">
      <c r="AZ2108" s="302"/>
      <c r="BA2108" s="313"/>
      <c r="BB2108" s="167"/>
      <c r="BC2108" s="42"/>
      <c r="BD2108" s="358"/>
      <c r="BH2108" s="302"/>
      <c r="BI2108" s="42"/>
    </row>
    <row r="2109" spans="52:61">
      <c r="AZ2109" s="302"/>
      <c r="BA2109" s="313"/>
      <c r="BB2109" s="167"/>
      <c r="BC2109" s="42"/>
      <c r="BD2109" s="358"/>
      <c r="BH2109" s="302"/>
      <c r="BI2109" s="42"/>
    </row>
    <row r="2110" spans="52:61">
      <c r="AZ2110" s="302"/>
      <c r="BA2110" s="313"/>
      <c r="BB2110" s="167"/>
      <c r="BC2110" s="42"/>
      <c r="BD2110" s="358"/>
      <c r="BH2110" s="302"/>
      <c r="BI2110" s="42"/>
    </row>
    <row r="2111" spans="52:61">
      <c r="AZ2111" s="302"/>
      <c r="BA2111" s="313"/>
      <c r="BB2111" s="167"/>
      <c r="BC2111" s="42"/>
      <c r="BD2111" s="358"/>
      <c r="BH2111" s="302"/>
      <c r="BI2111" s="42"/>
    </row>
    <row r="2112" spans="52:61">
      <c r="AZ2112" s="302"/>
      <c r="BA2112" s="313"/>
      <c r="BB2112" s="167"/>
      <c r="BC2112" s="42"/>
      <c r="BD2112" s="358"/>
      <c r="BH2112" s="302"/>
      <c r="BI2112" s="42"/>
    </row>
    <row r="2113" spans="52:61">
      <c r="AZ2113" s="302"/>
      <c r="BA2113" s="313"/>
      <c r="BB2113" s="167"/>
      <c r="BC2113" s="42"/>
      <c r="BD2113" s="358"/>
      <c r="BH2113" s="302"/>
      <c r="BI2113" s="42"/>
    </row>
    <row r="2114" spans="52:61">
      <c r="AZ2114" s="302"/>
      <c r="BA2114" s="313"/>
      <c r="BB2114" s="167"/>
      <c r="BC2114" s="42"/>
      <c r="BD2114" s="358"/>
      <c r="BH2114" s="302"/>
      <c r="BI2114" s="42"/>
    </row>
    <row r="2115" spans="52:61">
      <c r="AZ2115" s="302"/>
      <c r="BA2115" s="313"/>
      <c r="BB2115" s="167"/>
      <c r="BC2115" s="42"/>
      <c r="BD2115" s="358"/>
      <c r="BH2115" s="302"/>
      <c r="BI2115" s="42"/>
    </row>
    <row r="2116" spans="52:61">
      <c r="AZ2116" s="302"/>
      <c r="BA2116" s="313"/>
      <c r="BB2116" s="167"/>
      <c r="BC2116" s="42"/>
      <c r="BD2116" s="358"/>
      <c r="BH2116" s="302"/>
      <c r="BI2116" s="42"/>
    </row>
    <row r="2117" spans="52:61">
      <c r="AZ2117" s="302"/>
      <c r="BA2117" s="313"/>
      <c r="BB2117" s="167"/>
      <c r="BC2117" s="42"/>
      <c r="BD2117" s="358"/>
      <c r="BH2117" s="302"/>
      <c r="BI2117" s="42"/>
    </row>
    <row r="2118" spans="52:61">
      <c r="AZ2118" s="302"/>
      <c r="BA2118" s="313"/>
      <c r="BB2118" s="167"/>
      <c r="BC2118" s="42"/>
      <c r="BD2118" s="358"/>
      <c r="BH2118" s="302"/>
      <c r="BI2118" s="42"/>
    </row>
    <row r="2119" spans="52:61">
      <c r="AZ2119" s="302"/>
      <c r="BA2119" s="313"/>
      <c r="BB2119" s="167"/>
      <c r="BC2119" s="42"/>
      <c r="BD2119" s="358"/>
      <c r="BH2119" s="302"/>
      <c r="BI2119" s="42"/>
    </row>
    <row r="2120" spans="52:61">
      <c r="AZ2120" s="302"/>
      <c r="BA2120" s="313"/>
      <c r="BB2120" s="167"/>
      <c r="BC2120" s="42"/>
      <c r="BD2120" s="358"/>
      <c r="BH2120" s="302"/>
      <c r="BI2120" s="42"/>
    </row>
    <row r="2121" spans="52:61">
      <c r="AZ2121" s="302"/>
      <c r="BA2121" s="313"/>
      <c r="BB2121" s="167"/>
      <c r="BC2121" s="42"/>
      <c r="BD2121" s="358"/>
      <c r="BH2121" s="302"/>
      <c r="BI2121" s="42"/>
    </row>
    <row r="2122" spans="52:61">
      <c r="AZ2122" s="302"/>
      <c r="BA2122" s="313"/>
      <c r="BB2122" s="167"/>
      <c r="BC2122" s="42"/>
      <c r="BD2122" s="358"/>
      <c r="BH2122" s="302"/>
      <c r="BI2122" s="42"/>
    </row>
    <row r="2123" spans="52:61">
      <c r="AZ2123" s="302"/>
      <c r="BA2123" s="313"/>
      <c r="BB2123" s="167"/>
      <c r="BC2123" s="42"/>
      <c r="BD2123" s="358"/>
      <c r="BH2123" s="302"/>
      <c r="BI2123" s="42"/>
    </row>
    <row r="2124" spans="52:61">
      <c r="AZ2124" s="302"/>
      <c r="BA2124" s="313"/>
      <c r="BB2124" s="167"/>
      <c r="BC2124" s="42"/>
      <c r="BD2124" s="358"/>
      <c r="BH2124" s="302"/>
      <c r="BI2124" s="42"/>
    </row>
    <row r="2125" spans="52:61">
      <c r="AZ2125" s="302"/>
      <c r="BA2125" s="313"/>
      <c r="BB2125" s="167"/>
      <c r="BC2125" s="42"/>
      <c r="BD2125" s="358"/>
      <c r="BH2125" s="302"/>
      <c r="BI2125" s="42"/>
    </row>
    <row r="2126" spans="52:61">
      <c r="AZ2126" s="302"/>
      <c r="BA2126" s="313"/>
      <c r="BB2126" s="167"/>
      <c r="BC2126" s="42"/>
      <c r="BD2126" s="358"/>
      <c r="BH2126" s="302"/>
      <c r="BI2126" s="42"/>
    </row>
    <row r="2127" spans="52:61">
      <c r="AZ2127" s="302"/>
      <c r="BA2127" s="313"/>
      <c r="BB2127" s="167"/>
      <c r="BC2127" s="42"/>
      <c r="BD2127" s="358"/>
      <c r="BH2127" s="302"/>
      <c r="BI2127" s="42"/>
    </row>
    <row r="2128" spans="52:61">
      <c r="AZ2128" s="302"/>
      <c r="BA2128" s="313"/>
      <c r="BB2128" s="167"/>
      <c r="BC2128" s="42"/>
      <c r="BD2128" s="358"/>
      <c r="BH2128" s="302"/>
      <c r="BI2128" s="42"/>
    </row>
    <row r="2129" spans="52:61">
      <c r="AZ2129" s="302"/>
      <c r="BA2129" s="313"/>
      <c r="BB2129" s="167"/>
      <c r="BC2129" s="42"/>
      <c r="BD2129" s="358"/>
      <c r="BH2129" s="302"/>
      <c r="BI2129" s="42"/>
    </row>
    <row r="2130" spans="52:61">
      <c r="AZ2130" s="302"/>
      <c r="BA2130" s="313"/>
      <c r="BB2130" s="167"/>
      <c r="BC2130" s="42"/>
      <c r="BD2130" s="358"/>
      <c r="BH2130" s="302"/>
      <c r="BI2130" s="42"/>
    </row>
    <row r="2131" spans="52:61">
      <c r="AZ2131" s="302"/>
      <c r="BA2131" s="313"/>
      <c r="BB2131" s="167"/>
      <c r="BC2131" s="42"/>
      <c r="BD2131" s="358"/>
      <c r="BH2131" s="302"/>
      <c r="BI2131" s="42"/>
    </row>
    <row r="2132" spans="52:61">
      <c r="AZ2132" s="302"/>
      <c r="BA2132" s="313"/>
      <c r="BB2132" s="167"/>
      <c r="BC2132" s="42"/>
      <c r="BD2132" s="358"/>
      <c r="BH2132" s="302"/>
      <c r="BI2132" s="42"/>
    </row>
    <row r="2133" spans="52:61">
      <c r="AZ2133" s="302"/>
      <c r="BA2133" s="313"/>
      <c r="BB2133" s="167"/>
      <c r="BC2133" s="42"/>
      <c r="BD2133" s="358"/>
      <c r="BH2133" s="302"/>
      <c r="BI2133" s="42"/>
    </row>
    <row r="2134" spans="52:61">
      <c r="AZ2134" s="302"/>
      <c r="BA2134" s="313"/>
      <c r="BB2134" s="167"/>
      <c r="BC2134" s="42"/>
      <c r="BD2134" s="358"/>
      <c r="BH2134" s="302"/>
      <c r="BI2134" s="42"/>
    </row>
    <row r="2135" spans="52:61">
      <c r="AZ2135" s="302"/>
      <c r="BA2135" s="313"/>
      <c r="BB2135" s="167"/>
      <c r="BC2135" s="42"/>
      <c r="BD2135" s="358"/>
      <c r="BH2135" s="302"/>
      <c r="BI2135" s="42"/>
    </row>
    <row r="2136" spans="52:61">
      <c r="AZ2136" s="302"/>
      <c r="BA2136" s="313"/>
      <c r="BB2136" s="167"/>
      <c r="BC2136" s="42"/>
      <c r="BD2136" s="358"/>
      <c r="BH2136" s="302"/>
      <c r="BI2136" s="42"/>
    </row>
    <row r="2137" spans="52:61">
      <c r="AZ2137" s="302"/>
      <c r="BA2137" s="313"/>
      <c r="BB2137" s="167"/>
      <c r="BC2137" s="42"/>
      <c r="BD2137" s="358"/>
      <c r="BH2137" s="302"/>
      <c r="BI2137" s="42"/>
    </row>
    <row r="2138" spans="52:61">
      <c r="AZ2138" s="302"/>
      <c r="BA2138" s="313"/>
      <c r="BB2138" s="167"/>
      <c r="BC2138" s="42"/>
      <c r="BD2138" s="358"/>
      <c r="BH2138" s="302"/>
      <c r="BI2138" s="42"/>
    </row>
    <row r="2139" spans="52:61">
      <c r="AZ2139" s="302"/>
      <c r="BA2139" s="313"/>
      <c r="BB2139" s="167"/>
      <c r="BC2139" s="42"/>
      <c r="BD2139" s="358"/>
      <c r="BH2139" s="302"/>
      <c r="BI2139" s="42"/>
    </row>
    <row r="2140" spans="52:61">
      <c r="AZ2140" s="302"/>
      <c r="BA2140" s="313"/>
      <c r="BB2140" s="167"/>
      <c r="BC2140" s="42"/>
      <c r="BD2140" s="358"/>
      <c r="BH2140" s="302"/>
      <c r="BI2140" s="42"/>
    </row>
    <row r="2141" spans="52:61">
      <c r="AZ2141" s="302"/>
      <c r="BA2141" s="313"/>
      <c r="BB2141" s="167"/>
      <c r="BC2141" s="42"/>
      <c r="BD2141" s="358"/>
      <c r="BH2141" s="302"/>
      <c r="BI2141" s="42"/>
    </row>
    <row r="2142" spans="52:61">
      <c r="AZ2142" s="302"/>
      <c r="BA2142" s="313"/>
      <c r="BB2142" s="167"/>
      <c r="BC2142" s="42"/>
      <c r="BD2142" s="358"/>
      <c r="BH2142" s="302"/>
      <c r="BI2142" s="42"/>
    </row>
    <row r="2143" spans="52:61">
      <c r="AZ2143" s="302"/>
      <c r="BA2143" s="313"/>
      <c r="BB2143" s="167"/>
      <c r="BC2143" s="42"/>
      <c r="BD2143" s="358"/>
      <c r="BH2143" s="302"/>
      <c r="BI2143" s="42"/>
    </row>
    <row r="2144" spans="52:61">
      <c r="AZ2144" s="302"/>
      <c r="BA2144" s="313"/>
      <c r="BB2144" s="167"/>
      <c r="BC2144" s="42"/>
      <c r="BD2144" s="358"/>
      <c r="BH2144" s="302"/>
      <c r="BI2144" s="42"/>
    </row>
    <row r="2145" spans="52:61">
      <c r="AZ2145" s="302"/>
      <c r="BA2145" s="313"/>
      <c r="BB2145" s="167"/>
      <c r="BC2145" s="42"/>
      <c r="BD2145" s="358"/>
      <c r="BH2145" s="302"/>
      <c r="BI2145" s="42"/>
    </row>
    <row r="2146" spans="52:61">
      <c r="AZ2146" s="302"/>
      <c r="BA2146" s="313"/>
      <c r="BB2146" s="167"/>
      <c r="BC2146" s="42"/>
      <c r="BD2146" s="358"/>
      <c r="BH2146" s="302"/>
      <c r="BI2146" s="42"/>
    </row>
    <row r="2147" spans="52:61">
      <c r="AZ2147" s="302"/>
      <c r="BA2147" s="313"/>
      <c r="BB2147" s="167"/>
      <c r="BC2147" s="42"/>
      <c r="BD2147" s="358"/>
      <c r="BH2147" s="302"/>
      <c r="BI2147" s="42"/>
    </row>
    <row r="2148" spans="52:61">
      <c r="AZ2148" s="302"/>
      <c r="BA2148" s="313"/>
      <c r="BB2148" s="167"/>
      <c r="BC2148" s="42"/>
      <c r="BD2148" s="358"/>
      <c r="BH2148" s="302"/>
      <c r="BI2148" s="42"/>
    </row>
    <row r="2149" spans="52:61">
      <c r="AZ2149" s="302"/>
      <c r="BA2149" s="313"/>
      <c r="BB2149" s="167"/>
      <c r="BC2149" s="42"/>
      <c r="BD2149" s="358"/>
      <c r="BH2149" s="302"/>
      <c r="BI2149" s="42"/>
    </row>
    <row r="2150" spans="52:61">
      <c r="AZ2150" s="302"/>
      <c r="BA2150" s="313"/>
      <c r="BB2150" s="167"/>
      <c r="BC2150" s="42"/>
      <c r="BD2150" s="358"/>
      <c r="BH2150" s="302"/>
      <c r="BI2150" s="42"/>
    </row>
    <row r="2151" spans="52:61">
      <c r="AZ2151" s="302"/>
      <c r="BA2151" s="313"/>
      <c r="BB2151" s="167"/>
      <c r="BC2151" s="42"/>
      <c r="BD2151" s="358"/>
      <c r="BH2151" s="302"/>
      <c r="BI2151" s="42"/>
    </row>
    <row r="2152" spans="52:61">
      <c r="AZ2152" s="302"/>
      <c r="BA2152" s="313"/>
      <c r="BB2152" s="167"/>
      <c r="BC2152" s="42"/>
      <c r="BD2152" s="358"/>
      <c r="BH2152" s="302"/>
      <c r="BI2152" s="42"/>
    </row>
    <row r="2153" spans="52:61">
      <c r="AZ2153" s="302"/>
      <c r="BA2153" s="313"/>
      <c r="BB2153" s="167"/>
      <c r="BC2153" s="42"/>
      <c r="BD2153" s="358"/>
      <c r="BH2153" s="302"/>
      <c r="BI2153" s="42"/>
    </row>
    <row r="2154" spans="52:61">
      <c r="AZ2154" s="302"/>
      <c r="BA2154" s="313"/>
      <c r="BB2154" s="167"/>
      <c r="BC2154" s="42"/>
      <c r="BD2154" s="358"/>
      <c r="BH2154" s="302"/>
      <c r="BI2154" s="42"/>
    </row>
    <row r="2155" spans="52:61">
      <c r="AZ2155" s="302"/>
      <c r="BA2155" s="313"/>
      <c r="BB2155" s="167"/>
      <c r="BC2155" s="42"/>
      <c r="BD2155" s="358"/>
      <c r="BH2155" s="302"/>
      <c r="BI2155" s="42"/>
    </row>
    <row r="2156" spans="52:61">
      <c r="AZ2156" s="302"/>
      <c r="BA2156" s="313"/>
      <c r="BB2156" s="167"/>
      <c r="BC2156" s="42"/>
      <c r="BD2156" s="358"/>
      <c r="BH2156" s="302"/>
      <c r="BI2156" s="42"/>
    </row>
    <row r="2157" spans="52:61">
      <c r="AZ2157" s="302"/>
      <c r="BA2157" s="313"/>
      <c r="BB2157" s="167"/>
      <c r="BC2157" s="42"/>
      <c r="BD2157" s="358"/>
      <c r="BH2157" s="302"/>
      <c r="BI2157" s="42"/>
    </row>
    <row r="2158" spans="52:61">
      <c r="AZ2158" s="302"/>
      <c r="BA2158" s="313"/>
      <c r="BB2158" s="167"/>
      <c r="BC2158" s="42"/>
      <c r="BD2158" s="358"/>
      <c r="BH2158" s="302"/>
      <c r="BI2158" s="42"/>
    </row>
    <row r="2159" spans="52:61">
      <c r="AZ2159" s="302"/>
      <c r="BA2159" s="313"/>
      <c r="BB2159" s="167"/>
      <c r="BC2159" s="42"/>
      <c r="BD2159" s="358"/>
      <c r="BH2159" s="302"/>
      <c r="BI2159" s="42"/>
    </row>
    <row r="2160" spans="52:61">
      <c r="AZ2160" s="302"/>
      <c r="BA2160" s="313"/>
      <c r="BB2160" s="167"/>
      <c r="BC2160" s="42"/>
      <c r="BD2160" s="358"/>
      <c r="BH2160" s="302"/>
      <c r="BI2160" s="42"/>
    </row>
    <row r="2161" spans="52:61">
      <c r="AZ2161" s="302"/>
      <c r="BA2161" s="313"/>
      <c r="BB2161" s="167"/>
      <c r="BC2161" s="42"/>
      <c r="BD2161" s="358"/>
      <c r="BH2161" s="302"/>
      <c r="BI2161" s="42"/>
    </row>
    <row r="2162" spans="52:61">
      <c r="AZ2162" s="302"/>
      <c r="BA2162" s="313"/>
      <c r="BB2162" s="167"/>
      <c r="BC2162" s="42"/>
      <c r="BD2162" s="358"/>
      <c r="BH2162" s="302"/>
      <c r="BI2162" s="42"/>
    </row>
    <row r="2163" spans="52:61">
      <c r="AZ2163" s="302"/>
      <c r="BA2163" s="313"/>
      <c r="BB2163" s="167"/>
      <c r="BC2163" s="42"/>
      <c r="BD2163" s="358"/>
      <c r="BH2163" s="302"/>
      <c r="BI2163" s="42"/>
    </row>
    <row r="2164" spans="52:61">
      <c r="AZ2164" s="302"/>
      <c r="BA2164" s="313"/>
      <c r="BB2164" s="167"/>
      <c r="BC2164" s="42"/>
      <c r="BD2164" s="358"/>
      <c r="BH2164" s="302"/>
      <c r="BI2164" s="42"/>
    </row>
    <row r="2165" spans="52:61">
      <c r="AZ2165" s="302"/>
      <c r="BA2165" s="313"/>
      <c r="BB2165" s="167"/>
      <c r="BC2165" s="42"/>
      <c r="BD2165" s="358"/>
      <c r="BH2165" s="302"/>
      <c r="BI2165" s="42"/>
    </row>
    <row r="2166" spans="52:61">
      <c r="AZ2166" s="302"/>
      <c r="BA2166" s="313"/>
      <c r="BB2166" s="167"/>
      <c r="BC2166" s="42"/>
      <c r="BD2166" s="358"/>
      <c r="BH2166" s="302"/>
      <c r="BI2166" s="42"/>
    </row>
    <row r="2167" spans="52:61">
      <c r="AZ2167" s="302"/>
      <c r="BA2167" s="313"/>
      <c r="BB2167" s="167"/>
      <c r="BC2167" s="42"/>
      <c r="BD2167" s="358"/>
      <c r="BH2167" s="302"/>
      <c r="BI2167" s="42"/>
    </row>
    <row r="2168" spans="52:61">
      <c r="AZ2168" s="302"/>
      <c r="BA2168" s="313"/>
      <c r="BB2168" s="167"/>
      <c r="BC2168" s="42"/>
      <c r="BD2168" s="358"/>
      <c r="BH2168" s="302"/>
      <c r="BI2168" s="42"/>
    </row>
    <row r="2169" spans="52:61">
      <c r="AZ2169" s="302"/>
      <c r="BA2169" s="313"/>
      <c r="BB2169" s="167"/>
      <c r="BC2169" s="42"/>
      <c r="BD2169" s="358"/>
      <c r="BH2169" s="302"/>
      <c r="BI2169" s="42"/>
    </row>
    <row r="2170" spans="52:61">
      <c r="AZ2170" s="302"/>
      <c r="BA2170" s="313"/>
      <c r="BB2170" s="167"/>
      <c r="BC2170" s="42"/>
      <c r="BD2170" s="358"/>
      <c r="BH2170" s="302"/>
      <c r="BI2170" s="42"/>
    </row>
    <row r="2171" spans="52:61">
      <c r="AZ2171" s="302"/>
      <c r="BA2171" s="313"/>
      <c r="BB2171" s="167"/>
      <c r="BC2171" s="42"/>
      <c r="BD2171" s="358"/>
      <c r="BH2171" s="302"/>
      <c r="BI2171" s="42"/>
    </row>
    <row r="2172" spans="52:61">
      <c r="AZ2172" s="302"/>
      <c r="BA2172" s="313"/>
      <c r="BB2172" s="167"/>
      <c r="BC2172" s="42"/>
      <c r="BD2172" s="358"/>
      <c r="BH2172" s="302"/>
      <c r="BI2172" s="42"/>
    </row>
    <row r="2173" spans="52:61">
      <c r="AZ2173" s="302"/>
      <c r="BA2173" s="313"/>
      <c r="BB2173" s="167"/>
      <c r="BC2173" s="42"/>
      <c r="BD2173" s="358"/>
      <c r="BH2173" s="302"/>
      <c r="BI2173" s="42"/>
    </row>
    <row r="2174" spans="52:61">
      <c r="AZ2174" s="302"/>
      <c r="BA2174" s="313"/>
      <c r="BB2174" s="167"/>
      <c r="BC2174" s="42"/>
      <c r="BD2174" s="358"/>
      <c r="BH2174" s="302"/>
      <c r="BI2174" s="42"/>
    </row>
    <row r="2175" spans="52:61">
      <c r="AZ2175" s="302"/>
      <c r="BA2175" s="313"/>
      <c r="BB2175" s="167"/>
      <c r="BC2175" s="42"/>
      <c r="BD2175" s="358"/>
      <c r="BH2175" s="302"/>
      <c r="BI2175" s="42"/>
    </row>
    <row r="2176" spans="52:61">
      <c r="AZ2176" s="302"/>
      <c r="BA2176" s="313"/>
      <c r="BB2176" s="167"/>
      <c r="BC2176" s="42"/>
      <c r="BD2176" s="358"/>
      <c r="BH2176" s="302"/>
      <c r="BI2176" s="42"/>
    </row>
    <row r="2177" spans="52:61">
      <c r="AZ2177" s="302"/>
      <c r="BA2177" s="313"/>
      <c r="BB2177" s="167"/>
      <c r="BC2177" s="42"/>
      <c r="BD2177" s="358"/>
      <c r="BH2177" s="302"/>
      <c r="BI2177" s="42"/>
    </row>
    <row r="2178" spans="52:61">
      <c r="AZ2178" s="302"/>
      <c r="BA2178" s="313"/>
      <c r="BB2178" s="167"/>
      <c r="BC2178" s="42"/>
      <c r="BD2178" s="358"/>
      <c r="BH2178" s="302"/>
      <c r="BI2178" s="42"/>
    </row>
    <row r="2179" spans="52:61">
      <c r="AZ2179" s="302"/>
      <c r="BA2179" s="313"/>
      <c r="BB2179" s="167"/>
      <c r="BC2179" s="42"/>
      <c r="BD2179" s="358"/>
      <c r="BH2179" s="302"/>
      <c r="BI2179" s="42"/>
    </row>
    <row r="2180" spans="52:61">
      <c r="AZ2180" s="302"/>
      <c r="BA2180" s="313"/>
      <c r="BB2180" s="167"/>
      <c r="BC2180" s="42"/>
      <c r="BD2180" s="358"/>
      <c r="BH2180" s="302"/>
      <c r="BI2180" s="42"/>
    </row>
    <row r="2181" spans="52:61">
      <c r="AZ2181" s="302"/>
      <c r="BA2181" s="313"/>
      <c r="BB2181" s="167"/>
      <c r="BC2181" s="42"/>
      <c r="BD2181" s="358"/>
      <c r="BH2181" s="302"/>
      <c r="BI2181" s="42"/>
    </row>
    <row r="2182" spans="52:61">
      <c r="AZ2182" s="302"/>
      <c r="BA2182" s="313"/>
      <c r="BB2182" s="167"/>
      <c r="BC2182" s="42"/>
      <c r="BD2182" s="358"/>
      <c r="BH2182" s="302"/>
      <c r="BI2182" s="42"/>
    </row>
    <row r="2183" spans="52:61">
      <c r="AZ2183" s="302"/>
      <c r="BA2183" s="313"/>
      <c r="BB2183" s="167"/>
      <c r="BC2183" s="42"/>
      <c r="BD2183" s="358"/>
      <c r="BH2183" s="302"/>
      <c r="BI2183" s="42"/>
    </row>
    <row r="2184" spans="52:61">
      <c r="AZ2184" s="302"/>
      <c r="BA2184" s="313"/>
      <c r="BB2184" s="167"/>
      <c r="BC2184" s="42"/>
      <c r="BD2184" s="358"/>
      <c r="BH2184" s="302"/>
      <c r="BI2184" s="42"/>
    </row>
    <row r="2185" spans="52:61">
      <c r="AZ2185" s="302"/>
      <c r="BA2185" s="313"/>
      <c r="BB2185" s="167"/>
      <c r="BC2185" s="42"/>
      <c r="BD2185" s="358"/>
      <c r="BH2185" s="302"/>
      <c r="BI2185" s="42"/>
    </row>
    <row r="2186" spans="52:61">
      <c r="AZ2186" s="302"/>
      <c r="BA2186" s="313"/>
      <c r="BB2186" s="167"/>
      <c r="BC2186" s="42"/>
      <c r="BD2186" s="358"/>
      <c r="BH2186" s="302"/>
      <c r="BI2186" s="42"/>
    </row>
    <row r="2187" spans="52:61">
      <c r="AZ2187" s="302"/>
      <c r="BA2187" s="313"/>
      <c r="BB2187" s="167"/>
      <c r="BC2187" s="42"/>
      <c r="BD2187" s="358"/>
      <c r="BH2187" s="302"/>
      <c r="BI2187" s="42"/>
    </row>
    <row r="2188" spans="52:61">
      <c r="AZ2188" s="302"/>
      <c r="BA2188" s="313"/>
      <c r="BB2188" s="167"/>
      <c r="BC2188" s="42"/>
      <c r="BD2188" s="358"/>
      <c r="BH2188" s="302"/>
      <c r="BI2188" s="42"/>
    </row>
    <row r="2189" spans="52:61">
      <c r="AZ2189" s="302"/>
      <c r="BA2189" s="313"/>
      <c r="BB2189" s="167"/>
      <c r="BC2189" s="42"/>
      <c r="BD2189" s="358"/>
      <c r="BH2189" s="302"/>
      <c r="BI2189" s="42"/>
    </row>
    <row r="2190" spans="52:61">
      <c r="AZ2190" s="302"/>
      <c r="BA2190" s="313"/>
      <c r="BB2190" s="167"/>
      <c r="BC2190" s="42"/>
      <c r="BD2190" s="358"/>
      <c r="BH2190" s="302"/>
      <c r="BI2190" s="42"/>
    </row>
    <row r="2191" spans="52:61">
      <c r="AZ2191" s="302"/>
      <c r="BA2191" s="313"/>
      <c r="BB2191" s="167"/>
      <c r="BC2191" s="42"/>
      <c r="BD2191" s="358"/>
      <c r="BH2191" s="302"/>
      <c r="BI2191" s="42"/>
    </row>
    <row r="2192" spans="52:61">
      <c r="AZ2192" s="302"/>
      <c r="BA2192" s="313"/>
      <c r="BB2192" s="167"/>
      <c r="BC2192" s="42"/>
      <c r="BD2192" s="358"/>
      <c r="BH2192" s="302"/>
      <c r="BI2192" s="42"/>
    </row>
    <row r="2193" spans="52:61">
      <c r="AZ2193" s="302"/>
      <c r="BA2193" s="313"/>
      <c r="BB2193" s="167"/>
      <c r="BC2193" s="42"/>
      <c r="BD2193" s="358"/>
      <c r="BH2193" s="302"/>
      <c r="BI2193" s="42"/>
    </row>
    <row r="2194" spans="52:61">
      <c r="AZ2194" s="302"/>
      <c r="BA2194" s="313"/>
      <c r="BB2194" s="167"/>
      <c r="BC2194" s="42"/>
      <c r="BD2194" s="358"/>
      <c r="BH2194" s="302"/>
      <c r="BI2194" s="42"/>
    </row>
    <row r="2195" spans="52:61">
      <c r="AZ2195" s="302"/>
      <c r="BA2195" s="313"/>
      <c r="BB2195" s="167"/>
      <c r="BC2195" s="42"/>
      <c r="BD2195" s="358"/>
      <c r="BH2195" s="302"/>
      <c r="BI2195" s="42"/>
    </row>
    <row r="2196" spans="52:61">
      <c r="AZ2196" s="302"/>
      <c r="BA2196" s="313"/>
      <c r="BB2196" s="167"/>
      <c r="BC2196" s="42"/>
      <c r="BD2196" s="358"/>
      <c r="BH2196" s="302"/>
      <c r="BI2196" s="42"/>
    </row>
    <row r="2197" spans="52:61">
      <c r="AZ2197" s="302"/>
      <c r="BA2197" s="313"/>
      <c r="BB2197" s="167"/>
      <c r="BC2197" s="42"/>
      <c r="BD2197" s="358"/>
      <c r="BH2197" s="302"/>
      <c r="BI2197" s="42"/>
    </row>
    <row r="2198" spans="52:61">
      <c r="AZ2198" s="302"/>
      <c r="BA2198" s="313"/>
      <c r="BB2198" s="167"/>
      <c r="BC2198" s="42"/>
      <c r="BD2198" s="358"/>
      <c r="BH2198" s="302"/>
      <c r="BI2198" s="42"/>
    </row>
    <row r="2199" spans="52:61">
      <c r="AZ2199" s="302"/>
      <c r="BA2199" s="313"/>
      <c r="BB2199" s="167"/>
      <c r="BC2199" s="42"/>
      <c r="BD2199" s="358"/>
      <c r="BH2199" s="302"/>
      <c r="BI2199" s="42"/>
    </row>
    <row r="2200" spans="52:61">
      <c r="AZ2200" s="302"/>
      <c r="BA2200" s="313"/>
      <c r="BB2200" s="167"/>
      <c r="BC2200" s="42"/>
      <c r="BD2200" s="358"/>
      <c r="BH2200" s="302"/>
      <c r="BI2200" s="42"/>
    </row>
    <row r="2201" spans="52:61">
      <c r="AZ2201" s="302"/>
      <c r="BA2201" s="313"/>
      <c r="BB2201" s="167"/>
      <c r="BC2201" s="42"/>
      <c r="BD2201" s="358"/>
      <c r="BH2201" s="302"/>
      <c r="BI2201" s="42"/>
    </row>
    <row r="2202" spans="52:61">
      <c r="AZ2202" s="302"/>
      <c r="BA2202" s="313"/>
      <c r="BB2202" s="167"/>
      <c r="BC2202" s="42"/>
      <c r="BD2202" s="358"/>
      <c r="BH2202" s="302"/>
      <c r="BI2202" s="42"/>
    </row>
    <row r="2203" spans="52:61">
      <c r="AZ2203" s="302"/>
      <c r="BA2203" s="313"/>
      <c r="BB2203" s="167"/>
      <c r="BC2203" s="42"/>
      <c r="BD2203" s="358"/>
      <c r="BH2203" s="302"/>
      <c r="BI2203" s="42"/>
    </row>
    <row r="2204" spans="52:61">
      <c r="AZ2204" s="302"/>
      <c r="BA2204" s="313"/>
      <c r="BB2204" s="167"/>
      <c r="BC2204" s="42"/>
      <c r="BD2204" s="358"/>
      <c r="BH2204" s="302"/>
      <c r="BI2204" s="42"/>
    </row>
    <row r="2205" spans="52:61">
      <c r="AZ2205" s="302"/>
      <c r="BA2205" s="313"/>
      <c r="BB2205" s="167"/>
      <c r="BC2205" s="42"/>
      <c r="BD2205" s="358"/>
      <c r="BH2205" s="302"/>
      <c r="BI2205" s="42"/>
    </row>
    <row r="2206" spans="52:61">
      <c r="AZ2206" s="302"/>
      <c r="BA2206" s="313"/>
      <c r="BB2206" s="167"/>
      <c r="BC2206" s="42"/>
      <c r="BD2206" s="358"/>
      <c r="BH2206" s="302"/>
      <c r="BI2206" s="42"/>
    </row>
    <row r="2207" spans="52:61">
      <c r="AZ2207" s="302"/>
      <c r="BA2207" s="313"/>
      <c r="BB2207" s="167"/>
      <c r="BC2207" s="42"/>
      <c r="BD2207" s="358"/>
      <c r="BH2207" s="302"/>
      <c r="BI2207" s="42"/>
    </row>
    <row r="2208" spans="52:61">
      <c r="AZ2208" s="302"/>
      <c r="BA2208" s="313"/>
      <c r="BB2208" s="167"/>
      <c r="BC2208" s="42"/>
      <c r="BD2208" s="358"/>
      <c r="BH2208" s="302"/>
      <c r="BI2208" s="42"/>
    </row>
    <row r="2209" spans="52:61">
      <c r="AZ2209" s="302"/>
      <c r="BA2209" s="313"/>
      <c r="BB2209" s="167"/>
      <c r="BC2209" s="42"/>
      <c r="BD2209" s="358"/>
      <c r="BH2209" s="302"/>
      <c r="BI2209" s="42"/>
    </row>
    <row r="2210" spans="52:61">
      <c r="AZ2210" s="302"/>
      <c r="BA2210" s="313"/>
      <c r="BB2210" s="167"/>
      <c r="BC2210" s="42"/>
      <c r="BD2210" s="358"/>
      <c r="BH2210" s="302"/>
      <c r="BI2210" s="42"/>
    </row>
    <row r="2211" spans="52:61">
      <c r="AZ2211" s="302"/>
      <c r="BA2211" s="313"/>
      <c r="BB2211" s="167"/>
      <c r="BC2211" s="42"/>
      <c r="BD2211" s="358"/>
      <c r="BH2211" s="302"/>
      <c r="BI2211" s="42"/>
    </row>
    <row r="2212" spans="52:61">
      <c r="AZ2212" s="302"/>
      <c r="BA2212" s="313"/>
      <c r="BB2212" s="167"/>
      <c r="BC2212" s="42"/>
      <c r="BD2212" s="358"/>
      <c r="BH2212" s="302"/>
      <c r="BI2212" s="42"/>
    </row>
    <row r="2213" spans="52:61">
      <c r="AZ2213" s="302"/>
      <c r="BA2213" s="313"/>
      <c r="BB2213" s="167"/>
      <c r="BC2213" s="42"/>
      <c r="BD2213" s="358"/>
      <c r="BH2213" s="302"/>
      <c r="BI2213" s="42"/>
    </row>
    <row r="2214" spans="52:61">
      <c r="AZ2214" s="302"/>
      <c r="BA2214" s="313"/>
      <c r="BB2214" s="167"/>
      <c r="BC2214" s="42"/>
      <c r="BD2214" s="358"/>
      <c r="BH2214" s="302"/>
      <c r="BI2214" s="42"/>
    </row>
    <row r="2215" spans="52:61">
      <c r="AZ2215" s="302"/>
      <c r="BA2215" s="313"/>
      <c r="BB2215" s="167"/>
      <c r="BC2215" s="42"/>
      <c r="BD2215" s="358"/>
      <c r="BH2215" s="302"/>
      <c r="BI2215" s="42"/>
    </row>
    <row r="2216" spans="52:61">
      <c r="AZ2216" s="302"/>
      <c r="BA2216" s="313"/>
      <c r="BB2216" s="167"/>
      <c r="BC2216" s="42"/>
      <c r="BD2216" s="358"/>
      <c r="BH2216" s="302"/>
      <c r="BI2216" s="42"/>
    </row>
    <row r="2217" spans="52:61">
      <c r="AZ2217" s="302"/>
      <c r="BA2217" s="313"/>
      <c r="BB2217" s="167"/>
      <c r="BC2217" s="42"/>
      <c r="BD2217" s="358"/>
      <c r="BH2217" s="302"/>
      <c r="BI2217" s="42"/>
    </row>
    <row r="2218" spans="52:61">
      <c r="AZ2218" s="302"/>
      <c r="BA2218" s="313"/>
      <c r="BB2218" s="167"/>
      <c r="BC2218" s="42"/>
      <c r="BD2218" s="358"/>
      <c r="BH2218" s="302"/>
      <c r="BI2218" s="42"/>
    </row>
    <row r="2219" spans="52:61">
      <c r="AZ2219" s="302"/>
      <c r="BA2219" s="313"/>
      <c r="BB2219" s="167"/>
      <c r="BC2219" s="42"/>
      <c r="BD2219" s="358"/>
      <c r="BH2219" s="302"/>
      <c r="BI2219" s="42"/>
    </row>
    <row r="2220" spans="52:61">
      <c r="AZ2220" s="302"/>
      <c r="BA2220" s="313"/>
      <c r="BB2220" s="167"/>
      <c r="BC2220" s="42"/>
      <c r="BD2220" s="358"/>
      <c r="BH2220" s="302"/>
      <c r="BI2220" s="42"/>
    </row>
    <row r="2221" spans="52:61">
      <c r="AZ2221" s="302"/>
      <c r="BA2221" s="313"/>
      <c r="BB2221" s="167"/>
      <c r="BC2221" s="42"/>
      <c r="BD2221" s="358"/>
      <c r="BH2221" s="302"/>
      <c r="BI2221" s="42"/>
    </row>
    <row r="2222" spans="52:61">
      <c r="AZ2222" s="302"/>
      <c r="BA2222" s="313"/>
      <c r="BB2222" s="167"/>
      <c r="BC2222" s="42"/>
      <c r="BD2222" s="358"/>
      <c r="BH2222" s="302"/>
      <c r="BI2222" s="42"/>
    </row>
    <row r="2223" spans="52:61">
      <c r="AZ2223" s="302"/>
      <c r="BA2223" s="313"/>
      <c r="BB2223" s="167"/>
      <c r="BC2223" s="42"/>
      <c r="BD2223" s="358"/>
      <c r="BH2223" s="302"/>
      <c r="BI2223" s="42"/>
    </row>
    <row r="2224" spans="52:61">
      <c r="AZ2224" s="302"/>
      <c r="BA2224" s="313"/>
      <c r="BB2224" s="167"/>
      <c r="BC2224" s="42"/>
      <c r="BD2224" s="358"/>
      <c r="BH2224" s="302"/>
      <c r="BI2224" s="42"/>
    </row>
    <row r="2225" spans="52:61">
      <c r="AZ2225" s="302"/>
      <c r="BA2225" s="313"/>
      <c r="BB2225" s="167"/>
      <c r="BC2225" s="42"/>
      <c r="BD2225" s="358"/>
      <c r="BH2225" s="302"/>
      <c r="BI2225" s="42"/>
    </row>
    <row r="2226" spans="52:61">
      <c r="AZ2226" s="302"/>
      <c r="BA2226" s="313"/>
      <c r="BB2226" s="167"/>
      <c r="BC2226" s="42"/>
      <c r="BD2226" s="358"/>
      <c r="BH2226" s="302"/>
      <c r="BI2226" s="42"/>
    </row>
    <row r="2227" spans="52:61">
      <c r="AZ2227" s="302"/>
      <c r="BA2227" s="313"/>
      <c r="BB2227" s="167"/>
      <c r="BC2227" s="42"/>
      <c r="BD2227" s="358"/>
      <c r="BH2227" s="302"/>
      <c r="BI2227" s="42"/>
    </row>
    <row r="2228" spans="52:61">
      <c r="AZ2228" s="302"/>
      <c r="BA2228" s="313"/>
      <c r="BB2228" s="167"/>
      <c r="BC2228" s="42"/>
      <c r="BD2228" s="358"/>
      <c r="BH2228" s="302"/>
      <c r="BI2228" s="42"/>
    </row>
    <row r="2229" spans="52:61">
      <c r="AZ2229" s="302"/>
      <c r="BA2229" s="313"/>
      <c r="BB2229" s="167"/>
      <c r="BC2229" s="42"/>
      <c r="BD2229" s="358"/>
      <c r="BH2229" s="302"/>
      <c r="BI2229" s="42"/>
    </row>
    <row r="2230" spans="52:61">
      <c r="AZ2230" s="302"/>
      <c r="BA2230" s="313"/>
      <c r="BB2230" s="167"/>
      <c r="BC2230" s="42"/>
      <c r="BD2230" s="358"/>
      <c r="BH2230" s="302"/>
      <c r="BI2230" s="42"/>
    </row>
    <row r="2231" spans="52:61">
      <c r="AZ2231" s="302"/>
      <c r="BA2231" s="313"/>
      <c r="BB2231" s="167"/>
      <c r="BC2231" s="42"/>
      <c r="BD2231" s="358"/>
      <c r="BH2231" s="302"/>
      <c r="BI2231" s="42"/>
    </row>
    <row r="2232" spans="52:61">
      <c r="AZ2232" s="302"/>
      <c r="BA2232" s="313"/>
      <c r="BB2232" s="167"/>
      <c r="BC2232" s="42"/>
      <c r="BD2232" s="358"/>
      <c r="BH2232" s="302"/>
      <c r="BI2232" s="42"/>
    </row>
    <row r="2233" spans="52:61">
      <c r="AZ2233" s="302"/>
      <c r="BA2233" s="313"/>
      <c r="BB2233" s="167"/>
      <c r="BC2233" s="42"/>
      <c r="BD2233" s="358"/>
      <c r="BH2233" s="302"/>
      <c r="BI2233" s="42"/>
    </row>
    <row r="2234" spans="52:61">
      <c r="AZ2234" s="302"/>
      <c r="BA2234" s="313"/>
      <c r="BB2234" s="167"/>
      <c r="BC2234" s="42"/>
      <c r="BD2234" s="358"/>
      <c r="BH2234" s="302"/>
      <c r="BI2234" s="42"/>
    </row>
    <row r="2235" spans="52:61">
      <c r="AZ2235" s="302"/>
      <c r="BA2235" s="313"/>
      <c r="BB2235" s="167"/>
      <c r="BC2235" s="42"/>
      <c r="BD2235" s="358"/>
      <c r="BH2235" s="302"/>
      <c r="BI2235" s="42"/>
    </row>
    <row r="2236" spans="52:61">
      <c r="AZ2236" s="302"/>
      <c r="BA2236" s="313"/>
      <c r="BB2236" s="167"/>
      <c r="BC2236" s="42"/>
      <c r="BD2236" s="358"/>
      <c r="BH2236" s="302"/>
      <c r="BI2236" s="42"/>
    </row>
    <row r="2237" spans="52:61">
      <c r="AZ2237" s="302"/>
      <c r="BA2237" s="313"/>
      <c r="BB2237" s="167"/>
      <c r="BC2237" s="42"/>
      <c r="BD2237" s="358"/>
      <c r="BH2237" s="302"/>
      <c r="BI2237" s="42"/>
    </row>
    <row r="2238" spans="52:61">
      <c r="AZ2238" s="302"/>
      <c r="BA2238" s="313"/>
      <c r="BB2238" s="167"/>
      <c r="BC2238" s="42"/>
      <c r="BD2238" s="358"/>
      <c r="BH2238" s="302"/>
      <c r="BI2238" s="42"/>
    </row>
    <row r="2239" spans="52:61">
      <c r="AZ2239" s="302"/>
      <c r="BA2239" s="313"/>
      <c r="BB2239" s="167"/>
      <c r="BC2239" s="42"/>
      <c r="BD2239" s="358"/>
      <c r="BH2239" s="302"/>
      <c r="BI2239" s="42"/>
    </row>
    <row r="2240" spans="52:61">
      <c r="AZ2240" s="302"/>
      <c r="BA2240" s="313"/>
      <c r="BB2240" s="167"/>
      <c r="BC2240" s="42"/>
      <c r="BD2240" s="358"/>
      <c r="BH2240" s="302"/>
      <c r="BI2240" s="42"/>
    </row>
    <row r="2241" spans="52:61">
      <c r="AZ2241" s="302"/>
      <c r="BA2241" s="313"/>
      <c r="BB2241" s="167"/>
      <c r="BC2241" s="42"/>
      <c r="BD2241" s="358"/>
      <c r="BH2241" s="302"/>
      <c r="BI2241" s="42"/>
    </row>
    <row r="2242" spans="52:61">
      <c r="AZ2242" s="302"/>
      <c r="BA2242" s="313"/>
      <c r="BB2242" s="167"/>
      <c r="BC2242" s="42"/>
      <c r="BD2242" s="358"/>
      <c r="BH2242" s="302"/>
      <c r="BI2242" s="42"/>
    </row>
    <row r="2243" spans="52:61">
      <c r="AZ2243" s="302"/>
      <c r="BA2243" s="313"/>
      <c r="BB2243" s="167"/>
      <c r="BC2243" s="42"/>
      <c r="BD2243" s="358"/>
      <c r="BH2243" s="302"/>
      <c r="BI2243" s="42"/>
    </row>
    <row r="2244" spans="52:61">
      <c r="AZ2244" s="302"/>
      <c r="BA2244" s="313"/>
      <c r="BB2244" s="167"/>
      <c r="BC2244" s="42"/>
      <c r="BD2244" s="358"/>
      <c r="BH2244" s="302"/>
      <c r="BI2244" s="42"/>
    </row>
    <row r="2245" spans="52:61">
      <c r="AZ2245" s="302"/>
      <c r="BA2245" s="313"/>
      <c r="BB2245" s="167"/>
      <c r="BC2245" s="42"/>
      <c r="BD2245" s="358"/>
      <c r="BH2245" s="302"/>
      <c r="BI2245" s="42"/>
    </row>
    <row r="2246" spans="52:61">
      <c r="AZ2246" s="302"/>
      <c r="BA2246" s="313"/>
      <c r="BB2246" s="167"/>
      <c r="BC2246" s="42"/>
      <c r="BD2246" s="358"/>
      <c r="BH2246" s="302"/>
      <c r="BI2246" s="42"/>
    </row>
    <row r="2247" spans="52:61">
      <c r="AZ2247" s="302"/>
      <c r="BA2247" s="313"/>
      <c r="BB2247" s="167"/>
      <c r="BC2247" s="42"/>
      <c r="BD2247" s="358"/>
      <c r="BH2247" s="302"/>
      <c r="BI2247" s="42"/>
    </row>
    <row r="2248" spans="52:61">
      <c r="AZ2248" s="302"/>
      <c r="BA2248" s="313"/>
      <c r="BB2248" s="167"/>
      <c r="BC2248" s="42"/>
      <c r="BD2248" s="358"/>
      <c r="BH2248" s="302"/>
      <c r="BI2248" s="42"/>
    </row>
    <row r="2249" spans="52:61">
      <c r="AZ2249" s="302"/>
      <c r="BA2249" s="313"/>
      <c r="BB2249" s="167"/>
      <c r="BC2249" s="42"/>
      <c r="BD2249" s="358"/>
      <c r="BH2249" s="302"/>
      <c r="BI2249" s="42"/>
    </row>
    <row r="2250" spans="52:61">
      <c r="AZ2250" s="302"/>
      <c r="BA2250" s="313"/>
      <c r="BB2250" s="167"/>
      <c r="BC2250" s="42"/>
      <c r="BD2250" s="358"/>
      <c r="BH2250" s="302"/>
      <c r="BI2250" s="42"/>
    </row>
    <row r="2251" spans="52:61">
      <c r="AZ2251" s="302"/>
      <c r="BA2251" s="313"/>
      <c r="BB2251" s="167"/>
      <c r="BC2251" s="42"/>
      <c r="BD2251" s="358"/>
      <c r="BH2251" s="302"/>
      <c r="BI2251" s="42"/>
    </row>
    <row r="2252" spans="52:61">
      <c r="AZ2252" s="302"/>
      <c r="BA2252" s="313"/>
      <c r="BB2252" s="167"/>
      <c r="BC2252" s="42"/>
      <c r="BD2252" s="358"/>
      <c r="BH2252" s="302"/>
      <c r="BI2252" s="42"/>
    </row>
    <row r="2253" spans="52:61">
      <c r="AZ2253" s="302"/>
      <c r="BA2253" s="313"/>
      <c r="BB2253" s="167"/>
      <c r="BC2253" s="42"/>
      <c r="BD2253" s="358"/>
      <c r="BH2253" s="302"/>
      <c r="BI2253" s="42"/>
    </row>
    <row r="2254" spans="52:61">
      <c r="AZ2254" s="302"/>
      <c r="BA2254" s="313"/>
      <c r="BB2254" s="167"/>
      <c r="BC2254" s="42"/>
      <c r="BD2254" s="358"/>
      <c r="BH2254" s="302"/>
      <c r="BI2254" s="42"/>
    </row>
    <row r="2255" spans="52:61">
      <c r="AZ2255" s="302"/>
      <c r="BA2255" s="313"/>
      <c r="BB2255" s="167"/>
      <c r="BC2255" s="42"/>
      <c r="BD2255" s="358"/>
      <c r="BH2255" s="302"/>
      <c r="BI2255" s="42"/>
    </row>
    <row r="2256" spans="52:61">
      <c r="AZ2256" s="302"/>
      <c r="BA2256" s="313"/>
      <c r="BB2256" s="167"/>
      <c r="BC2256" s="42"/>
      <c r="BD2256" s="358"/>
      <c r="BH2256" s="302"/>
      <c r="BI2256" s="42"/>
    </row>
    <row r="2257" spans="52:61">
      <c r="AZ2257" s="302"/>
      <c r="BA2257" s="313"/>
      <c r="BB2257" s="167"/>
      <c r="BC2257" s="42"/>
      <c r="BD2257" s="358"/>
      <c r="BH2257" s="302"/>
      <c r="BI2257" s="42"/>
    </row>
    <row r="2258" spans="52:61">
      <c r="AZ2258" s="302"/>
      <c r="BA2258" s="313"/>
      <c r="BB2258" s="167"/>
      <c r="BC2258" s="42"/>
      <c r="BD2258" s="358"/>
      <c r="BH2258" s="302"/>
      <c r="BI2258" s="42"/>
    </row>
    <row r="2259" spans="52:61">
      <c r="AZ2259" s="302"/>
      <c r="BA2259" s="313"/>
      <c r="BB2259" s="167"/>
      <c r="BC2259" s="42"/>
      <c r="BD2259" s="358"/>
      <c r="BH2259" s="302"/>
      <c r="BI2259" s="42"/>
    </row>
    <row r="2260" spans="52:61">
      <c r="AZ2260" s="302"/>
      <c r="BA2260" s="313"/>
      <c r="BB2260" s="167"/>
      <c r="BC2260" s="42"/>
      <c r="BD2260" s="358"/>
      <c r="BH2260" s="302"/>
      <c r="BI2260" s="42"/>
    </row>
    <row r="2261" spans="52:61">
      <c r="AZ2261" s="302"/>
      <c r="BA2261" s="313"/>
      <c r="BB2261" s="167"/>
      <c r="BC2261" s="42"/>
      <c r="BD2261" s="358"/>
      <c r="BH2261" s="302"/>
      <c r="BI2261" s="42"/>
    </row>
    <row r="2262" spans="52:61">
      <c r="AZ2262" s="302"/>
      <c r="BA2262" s="313"/>
      <c r="BB2262" s="167"/>
      <c r="BC2262" s="42"/>
      <c r="BD2262" s="358"/>
      <c r="BH2262" s="302"/>
      <c r="BI2262" s="42"/>
    </row>
    <row r="2263" spans="52:61">
      <c r="AZ2263" s="302"/>
      <c r="BA2263" s="313"/>
      <c r="BB2263" s="167"/>
      <c r="BC2263" s="42"/>
      <c r="BD2263" s="358"/>
      <c r="BH2263" s="302"/>
      <c r="BI2263" s="42"/>
    </row>
    <row r="2264" spans="52:61">
      <c r="AZ2264" s="302"/>
      <c r="BA2264" s="313"/>
      <c r="BB2264" s="167"/>
      <c r="BC2264" s="42"/>
      <c r="BD2264" s="358"/>
      <c r="BH2264" s="302"/>
      <c r="BI2264" s="42"/>
    </row>
    <row r="2265" spans="52:61">
      <c r="AZ2265" s="302"/>
      <c r="BA2265" s="313"/>
      <c r="BB2265" s="167"/>
      <c r="BC2265" s="42"/>
      <c r="BD2265" s="358"/>
      <c r="BH2265" s="302"/>
      <c r="BI2265" s="42"/>
    </row>
    <row r="2266" spans="52:61">
      <c r="AZ2266" s="302"/>
      <c r="BA2266" s="313"/>
      <c r="BB2266" s="167"/>
      <c r="BC2266" s="42"/>
      <c r="BD2266" s="358"/>
      <c r="BH2266" s="302"/>
      <c r="BI2266" s="42"/>
    </row>
    <row r="2267" spans="52:61">
      <c r="AZ2267" s="302"/>
      <c r="BA2267" s="313"/>
      <c r="BB2267" s="167"/>
      <c r="BC2267" s="42"/>
      <c r="BD2267" s="358"/>
      <c r="BH2267" s="302"/>
      <c r="BI2267" s="42"/>
    </row>
    <row r="2268" spans="52:61">
      <c r="AZ2268" s="302"/>
      <c r="BA2268" s="313"/>
      <c r="BB2268" s="167"/>
      <c r="BC2268" s="42"/>
      <c r="BD2268" s="358"/>
      <c r="BH2268" s="302"/>
      <c r="BI2268" s="42"/>
    </row>
    <row r="2269" spans="52:61">
      <c r="AZ2269" s="302"/>
      <c r="BA2269" s="313"/>
      <c r="BB2269" s="167"/>
      <c r="BC2269" s="42"/>
      <c r="BD2269" s="358"/>
      <c r="BH2269" s="302"/>
      <c r="BI2269" s="42"/>
    </row>
    <row r="2270" spans="52:61">
      <c r="AZ2270" s="302"/>
      <c r="BA2270" s="313"/>
      <c r="BB2270" s="167"/>
      <c r="BC2270" s="42"/>
      <c r="BD2270" s="358"/>
      <c r="BH2270" s="302"/>
      <c r="BI2270" s="42"/>
    </row>
    <row r="2271" spans="52:61">
      <c r="AZ2271" s="302"/>
      <c r="BA2271" s="313"/>
      <c r="BB2271" s="167"/>
      <c r="BC2271" s="42"/>
      <c r="BD2271" s="358"/>
      <c r="BH2271" s="302"/>
      <c r="BI2271" s="42"/>
    </row>
    <row r="2272" spans="52:61">
      <c r="AZ2272" s="302"/>
      <c r="BA2272" s="313"/>
      <c r="BB2272" s="167"/>
      <c r="BC2272" s="42"/>
      <c r="BD2272" s="358"/>
      <c r="BH2272" s="302"/>
      <c r="BI2272" s="42"/>
    </row>
    <row r="2273" spans="52:61">
      <c r="AZ2273" s="302"/>
      <c r="BA2273" s="313"/>
      <c r="BB2273" s="167"/>
      <c r="BC2273" s="42"/>
      <c r="BD2273" s="358"/>
      <c r="BH2273" s="302"/>
      <c r="BI2273" s="42"/>
    </row>
    <row r="2274" spans="52:61">
      <c r="AZ2274" s="302"/>
      <c r="BA2274" s="313"/>
      <c r="BB2274" s="167"/>
      <c r="BC2274" s="42"/>
      <c r="BD2274" s="358"/>
      <c r="BH2274" s="302"/>
      <c r="BI2274" s="42"/>
    </row>
    <row r="2275" spans="52:61">
      <c r="AZ2275" s="302"/>
      <c r="BA2275" s="313"/>
      <c r="BB2275" s="167"/>
      <c r="BC2275" s="42"/>
      <c r="BD2275" s="358"/>
      <c r="BH2275" s="302"/>
      <c r="BI2275" s="42"/>
    </row>
    <row r="2276" spans="52:61">
      <c r="AZ2276" s="302"/>
      <c r="BA2276" s="313"/>
      <c r="BB2276" s="167"/>
      <c r="BC2276" s="42"/>
      <c r="BD2276" s="358"/>
      <c r="BH2276" s="302"/>
      <c r="BI2276" s="42"/>
    </row>
    <row r="2277" spans="52:61">
      <c r="AZ2277" s="302"/>
      <c r="BA2277" s="313"/>
      <c r="BB2277" s="167"/>
      <c r="BC2277" s="42"/>
      <c r="BD2277" s="358"/>
      <c r="BH2277" s="302"/>
      <c r="BI2277" s="42"/>
    </row>
    <row r="2278" spans="52:61">
      <c r="AZ2278" s="302"/>
      <c r="BA2278" s="313"/>
      <c r="BB2278" s="167"/>
      <c r="BC2278" s="42"/>
      <c r="BD2278" s="358"/>
      <c r="BH2278" s="302"/>
      <c r="BI2278" s="42"/>
    </row>
    <row r="2279" spans="52:61">
      <c r="AZ2279" s="302"/>
      <c r="BA2279" s="313"/>
      <c r="BB2279" s="167"/>
      <c r="BC2279" s="42"/>
      <c r="BD2279" s="358"/>
      <c r="BH2279" s="302"/>
      <c r="BI2279" s="42"/>
    </row>
    <row r="2280" spans="52:61">
      <c r="AZ2280" s="302"/>
      <c r="BA2280" s="313"/>
      <c r="BB2280" s="167"/>
      <c r="BC2280" s="42"/>
      <c r="BD2280" s="358"/>
      <c r="BH2280" s="302"/>
      <c r="BI2280" s="42"/>
    </row>
    <row r="2281" spans="52:61">
      <c r="AZ2281" s="302"/>
      <c r="BA2281" s="313"/>
      <c r="BB2281" s="167"/>
      <c r="BC2281" s="42"/>
      <c r="BD2281" s="358"/>
      <c r="BH2281" s="302"/>
      <c r="BI2281" s="42"/>
    </row>
    <row r="2282" spans="52:61">
      <c r="AZ2282" s="302"/>
      <c r="BA2282" s="313"/>
      <c r="BB2282" s="167"/>
      <c r="BC2282" s="42"/>
      <c r="BD2282" s="358"/>
      <c r="BH2282" s="302"/>
      <c r="BI2282" s="42"/>
    </row>
    <row r="2283" spans="52:61">
      <c r="AZ2283" s="302"/>
      <c r="BA2283" s="313"/>
      <c r="BB2283" s="167"/>
      <c r="BC2283" s="42"/>
      <c r="BD2283" s="358"/>
      <c r="BH2283" s="302"/>
      <c r="BI2283" s="42"/>
    </row>
    <row r="2284" spans="52:61">
      <c r="AZ2284" s="302"/>
      <c r="BA2284" s="313"/>
      <c r="BB2284" s="167"/>
      <c r="BC2284" s="42"/>
      <c r="BD2284" s="358"/>
      <c r="BH2284" s="302"/>
      <c r="BI2284" s="42"/>
    </row>
    <row r="2285" spans="52:61">
      <c r="AZ2285" s="302"/>
      <c r="BA2285" s="313"/>
      <c r="BB2285" s="167"/>
      <c r="BC2285" s="42"/>
      <c r="BD2285" s="358"/>
      <c r="BH2285" s="302"/>
      <c r="BI2285" s="42"/>
    </row>
    <row r="2286" spans="52:61">
      <c r="AZ2286" s="302"/>
      <c r="BA2286" s="313"/>
      <c r="BB2286" s="167"/>
      <c r="BC2286" s="42"/>
      <c r="BD2286" s="358"/>
      <c r="BH2286" s="302"/>
      <c r="BI2286" s="42"/>
    </row>
    <row r="2287" spans="52:61">
      <c r="AZ2287" s="302"/>
      <c r="BA2287" s="313"/>
      <c r="BB2287" s="167"/>
      <c r="BC2287" s="42"/>
      <c r="BD2287" s="358"/>
      <c r="BH2287" s="302"/>
      <c r="BI2287" s="42"/>
    </row>
    <row r="2288" spans="52:61">
      <c r="AZ2288" s="302"/>
      <c r="BA2288" s="313"/>
      <c r="BB2288" s="167"/>
      <c r="BC2288" s="42"/>
      <c r="BD2288" s="358"/>
      <c r="BH2288" s="302"/>
      <c r="BI2288" s="42"/>
    </row>
    <row r="2289" spans="52:61">
      <c r="AZ2289" s="302"/>
      <c r="BA2289" s="313"/>
      <c r="BB2289" s="167"/>
      <c r="BC2289" s="42"/>
      <c r="BD2289" s="358"/>
      <c r="BH2289" s="302"/>
      <c r="BI2289" s="42"/>
    </row>
    <row r="2290" spans="52:61">
      <c r="AZ2290" s="302"/>
      <c r="BA2290" s="313"/>
      <c r="BB2290" s="167"/>
      <c r="BC2290" s="42"/>
      <c r="BD2290" s="358"/>
      <c r="BH2290" s="302"/>
      <c r="BI2290" s="42"/>
    </row>
    <row r="2291" spans="52:61">
      <c r="AZ2291" s="302"/>
      <c r="BA2291" s="313"/>
      <c r="BB2291" s="167"/>
      <c r="BC2291" s="42"/>
      <c r="BD2291" s="358"/>
      <c r="BH2291" s="302"/>
      <c r="BI2291" s="42"/>
    </row>
    <row r="2292" spans="52:61">
      <c r="AZ2292" s="302"/>
      <c r="BA2292" s="313"/>
      <c r="BB2292" s="167"/>
      <c r="BC2292" s="42"/>
      <c r="BD2292" s="358"/>
      <c r="BH2292" s="302"/>
      <c r="BI2292" s="42"/>
    </row>
    <row r="2293" spans="52:61">
      <c r="AZ2293" s="302"/>
      <c r="BA2293" s="313"/>
      <c r="BB2293" s="167"/>
      <c r="BC2293" s="42"/>
      <c r="BD2293" s="358"/>
      <c r="BH2293" s="302"/>
      <c r="BI2293" s="42"/>
    </row>
    <row r="2294" spans="52:61">
      <c r="AZ2294" s="302"/>
      <c r="BA2294" s="313"/>
      <c r="BB2294" s="167"/>
      <c r="BC2294" s="42"/>
      <c r="BD2294" s="358"/>
      <c r="BH2294" s="302"/>
      <c r="BI2294" s="42"/>
    </row>
    <row r="2295" spans="52:61">
      <c r="AZ2295" s="302"/>
      <c r="BA2295" s="313"/>
      <c r="BB2295" s="167"/>
      <c r="BC2295" s="42"/>
      <c r="BD2295" s="358"/>
      <c r="BH2295" s="302"/>
      <c r="BI2295" s="42"/>
    </row>
    <row r="2296" spans="52:61">
      <c r="AZ2296" s="302"/>
      <c r="BA2296" s="313"/>
      <c r="BB2296" s="167"/>
      <c r="BC2296" s="42"/>
      <c r="BD2296" s="358"/>
      <c r="BH2296" s="302"/>
      <c r="BI2296" s="42"/>
    </row>
    <row r="2297" spans="52:61">
      <c r="AZ2297" s="302"/>
      <c r="BA2297" s="313"/>
      <c r="BB2297" s="167"/>
      <c r="BC2297" s="42"/>
      <c r="BD2297" s="358"/>
      <c r="BH2297" s="302"/>
      <c r="BI2297" s="42"/>
    </row>
    <row r="2298" spans="52:61">
      <c r="AZ2298" s="302"/>
      <c r="BA2298" s="313"/>
      <c r="BB2298" s="167"/>
      <c r="BC2298" s="42"/>
      <c r="BD2298" s="358"/>
      <c r="BH2298" s="302"/>
      <c r="BI2298" s="42"/>
    </row>
    <row r="2299" spans="52:61">
      <c r="AZ2299" s="302"/>
      <c r="BA2299" s="313"/>
      <c r="BB2299" s="167"/>
      <c r="BC2299" s="42"/>
      <c r="BD2299" s="358"/>
      <c r="BH2299" s="302"/>
      <c r="BI2299" s="42"/>
    </row>
    <row r="2300" spans="52:61">
      <c r="AZ2300" s="302"/>
      <c r="BA2300" s="313"/>
      <c r="BB2300" s="167"/>
      <c r="BC2300" s="42"/>
      <c r="BD2300" s="358"/>
      <c r="BH2300" s="302"/>
      <c r="BI2300" s="42"/>
    </row>
    <row r="2301" spans="52:61">
      <c r="AZ2301" s="302"/>
      <c r="BA2301" s="313"/>
      <c r="BB2301" s="167"/>
      <c r="BC2301" s="42"/>
      <c r="BD2301" s="358"/>
      <c r="BH2301" s="302"/>
      <c r="BI2301" s="42"/>
    </row>
    <row r="2302" spans="52:61">
      <c r="AZ2302" s="302"/>
      <c r="BA2302" s="313"/>
      <c r="BB2302" s="167"/>
      <c r="BC2302" s="42"/>
      <c r="BD2302" s="358"/>
      <c r="BH2302" s="302"/>
      <c r="BI2302" s="42"/>
    </row>
    <row r="2303" spans="52:61">
      <c r="AZ2303" s="302"/>
      <c r="BA2303" s="313"/>
      <c r="BB2303" s="167"/>
      <c r="BC2303" s="42"/>
      <c r="BD2303" s="358"/>
      <c r="BH2303" s="302"/>
      <c r="BI2303" s="42"/>
    </row>
    <row r="2304" spans="52:61">
      <c r="AZ2304" s="302"/>
      <c r="BA2304" s="313"/>
      <c r="BB2304" s="167"/>
      <c r="BC2304" s="42"/>
      <c r="BD2304" s="358"/>
      <c r="BH2304" s="302"/>
      <c r="BI2304" s="42"/>
    </row>
    <row r="2305" spans="52:61">
      <c r="AZ2305" s="302"/>
      <c r="BA2305" s="313"/>
      <c r="BB2305" s="167"/>
      <c r="BC2305" s="42"/>
      <c r="BD2305" s="358"/>
      <c r="BH2305" s="302"/>
      <c r="BI2305" s="42"/>
    </row>
    <row r="2306" spans="52:61">
      <c r="AZ2306" s="302"/>
      <c r="BA2306" s="313"/>
      <c r="BB2306" s="167"/>
      <c r="BC2306" s="42"/>
      <c r="BD2306" s="358"/>
      <c r="BH2306" s="302"/>
      <c r="BI2306" s="42"/>
    </row>
    <row r="2307" spans="52:61">
      <c r="AZ2307" s="302"/>
      <c r="BA2307" s="313"/>
      <c r="BB2307" s="167"/>
      <c r="BC2307" s="42"/>
      <c r="BD2307" s="358"/>
      <c r="BH2307" s="302"/>
      <c r="BI2307" s="42"/>
    </row>
    <row r="2308" spans="52:61">
      <c r="AZ2308" s="302"/>
      <c r="BA2308" s="313"/>
      <c r="BB2308" s="167"/>
      <c r="BC2308" s="42"/>
      <c r="BD2308" s="358"/>
      <c r="BH2308" s="302"/>
      <c r="BI2308" s="42"/>
    </row>
    <row r="2309" spans="52:61">
      <c r="AZ2309" s="302"/>
      <c r="BA2309" s="313"/>
      <c r="BB2309" s="167"/>
      <c r="BC2309" s="42"/>
      <c r="BD2309" s="358"/>
      <c r="BH2309" s="302"/>
      <c r="BI2309" s="42"/>
    </row>
    <row r="2310" spans="52:61">
      <c r="AZ2310" s="302"/>
      <c r="BA2310" s="313"/>
      <c r="BB2310" s="167"/>
      <c r="BC2310" s="42"/>
      <c r="BD2310" s="358"/>
      <c r="BH2310" s="302"/>
      <c r="BI2310" s="42"/>
    </row>
    <row r="2311" spans="52:61">
      <c r="AZ2311" s="302"/>
      <c r="BA2311" s="313"/>
      <c r="BB2311" s="167"/>
      <c r="BC2311" s="42"/>
      <c r="BD2311" s="358"/>
      <c r="BH2311" s="302"/>
      <c r="BI2311" s="42"/>
    </row>
    <row r="2312" spans="52:61">
      <c r="AZ2312" s="302"/>
      <c r="BA2312" s="313"/>
      <c r="BB2312" s="167"/>
      <c r="BC2312" s="42"/>
      <c r="BD2312" s="358"/>
      <c r="BH2312" s="302"/>
      <c r="BI2312" s="42"/>
    </row>
    <row r="2313" spans="52:61">
      <c r="AZ2313" s="302"/>
      <c r="BA2313" s="313"/>
      <c r="BB2313" s="167"/>
      <c r="BC2313" s="42"/>
      <c r="BD2313" s="358"/>
      <c r="BH2313" s="302"/>
      <c r="BI2313" s="42"/>
    </row>
    <row r="2314" spans="52:61">
      <c r="AZ2314" s="302"/>
      <c r="BA2314" s="313"/>
      <c r="BB2314" s="167"/>
      <c r="BC2314" s="42"/>
      <c r="BD2314" s="358"/>
      <c r="BH2314" s="302"/>
      <c r="BI2314" s="42"/>
    </row>
    <row r="2315" spans="52:61">
      <c r="AZ2315" s="302"/>
      <c r="BA2315" s="313"/>
      <c r="BB2315" s="167"/>
      <c r="BC2315" s="42"/>
      <c r="BD2315" s="358"/>
      <c r="BH2315" s="302"/>
      <c r="BI2315" s="42"/>
    </row>
    <row r="2316" spans="52:61">
      <c r="AZ2316" s="302"/>
      <c r="BA2316" s="313"/>
      <c r="BB2316" s="167"/>
      <c r="BC2316" s="42"/>
      <c r="BD2316" s="358"/>
      <c r="BH2316" s="302"/>
      <c r="BI2316" s="42"/>
    </row>
    <row r="2317" spans="52:61">
      <c r="AZ2317" s="302"/>
      <c r="BA2317" s="313"/>
      <c r="BB2317" s="167"/>
      <c r="BC2317" s="42"/>
      <c r="BD2317" s="358"/>
      <c r="BH2317" s="302"/>
      <c r="BI2317" s="42"/>
    </row>
    <row r="2318" spans="52:61">
      <c r="AZ2318" s="302"/>
      <c r="BA2318" s="313"/>
      <c r="BB2318" s="167"/>
      <c r="BC2318" s="42"/>
      <c r="BD2318" s="358"/>
      <c r="BH2318" s="302"/>
      <c r="BI2318" s="42"/>
    </row>
    <row r="2319" spans="52:61">
      <c r="AZ2319" s="302"/>
      <c r="BA2319" s="313"/>
      <c r="BB2319" s="167"/>
      <c r="BC2319" s="42"/>
      <c r="BD2319" s="358"/>
      <c r="BH2319" s="302"/>
      <c r="BI2319" s="42"/>
    </row>
    <row r="2320" spans="52:61">
      <c r="AZ2320" s="302"/>
      <c r="BA2320" s="313"/>
      <c r="BB2320" s="167"/>
      <c r="BC2320" s="42"/>
      <c r="BD2320" s="358"/>
      <c r="BH2320" s="302"/>
      <c r="BI2320" s="42"/>
    </row>
    <row r="2321" spans="52:61">
      <c r="AZ2321" s="302"/>
      <c r="BA2321" s="313"/>
      <c r="BB2321" s="167"/>
      <c r="BC2321" s="42"/>
      <c r="BD2321" s="358"/>
      <c r="BH2321" s="302"/>
      <c r="BI2321" s="42"/>
    </row>
    <row r="2322" spans="52:61">
      <c r="AZ2322" s="302"/>
      <c r="BA2322" s="313"/>
      <c r="BB2322" s="167"/>
      <c r="BC2322" s="42"/>
      <c r="BD2322" s="358"/>
      <c r="BH2322" s="302"/>
      <c r="BI2322" s="42"/>
    </row>
    <row r="2323" spans="52:61">
      <c r="AZ2323" s="302"/>
      <c r="BA2323" s="313"/>
      <c r="BB2323" s="167"/>
      <c r="BC2323" s="42"/>
      <c r="BD2323" s="358"/>
      <c r="BH2323" s="302"/>
      <c r="BI2323" s="42"/>
    </row>
    <row r="2324" spans="52:61">
      <c r="AZ2324" s="302"/>
      <c r="BA2324" s="313"/>
      <c r="BB2324" s="167"/>
      <c r="BC2324" s="42"/>
      <c r="BD2324" s="358"/>
      <c r="BH2324" s="302"/>
      <c r="BI2324" s="42"/>
    </row>
    <row r="2325" spans="52:61">
      <c r="AZ2325" s="302"/>
      <c r="BA2325" s="313"/>
      <c r="BB2325" s="167"/>
      <c r="BC2325" s="42"/>
      <c r="BD2325" s="358"/>
      <c r="BH2325" s="302"/>
      <c r="BI2325" s="42"/>
    </row>
    <row r="2326" spans="52:61">
      <c r="AZ2326" s="302"/>
      <c r="BA2326" s="313"/>
      <c r="BB2326" s="167"/>
      <c r="BC2326" s="42"/>
      <c r="BD2326" s="358"/>
      <c r="BH2326" s="302"/>
      <c r="BI2326" s="42"/>
    </row>
    <row r="2327" spans="52:61">
      <c r="AZ2327" s="302"/>
      <c r="BA2327" s="313"/>
      <c r="BB2327" s="167"/>
      <c r="BC2327" s="42"/>
      <c r="BD2327" s="358"/>
      <c r="BH2327" s="302"/>
      <c r="BI2327" s="42"/>
    </row>
    <row r="2328" spans="52:61">
      <c r="AZ2328" s="302"/>
      <c r="BA2328" s="313"/>
      <c r="BB2328" s="167"/>
      <c r="BC2328" s="42"/>
      <c r="BD2328" s="358"/>
      <c r="BH2328" s="302"/>
      <c r="BI2328" s="42"/>
    </row>
    <row r="2329" spans="52:61">
      <c r="AZ2329" s="302"/>
      <c r="BA2329" s="313"/>
      <c r="BB2329" s="167"/>
      <c r="BC2329" s="42"/>
      <c r="BD2329" s="358"/>
      <c r="BH2329" s="302"/>
      <c r="BI2329" s="42"/>
    </row>
    <row r="2330" spans="52:61">
      <c r="AZ2330" s="302"/>
      <c r="BA2330" s="313"/>
      <c r="BB2330" s="167"/>
      <c r="BC2330" s="42"/>
      <c r="BD2330" s="358"/>
      <c r="BH2330" s="302"/>
      <c r="BI2330" s="42"/>
    </row>
    <row r="2331" spans="52:61">
      <c r="AZ2331" s="302"/>
      <c r="BA2331" s="313"/>
      <c r="BB2331" s="167"/>
      <c r="BC2331" s="42"/>
      <c r="BD2331" s="358"/>
      <c r="BH2331" s="302"/>
      <c r="BI2331" s="42"/>
    </row>
    <row r="2332" spans="52:61">
      <c r="AZ2332" s="302"/>
      <c r="BA2332" s="313"/>
      <c r="BB2332" s="167"/>
      <c r="BC2332" s="42"/>
      <c r="BD2332" s="358"/>
      <c r="BH2332" s="302"/>
      <c r="BI2332" s="42"/>
    </row>
    <row r="2333" spans="52:61">
      <c r="AZ2333" s="302"/>
      <c r="BA2333" s="313"/>
      <c r="BB2333" s="167"/>
      <c r="BC2333" s="42"/>
      <c r="BD2333" s="358"/>
      <c r="BH2333" s="302"/>
      <c r="BI2333" s="42"/>
    </row>
    <row r="2334" spans="52:61">
      <c r="AZ2334" s="302"/>
      <c r="BA2334" s="313"/>
      <c r="BB2334" s="167"/>
      <c r="BC2334" s="42"/>
      <c r="BD2334" s="358"/>
      <c r="BH2334" s="302"/>
      <c r="BI2334" s="42"/>
    </row>
    <row r="2335" spans="52:61">
      <c r="AZ2335" s="302"/>
      <c r="BA2335" s="313"/>
      <c r="BB2335" s="167"/>
      <c r="BC2335" s="42"/>
      <c r="BD2335" s="358"/>
      <c r="BH2335" s="302"/>
      <c r="BI2335" s="42"/>
    </row>
    <row r="2336" spans="52:61">
      <c r="AZ2336" s="302"/>
      <c r="BA2336" s="313"/>
      <c r="BB2336" s="167"/>
      <c r="BC2336" s="42"/>
      <c r="BD2336" s="358"/>
      <c r="BH2336" s="302"/>
      <c r="BI2336" s="42"/>
    </row>
    <row r="2337" spans="52:61">
      <c r="AZ2337" s="302"/>
      <c r="BA2337" s="313"/>
      <c r="BB2337" s="167"/>
      <c r="BC2337" s="42"/>
      <c r="BD2337" s="358"/>
      <c r="BH2337" s="302"/>
      <c r="BI2337" s="42"/>
    </row>
    <row r="2338" spans="52:61">
      <c r="AZ2338" s="302"/>
      <c r="BA2338" s="313"/>
      <c r="BB2338" s="167"/>
      <c r="BC2338" s="42"/>
      <c r="BD2338" s="358"/>
      <c r="BH2338" s="302"/>
      <c r="BI2338" s="42"/>
    </row>
    <row r="2339" spans="52:61">
      <c r="AZ2339" s="302"/>
      <c r="BA2339" s="313"/>
      <c r="BB2339" s="167"/>
      <c r="BC2339" s="42"/>
      <c r="BD2339" s="358"/>
      <c r="BH2339" s="302"/>
      <c r="BI2339" s="42"/>
    </row>
    <row r="2340" spans="52:61">
      <c r="AZ2340" s="302"/>
      <c r="BA2340" s="313"/>
      <c r="BB2340" s="167"/>
      <c r="BC2340" s="42"/>
      <c r="BD2340" s="358"/>
      <c r="BH2340" s="302"/>
      <c r="BI2340" s="42"/>
    </row>
    <row r="2341" spans="52:61">
      <c r="AZ2341" s="302"/>
      <c r="BA2341" s="313"/>
      <c r="BB2341" s="167"/>
      <c r="BC2341" s="42"/>
      <c r="BD2341" s="358"/>
      <c r="BH2341" s="302"/>
      <c r="BI2341" s="42"/>
    </row>
    <row r="2342" spans="52:61">
      <c r="AZ2342" s="302"/>
      <c r="BA2342" s="313"/>
      <c r="BB2342" s="167"/>
      <c r="BC2342" s="42"/>
      <c r="BD2342" s="358"/>
      <c r="BH2342" s="302"/>
      <c r="BI2342" s="42"/>
    </row>
    <row r="2343" spans="52:61">
      <c r="AZ2343" s="302"/>
      <c r="BA2343" s="313"/>
      <c r="BB2343" s="167"/>
      <c r="BC2343" s="42"/>
      <c r="BD2343" s="358"/>
      <c r="BH2343" s="302"/>
      <c r="BI2343" s="42"/>
    </row>
    <row r="2344" spans="52:61">
      <c r="AZ2344" s="302"/>
      <c r="BA2344" s="313"/>
      <c r="BB2344" s="167"/>
      <c r="BC2344" s="42"/>
      <c r="BD2344" s="358"/>
      <c r="BH2344" s="302"/>
      <c r="BI2344" s="42"/>
    </row>
    <row r="2345" spans="52:61">
      <c r="AZ2345" s="302"/>
      <c r="BA2345" s="313"/>
      <c r="BB2345" s="167"/>
      <c r="BC2345" s="42"/>
      <c r="BD2345" s="358"/>
      <c r="BH2345" s="302"/>
      <c r="BI2345" s="42"/>
    </row>
    <row r="2346" spans="52:61">
      <c r="AZ2346" s="302"/>
      <c r="BA2346" s="313"/>
      <c r="BB2346" s="167"/>
      <c r="BC2346" s="42"/>
      <c r="BD2346" s="358"/>
      <c r="BH2346" s="302"/>
      <c r="BI2346" s="42"/>
    </row>
    <row r="2347" spans="52:61">
      <c r="AZ2347" s="302"/>
      <c r="BA2347" s="313"/>
      <c r="BB2347" s="167"/>
      <c r="BC2347" s="42"/>
      <c r="BD2347" s="358"/>
      <c r="BH2347" s="302"/>
      <c r="BI2347" s="42"/>
    </row>
    <row r="2348" spans="52:61">
      <c r="AZ2348" s="302"/>
      <c r="BA2348" s="313"/>
      <c r="BB2348" s="167"/>
      <c r="BC2348" s="42"/>
      <c r="BD2348" s="358"/>
      <c r="BH2348" s="302"/>
      <c r="BI2348" s="42"/>
    </row>
    <row r="2349" spans="52:61">
      <c r="AZ2349" s="302"/>
      <c r="BA2349" s="313"/>
      <c r="BB2349" s="167"/>
      <c r="BC2349" s="42"/>
      <c r="BD2349" s="358"/>
      <c r="BH2349" s="302"/>
      <c r="BI2349" s="42"/>
    </row>
    <row r="2350" spans="52:61">
      <c r="AZ2350" s="302"/>
      <c r="BA2350" s="313"/>
      <c r="BB2350" s="167"/>
      <c r="BC2350" s="42"/>
      <c r="BD2350" s="358"/>
      <c r="BH2350" s="302"/>
      <c r="BI2350" s="42"/>
    </row>
    <row r="2351" spans="52:61">
      <c r="AZ2351" s="302"/>
      <c r="BA2351" s="313"/>
      <c r="BB2351" s="167"/>
      <c r="BC2351" s="42"/>
      <c r="BD2351" s="358"/>
      <c r="BH2351" s="302"/>
      <c r="BI2351" s="42"/>
    </row>
    <row r="2352" spans="52:61">
      <c r="AZ2352" s="302"/>
      <c r="BA2352" s="313"/>
      <c r="BB2352" s="167"/>
      <c r="BC2352" s="42"/>
      <c r="BD2352" s="358"/>
      <c r="BH2352" s="302"/>
      <c r="BI2352" s="42"/>
    </row>
    <row r="2353" spans="52:61">
      <c r="AZ2353" s="302"/>
      <c r="BA2353" s="313"/>
      <c r="BB2353" s="167"/>
      <c r="BC2353" s="42"/>
      <c r="BD2353" s="358"/>
      <c r="BH2353" s="302"/>
      <c r="BI2353" s="42"/>
    </row>
    <row r="2354" spans="52:61">
      <c r="AZ2354" s="302"/>
      <c r="BA2354" s="313"/>
      <c r="BB2354" s="167"/>
      <c r="BC2354" s="42"/>
      <c r="BD2354" s="358"/>
      <c r="BH2354" s="302"/>
      <c r="BI2354" s="42"/>
    </row>
    <row r="2355" spans="52:61">
      <c r="AZ2355" s="302"/>
      <c r="BA2355" s="313"/>
      <c r="BB2355" s="167"/>
      <c r="BC2355" s="42"/>
      <c r="BD2355" s="358"/>
      <c r="BH2355" s="302"/>
      <c r="BI2355" s="42"/>
    </row>
    <row r="2356" spans="52:61">
      <c r="AZ2356" s="302"/>
      <c r="BA2356" s="313"/>
      <c r="BB2356" s="167"/>
      <c r="BC2356" s="42"/>
      <c r="BD2356" s="358"/>
      <c r="BH2356" s="302"/>
      <c r="BI2356" s="42"/>
    </row>
    <row r="2357" spans="52:61">
      <c r="AZ2357" s="302"/>
      <c r="BA2357" s="313"/>
      <c r="BB2357" s="167"/>
      <c r="BC2357" s="42"/>
      <c r="BD2357" s="358"/>
      <c r="BH2357" s="302"/>
      <c r="BI2357" s="42"/>
    </row>
    <row r="2358" spans="52:61">
      <c r="AZ2358" s="302"/>
      <c r="BA2358" s="313"/>
      <c r="BB2358" s="167"/>
      <c r="BC2358" s="42"/>
      <c r="BD2358" s="358"/>
      <c r="BH2358" s="302"/>
      <c r="BI2358" s="42"/>
    </row>
    <row r="2359" spans="52:61">
      <c r="AZ2359" s="302"/>
      <c r="BA2359" s="313"/>
      <c r="BB2359" s="167"/>
      <c r="BC2359" s="42"/>
      <c r="BD2359" s="358"/>
      <c r="BH2359" s="302"/>
      <c r="BI2359" s="42"/>
    </row>
    <row r="2360" spans="52:61">
      <c r="AZ2360" s="302"/>
      <c r="BA2360" s="313"/>
      <c r="BB2360" s="167"/>
      <c r="BC2360" s="42"/>
      <c r="BD2360" s="358"/>
      <c r="BH2360" s="302"/>
      <c r="BI2360" s="42"/>
    </row>
    <row r="2361" spans="52:61">
      <c r="AZ2361" s="302"/>
      <c r="BA2361" s="313"/>
      <c r="BB2361" s="167"/>
      <c r="BC2361" s="42"/>
      <c r="BD2361" s="358"/>
      <c r="BH2361" s="302"/>
      <c r="BI2361" s="42"/>
    </row>
    <row r="2362" spans="52:61">
      <c r="AZ2362" s="302"/>
      <c r="BA2362" s="313"/>
      <c r="BB2362" s="167"/>
      <c r="BC2362" s="42"/>
      <c r="BD2362" s="358"/>
      <c r="BH2362" s="302"/>
      <c r="BI2362" s="42"/>
    </row>
    <row r="2363" spans="52:61">
      <c r="AZ2363" s="302"/>
      <c r="BA2363" s="313"/>
      <c r="BB2363" s="167"/>
      <c r="BC2363" s="42"/>
      <c r="BD2363" s="358"/>
      <c r="BH2363" s="302"/>
      <c r="BI2363" s="42"/>
    </row>
    <row r="2364" spans="52:61">
      <c r="AZ2364" s="302"/>
      <c r="BA2364" s="313"/>
      <c r="BB2364" s="167"/>
      <c r="BC2364" s="42"/>
      <c r="BD2364" s="358"/>
      <c r="BH2364" s="302"/>
      <c r="BI2364" s="42"/>
    </row>
    <row r="2365" spans="52:61">
      <c r="AZ2365" s="302"/>
      <c r="BA2365" s="313"/>
      <c r="BB2365" s="167"/>
      <c r="BC2365" s="42"/>
      <c r="BD2365" s="358"/>
      <c r="BH2365" s="302"/>
      <c r="BI2365" s="42"/>
    </row>
    <row r="2366" spans="52:61">
      <c r="AZ2366" s="302"/>
      <c r="BA2366" s="313"/>
      <c r="BB2366" s="167"/>
      <c r="BC2366" s="42"/>
      <c r="BD2366" s="358"/>
      <c r="BH2366" s="302"/>
      <c r="BI2366" s="42"/>
    </row>
    <row r="2367" spans="52:61">
      <c r="AZ2367" s="302"/>
      <c r="BA2367" s="313"/>
      <c r="BB2367" s="167"/>
      <c r="BC2367" s="42"/>
      <c r="BD2367" s="358"/>
      <c r="BH2367" s="302"/>
      <c r="BI2367" s="42"/>
    </row>
    <row r="2368" spans="52:61">
      <c r="AZ2368" s="302"/>
      <c r="BA2368" s="313"/>
      <c r="BB2368" s="167"/>
      <c r="BC2368" s="42"/>
      <c r="BD2368" s="358"/>
      <c r="BH2368" s="302"/>
      <c r="BI2368" s="42"/>
    </row>
    <row r="2369" spans="52:61">
      <c r="AZ2369" s="302"/>
      <c r="BA2369" s="313"/>
      <c r="BB2369" s="167"/>
      <c r="BC2369" s="42"/>
      <c r="BD2369" s="358"/>
      <c r="BH2369" s="302"/>
      <c r="BI2369" s="42"/>
    </row>
    <row r="2370" spans="52:61">
      <c r="AZ2370" s="302"/>
      <c r="BA2370" s="313"/>
      <c r="BB2370" s="167"/>
      <c r="BC2370" s="42"/>
      <c r="BD2370" s="358"/>
      <c r="BH2370" s="302"/>
      <c r="BI2370" s="42"/>
    </row>
    <row r="2371" spans="52:61">
      <c r="AZ2371" s="302"/>
      <c r="BA2371" s="313"/>
      <c r="BB2371" s="167"/>
      <c r="BC2371" s="42"/>
      <c r="BD2371" s="358"/>
      <c r="BH2371" s="302"/>
      <c r="BI2371" s="42"/>
    </row>
    <row r="2372" spans="52:61">
      <c r="AZ2372" s="302"/>
      <c r="BA2372" s="313"/>
      <c r="BB2372" s="167"/>
      <c r="BC2372" s="42"/>
      <c r="BD2372" s="358"/>
      <c r="BH2372" s="302"/>
      <c r="BI2372" s="42"/>
    </row>
    <row r="2373" spans="52:61">
      <c r="AZ2373" s="302"/>
      <c r="BA2373" s="313"/>
      <c r="BB2373" s="167"/>
      <c r="BC2373" s="42"/>
      <c r="BD2373" s="358"/>
      <c r="BH2373" s="302"/>
      <c r="BI2373" s="42"/>
    </row>
    <row r="2374" spans="52:61">
      <c r="AZ2374" s="302"/>
      <c r="BA2374" s="313"/>
      <c r="BB2374" s="167"/>
      <c r="BC2374" s="42"/>
      <c r="BD2374" s="358"/>
      <c r="BH2374" s="302"/>
      <c r="BI2374" s="42"/>
    </row>
    <row r="2375" spans="52:61">
      <c r="AZ2375" s="302"/>
      <c r="BA2375" s="313"/>
      <c r="BB2375" s="167"/>
      <c r="BC2375" s="42"/>
      <c r="BD2375" s="358"/>
      <c r="BH2375" s="302"/>
      <c r="BI2375" s="42"/>
    </row>
    <row r="2376" spans="52:61">
      <c r="AZ2376" s="302"/>
      <c r="BA2376" s="313"/>
      <c r="BB2376" s="167"/>
      <c r="BC2376" s="42"/>
      <c r="BD2376" s="358"/>
      <c r="BH2376" s="302"/>
      <c r="BI2376" s="42"/>
    </row>
    <row r="2377" spans="52:61">
      <c r="AZ2377" s="302"/>
      <c r="BA2377" s="313"/>
      <c r="BB2377" s="167"/>
      <c r="BC2377" s="42"/>
      <c r="BD2377" s="358"/>
      <c r="BH2377" s="302"/>
      <c r="BI2377" s="42"/>
    </row>
    <row r="2378" spans="52:61">
      <c r="AZ2378" s="302"/>
      <c r="BA2378" s="313"/>
      <c r="BB2378" s="167"/>
      <c r="BC2378" s="42"/>
      <c r="BD2378" s="358"/>
      <c r="BH2378" s="302"/>
      <c r="BI2378" s="42"/>
    </row>
    <row r="2379" spans="52:61">
      <c r="AZ2379" s="302"/>
      <c r="BA2379" s="313"/>
      <c r="BB2379" s="167"/>
      <c r="BC2379" s="42"/>
      <c r="BD2379" s="358"/>
      <c r="BH2379" s="302"/>
      <c r="BI2379" s="42"/>
    </row>
    <row r="2380" spans="52:61">
      <c r="AZ2380" s="302"/>
      <c r="BA2380" s="313"/>
      <c r="BB2380" s="167"/>
      <c r="BC2380" s="42"/>
      <c r="BD2380" s="358"/>
      <c r="BH2380" s="302"/>
      <c r="BI2380" s="42"/>
    </row>
    <row r="2381" spans="52:61">
      <c r="AZ2381" s="302"/>
      <c r="BA2381" s="313"/>
      <c r="BB2381" s="167"/>
      <c r="BC2381" s="42"/>
      <c r="BD2381" s="358"/>
      <c r="BH2381" s="302"/>
      <c r="BI2381" s="42"/>
    </row>
    <row r="2382" spans="52:61">
      <c r="AZ2382" s="302"/>
      <c r="BA2382" s="313"/>
      <c r="BB2382" s="167"/>
      <c r="BC2382" s="42"/>
      <c r="BD2382" s="358"/>
      <c r="BH2382" s="302"/>
      <c r="BI2382" s="42"/>
    </row>
    <row r="2383" spans="52:61">
      <c r="AZ2383" s="302"/>
      <c r="BA2383" s="313"/>
      <c r="BB2383" s="167"/>
      <c r="BC2383" s="42"/>
      <c r="BD2383" s="358"/>
      <c r="BH2383" s="302"/>
      <c r="BI2383" s="42"/>
    </row>
    <row r="2384" spans="52:61">
      <c r="AZ2384" s="302"/>
      <c r="BA2384" s="313"/>
      <c r="BB2384" s="167"/>
      <c r="BC2384" s="42"/>
      <c r="BD2384" s="358"/>
      <c r="BH2384" s="302"/>
      <c r="BI2384" s="42"/>
    </row>
    <row r="2385" spans="52:61">
      <c r="AZ2385" s="302"/>
      <c r="BA2385" s="313"/>
      <c r="BB2385" s="167"/>
      <c r="BC2385" s="42"/>
      <c r="BD2385" s="358"/>
      <c r="BH2385" s="302"/>
      <c r="BI2385" s="42"/>
    </row>
    <row r="2386" spans="52:61">
      <c r="AZ2386" s="302"/>
      <c r="BA2386" s="313"/>
      <c r="BB2386" s="167"/>
      <c r="BC2386" s="42"/>
      <c r="BD2386" s="358"/>
      <c r="BH2386" s="302"/>
      <c r="BI2386" s="42"/>
    </row>
    <row r="2387" spans="52:61">
      <c r="AZ2387" s="302"/>
      <c r="BA2387" s="313"/>
      <c r="BB2387" s="167"/>
      <c r="BC2387" s="42"/>
      <c r="BD2387" s="358"/>
      <c r="BH2387" s="302"/>
      <c r="BI2387" s="42"/>
    </row>
    <row r="2388" spans="52:61">
      <c r="AZ2388" s="302"/>
      <c r="BA2388" s="313"/>
      <c r="BB2388" s="167"/>
      <c r="BC2388" s="42"/>
      <c r="BD2388" s="358"/>
      <c r="BH2388" s="302"/>
      <c r="BI2388" s="42"/>
    </row>
    <row r="2389" spans="52:61">
      <c r="AZ2389" s="302"/>
      <c r="BA2389" s="313"/>
      <c r="BB2389" s="167"/>
      <c r="BC2389" s="42"/>
      <c r="BD2389" s="358"/>
      <c r="BH2389" s="302"/>
      <c r="BI2389" s="42"/>
    </row>
    <row r="2390" spans="52:61">
      <c r="AZ2390" s="302"/>
      <c r="BA2390" s="313"/>
      <c r="BB2390" s="167"/>
      <c r="BC2390" s="42"/>
      <c r="BD2390" s="358"/>
      <c r="BH2390" s="302"/>
      <c r="BI2390" s="42"/>
    </row>
    <row r="2391" spans="52:61">
      <c r="AZ2391" s="302"/>
      <c r="BA2391" s="313"/>
      <c r="BB2391" s="167"/>
      <c r="BC2391" s="42"/>
      <c r="BD2391" s="358"/>
      <c r="BH2391" s="302"/>
      <c r="BI2391" s="42"/>
    </row>
    <row r="2392" spans="52:61">
      <c r="AZ2392" s="302"/>
      <c r="BA2392" s="313"/>
      <c r="BB2392" s="167"/>
      <c r="BC2392" s="42"/>
      <c r="BD2392" s="358"/>
      <c r="BH2392" s="302"/>
      <c r="BI2392" s="42"/>
    </row>
    <row r="2393" spans="52:61">
      <c r="AZ2393" s="302"/>
      <c r="BA2393" s="313"/>
      <c r="BB2393" s="167"/>
      <c r="BC2393" s="42"/>
      <c r="BD2393" s="358"/>
      <c r="BH2393" s="302"/>
      <c r="BI2393" s="42"/>
    </row>
    <row r="2394" spans="52:61">
      <c r="AZ2394" s="302"/>
      <c r="BA2394" s="313"/>
      <c r="BB2394" s="167"/>
      <c r="BC2394" s="42"/>
      <c r="BD2394" s="358"/>
      <c r="BH2394" s="302"/>
      <c r="BI2394" s="42"/>
    </row>
    <row r="2395" spans="52:61">
      <c r="AZ2395" s="302"/>
      <c r="BA2395" s="313"/>
      <c r="BB2395" s="167"/>
      <c r="BC2395" s="42"/>
      <c r="BD2395" s="358"/>
      <c r="BH2395" s="302"/>
      <c r="BI2395" s="42"/>
    </row>
    <row r="2396" spans="52:61">
      <c r="AZ2396" s="302"/>
      <c r="BA2396" s="313"/>
      <c r="BB2396" s="167"/>
      <c r="BC2396" s="42"/>
      <c r="BD2396" s="358"/>
      <c r="BH2396" s="302"/>
      <c r="BI2396" s="42"/>
    </row>
    <row r="2397" spans="52:61">
      <c r="AZ2397" s="302"/>
      <c r="BA2397" s="313"/>
      <c r="BB2397" s="167"/>
      <c r="BC2397" s="42"/>
      <c r="BD2397" s="358"/>
      <c r="BH2397" s="302"/>
      <c r="BI2397" s="42"/>
    </row>
    <row r="2398" spans="52:61">
      <c r="AZ2398" s="302"/>
      <c r="BA2398" s="313"/>
      <c r="BB2398" s="167"/>
      <c r="BC2398" s="42"/>
      <c r="BD2398" s="358"/>
      <c r="BH2398" s="302"/>
      <c r="BI2398" s="42"/>
    </row>
    <row r="2399" spans="52:61">
      <c r="AZ2399" s="302"/>
      <c r="BA2399" s="313"/>
      <c r="BB2399" s="167"/>
      <c r="BC2399" s="42"/>
      <c r="BD2399" s="358"/>
      <c r="BH2399" s="302"/>
      <c r="BI2399" s="42"/>
    </row>
    <row r="2400" spans="52:61">
      <c r="AZ2400" s="302"/>
      <c r="BA2400" s="313"/>
      <c r="BB2400" s="167"/>
      <c r="BC2400" s="42"/>
      <c r="BD2400" s="358"/>
      <c r="BH2400" s="302"/>
      <c r="BI2400" s="42"/>
    </row>
    <row r="2401" spans="52:61">
      <c r="AZ2401" s="302"/>
      <c r="BA2401" s="313"/>
      <c r="BB2401" s="167"/>
      <c r="BC2401" s="42"/>
      <c r="BD2401" s="358"/>
      <c r="BH2401" s="302"/>
      <c r="BI2401" s="42"/>
    </row>
    <row r="2402" spans="52:61">
      <c r="AZ2402" s="302"/>
      <c r="BA2402" s="313"/>
      <c r="BB2402" s="167"/>
      <c r="BC2402" s="42"/>
      <c r="BD2402" s="358"/>
      <c r="BH2402" s="302"/>
      <c r="BI2402" s="42"/>
    </row>
    <row r="2403" spans="52:61">
      <c r="AZ2403" s="302"/>
      <c r="BA2403" s="313"/>
      <c r="BB2403" s="167"/>
      <c r="BC2403" s="42"/>
      <c r="BD2403" s="358"/>
      <c r="BH2403" s="302"/>
      <c r="BI2403" s="42"/>
    </row>
    <row r="2404" spans="52:61">
      <c r="AZ2404" s="302"/>
      <c r="BA2404" s="313"/>
      <c r="BB2404" s="167"/>
      <c r="BC2404" s="42"/>
      <c r="BD2404" s="358"/>
      <c r="BH2404" s="302"/>
      <c r="BI2404" s="42"/>
    </row>
    <row r="2405" spans="52:61">
      <c r="AZ2405" s="302"/>
      <c r="BA2405" s="313"/>
      <c r="BB2405" s="167"/>
      <c r="BC2405" s="42"/>
      <c r="BD2405" s="358"/>
      <c r="BH2405" s="302"/>
      <c r="BI2405" s="42"/>
    </row>
    <row r="2406" spans="52:61">
      <c r="AZ2406" s="302"/>
      <c r="BA2406" s="313"/>
      <c r="BB2406" s="167"/>
      <c r="BC2406" s="42"/>
      <c r="BD2406" s="358"/>
      <c r="BH2406" s="302"/>
      <c r="BI2406" s="42"/>
    </row>
    <row r="2407" spans="52:61">
      <c r="AZ2407" s="302"/>
      <c r="BA2407" s="313"/>
      <c r="BB2407" s="167"/>
      <c r="BC2407" s="42"/>
      <c r="BD2407" s="358"/>
      <c r="BH2407" s="302"/>
      <c r="BI2407" s="42"/>
    </row>
    <row r="2408" spans="52:61">
      <c r="AZ2408" s="302"/>
      <c r="BA2408" s="313"/>
      <c r="BB2408" s="167"/>
      <c r="BC2408" s="42"/>
      <c r="BD2408" s="358"/>
      <c r="BH2408" s="302"/>
      <c r="BI2408" s="42"/>
    </row>
    <row r="2409" spans="52:61">
      <c r="AZ2409" s="302"/>
      <c r="BA2409" s="313"/>
      <c r="BB2409" s="167"/>
      <c r="BC2409" s="42"/>
      <c r="BD2409" s="358"/>
      <c r="BH2409" s="302"/>
      <c r="BI2409" s="42"/>
    </row>
    <row r="2410" spans="52:61">
      <c r="AZ2410" s="302"/>
      <c r="BA2410" s="313"/>
      <c r="BB2410" s="167"/>
      <c r="BC2410" s="42"/>
      <c r="BD2410" s="358"/>
      <c r="BH2410" s="302"/>
      <c r="BI2410" s="42"/>
    </row>
    <row r="2411" spans="52:61">
      <c r="AZ2411" s="302"/>
      <c r="BA2411" s="313"/>
      <c r="BB2411" s="167"/>
      <c r="BC2411" s="42"/>
      <c r="BD2411" s="358"/>
      <c r="BH2411" s="302"/>
      <c r="BI2411" s="42"/>
    </row>
    <row r="2412" spans="52:61">
      <c r="AZ2412" s="302"/>
      <c r="BA2412" s="313"/>
      <c r="BB2412" s="167"/>
      <c r="BC2412" s="42"/>
      <c r="BD2412" s="358"/>
      <c r="BH2412" s="302"/>
      <c r="BI2412" s="42"/>
    </row>
    <row r="2413" spans="52:61">
      <c r="AZ2413" s="302"/>
      <c r="BA2413" s="313"/>
      <c r="BB2413" s="167"/>
      <c r="BC2413" s="42"/>
      <c r="BD2413" s="358"/>
      <c r="BH2413" s="302"/>
      <c r="BI2413" s="42"/>
    </row>
    <row r="2414" spans="52:61">
      <c r="AZ2414" s="302"/>
      <c r="BA2414" s="313"/>
      <c r="BB2414" s="167"/>
      <c r="BC2414" s="42"/>
      <c r="BD2414" s="358"/>
      <c r="BH2414" s="302"/>
      <c r="BI2414" s="42"/>
    </row>
    <row r="2415" spans="52:61">
      <c r="AZ2415" s="302"/>
      <c r="BA2415" s="313"/>
      <c r="BB2415" s="167"/>
      <c r="BC2415" s="42"/>
      <c r="BD2415" s="358"/>
      <c r="BH2415" s="302"/>
      <c r="BI2415" s="42"/>
    </row>
    <row r="2416" spans="52:61">
      <c r="AZ2416" s="302"/>
      <c r="BA2416" s="313"/>
      <c r="BB2416" s="167"/>
      <c r="BC2416" s="42"/>
      <c r="BD2416" s="358"/>
      <c r="BH2416" s="302"/>
      <c r="BI2416" s="42"/>
    </row>
    <row r="2417" spans="52:61">
      <c r="AZ2417" s="302"/>
      <c r="BA2417" s="313"/>
      <c r="BB2417" s="167"/>
      <c r="BC2417" s="42"/>
      <c r="BD2417" s="358"/>
      <c r="BH2417" s="302"/>
      <c r="BI2417" s="42"/>
    </row>
    <row r="2418" spans="52:61">
      <c r="AZ2418" s="302"/>
      <c r="BA2418" s="313"/>
      <c r="BB2418" s="167"/>
      <c r="BC2418" s="42"/>
      <c r="BD2418" s="358"/>
      <c r="BH2418" s="302"/>
      <c r="BI2418" s="42"/>
    </row>
    <row r="2419" spans="52:61">
      <c r="AZ2419" s="302"/>
      <c r="BA2419" s="313"/>
      <c r="BB2419" s="167"/>
      <c r="BC2419" s="42"/>
      <c r="BD2419" s="358"/>
      <c r="BH2419" s="302"/>
      <c r="BI2419" s="42"/>
    </row>
    <row r="2420" spans="52:61">
      <c r="AZ2420" s="302"/>
      <c r="BA2420" s="313"/>
      <c r="BB2420" s="167"/>
      <c r="BC2420" s="42"/>
      <c r="BD2420" s="358"/>
      <c r="BH2420" s="302"/>
      <c r="BI2420" s="42"/>
    </row>
    <row r="2421" spans="52:61">
      <c r="AZ2421" s="302"/>
      <c r="BA2421" s="313"/>
      <c r="BB2421" s="167"/>
      <c r="BC2421" s="42"/>
      <c r="BD2421" s="358"/>
      <c r="BH2421" s="302"/>
      <c r="BI2421" s="42"/>
    </row>
    <row r="2422" spans="52:61">
      <c r="AZ2422" s="302"/>
      <c r="BA2422" s="313"/>
      <c r="BB2422" s="167"/>
      <c r="BC2422" s="42"/>
      <c r="BD2422" s="358"/>
      <c r="BH2422" s="302"/>
      <c r="BI2422" s="42"/>
    </row>
    <row r="2423" spans="52:61">
      <c r="AZ2423" s="302"/>
      <c r="BA2423" s="313"/>
      <c r="BB2423" s="167"/>
      <c r="BC2423" s="42"/>
      <c r="BD2423" s="358"/>
      <c r="BH2423" s="302"/>
      <c r="BI2423" s="42"/>
    </row>
    <row r="2424" spans="52:61">
      <c r="AZ2424" s="302"/>
      <c r="BA2424" s="313"/>
      <c r="BB2424" s="167"/>
      <c r="BC2424" s="42"/>
      <c r="BD2424" s="358"/>
      <c r="BH2424" s="302"/>
      <c r="BI2424" s="42"/>
    </row>
    <row r="2425" spans="52:61">
      <c r="AZ2425" s="302"/>
      <c r="BA2425" s="313"/>
      <c r="BB2425" s="167"/>
      <c r="BC2425" s="42"/>
      <c r="BD2425" s="358"/>
      <c r="BH2425" s="302"/>
      <c r="BI2425" s="42"/>
    </row>
    <row r="2426" spans="52:61">
      <c r="AZ2426" s="302"/>
      <c r="BA2426" s="313"/>
      <c r="BB2426" s="167"/>
      <c r="BC2426" s="42"/>
      <c r="BD2426" s="358"/>
      <c r="BH2426" s="302"/>
      <c r="BI2426" s="42"/>
    </row>
    <row r="2427" spans="52:61">
      <c r="AZ2427" s="302"/>
      <c r="BA2427" s="313"/>
      <c r="BB2427" s="167"/>
      <c r="BC2427" s="42"/>
      <c r="BD2427" s="358"/>
      <c r="BH2427" s="302"/>
      <c r="BI2427" s="42"/>
    </row>
    <row r="2428" spans="52:61">
      <c r="AZ2428" s="302"/>
      <c r="BA2428" s="313"/>
      <c r="BB2428" s="167"/>
      <c r="BC2428" s="42"/>
      <c r="BD2428" s="358"/>
      <c r="BH2428" s="302"/>
      <c r="BI2428" s="42"/>
    </row>
    <row r="2429" spans="52:61">
      <c r="AZ2429" s="302"/>
      <c r="BA2429" s="313"/>
      <c r="BB2429" s="167"/>
      <c r="BC2429" s="42"/>
      <c r="BD2429" s="358"/>
      <c r="BH2429" s="302"/>
      <c r="BI2429" s="42"/>
    </row>
    <row r="2430" spans="52:61">
      <c r="AZ2430" s="302"/>
      <c r="BA2430" s="313"/>
      <c r="BB2430" s="167"/>
      <c r="BC2430" s="42"/>
      <c r="BD2430" s="358"/>
      <c r="BH2430" s="302"/>
      <c r="BI2430" s="42"/>
    </row>
    <row r="2431" spans="52:61">
      <c r="AZ2431" s="302"/>
      <c r="BA2431" s="313"/>
      <c r="BB2431" s="167"/>
      <c r="BC2431" s="42"/>
      <c r="BD2431" s="358"/>
      <c r="BH2431" s="302"/>
      <c r="BI2431" s="42"/>
    </row>
    <row r="2432" spans="52:61">
      <c r="AZ2432" s="302"/>
      <c r="BA2432" s="313"/>
      <c r="BB2432" s="167"/>
      <c r="BC2432" s="42"/>
      <c r="BD2432" s="358"/>
      <c r="BH2432" s="302"/>
      <c r="BI2432" s="42"/>
    </row>
    <row r="2433" spans="52:61">
      <c r="AZ2433" s="302"/>
      <c r="BA2433" s="313"/>
      <c r="BB2433" s="167"/>
      <c r="BC2433" s="42"/>
      <c r="BD2433" s="358"/>
      <c r="BH2433" s="302"/>
      <c r="BI2433" s="42"/>
    </row>
    <row r="2434" spans="52:61">
      <c r="AZ2434" s="302"/>
      <c r="BA2434" s="313"/>
      <c r="BB2434" s="167"/>
      <c r="BC2434" s="42"/>
      <c r="BD2434" s="358"/>
      <c r="BH2434" s="302"/>
      <c r="BI2434" s="42"/>
    </row>
    <row r="2435" spans="52:61">
      <c r="AZ2435" s="302"/>
      <c r="BA2435" s="313"/>
      <c r="BB2435" s="167"/>
      <c r="BC2435" s="42"/>
      <c r="BD2435" s="358"/>
      <c r="BH2435" s="302"/>
      <c r="BI2435" s="42"/>
    </row>
    <row r="2436" spans="52:61">
      <c r="AZ2436" s="302"/>
      <c r="BA2436" s="313"/>
      <c r="BB2436" s="167"/>
      <c r="BC2436" s="42"/>
      <c r="BD2436" s="358"/>
      <c r="BH2436" s="302"/>
      <c r="BI2436" s="42"/>
    </row>
    <row r="2437" spans="52:61">
      <c r="AZ2437" s="302"/>
      <c r="BA2437" s="313"/>
      <c r="BB2437" s="167"/>
      <c r="BC2437" s="42"/>
      <c r="BD2437" s="358"/>
      <c r="BH2437" s="302"/>
      <c r="BI2437" s="42"/>
    </row>
    <row r="2438" spans="52:61">
      <c r="AZ2438" s="302"/>
      <c r="BA2438" s="313"/>
      <c r="BB2438" s="167"/>
      <c r="BC2438" s="42"/>
      <c r="BD2438" s="358"/>
      <c r="BH2438" s="302"/>
      <c r="BI2438" s="42"/>
    </row>
    <row r="2439" spans="52:61">
      <c r="AZ2439" s="302"/>
      <c r="BA2439" s="313"/>
      <c r="BB2439" s="167"/>
      <c r="BC2439" s="42"/>
      <c r="BD2439" s="358"/>
      <c r="BH2439" s="302"/>
      <c r="BI2439" s="42"/>
    </row>
    <row r="2440" spans="52:61">
      <c r="AZ2440" s="302"/>
      <c r="BA2440" s="313"/>
      <c r="BB2440" s="167"/>
      <c r="BC2440" s="42"/>
      <c r="BD2440" s="358"/>
      <c r="BH2440" s="302"/>
      <c r="BI2440" s="42"/>
    </row>
    <row r="2441" spans="52:61">
      <c r="AZ2441" s="302"/>
      <c r="BA2441" s="313"/>
      <c r="BB2441" s="167"/>
      <c r="BC2441" s="42"/>
      <c r="BD2441" s="358"/>
      <c r="BH2441" s="302"/>
      <c r="BI2441" s="42"/>
    </row>
    <row r="2442" spans="52:61">
      <c r="AZ2442" s="302"/>
      <c r="BA2442" s="313"/>
      <c r="BB2442" s="167"/>
      <c r="BC2442" s="42"/>
      <c r="BD2442" s="358"/>
      <c r="BH2442" s="302"/>
      <c r="BI2442" s="42"/>
    </row>
    <row r="2443" spans="52:61">
      <c r="AZ2443" s="302"/>
      <c r="BA2443" s="313"/>
      <c r="BB2443" s="167"/>
      <c r="BC2443" s="42"/>
      <c r="BD2443" s="358"/>
      <c r="BH2443" s="302"/>
      <c r="BI2443" s="42"/>
    </row>
    <row r="2444" spans="52:61">
      <c r="AZ2444" s="302"/>
      <c r="BA2444" s="313"/>
      <c r="BB2444" s="167"/>
      <c r="BC2444" s="42"/>
      <c r="BD2444" s="358"/>
      <c r="BH2444" s="302"/>
      <c r="BI2444" s="42"/>
    </row>
    <row r="2445" spans="52:61">
      <c r="AZ2445" s="302"/>
      <c r="BA2445" s="313"/>
      <c r="BB2445" s="167"/>
      <c r="BC2445" s="42"/>
      <c r="BD2445" s="358"/>
      <c r="BH2445" s="302"/>
      <c r="BI2445" s="42"/>
    </row>
    <row r="2446" spans="52:61">
      <c r="AZ2446" s="302"/>
      <c r="BA2446" s="313"/>
      <c r="BB2446" s="167"/>
      <c r="BC2446" s="42"/>
      <c r="BD2446" s="358"/>
      <c r="BH2446" s="302"/>
      <c r="BI2446" s="42"/>
    </row>
    <row r="2447" spans="52:61">
      <c r="AZ2447" s="302"/>
      <c r="BA2447" s="313"/>
      <c r="BB2447" s="167"/>
      <c r="BC2447" s="42"/>
      <c r="BD2447" s="358"/>
      <c r="BH2447" s="302"/>
      <c r="BI2447" s="42"/>
    </row>
    <row r="2448" spans="52:61">
      <c r="AZ2448" s="302"/>
      <c r="BA2448" s="313"/>
      <c r="BB2448" s="167"/>
      <c r="BC2448" s="42"/>
      <c r="BD2448" s="358"/>
      <c r="BH2448" s="302"/>
      <c r="BI2448" s="42"/>
    </row>
    <row r="2449" spans="52:61">
      <c r="AZ2449" s="302"/>
      <c r="BA2449" s="313"/>
      <c r="BB2449" s="167"/>
      <c r="BC2449" s="42"/>
      <c r="BD2449" s="358"/>
      <c r="BH2449" s="302"/>
      <c r="BI2449" s="42"/>
    </row>
    <row r="2450" spans="52:61">
      <c r="AZ2450" s="302"/>
      <c r="BA2450" s="313"/>
      <c r="BB2450" s="167"/>
      <c r="BC2450" s="42"/>
      <c r="BD2450" s="358"/>
      <c r="BH2450" s="302"/>
      <c r="BI2450" s="42"/>
    </row>
    <row r="2451" spans="52:61">
      <c r="AZ2451" s="302"/>
      <c r="BA2451" s="313"/>
      <c r="BB2451" s="167"/>
      <c r="BC2451" s="42"/>
      <c r="BD2451" s="358"/>
      <c r="BH2451" s="302"/>
      <c r="BI2451" s="42"/>
    </row>
    <row r="2452" spans="52:61">
      <c r="AZ2452" s="302"/>
      <c r="BA2452" s="313"/>
      <c r="BB2452" s="167"/>
      <c r="BC2452" s="42"/>
      <c r="BD2452" s="358"/>
      <c r="BH2452" s="302"/>
      <c r="BI2452" s="42"/>
    </row>
    <row r="2453" spans="52:61">
      <c r="AZ2453" s="302"/>
      <c r="BA2453" s="313"/>
      <c r="BB2453" s="167"/>
      <c r="BC2453" s="42"/>
      <c r="BD2453" s="358"/>
      <c r="BH2453" s="302"/>
      <c r="BI2453" s="42"/>
    </row>
    <row r="2454" spans="52:61">
      <c r="AZ2454" s="302"/>
      <c r="BA2454" s="313"/>
      <c r="BB2454" s="167"/>
      <c r="BC2454" s="42"/>
      <c r="BD2454" s="358"/>
      <c r="BH2454" s="302"/>
      <c r="BI2454" s="42"/>
    </row>
    <row r="2455" spans="52:61">
      <c r="AZ2455" s="302"/>
      <c r="BA2455" s="313"/>
      <c r="BB2455" s="167"/>
      <c r="BC2455" s="42"/>
      <c r="BD2455" s="358"/>
      <c r="BH2455" s="302"/>
      <c r="BI2455" s="42"/>
    </row>
    <row r="2456" spans="52:61">
      <c r="AZ2456" s="302"/>
      <c r="BA2456" s="313"/>
      <c r="BB2456" s="167"/>
      <c r="BC2456" s="42"/>
      <c r="BD2456" s="358"/>
      <c r="BH2456" s="302"/>
      <c r="BI2456" s="42"/>
    </row>
    <row r="2457" spans="52:61">
      <c r="AZ2457" s="302"/>
      <c r="BA2457" s="313"/>
      <c r="BB2457" s="167"/>
      <c r="BC2457" s="42"/>
      <c r="BD2457" s="358"/>
      <c r="BH2457" s="302"/>
      <c r="BI2457" s="42"/>
    </row>
    <row r="2458" spans="52:61">
      <c r="AZ2458" s="302"/>
      <c r="BA2458" s="313"/>
      <c r="BB2458" s="167"/>
      <c r="BC2458" s="42"/>
      <c r="BD2458" s="358"/>
      <c r="BH2458" s="302"/>
      <c r="BI2458" s="42"/>
    </row>
    <row r="2459" spans="52:61">
      <c r="AZ2459" s="302"/>
      <c r="BA2459" s="313"/>
      <c r="BB2459" s="167"/>
      <c r="BC2459" s="42"/>
      <c r="BD2459" s="358"/>
      <c r="BH2459" s="302"/>
      <c r="BI2459" s="42"/>
    </row>
    <row r="2460" spans="52:61">
      <c r="AZ2460" s="302"/>
      <c r="BA2460" s="313"/>
      <c r="BB2460" s="167"/>
      <c r="BC2460" s="42"/>
      <c r="BD2460" s="358"/>
      <c r="BH2460" s="302"/>
      <c r="BI2460" s="42"/>
    </row>
    <row r="2461" spans="52:61">
      <c r="AZ2461" s="302"/>
      <c r="BA2461" s="313"/>
      <c r="BB2461" s="167"/>
      <c r="BC2461" s="42"/>
      <c r="BD2461" s="358"/>
      <c r="BH2461" s="302"/>
      <c r="BI2461" s="42"/>
    </row>
    <row r="2462" spans="52:61">
      <c r="AZ2462" s="302"/>
      <c r="BA2462" s="313"/>
      <c r="BB2462" s="167"/>
      <c r="BC2462" s="42"/>
      <c r="BD2462" s="358"/>
      <c r="BH2462" s="302"/>
      <c r="BI2462" s="42"/>
    </row>
    <row r="2463" spans="52:61">
      <c r="AZ2463" s="302"/>
      <c r="BA2463" s="313"/>
      <c r="BB2463" s="167"/>
      <c r="BC2463" s="42"/>
      <c r="BD2463" s="358"/>
      <c r="BH2463" s="302"/>
      <c r="BI2463" s="42"/>
    </row>
    <row r="2464" spans="52:61">
      <c r="AZ2464" s="302"/>
      <c r="BA2464" s="313"/>
      <c r="BB2464" s="167"/>
      <c r="BC2464" s="42"/>
      <c r="BD2464" s="358"/>
      <c r="BH2464" s="302"/>
      <c r="BI2464" s="42"/>
    </row>
    <row r="2465" spans="52:61">
      <c r="AZ2465" s="302"/>
      <c r="BA2465" s="313"/>
      <c r="BB2465" s="167"/>
      <c r="BC2465" s="42"/>
      <c r="BD2465" s="358"/>
      <c r="BH2465" s="302"/>
      <c r="BI2465" s="42"/>
    </row>
    <row r="2466" spans="52:61">
      <c r="AZ2466" s="302"/>
      <c r="BA2466" s="313"/>
      <c r="BB2466" s="167"/>
      <c r="BC2466" s="42"/>
      <c r="BD2466" s="358"/>
      <c r="BH2466" s="302"/>
      <c r="BI2466" s="42"/>
    </row>
    <row r="2467" spans="52:61">
      <c r="AZ2467" s="302"/>
      <c r="BA2467" s="313"/>
      <c r="BB2467" s="167"/>
      <c r="BC2467" s="42"/>
      <c r="BD2467" s="358"/>
      <c r="BH2467" s="302"/>
      <c r="BI2467" s="42"/>
    </row>
    <row r="2468" spans="52:61">
      <c r="AZ2468" s="302"/>
      <c r="BA2468" s="313"/>
      <c r="BB2468" s="167"/>
      <c r="BC2468" s="42"/>
      <c r="BD2468" s="358"/>
      <c r="BH2468" s="302"/>
      <c r="BI2468" s="42"/>
    </row>
    <row r="2469" spans="52:61">
      <c r="AZ2469" s="302"/>
      <c r="BA2469" s="313"/>
      <c r="BB2469" s="167"/>
      <c r="BC2469" s="42"/>
      <c r="BD2469" s="358"/>
      <c r="BH2469" s="302"/>
      <c r="BI2469" s="42"/>
    </row>
    <row r="2470" spans="52:61">
      <c r="AZ2470" s="302"/>
      <c r="BA2470" s="313"/>
      <c r="BB2470" s="167"/>
      <c r="BC2470" s="42"/>
      <c r="BD2470" s="358"/>
      <c r="BH2470" s="302"/>
      <c r="BI2470" s="42"/>
    </row>
    <row r="2471" spans="52:61">
      <c r="AZ2471" s="302"/>
      <c r="BA2471" s="313"/>
      <c r="BB2471" s="167"/>
      <c r="BC2471" s="42"/>
      <c r="BD2471" s="358"/>
      <c r="BH2471" s="302"/>
      <c r="BI2471" s="42"/>
    </row>
    <row r="2472" spans="52:61">
      <c r="AZ2472" s="302"/>
      <c r="BA2472" s="313"/>
      <c r="BB2472" s="167"/>
      <c r="BC2472" s="42"/>
      <c r="BD2472" s="358"/>
      <c r="BH2472" s="302"/>
      <c r="BI2472" s="42"/>
    </row>
    <row r="2473" spans="52:61">
      <c r="AZ2473" s="302"/>
      <c r="BA2473" s="313"/>
      <c r="BB2473" s="167"/>
      <c r="BC2473" s="42"/>
      <c r="BD2473" s="358"/>
      <c r="BH2473" s="302"/>
      <c r="BI2473" s="42"/>
    </row>
    <row r="2474" spans="52:61">
      <c r="AZ2474" s="302"/>
      <c r="BA2474" s="313"/>
      <c r="BB2474" s="167"/>
      <c r="BC2474" s="42"/>
      <c r="BD2474" s="358"/>
      <c r="BH2474" s="302"/>
      <c r="BI2474" s="42"/>
    </row>
    <row r="2475" spans="52:61">
      <c r="AZ2475" s="302"/>
      <c r="BA2475" s="313"/>
      <c r="BB2475" s="167"/>
      <c r="BC2475" s="42"/>
      <c r="BD2475" s="358"/>
      <c r="BH2475" s="302"/>
      <c r="BI2475" s="42"/>
    </row>
    <row r="2476" spans="52:61">
      <c r="AZ2476" s="302"/>
      <c r="BA2476" s="313"/>
      <c r="BB2476" s="167"/>
      <c r="BC2476" s="42"/>
      <c r="BD2476" s="358"/>
      <c r="BH2476" s="302"/>
      <c r="BI2476" s="42"/>
    </row>
    <row r="2477" spans="52:61">
      <c r="AZ2477" s="302"/>
      <c r="BA2477" s="313"/>
      <c r="BB2477" s="167"/>
      <c r="BC2477" s="42"/>
      <c r="BD2477" s="358"/>
      <c r="BH2477" s="302"/>
      <c r="BI2477" s="42"/>
    </row>
    <row r="2478" spans="52:61">
      <c r="AZ2478" s="302"/>
      <c r="BA2478" s="313"/>
      <c r="BB2478" s="167"/>
      <c r="BC2478" s="42"/>
      <c r="BD2478" s="358"/>
      <c r="BH2478" s="302"/>
      <c r="BI2478" s="42"/>
    </row>
    <row r="2479" spans="52:61">
      <c r="AZ2479" s="302"/>
      <c r="BA2479" s="313"/>
      <c r="BB2479" s="167"/>
      <c r="BC2479" s="42"/>
      <c r="BD2479" s="358"/>
      <c r="BH2479" s="302"/>
      <c r="BI2479" s="42"/>
    </row>
    <row r="2480" spans="52:61">
      <c r="AZ2480" s="302"/>
      <c r="BA2480" s="313"/>
      <c r="BB2480" s="167"/>
      <c r="BC2480" s="42"/>
      <c r="BD2480" s="358"/>
      <c r="BH2480" s="302"/>
      <c r="BI2480" s="42"/>
    </row>
    <row r="2481" spans="52:61">
      <c r="AZ2481" s="302"/>
      <c r="BA2481" s="313"/>
      <c r="BB2481" s="167"/>
      <c r="BC2481" s="42"/>
      <c r="BD2481" s="358"/>
      <c r="BH2481" s="302"/>
      <c r="BI2481" s="42"/>
    </row>
    <row r="2482" spans="52:61">
      <c r="AZ2482" s="302"/>
      <c r="BA2482" s="313"/>
      <c r="BB2482" s="167"/>
      <c r="BC2482" s="42"/>
      <c r="BD2482" s="358"/>
      <c r="BH2482" s="302"/>
      <c r="BI2482" s="42"/>
    </row>
    <row r="2483" spans="52:61">
      <c r="AZ2483" s="302"/>
      <c r="BA2483" s="313"/>
      <c r="BB2483" s="167"/>
      <c r="BC2483" s="42"/>
      <c r="BD2483" s="358"/>
      <c r="BH2483" s="302"/>
      <c r="BI2483" s="42"/>
    </row>
    <row r="2484" spans="52:61">
      <c r="AZ2484" s="302"/>
      <c r="BA2484" s="313"/>
      <c r="BB2484" s="167"/>
      <c r="BC2484" s="42"/>
      <c r="BD2484" s="358"/>
      <c r="BH2484" s="302"/>
      <c r="BI2484" s="42"/>
    </row>
    <row r="2485" spans="52:61">
      <c r="AZ2485" s="302"/>
      <c r="BA2485" s="313"/>
      <c r="BB2485" s="167"/>
      <c r="BC2485" s="42"/>
      <c r="BD2485" s="358"/>
      <c r="BH2485" s="302"/>
      <c r="BI2485" s="42"/>
    </row>
    <row r="2486" spans="52:61">
      <c r="AZ2486" s="302"/>
      <c r="BA2486" s="313"/>
      <c r="BB2486" s="167"/>
      <c r="BC2486" s="42"/>
      <c r="BD2486" s="358"/>
      <c r="BH2486" s="302"/>
      <c r="BI2486" s="42"/>
    </row>
    <row r="2487" spans="52:61">
      <c r="AZ2487" s="302"/>
      <c r="BA2487" s="313"/>
      <c r="BB2487" s="167"/>
      <c r="BC2487" s="42"/>
      <c r="BD2487" s="358"/>
      <c r="BH2487" s="302"/>
      <c r="BI2487" s="42"/>
    </row>
    <row r="2488" spans="52:61">
      <c r="AZ2488" s="302"/>
      <c r="BA2488" s="313"/>
      <c r="BB2488" s="167"/>
      <c r="BC2488" s="42"/>
      <c r="BD2488" s="358"/>
      <c r="BH2488" s="302"/>
      <c r="BI2488" s="42"/>
    </row>
    <row r="2489" spans="52:61">
      <c r="AZ2489" s="302"/>
      <c r="BA2489" s="313"/>
      <c r="BB2489" s="167"/>
      <c r="BC2489" s="42"/>
      <c r="BD2489" s="358"/>
      <c r="BH2489" s="302"/>
      <c r="BI2489" s="42"/>
    </row>
    <row r="2490" spans="52:61">
      <c r="AZ2490" s="302"/>
      <c r="BA2490" s="313"/>
      <c r="BB2490" s="167"/>
      <c r="BC2490" s="42"/>
      <c r="BD2490" s="358"/>
      <c r="BH2490" s="302"/>
      <c r="BI2490" s="42"/>
    </row>
    <row r="2491" spans="52:61">
      <c r="AZ2491" s="302"/>
      <c r="BA2491" s="313"/>
      <c r="BB2491" s="167"/>
      <c r="BC2491" s="42"/>
      <c r="BD2491" s="358"/>
      <c r="BH2491" s="302"/>
      <c r="BI2491" s="42"/>
    </row>
    <row r="2492" spans="52:61">
      <c r="AZ2492" s="302"/>
      <c r="BA2492" s="313"/>
      <c r="BB2492" s="167"/>
      <c r="BC2492" s="42"/>
      <c r="BD2492" s="358"/>
      <c r="BH2492" s="302"/>
      <c r="BI2492" s="42"/>
    </row>
    <row r="2493" spans="52:61">
      <c r="AZ2493" s="302"/>
      <c r="BA2493" s="313"/>
      <c r="BB2493" s="167"/>
      <c r="BC2493" s="42"/>
      <c r="BD2493" s="358"/>
      <c r="BH2493" s="302"/>
      <c r="BI2493" s="42"/>
    </row>
    <row r="2494" spans="52:61">
      <c r="AZ2494" s="302"/>
      <c r="BA2494" s="313"/>
      <c r="BB2494" s="167"/>
      <c r="BC2494" s="42"/>
      <c r="BD2494" s="358"/>
      <c r="BH2494" s="302"/>
      <c r="BI2494" s="42"/>
    </row>
    <row r="2495" spans="52:61">
      <c r="AZ2495" s="302"/>
      <c r="BA2495" s="313"/>
      <c r="BB2495" s="167"/>
      <c r="BC2495" s="42"/>
      <c r="BD2495" s="358"/>
      <c r="BH2495" s="302"/>
      <c r="BI2495" s="42"/>
    </row>
    <row r="2496" spans="52:61">
      <c r="AZ2496" s="302"/>
      <c r="BA2496" s="313"/>
      <c r="BB2496" s="167"/>
      <c r="BC2496" s="42"/>
      <c r="BD2496" s="358"/>
      <c r="BH2496" s="302"/>
      <c r="BI2496" s="42"/>
    </row>
    <row r="2497" spans="52:61">
      <c r="AZ2497" s="302"/>
      <c r="BA2497" s="313"/>
      <c r="BB2497" s="167"/>
      <c r="BC2497" s="42"/>
      <c r="BD2497" s="358"/>
      <c r="BH2497" s="302"/>
      <c r="BI2497" s="42"/>
    </row>
    <row r="2498" spans="52:61">
      <c r="AZ2498" s="302"/>
      <c r="BA2498" s="313"/>
      <c r="BB2498" s="167"/>
      <c r="BC2498" s="42"/>
      <c r="BD2498" s="358"/>
      <c r="BH2498" s="302"/>
      <c r="BI2498" s="42"/>
    </row>
    <row r="2499" spans="52:61">
      <c r="AZ2499" s="302"/>
      <c r="BA2499" s="313"/>
      <c r="BB2499" s="167"/>
      <c r="BC2499" s="42"/>
      <c r="BD2499" s="358"/>
      <c r="BH2499" s="302"/>
      <c r="BI2499" s="42"/>
    </row>
    <row r="2500" spans="52:61">
      <c r="AZ2500" s="302"/>
      <c r="BA2500" s="313"/>
      <c r="BB2500" s="167"/>
      <c r="BC2500" s="42"/>
      <c r="BD2500" s="358"/>
      <c r="BH2500" s="302"/>
      <c r="BI2500" s="42"/>
    </row>
    <row r="2501" spans="52:61">
      <c r="AZ2501" s="302"/>
      <c r="BA2501" s="313"/>
      <c r="BB2501" s="167"/>
      <c r="BC2501" s="42"/>
      <c r="BD2501" s="358"/>
      <c r="BH2501" s="302"/>
      <c r="BI2501" s="42"/>
    </row>
    <row r="2502" spans="52:61">
      <c r="AZ2502" s="302"/>
      <c r="BA2502" s="313"/>
      <c r="BB2502" s="167"/>
      <c r="BC2502" s="42"/>
      <c r="BD2502" s="358"/>
      <c r="BH2502" s="302"/>
      <c r="BI2502" s="42"/>
    </row>
    <row r="2503" spans="52:61">
      <c r="AZ2503" s="302"/>
      <c r="BA2503" s="313"/>
      <c r="BB2503" s="167"/>
      <c r="BC2503" s="42"/>
      <c r="BD2503" s="358"/>
      <c r="BH2503" s="302"/>
      <c r="BI2503" s="42"/>
    </row>
    <row r="2504" spans="52:61">
      <c r="AZ2504" s="302"/>
      <c r="BA2504" s="313"/>
      <c r="BB2504" s="167"/>
      <c r="BC2504" s="42"/>
      <c r="BD2504" s="358"/>
      <c r="BH2504" s="302"/>
      <c r="BI2504" s="42"/>
    </row>
    <row r="2505" spans="52:61">
      <c r="AZ2505" s="302"/>
      <c r="BA2505" s="313"/>
      <c r="BB2505" s="167"/>
      <c r="BC2505" s="42"/>
      <c r="BD2505" s="358"/>
      <c r="BH2505" s="302"/>
      <c r="BI2505" s="42"/>
    </row>
    <row r="2506" spans="52:61">
      <c r="AZ2506" s="302"/>
      <c r="BA2506" s="313"/>
      <c r="BB2506" s="167"/>
      <c r="BC2506" s="42"/>
      <c r="BD2506" s="358"/>
      <c r="BH2506" s="302"/>
      <c r="BI2506" s="42"/>
    </row>
    <row r="2507" spans="52:61">
      <c r="AZ2507" s="302"/>
      <c r="BA2507" s="313"/>
      <c r="BB2507" s="167"/>
      <c r="BC2507" s="42"/>
      <c r="BD2507" s="358"/>
      <c r="BH2507" s="302"/>
      <c r="BI2507" s="42"/>
    </row>
    <row r="2508" spans="52:61">
      <c r="AZ2508" s="302"/>
      <c r="BA2508" s="313"/>
      <c r="BB2508" s="167"/>
      <c r="BC2508" s="42"/>
      <c r="BD2508" s="358"/>
      <c r="BH2508" s="302"/>
      <c r="BI2508" s="42"/>
    </row>
    <row r="2509" spans="52:61">
      <c r="AZ2509" s="302"/>
      <c r="BA2509" s="313"/>
      <c r="BB2509" s="167"/>
      <c r="BC2509" s="42"/>
      <c r="BD2509" s="358"/>
      <c r="BH2509" s="302"/>
      <c r="BI2509" s="42"/>
    </row>
    <row r="2510" spans="52:61">
      <c r="AZ2510" s="302"/>
      <c r="BA2510" s="313"/>
      <c r="BB2510" s="167"/>
      <c r="BC2510" s="42"/>
      <c r="BD2510" s="358"/>
      <c r="BH2510" s="302"/>
      <c r="BI2510" s="42"/>
    </row>
    <row r="2511" spans="52:61">
      <c r="AZ2511" s="302"/>
      <c r="BA2511" s="313"/>
      <c r="BB2511" s="167"/>
      <c r="BC2511" s="42"/>
      <c r="BD2511" s="358"/>
      <c r="BH2511" s="302"/>
      <c r="BI2511" s="42"/>
    </row>
    <row r="2512" spans="52:61">
      <c r="AZ2512" s="302"/>
      <c r="BA2512" s="313"/>
      <c r="BB2512" s="167"/>
      <c r="BC2512" s="42"/>
      <c r="BD2512" s="358"/>
      <c r="BH2512" s="302"/>
      <c r="BI2512" s="42"/>
    </row>
    <row r="2513" spans="52:61">
      <c r="AZ2513" s="302"/>
      <c r="BA2513" s="313"/>
      <c r="BB2513" s="167"/>
      <c r="BC2513" s="42"/>
      <c r="BD2513" s="358"/>
      <c r="BH2513" s="302"/>
      <c r="BI2513" s="42"/>
    </row>
    <row r="2514" spans="52:61">
      <c r="AZ2514" s="302"/>
      <c r="BA2514" s="313"/>
      <c r="BB2514" s="167"/>
      <c r="BC2514" s="42"/>
      <c r="BD2514" s="358"/>
      <c r="BH2514" s="302"/>
      <c r="BI2514" s="42"/>
    </row>
    <row r="2515" spans="52:61">
      <c r="AZ2515" s="302"/>
      <c r="BA2515" s="313"/>
      <c r="BB2515" s="167"/>
      <c r="BC2515" s="42"/>
      <c r="BD2515" s="358"/>
      <c r="BH2515" s="302"/>
      <c r="BI2515" s="42"/>
    </row>
    <row r="2516" spans="52:61">
      <c r="AZ2516" s="302"/>
      <c r="BA2516" s="313"/>
      <c r="BB2516" s="167"/>
      <c r="BC2516" s="42"/>
      <c r="BD2516" s="358"/>
      <c r="BH2516" s="302"/>
      <c r="BI2516" s="42"/>
    </row>
    <row r="2517" spans="52:61">
      <c r="AZ2517" s="302"/>
      <c r="BA2517" s="313"/>
      <c r="BB2517" s="167"/>
      <c r="BC2517" s="42"/>
      <c r="BD2517" s="358"/>
      <c r="BH2517" s="302"/>
      <c r="BI2517" s="42"/>
    </row>
    <row r="2518" spans="52:61">
      <c r="AZ2518" s="302"/>
      <c r="BA2518" s="313"/>
      <c r="BB2518" s="167"/>
      <c r="BC2518" s="42"/>
      <c r="BD2518" s="358"/>
      <c r="BH2518" s="302"/>
      <c r="BI2518" s="42"/>
    </row>
    <row r="2519" spans="52:61">
      <c r="AZ2519" s="302"/>
      <c r="BA2519" s="313"/>
      <c r="BB2519" s="167"/>
      <c r="BC2519" s="42"/>
      <c r="BD2519" s="358"/>
      <c r="BH2519" s="302"/>
      <c r="BI2519" s="42"/>
    </row>
    <row r="2520" spans="52:61">
      <c r="AZ2520" s="302"/>
      <c r="BA2520" s="313"/>
      <c r="BB2520" s="167"/>
      <c r="BC2520" s="42"/>
      <c r="BD2520" s="358"/>
      <c r="BH2520" s="302"/>
      <c r="BI2520" s="42"/>
    </row>
    <row r="2521" spans="52:61">
      <c r="AZ2521" s="302"/>
      <c r="BA2521" s="313"/>
      <c r="BB2521" s="167"/>
      <c r="BC2521" s="42"/>
      <c r="BD2521" s="358"/>
      <c r="BH2521" s="302"/>
      <c r="BI2521" s="42"/>
    </row>
    <row r="2522" spans="52:61">
      <c r="AZ2522" s="302"/>
      <c r="BA2522" s="313"/>
      <c r="BB2522" s="167"/>
      <c r="BC2522" s="42"/>
      <c r="BD2522" s="358"/>
      <c r="BH2522" s="302"/>
      <c r="BI2522" s="42"/>
    </row>
    <row r="2523" spans="52:61">
      <c r="AZ2523" s="302"/>
      <c r="BA2523" s="313"/>
      <c r="BB2523" s="167"/>
      <c r="BC2523" s="42"/>
      <c r="BD2523" s="358"/>
      <c r="BH2523" s="302"/>
      <c r="BI2523" s="42"/>
    </row>
    <row r="2524" spans="52:61">
      <c r="AZ2524" s="302"/>
      <c r="BA2524" s="313"/>
      <c r="BB2524" s="167"/>
      <c r="BC2524" s="42"/>
      <c r="BD2524" s="358"/>
      <c r="BH2524" s="302"/>
      <c r="BI2524" s="42"/>
    </row>
    <row r="2525" spans="52:61">
      <c r="AZ2525" s="302"/>
      <c r="BA2525" s="313"/>
      <c r="BB2525" s="167"/>
      <c r="BC2525" s="42"/>
      <c r="BD2525" s="358"/>
      <c r="BH2525" s="302"/>
      <c r="BI2525" s="42"/>
    </row>
    <row r="2526" spans="52:61">
      <c r="AZ2526" s="302"/>
      <c r="BA2526" s="313"/>
      <c r="BB2526" s="167"/>
      <c r="BC2526" s="42"/>
      <c r="BD2526" s="358"/>
      <c r="BH2526" s="302"/>
      <c r="BI2526" s="42"/>
    </row>
    <row r="2527" spans="52:61">
      <c r="AZ2527" s="302"/>
      <c r="BA2527" s="313"/>
      <c r="BB2527" s="167"/>
      <c r="BC2527" s="42"/>
      <c r="BD2527" s="358"/>
      <c r="BH2527" s="302"/>
      <c r="BI2527" s="42"/>
    </row>
    <row r="2528" spans="52:61">
      <c r="AZ2528" s="302"/>
      <c r="BA2528" s="313"/>
      <c r="BB2528" s="167"/>
      <c r="BC2528" s="42"/>
      <c r="BD2528" s="358"/>
      <c r="BH2528" s="302"/>
      <c r="BI2528" s="42"/>
    </row>
    <row r="2529" spans="52:61">
      <c r="AZ2529" s="302"/>
      <c r="BA2529" s="313"/>
      <c r="BB2529" s="167"/>
      <c r="BC2529" s="42"/>
      <c r="BD2529" s="358"/>
      <c r="BH2529" s="302"/>
      <c r="BI2529" s="42"/>
    </row>
    <row r="2530" spans="52:61">
      <c r="AZ2530" s="302"/>
      <c r="BA2530" s="313"/>
      <c r="BB2530" s="167"/>
      <c r="BC2530" s="42"/>
      <c r="BD2530" s="358"/>
      <c r="BH2530" s="302"/>
      <c r="BI2530" s="42"/>
    </row>
    <row r="2531" spans="52:61">
      <c r="AZ2531" s="302"/>
      <c r="BA2531" s="313"/>
      <c r="BB2531" s="167"/>
      <c r="BC2531" s="42"/>
      <c r="BD2531" s="358"/>
      <c r="BH2531" s="302"/>
      <c r="BI2531" s="42"/>
    </row>
    <row r="2532" spans="52:61">
      <c r="AZ2532" s="302"/>
      <c r="BA2532" s="313"/>
      <c r="BB2532" s="167"/>
      <c r="BC2532" s="42"/>
      <c r="BD2532" s="358"/>
      <c r="BH2532" s="302"/>
      <c r="BI2532" s="42"/>
    </row>
    <row r="2533" spans="52:61">
      <c r="AZ2533" s="302"/>
      <c r="BA2533" s="313"/>
      <c r="BB2533" s="167"/>
      <c r="BC2533" s="42"/>
      <c r="BD2533" s="358"/>
      <c r="BH2533" s="302"/>
      <c r="BI2533" s="42"/>
    </row>
    <row r="2534" spans="52:61">
      <c r="AZ2534" s="302"/>
      <c r="BA2534" s="313"/>
      <c r="BB2534" s="167"/>
      <c r="BC2534" s="42"/>
      <c r="BD2534" s="358"/>
      <c r="BH2534" s="302"/>
      <c r="BI2534" s="42"/>
    </row>
    <row r="2535" spans="52:61">
      <c r="AZ2535" s="302"/>
      <c r="BA2535" s="313"/>
      <c r="BB2535" s="167"/>
      <c r="BC2535" s="42"/>
      <c r="BD2535" s="358"/>
      <c r="BH2535" s="302"/>
      <c r="BI2535" s="42"/>
    </row>
    <row r="2536" spans="52:61">
      <c r="AZ2536" s="302"/>
      <c r="BA2536" s="313"/>
      <c r="BB2536" s="167"/>
      <c r="BC2536" s="42"/>
      <c r="BD2536" s="358"/>
      <c r="BH2536" s="302"/>
      <c r="BI2536" s="42"/>
    </row>
    <row r="2537" spans="52:61">
      <c r="AZ2537" s="302"/>
      <c r="BA2537" s="313"/>
      <c r="BB2537" s="167"/>
      <c r="BC2537" s="42"/>
      <c r="BD2537" s="358"/>
      <c r="BH2537" s="302"/>
      <c r="BI2537" s="42"/>
    </row>
    <row r="2538" spans="52:61">
      <c r="AZ2538" s="302"/>
      <c r="BA2538" s="313"/>
      <c r="BB2538" s="167"/>
      <c r="BC2538" s="42"/>
      <c r="BD2538" s="358"/>
      <c r="BH2538" s="302"/>
      <c r="BI2538" s="42"/>
    </row>
    <row r="2539" spans="52:61">
      <c r="AZ2539" s="302"/>
      <c r="BA2539" s="313"/>
      <c r="BB2539" s="167"/>
      <c r="BC2539" s="42"/>
      <c r="BD2539" s="358"/>
      <c r="BH2539" s="302"/>
      <c r="BI2539" s="42"/>
    </row>
    <row r="2540" spans="52:61">
      <c r="AZ2540" s="302"/>
      <c r="BA2540" s="313"/>
      <c r="BB2540" s="167"/>
      <c r="BC2540" s="42"/>
      <c r="BD2540" s="358"/>
      <c r="BH2540" s="302"/>
      <c r="BI2540" s="42"/>
    </row>
    <row r="2541" spans="52:61">
      <c r="AZ2541" s="302"/>
      <c r="BA2541" s="313"/>
      <c r="BB2541" s="167"/>
      <c r="BC2541" s="42"/>
      <c r="BD2541" s="358"/>
      <c r="BH2541" s="302"/>
      <c r="BI2541" s="42"/>
    </row>
    <row r="2542" spans="52:61">
      <c r="AZ2542" s="302"/>
      <c r="BA2542" s="313"/>
      <c r="BB2542" s="167"/>
      <c r="BC2542" s="42"/>
      <c r="BD2542" s="358"/>
      <c r="BH2542" s="302"/>
      <c r="BI2542" s="42"/>
    </row>
    <row r="2543" spans="52:61">
      <c r="AZ2543" s="302"/>
      <c r="BA2543" s="313"/>
      <c r="BB2543" s="167"/>
      <c r="BC2543" s="42"/>
      <c r="BD2543" s="358"/>
      <c r="BH2543" s="302"/>
      <c r="BI2543" s="42"/>
    </row>
    <row r="2544" spans="52:61">
      <c r="AZ2544" s="302"/>
      <c r="BA2544" s="313"/>
      <c r="BB2544" s="167"/>
      <c r="BC2544" s="42"/>
      <c r="BD2544" s="358"/>
      <c r="BH2544" s="302"/>
      <c r="BI2544" s="42"/>
    </row>
    <row r="2545" spans="52:61">
      <c r="AZ2545" s="302"/>
      <c r="BA2545" s="313"/>
      <c r="BB2545" s="167"/>
      <c r="BC2545" s="42"/>
      <c r="BD2545" s="358"/>
      <c r="BH2545" s="302"/>
      <c r="BI2545" s="42"/>
    </row>
    <row r="2546" spans="52:61">
      <c r="AZ2546" s="302"/>
      <c r="BA2546" s="313"/>
      <c r="BB2546" s="167"/>
      <c r="BC2546" s="42"/>
      <c r="BD2546" s="358"/>
      <c r="BH2546" s="302"/>
      <c r="BI2546" s="42"/>
    </row>
    <row r="2547" spans="52:61">
      <c r="AZ2547" s="302"/>
      <c r="BA2547" s="313"/>
      <c r="BB2547" s="167"/>
      <c r="BC2547" s="42"/>
      <c r="BD2547" s="358"/>
      <c r="BH2547" s="302"/>
      <c r="BI2547" s="42"/>
    </row>
    <row r="2548" spans="52:61">
      <c r="AZ2548" s="302"/>
      <c r="BA2548" s="313"/>
      <c r="BB2548" s="167"/>
      <c r="BC2548" s="42"/>
      <c r="BD2548" s="358"/>
      <c r="BH2548" s="302"/>
      <c r="BI2548" s="42"/>
    </row>
    <row r="2549" spans="52:61">
      <c r="AZ2549" s="302"/>
      <c r="BA2549" s="313"/>
      <c r="BB2549" s="167"/>
      <c r="BC2549" s="42"/>
      <c r="BD2549" s="358"/>
      <c r="BH2549" s="302"/>
      <c r="BI2549" s="42"/>
    </row>
    <row r="2550" spans="52:61">
      <c r="AZ2550" s="302"/>
      <c r="BA2550" s="313"/>
      <c r="BB2550" s="167"/>
      <c r="BC2550" s="42"/>
      <c r="BD2550" s="358"/>
      <c r="BH2550" s="302"/>
      <c r="BI2550" s="42"/>
    </row>
    <row r="2551" spans="52:61">
      <c r="AZ2551" s="302"/>
      <c r="BA2551" s="313"/>
      <c r="BB2551" s="167"/>
      <c r="BC2551" s="42"/>
      <c r="BD2551" s="358"/>
      <c r="BH2551" s="302"/>
      <c r="BI2551" s="42"/>
    </row>
    <row r="2552" spans="52:61">
      <c r="AZ2552" s="302"/>
      <c r="BA2552" s="313"/>
      <c r="BB2552" s="167"/>
      <c r="BC2552" s="42"/>
      <c r="BD2552" s="358"/>
      <c r="BH2552" s="302"/>
      <c r="BI2552" s="42"/>
    </row>
    <row r="2553" spans="52:61">
      <c r="AZ2553" s="302"/>
      <c r="BA2553" s="313"/>
      <c r="BB2553" s="167"/>
      <c r="BC2553" s="42"/>
      <c r="BD2553" s="358"/>
      <c r="BH2553" s="302"/>
      <c r="BI2553" s="42"/>
    </row>
    <row r="2554" spans="52:61">
      <c r="AZ2554" s="302"/>
      <c r="BA2554" s="313"/>
      <c r="BB2554" s="167"/>
      <c r="BC2554" s="42"/>
      <c r="BD2554" s="358"/>
      <c r="BH2554" s="302"/>
      <c r="BI2554" s="42"/>
    </row>
    <row r="2555" spans="52:61">
      <c r="AZ2555" s="302"/>
      <c r="BA2555" s="313"/>
      <c r="BB2555" s="167"/>
      <c r="BC2555" s="42"/>
      <c r="BD2555" s="358"/>
      <c r="BH2555" s="302"/>
      <c r="BI2555" s="42"/>
    </row>
    <row r="2556" spans="52:61">
      <c r="AZ2556" s="302"/>
      <c r="BA2556" s="313"/>
      <c r="BB2556" s="167"/>
      <c r="BC2556" s="42"/>
      <c r="BD2556" s="358"/>
      <c r="BH2556" s="302"/>
      <c r="BI2556" s="42"/>
    </row>
    <row r="2557" spans="52:61">
      <c r="AZ2557" s="302"/>
      <c r="BA2557" s="313"/>
      <c r="BB2557" s="167"/>
      <c r="BC2557" s="42"/>
      <c r="BD2557" s="358"/>
      <c r="BH2557" s="302"/>
      <c r="BI2557" s="42"/>
    </row>
    <row r="2558" spans="52:61">
      <c r="AZ2558" s="302"/>
      <c r="BA2558" s="313"/>
      <c r="BB2558" s="167"/>
      <c r="BC2558" s="42"/>
      <c r="BD2558" s="358"/>
      <c r="BH2558" s="302"/>
      <c r="BI2558" s="42"/>
    </row>
    <row r="2559" spans="52:61">
      <c r="AZ2559" s="302"/>
      <c r="BA2559" s="313"/>
      <c r="BB2559" s="167"/>
      <c r="BC2559" s="42"/>
      <c r="BD2559" s="358"/>
      <c r="BH2559" s="302"/>
      <c r="BI2559" s="42"/>
    </row>
    <row r="2560" spans="52:61">
      <c r="AZ2560" s="302"/>
      <c r="BA2560" s="313"/>
      <c r="BB2560" s="167"/>
      <c r="BC2560" s="42"/>
      <c r="BD2560" s="358"/>
      <c r="BH2560" s="302"/>
      <c r="BI2560" s="42"/>
    </row>
    <row r="2561" spans="52:61">
      <c r="AZ2561" s="302"/>
      <c r="BA2561" s="313"/>
      <c r="BB2561" s="167"/>
      <c r="BC2561" s="42"/>
      <c r="BD2561" s="358"/>
      <c r="BH2561" s="302"/>
      <c r="BI2561" s="42"/>
    </row>
    <row r="2562" spans="52:61">
      <c r="AZ2562" s="302"/>
      <c r="BA2562" s="313"/>
      <c r="BB2562" s="167"/>
      <c r="BC2562" s="42"/>
      <c r="BD2562" s="358"/>
      <c r="BH2562" s="302"/>
      <c r="BI2562" s="42"/>
    </row>
    <row r="2563" spans="52:61">
      <c r="AZ2563" s="302"/>
      <c r="BA2563" s="313"/>
      <c r="BB2563" s="167"/>
      <c r="BC2563" s="42"/>
      <c r="BD2563" s="358"/>
      <c r="BH2563" s="302"/>
      <c r="BI2563" s="42"/>
    </row>
    <row r="2564" spans="52:61">
      <c r="AZ2564" s="302"/>
      <c r="BA2564" s="313"/>
      <c r="BB2564" s="167"/>
      <c r="BC2564" s="42"/>
      <c r="BD2564" s="358"/>
      <c r="BH2564" s="302"/>
      <c r="BI2564" s="42"/>
    </row>
    <row r="2565" spans="52:61">
      <c r="AZ2565" s="302"/>
      <c r="BA2565" s="313"/>
      <c r="BB2565" s="167"/>
      <c r="BC2565" s="42"/>
      <c r="BD2565" s="358"/>
      <c r="BH2565" s="302"/>
      <c r="BI2565" s="42"/>
    </row>
    <row r="2566" spans="52:61">
      <c r="AZ2566" s="302"/>
      <c r="BA2566" s="313"/>
      <c r="BB2566" s="167"/>
      <c r="BC2566" s="42"/>
      <c r="BD2566" s="358"/>
      <c r="BH2566" s="302"/>
      <c r="BI2566" s="42"/>
    </row>
    <row r="2567" spans="52:61">
      <c r="AZ2567" s="302"/>
      <c r="BA2567" s="313"/>
      <c r="BB2567" s="167"/>
      <c r="BC2567" s="42"/>
      <c r="BD2567" s="358"/>
      <c r="BH2567" s="302"/>
      <c r="BI2567" s="42"/>
    </row>
    <row r="2568" spans="52:61">
      <c r="AZ2568" s="302"/>
      <c r="BA2568" s="313"/>
      <c r="BB2568" s="167"/>
      <c r="BC2568" s="42"/>
      <c r="BD2568" s="358"/>
      <c r="BH2568" s="302"/>
      <c r="BI2568" s="42"/>
    </row>
    <row r="2569" spans="52:61">
      <c r="AZ2569" s="302"/>
      <c r="BA2569" s="313"/>
      <c r="BB2569" s="167"/>
      <c r="BC2569" s="42"/>
      <c r="BD2569" s="358"/>
      <c r="BH2569" s="302"/>
      <c r="BI2569" s="42"/>
    </row>
    <row r="2570" spans="52:61">
      <c r="AZ2570" s="302"/>
      <c r="BA2570" s="313"/>
      <c r="BB2570" s="167"/>
      <c r="BC2570" s="42"/>
      <c r="BD2570" s="358"/>
      <c r="BH2570" s="302"/>
      <c r="BI2570" s="42"/>
    </row>
    <row r="2571" spans="52:61">
      <c r="AZ2571" s="302"/>
      <c r="BA2571" s="313"/>
      <c r="BB2571" s="167"/>
      <c r="BC2571" s="42"/>
      <c r="BD2571" s="358"/>
      <c r="BH2571" s="302"/>
      <c r="BI2571" s="42"/>
    </row>
    <row r="2572" spans="52:61">
      <c r="AZ2572" s="302"/>
      <c r="BA2572" s="313"/>
      <c r="BB2572" s="167"/>
      <c r="BC2572" s="42"/>
      <c r="BD2572" s="358"/>
      <c r="BH2572" s="302"/>
      <c r="BI2572" s="42"/>
    </row>
    <row r="2573" spans="52:61">
      <c r="AZ2573" s="302"/>
      <c r="BA2573" s="313"/>
      <c r="BB2573" s="167"/>
      <c r="BC2573" s="42"/>
      <c r="BD2573" s="358"/>
      <c r="BH2573" s="302"/>
      <c r="BI2573" s="42"/>
    </row>
    <row r="2574" spans="52:61">
      <c r="AZ2574" s="302"/>
      <c r="BA2574" s="313"/>
      <c r="BB2574" s="167"/>
      <c r="BC2574" s="42"/>
      <c r="BD2574" s="358"/>
      <c r="BH2574" s="302"/>
      <c r="BI2574" s="42"/>
    </row>
    <row r="2575" spans="52:61">
      <c r="AZ2575" s="302"/>
      <c r="BA2575" s="313"/>
      <c r="BB2575" s="167"/>
      <c r="BC2575" s="42"/>
      <c r="BD2575" s="358"/>
      <c r="BH2575" s="302"/>
      <c r="BI2575" s="42"/>
    </row>
    <row r="2576" spans="52:61">
      <c r="AZ2576" s="302"/>
      <c r="BA2576" s="313"/>
      <c r="BB2576" s="167"/>
      <c r="BC2576" s="42"/>
      <c r="BD2576" s="358"/>
      <c r="BH2576" s="302"/>
      <c r="BI2576" s="42"/>
    </row>
    <row r="2577" spans="52:61">
      <c r="AZ2577" s="302"/>
      <c r="BA2577" s="313"/>
      <c r="BB2577" s="167"/>
      <c r="BC2577" s="42"/>
      <c r="BD2577" s="358"/>
      <c r="BH2577" s="302"/>
      <c r="BI2577" s="42"/>
    </row>
    <row r="2578" spans="52:61">
      <c r="AZ2578" s="302"/>
      <c r="BA2578" s="313"/>
      <c r="BB2578" s="167"/>
      <c r="BC2578" s="42"/>
      <c r="BD2578" s="358"/>
      <c r="BH2578" s="302"/>
      <c r="BI2578" s="42"/>
    </row>
    <row r="2579" spans="52:61">
      <c r="AZ2579" s="302"/>
      <c r="BA2579" s="313"/>
      <c r="BB2579" s="167"/>
      <c r="BC2579" s="42"/>
      <c r="BD2579" s="358"/>
      <c r="BH2579" s="302"/>
      <c r="BI2579" s="42"/>
    </row>
    <row r="2580" spans="52:61">
      <c r="AZ2580" s="302"/>
      <c r="BA2580" s="313"/>
      <c r="BB2580" s="167"/>
      <c r="BC2580" s="42"/>
      <c r="BD2580" s="358"/>
      <c r="BH2580" s="302"/>
      <c r="BI2580" s="42"/>
    </row>
    <row r="2581" spans="52:61">
      <c r="AZ2581" s="302"/>
      <c r="BA2581" s="313"/>
      <c r="BB2581" s="167"/>
      <c r="BC2581" s="42"/>
      <c r="BD2581" s="358"/>
      <c r="BH2581" s="302"/>
      <c r="BI2581" s="42"/>
    </row>
    <row r="2582" spans="52:61">
      <c r="AZ2582" s="302"/>
      <c r="BA2582" s="313"/>
      <c r="BB2582" s="167"/>
      <c r="BC2582" s="42"/>
      <c r="BD2582" s="358"/>
      <c r="BH2582" s="302"/>
      <c r="BI2582" s="42"/>
    </row>
    <row r="2583" spans="52:61">
      <c r="AZ2583" s="302"/>
      <c r="BA2583" s="313"/>
      <c r="BB2583" s="167"/>
      <c r="BC2583" s="42"/>
      <c r="BD2583" s="358"/>
      <c r="BH2583" s="302"/>
      <c r="BI2583" s="42"/>
    </row>
    <row r="2584" spans="52:61">
      <c r="AZ2584" s="302"/>
      <c r="BA2584" s="313"/>
      <c r="BB2584" s="167"/>
      <c r="BC2584" s="42"/>
      <c r="BD2584" s="358"/>
      <c r="BH2584" s="302"/>
      <c r="BI2584" s="42"/>
    </row>
    <row r="2585" spans="52:61">
      <c r="AZ2585" s="302"/>
      <c r="BA2585" s="313"/>
      <c r="BB2585" s="167"/>
      <c r="BC2585" s="42"/>
      <c r="BD2585" s="358"/>
      <c r="BH2585" s="302"/>
      <c r="BI2585" s="42"/>
    </row>
    <row r="2586" spans="52:61">
      <c r="AZ2586" s="302"/>
      <c r="BA2586" s="313"/>
      <c r="BB2586" s="167"/>
      <c r="BC2586" s="42"/>
      <c r="BD2586" s="358"/>
      <c r="BH2586" s="302"/>
      <c r="BI2586" s="42"/>
    </row>
    <row r="2587" spans="52:61">
      <c r="AZ2587" s="302"/>
      <c r="BA2587" s="313"/>
      <c r="BB2587" s="167"/>
      <c r="BC2587" s="42"/>
      <c r="BD2587" s="358"/>
      <c r="BH2587" s="302"/>
      <c r="BI2587" s="42"/>
    </row>
    <row r="2588" spans="52:61">
      <c r="AZ2588" s="302"/>
      <c r="BA2588" s="313"/>
      <c r="BB2588" s="167"/>
      <c r="BC2588" s="42"/>
      <c r="BD2588" s="358"/>
      <c r="BH2588" s="302"/>
      <c r="BI2588" s="42"/>
    </row>
    <row r="2589" spans="52:61">
      <c r="AZ2589" s="302"/>
      <c r="BA2589" s="313"/>
      <c r="BB2589" s="167"/>
      <c r="BC2589" s="42"/>
      <c r="BD2589" s="358"/>
      <c r="BH2589" s="302"/>
      <c r="BI2589" s="42"/>
    </row>
    <row r="2590" spans="52:61">
      <c r="AZ2590" s="302"/>
      <c r="BA2590" s="313"/>
      <c r="BB2590" s="167"/>
      <c r="BC2590" s="42"/>
      <c r="BD2590" s="358"/>
      <c r="BH2590" s="302"/>
      <c r="BI2590" s="42"/>
    </row>
    <row r="2591" spans="52:61">
      <c r="AZ2591" s="302"/>
      <c r="BA2591" s="313"/>
      <c r="BB2591" s="167"/>
      <c r="BC2591" s="42"/>
      <c r="BD2591" s="358"/>
      <c r="BH2591" s="302"/>
      <c r="BI2591" s="42"/>
    </row>
    <row r="2592" spans="52:61">
      <c r="AZ2592" s="302"/>
      <c r="BA2592" s="313"/>
      <c r="BB2592" s="167"/>
      <c r="BC2592" s="42"/>
      <c r="BD2592" s="358"/>
      <c r="BH2592" s="302"/>
      <c r="BI2592" s="42"/>
    </row>
    <row r="2593" spans="52:61">
      <c r="AZ2593" s="302"/>
      <c r="BA2593" s="313"/>
      <c r="BB2593" s="167"/>
      <c r="BC2593" s="42"/>
      <c r="BD2593" s="358"/>
      <c r="BH2593" s="302"/>
      <c r="BI2593" s="42"/>
    </row>
    <row r="2594" spans="52:61">
      <c r="AZ2594" s="302"/>
      <c r="BA2594" s="313"/>
      <c r="BB2594" s="167"/>
      <c r="BC2594" s="42"/>
      <c r="BD2594" s="358"/>
      <c r="BH2594" s="302"/>
      <c r="BI2594" s="42"/>
    </row>
    <row r="2595" spans="52:61">
      <c r="AZ2595" s="302"/>
      <c r="BA2595" s="313"/>
      <c r="BB2595" s="167"/>
      <c r="BC2595" s="42"/>
      <c r="BD2595" s="358"/>
      <c r="BH2595" s="302"/>
      <c r="BI2595" s="42"/>
    </row>
    <row r="2596" spans="52:61">
      <c r="AZ2596" s="302"/>
      <c r="BA2596" s="313"/>
      <c r="BB2596" s="167"/>
      <c r="BC2596" s="42"/>
      <c r="BD2596" s="358"/>
      <c r="BH2596" s="302"/>
      <c r="BI2596" s="42"/>
    </row>
    <row r="2597" spans="52:61">
      <c r="AZ2597" s="302"/>
      <c r="BA2597" s="313"/>
      <c r="BB2597" s="167"/>
      <c r="BC2597" s="42"/>
      <c r="BD2597" s="358"/>
      <c r="BH2597" s="302"/>
      <c r="BI2597" s="42"/>
    </row>
    <row r="2598" spans="52:61">
      <c r="AZ2598" s="302"/>
      <c r="BA2598" s="313"/>
      <c r="BB2598" s="167"/>
      <c r="BC2598" s="42"/>
      <c r="BD2598" s="358"/>
      <c r="BH2598" s="302"/>
      <c r="BI2598" s="42"/>
    </row>
    <row r="2599" spans="52:61">
      <c r="AZ2599" s="302"/>
      <c r="BA2599" s="313"/>
      <c r="BB2599" s="167"/>
      <c r="BC2599" s="42"/>
      <c r="BD2599" s="358"/>
      <c r="BH2599" s="302"/>
      <c r="BI2599" s="42"/>
    </row>
    <row r="2600" spans="52:61">
      <c r="AZ2600" s="302"/>
      <c r="BA2600" s="313"/>
      <c r="BB2600" s="167"/>
      <c r="BC2600" s="42"/>
      <c r="BD2600" s="358"/>
      <c r="BH2600" s="302"/>
      <c r="BI2600" s="42"/>
    </row>
    <row r="2601" spans="52:61">
      <c r="AZ2601" s="302"/>
      <c r="BA2601" s="313"/>
      <c r="BB2601" s="167"/>
      <c r="BC2601" s="42"/>
      <c r="BD2601" s="358"/>
      <c r="BH2601" s="302"/>
      <c r="BI2601" s="42"/>
    </row>
    <row r="2602" spans="52:61">
      <c r="AZ2602" s="302"/>
      <c r="BA2602" s="313"/>
      <c r="BB2602" s="167"/>
      <c r="BC2602" s="42"/>
      <c r="BD2602" s="358"/>
      <c r="BH2602" s="302"/>
      <c r="BI2602" s="42"/>
    </row>
    <row r="2603" spans="52:61">
      <c r="AZ2603" s="302"/>
      <c r="BA2603" s="313"/>
      <c r="BB2603" s="167"/>
      <c r="BC2603" s="42"/>
      <c r="BD2603" s="358"/>
      <c r="BH2603" s="302"/>
      <c r="BI2603" s="42"/>
    </row>
    <row r="2604" spans="52:61">
      <c r="AZ2604" s="302"/>
      <c r="BA2604" s="313"/>
      <c r="BB2604" s="167"/>
      <c r="BC2604" s="42"/>
      <c r="BD2604" s="358"/>
      <c r="BH2604" s="302"/>
      <c r="BI2604" s="42"/>
    </row>
    <row r="2605" spans="52:61">
      <c r="AZ2605" s="302"/>
      <c r="BA2605" s="313"/>
      <c r="BB2605" s="167"/>
      <c r="BC2605" s="42"/>
      <c r="BD2605" s="358"/>
      <c r="BH2605" s="302"/>
      <c r="BI2605" s="42"/>
    </row>
    <row r="2606" spans="52:61">
      <c r="AZ2606" s="302"/>
      <c r="BA2606" s="313"/>
      <c r="BB2606" s="167"/>
      <c r="BC2606" s="42"/>
      <c r="BD2606" s="358"/>
      <c r="BH2606" s="302"/>
      <c r="BI2606" s="42"/>
    </row>
    <row r="2607" spans="52:61">
      <c r="AZ2607" s="302"/>
      <c r="BA2607" s="313"/>
      <c r="BB2607" s="167"/>
      <c r="BC2607" s="42"/>
      <c r="BD2607" s="358"/>
      <c r="BH2607" s="302"/>
      <c r="BI2607" s="42"/>
    </row>
    <row r="2608" spans="52:61">
      <c r="AZ2608" s="302"/>
      <c r="BA2608" s="313"/>
      <c r="BB2608" s="167"/>
      <c r="BC2608" s="42"/>
      <c r="BD2608" s="358"/>
      <c r="BH2608" s="302"/>
      <c r="BI2608" s="42"/>
    </row>
    <row r="2609" spans="52:61">
      <c r="AZ2609" s="302"/>
      <c r="BA2609" s="313"/>
      <c r="BB2609" s="167"/>
      <c r="BC2609" s="42"/>
      <c r="BD2609" s="358"/>
      <c r="BH2609" s="302"/>
      <c r="BI2609" s="42"/>
    </row>
    <row r="2610" spans="52:61">
      <c r="AZ2610" s="302"/>
      <c r="BA2610" s="313"/>
      <c r="BB2610" s="167"/>
      <c r="BC2610" s="42"/>
      <c r="BD2610" s="358"/>
      <c r="BH2610" s="302"/>
      <c r="BI2610" s="42"/>
    </row>
    <row r="2611" spans="52:61">
      <c r="AZ2611" s="302"/>
      <c r="BA2611" s="313"/>
      <c r="BB2611" s="167"/>
      <c r="BC2611" s="42"/>
      <c r="BD2611" s="358"/>
      <c r="BH2611" s="302"/>
      <c r="BI2611" s="42"/>
    </row>
    <row r="2612" spans="52:61">
      <c r="AZ2612" s="302"/>
      <c r="BA2612" s="313"/>
      <c r="BB2612" s="167"/>
      <c r="BC2612" s="42"/>
      <c r="BD2612" s="358"/>
      <c r="BH2612" s="302"/>
      <c r="BI2612" s="42"/>
    </row>
    <row r="2613" spans="52:61">
      <c r="AZ2613" s="302"/>
      <c r="BA2613" s="313"/>
      <c r="BB2613" s="167"/>
      <c r="BC2613" s="42"/>
      <c r="BD2613" s="358"/>
      <c r="BH2613" s="302"/>
      <c r="BI2613" s="42"/>
    </row>
    <row r="2614" spans="52:61">
      <c r="AZ2614" s="302"/>
      <c r="BA2614" s="313"/>
      <c r="BB2614" s="167"/>
      <c r="BC2614" s="42"/>
      <c r="BD2614" s="358"/>
      <c r="BH2614" s="302"/>
      <c r="BI2614" s="42"/>
    </row>
    <row r="2615" spans="52:61">
      <c r="AZ2615" s="302"/>
      <c r="BA2615" s="313"/>
      <c r="BB2615" s="167"/>
      <c r="BC2615" s="42"/>
      <c r="BD2615" s="358"/>
      <c r="BH2615" s="302"/>
      <c r="BI2615" s="42"/>
    </row>
    <row r="2616" spans="52:61">
      <c r="AZ2616" s="302"/>
      <c r="BA2616" s="313"/>
      <c r="BB2616" s="167"/>
      <c r="BC2616" s="42"/>
      <c r="BD2616" s="358"/>
      <c r="BH2616" s="302"/>
      <c r="BI2616" s="42"/>
    </row>
    <row r="2617" spans="52:61">
      <c r="AZ2617" s="302"/>
      <c r="BA2617" s="313"/>
      <c r="BB2617" s="167"/>
      <c r="BC2617" s="42"/>
      <c r="BD2617" s="358"/>
      <c r="BH2617" s="302"/>
      <c r="BI2617" s="42"/>
    </row>
    <row r="2618" spans="52:61">
      <c r="AZ2618" s="302"/>
      <c r="BA2618" s="313"/>
      <c r="BB2618" s="167"/>
      <c r="BC2618" s="42"/>
      <c r="BD2618" s="358"/>
      <c r="BH2618" s="302"/>
      <c r="BI2618" s="42"/>
    </row>
    <row r="2619" spans="52:61">
      <c r="AZ2619" s="302"/>
      <c r="BA2619" s="313"/>
      <c r="BB2619" s="167"/>
      <c r="BC2619" s="42"/>
      <c r="BD2619" s="358"/>
      <c r="BH2619" s="302"/>
      <c r="BI2619" s="42"/>
    </row>
    <row r="2620" spans="52:61">
      <c r="AZ2620" s="302"/>
      <c r="BA2620" s="313"/>
      <c r="BB2620" s="167"/>
      <c r="BC2620" s="42"/>
      <c r="BD2620" s="358"/>
      <c r="BH2620" s="302"/>
      <c r="BI2620" s="42"/>
    </row>
    <row r="2621" spans="52:61">
      <c r="AZ2621" s="302"/>
      <c r="BA2621" s="313"/>
      <c r="BB2621" s="167"/>
      <c r="BC2621" s="42"/>
      <c r="BD2621" s="358"/>
      <c r="BH2621" s="302"/>
      <c r="BI2621" s="42"/>
    </row>
    <row r="2622" spans="52:61">
      <c r="AZ2622" s="302"/>
      <c r="BA2622" s="313"/>
      <c r="BB2622" s="167"/>
      <c r="BC2622" s="42"/>
      <c r="BD2622" s="358"/>
      <c r="BH2622" s="302"/>
      <c r="BI2622" s="42"/>
    </row>
    <row r="2623" spans="52:61">
      <c r="AZ2623" s="302"/>
      <c r="BA2623" s="313"/>
      <c r="BB2623" s="167"/>
      <c r="BC2623" s="42"/>
      <c r="BD2623" s="358"/>
      <c r="BH2623" s="302"/>
      <c r="BI2623" s="42"/>
    </row>
    <row r="2624" spans="52:61">
      <c r="AZ2624" s="302"/>
      <c r="BA2624" s="313"/>
      <c r="BB2624" s="167"/>
      <c r="BC2624" s="42"/>
      <c r="BD2624" s="358"/>
      <c r="BH2624" s="302"/>
      <c r="BI2624" s="42"/>
    </row>
    <row r="2625" spans="52:61">
      <c r="AZ2625" s="302"/>
      <c r="BA2625" s="313"/>
      <c r="BB2625" s="167"/>
      <c r="BC2625" s="42"/>
      <c r="BD2625" s="358"/>
      <c r="BH2625" s="302"/>
      <c r="BI2625" s="42"/>
    </row>
    <row r="2626" spans="52:61">
      <c r="AZ2626" s="302"/>
      <c r="BA2626" s="313"/>
      <c r="BB2626" s="167"/>
      <c r="BC2626" s="42"/>
      <c r="BD2626" s="358"/>
      <c r="BH2626" s="302"/>
      <c r="BI2626" s="42"/>
    </row>
    <row r="2627" spans="52:61">
      <c r="AZ2627" s="302"/>
      <c r="BA2627" s="313"/>
      <c r="BB2627" s="167"/>
      <c r="BC2627" s="42"/>
      <c r="BD2627" s="358"/>
      <c r="BH2627" s="302"/>
      <c r="BI2627" s="42"/>
    </row>
    <row r="2628" spans="52:61">
      <c r="AZ2628" s="302"/>
      <c r="BA2628" s="313"/>
      <c r="BB2628" s="167"/>
      <c r="BC2628" s="42"/>
      <c r="BD2628" s="358"/>
      <c r="BH2628" s="302"/>
      <c r="BI2628" s="42"/>
    </row>
    <row r="2629" spans="52:61">
      <c r="AZ2629" s="302"/>
      <c r="BA2629" s="313"/>
      <c r="BB2629" s="167"/>
      <c r="BC2629" s="42"/>
      <c r="BD2629" s="358"/>
      <c r="BH2629" s="302"/>
      <c r="BI2629" s="42"/>
    </row>
    <row r="2630" spans="52:61">
      <c r="AZ2630" s="302"/>
      <c r="BA2630" s="313"/>
      <c r="BB2630" s="167"/>
      <c r="BC2630" s="42"/>
      <c r="BD2630" s="358"/>
      <c r="BH2630" s="302"/>
      <c r="BI2630" s="42"/>
    </row>
    <row r="2631" spans="52:61">
      <c r="AZ2631" s="302"/>
      <c r="BA2631" s="313"/>
      <c r="BB2631" s="167"/>
      <c r="BC2631" s="42"/>
      <c r="BD2631" s="358"/>
      <c r="BH2631" s="302"/>
      <c r="BI2631" s="42"/>
    </row>
    <row r="2632" spans="52:61">
      <c r="AZ2632" s="302"/>
      <c r="BA2632" s="313"/>
      <c r="BB2632" s="167"/>
      <c r="BC2632" s="42"/>
      <c r="BD2632" s="358"/>
      <c r="BH2632" s="302"/>
      <c r="BI2632" s="42"/>
    </row>
    <row r="2633" spans="52:61">
      <c r="AZ2633" s="302"/>
      <c r="BA2633" s="313"/>
      <c r="BB2633" s="167"/>
      <c r="BC2633" s="42"/>
      <c r="BD2633" s="358"/>
      <c r="BH2633" s="302"/>
      <c r="BI2633" s="42"/>
    </row>
    <row r="2634" spans="52:61">
      <c r="AZ2634" s="302"/>
      <c r="BA2634" s="313"/>
      <c r="BB2634" s="167"/>
      <c r="BC2634" s="42"/>
      <c r="BD2634" s="358"/>
      <c r="BH2634" s="302"/>
      <c r="BI2634" s="42"/>
    </row>
    <row r="2635" spans="52:61">
      <c r="AZ2635" s="302"/>
      <c r="BA2635" s="313"/>
      <c r="BB2635" s="167"/>
      <c r="BC2635" s="42"/>
      <c r="BD2635" s="358"/>
      <c r="BH2635" s="302"/>
      <c r="BI2635" s="42"/>
    </row>
    <row r="2636" spans="52:61">
      <c r="AZ2636" s="302"/>
      <c r="BA2636" s="313"/>
      <c r="BB2636" s="167"/>
      <c r="BC2636" s="42"/>
      <c r="BD2636" s="358"/>
      <c r="BH2636" s="302"/>
      <c r="BI2636" s="42"/>
    </row>
    <row r="2637" spans="52:61">
      <c r="AZ2637" s="302"/>
      <c r="BA2637" s="313"/>
      <c r="BB2637" s="167"/>
      <c r="BC2637" s="42"/>
      <c r="BD2637" s="358"/>
      <c r="BH2637" s="302"/>
      <c r="BI2637" s="42"/>
    </row>
    <row r="2638" spans="52:61">
      <c r="AZ2638" s="302"/>
      <c r="BA2638" s="313"/>
      <c r="BB2638" s="167"/>
      <c r="BC2638" s="42"/>
      <c r="BD2638" s="358"/>
      <c r="BH2638" s="302"/>
      <c r="BI2638" s="42"/>
    </row>
    <row r="2639" spans="52:61">
      <c r="AZ2639" s="302"/>
      <c r="BA2639" s="313"/>
      <c r="BB2639" s="167"/>
      <c r="BC2639" s="42"/>
      <c r="BD2639" s="358"/>
      <c r="BH2639" s="302"/>
      <c r="BI2639" s="42"/>
    </row>
    <row r="2640" spans="52:61">
      <c r="AZ2640" s="302"/>
      <c r="BA2640" s="313"/>
      <c r="BB2640" s="167"/>
      <c r="BC2640" s="42"/>
      <c r="BD2640" s="358"/>
      <c r="BH2640" s="302"/>
      <c r="BI2640" s="42"/>
    </row>
    <row r="2641" spans="52:61">
      <c r="AZ2641" s="302"/>
      <c r="BA2641" s="313"/>
      <c r="BB2641" s="167"/>
      <c r="BC2641" s="42"/>
      <c r="BD2641" s="358"/>
      <c r="BH2641" s="302"/>
      <c r="BI2641" s="42"/>
    </row>
    <row r="2642" spans="52:61">
      <c r="AZ2642" s="302"/>
      <c r="BA2642" s="313"/>
      <c r="BB2642" s="167"/>
      <c r="BC2642" s="42"/>
      <c r="BD2642" s="358"/>
      <c r="BH2642" s="302"/>
      <c r="BI2642" s="42"/>
    </row>
    <row r="2643" spans="52:61">
      <c r="AZ2643" s="302"/>
      <c r="BA2643" s="313"/>
      <c r="BB2643" s="167"/>
      <c r="BC2643" s="42"/>
      <c r="BD2643" s="358"/>
      <c r="BH2643" s="302"/>
      <c r="BI2643" s="42"/>
    </row>
    <row r="2644" spans="52:61">
      <c r="AZ2644" s="302"/>
      <c r="BA2644" s="313"/>
      <c r="BB2644" s="167"/>
      <c r="BC2644" s="42"/>
      <c r="BD2644" s="358"/>
      <c r="BH2644" s="302"/>
      <c r="BI2644" s="42"/>
    </row>
    <row r="2645" spans="52:61">
      <c r="AZ2645" s="302"/>
      <c r="BA2645" s="313"/>
      <c r="BB2645" s="167"/>
      <c r="BC2645" s="42"/>
      <c r="BD2645" s="358"/>
      <c r="BH2645" s="302"/>
      <c r="BI2645" s="42"/>
    </row>
    <row r="2646" spans="52:61">
      <c r="AZ2646" s="302"/>
      <c r="BA2646" s="313"/>
      <c r="BB2646" s="167"/>
      <c r="BC2646" s="42"/>
      <c r="BD2646" s="358"/>
      <c r="BH2646" s="302"/>
      <c r="BI2646" s="42"/>
    </row>
    <row r="2647" spans="52:61">
      <c r="AZ2647" s="302"/>
      <c r="BA2647" s="313"/>
      <c r="BB2647" s="167"/>
      <c r="BC2647" s="42"/>
      <c r="BD2647" s="358"/>
      <c r="BH2647" s="302"/>
      <c r="BI2647" s="42"/>
    </row>
    <row r="2648" spans="52:61">
      <c r="AZ2648" s="302"/>
      <c r="BA2648" s="313"/>
      <c r="BB2648" s="167"/>
      <c r="BC2648" s="42"/>
      <c r="BD2648" s="358"/>
      <c r="BH2648" s="302"/>
      <c r="BI2648" s="42"/>
    </row>
    <row r="2649" spans="52:61">
      <c r="AZ2649" s="302"/>
      <c r="BA2649" s="313"/>
      <c r="BB2649" s="167"/>
      <c r="BC2649" s="42"/>
      <c r="BD2649" s="358"/>
      <c r="BH2649" s="302"/>
      <c r="BI2649" s="42"/>
    </row>
    <row r="2650" spans="52:61">
      <c r="AZ2650" s="302"/>
      <c r="BA2650" s="313"/>
      <c r="BB2650" s="167"/>
      <c r="BC2650" s="42"/>
      <c r="BD2650" s="358"/>
      <c r="BH2650" s="302"/>
      <c r="BI2650" s="42"/>
    </row>
    <row r="2651" spans="52:61">
      <c r="AZ2651" s="302"/>
      <c r="BA2651" s="313"/>
      <c r="BB2651" s="167"/>
      <c r="BC2651" s="42"/>
      <c r="BD2651" s="358"/>
      <c r="BH2651" s="302"/>
      <c r="BI2651" s="42"/>
    </row>
    <row r="2652" spans="52:61">
      <c r="AZ2652" s="302"/>
      <c r="BA2652" s="313"/>
      <c r="BB2652" s="167"/>
      <c r="BC2652" s="42"/>
      <c r="BD2652" s="358"/>
      <c r="BH2652" s="302"/>
      <c r="BI2652" s="42"/>
    </row>
    <row r="2653" spans="52:61">
      <c r="AZ2653" s="302"/>
      <c r="BA2653" s="313"/>
      <c r="BB2653" s="167"/>
      <c r="BC2653" s="42"/>
      <c r="BD2653" s="358"/>
      <c r="BH2653" s="302"/>
      <c r="BI2653" s="42"/>
    </row>
    <row r="2654" spans="52:61">
      <c r="AZ2654" s="302"/>
      <c r="BA2654" s="313"/>
      <c r="BB2654" s="167"/>
      <c r="BC2654" s="42"/>
      <c r="BD2654" s="358"/>
      <c r="BH2654" s="302"/>
      <c r="BI2654" s="42"/>
    </row>
    <row r="2655" spans="52:61">
      <c r="AZ2655" s="302"/>
      <c r="BA2655" s="313"/>
      <c r="BB2655" s="167"/>
      <c r="BC2655" s="42"/>
      <c r="BD2655" s="358"/>
      <c r="BH2655" s="302"/>
      <c r="BI2655" s="42"/>
    </row>
    <row r="2656" spans="52:61">
      <c r="AZ2656" s="302"/>
      <c r="BA2656" s="313"/>
      <c r="BB2656" s="167"/>
      <c r="BC2656" s="42"/>
      <c r="BD2656" s="358"/>
      <c r="BH2656" s="302"/>
      <c r="BI2656" s="42"/>
    </row>
    <row r="2657" spans="52:61">
      <c r="AZ2657" s="302"/>
      <c r="BA2657" s="313"/>
      <c r="BB2657" s="167"/>
      <c r="BC2657" s="42"/>
      <c r="BD2657" s="358"/>
      <c r="BH2657" s="302"/>
      <c r="BI2657" s="42"/>
    </row>
    <row r="2658" spans="52:61">
      <c r="AZ2658" s="302"/>
      <c r="BA2658" s="313"/>
      <c r="BB2658" s="167"/>
      <c r="BC2658" s="42"/>
      <c r="BD2658" s="358"/>
      <c r="BH2658" s="302"/>
      <c r="BI2658" s="42"/>
    </row>
    <row r="2659" spans="52:61">
      <c r="AZ2659" s="302"/>
      <c r="BA2659" s="313"/>
      <c r="BB2659" s="167"/>
      <c r="BC2659" s="42"/>
      <c r="BD2659" s="358"/>
      <c r="BH2659" s="302"/>
      <c r="BI2659" s="42"/>
    </row>
    <row r="2660" spans="52:61">
      <c r="AZ2660" s="302"/>
      <c r="BA2660" s="313"/>
      <c r="BB2660" s="167"/>
      <c r="BC2660" s="42"/>
      <c r="BD2660" s="358"/>
      <c r="BH2660" s="302"/>
      <c r="BI2660" s="42"/>
    </row>
    <row r="2661" spans="52:61">
      <c r="AZ2661" s="302"/>
      <c r="BA2661" s="313"/>
      <c r="BB2661" s="167"/>
      <c r="BC2661" s="42"/>
      <c r="BD2661" s="358"/>
      <c r="BH2661" s="302"/>
      <c r="BI2661" s="42"/>
    </row>
    <row r="2662" spans="52:61">
      <c r="AZ2662" s="302"/>
      <c r="BA2662" s="313"/>
      <c r="BB2662" s="167"/>
      <c r="BC2662" s="42"/>
      <c r="BD2662" s="358"/>
      <c r="BH2662" s="302"/>
      <c r="BI2662" s="42"/>
    </row>
    <row r="2663" spans="52:61">
      <c r="AZ2663" s="302"/>
      <c r="BA2663" s="313"/>
      <c r="BB2663" s="167"/>
      <c r="BC2663" s="42"/>
      <c r="BD2663" s="358"/>
      <c r="BH2663" s="302"/>
      <c r="BI2663" s="42"/>
    </row>
    <row r="2664" spans="52:61">
      <c r="AZ2664" s="302"/>
      <c r="BA2664" s="313"/>
      <c r="BB2664" s="167"/>
      <c r="BC2664" s="42"/>
      <c r="BD2664" s="358"/>
      <c r="BH2664" s="302"/>
      <c r="BI2664" s="42"/>
    </row>
    <row r="2665" spans="52:61">
      <c r="AZ2665" s="302"/>
      <c r="BA2665" s="313"/>
      <c r="BB2665" s="167"/>
      <c r="BC2665" s="42"/>
      <c r="BD2665" s="358"/>
      <c r="BH2665" s="302"/>
      <c r="BI2665" s="42"/>
    </row>
    <row r="2666" spans="52:61">
      <c r="AZ2666" s="302"/>
      <c r="BA2666" s="313"/>
      <c r="BB2666" s="167"/>
      <c r="BC2666" s="42"/>
      <c r="BD2666" s="358"/>
      <c r="BH2666" s="302"/>
      <c r="BI2666" s="42"/>
    </row>
    <row r="2667" spans="52:61">
      <c r="AZ2667" s="302"/>
      <c r="BA2667" s="313"/>
      <c r="BB2667" s="167"/>
      <c r="BC2667" s="42"/>
      <c r="BD2667" s="358"/>
      <c r="BH2667" s="302"/>
      <c r="BI2667" s="42"/>
    </row>
    <row r="2668" spans="52:61">
      <c r="AZ2668" s="302"/>
      <c r="BA2668" s="313"/>
      <c r="BB2668" s="167"/>
      <c r="BC2668" s="42"/>
      <c r="BD2668" s="358"/>
      <c r="BH2668" s="302"/>
      <c r="BI2668" s="42"/>
    </row>
    <row r="2669" spans="52:61">
      <c r="AZ2669" s="302"/>
      <c r="BA2669" s="313"/>
      <c r="BB2669" s="167"/>
      <c r="BC2669" s="42"/>
      <c r="BD2669" s="358"/>
      <c r="BH2669" s="302"/>
      <c r="BI2669" s="42"/>
    </row>
    <row r="2670" spans="52:61">
      <c r="AZ2670" s="302"/>
      <c r="BA2670" s="313"/>
      <c r="BB2670" s="167"/>
      <c r="BC2670" s="42"/>
      <c r="BD2670" s="358"/>
      <c r="BH2670" s="302"/>
      <c r="BI2670" s="42"/>
    </row>
    <row r="2671" spans="52:61">
      <c r="AZ2671" s="302"/>
      <c r="BA2671" s="313"/>
      <c r="BB2671" s="167"/>
      <c r="BC2671" s="42"/>
      <c r="BD2671" s="358"/>
      <c r="BH2671" s="302"/>
      <c r="BI2671" s="42"/>
    </row>
    <row r="2672" spans="52:61">
      <c r="AZ2672" s="302"/>
      <c r="BA2672" s="313"/>
      <c r="BB2672" s="167"/>
      <c r="BC2672" s="42"/>
      <c r="BD2672" s="358"/>
      <c r="BH2672" s="302"/>
      <c r="BI2672" s="42"/>
    </row>
    <row r="2673" spans="52:61">
      <c r="AZ2673" s="302"/>
      <c r="BA2673" s="313"/>
      <c r="BB2673" s="167"/>
      <c r="BC2673" s="42"/>
      <c r="BD2673" s="358"/>
      <c r="BH2673" s="302"/>
      <c r="BI2673" s="42"/>
    </row>
    <row r="2674" spans="52:61">
      <c r="AZ2674" s="302"/>
      <c r="BA2674" s="313"/>
      <c r="BB2674" s="167"/>
      <c r="BC2674" s="42"/>
      <c r="BD2674" s="358"/>
      <c r="BH2674" s="302"/>
      <c r="BI2674" s="42"/>
    </row>
    <row r="2675" spans="52:61">
      <c r="AZ2675" s="302"/>
      <c r="BA2675" s="313"/>
      <c r="BB2675" s="167"/>
      <c r="BC2675" s="42"/>
      <c r="BD2675" s="358"/>
      <c r="BH2675" s="302"/>
      <c r="BI2675" s="42"/>
    </row>
    <row r="2676" spans="52:61">
      <c r="AZ2676" s="302"/>
      <c r="BA2676" s="313"/>
      <c r="BB2676" s="167"/>
      <c r="BC2676" s="42"/>
      <c r="BD2676" s="358"/>
      <c r="BH2676" s="302"/>
      <c r="BI2676" s="42"/>
    </row>
    <row r="2677" spans="52:61">
      <c r="AZ2677" s="302"/>
      <c r="BA2677" s="313"/>
      <c r="BB2677" s="167"/>
      <c r="BC2677" s="42"/>
      <c r="BD2677" s="358"/>
      <c r="BH2677" s="302"/>
      <c r="BI2677" s="42"/>
    </row>
    <row r="2678" spans="52:61">
      <c r="AZ2678" s="302"/>
      <c r="BA2678" s="313"/>
      <c r="BB2678" s="167"/>
      <c r="BC2678" s="42"/>
      <c r="BD2678" s="358"/>
      <c r="BH2678" s="302"/>
      <c r="BI2678" s="42"/>
    </row>
    <row r="2679" spans="52:61">
      <c r="AZ2679" s="302"/>
      <c r="BA2679" s="313"/>
      <c r="BB2679" s="167"/>
      <c r="BC2679" s="42"/>
      <c r="BD2679" s="358"/>
      <c r="BH2679" s="302"/>
      <c r="BI2679" s="42"/>
    </row>
    <row r="2680" spans="52:61">
      <c r="AZ2680" s="302"/>
      <c r="BA2680" s="313"/>
      <c r="BB2680" s="167"/>
      <c r="BC2680" s="42"/>
      <c r="BD2680" s="358"/>
      <c r="BH2680" s="302"/>
      <c r="BI2680" s="42"/>
    </row>
    <row r="2681" spans="52:61">
      <c r="AZ2681" s="302"/>
      <c r="BA2681" s="313"/>
      <c r="BB2681" s="167"/>
      <c r="BC2681" s="42"/>
      <c r="BD2681" s="358"/>
      <c r="BH2681" s="302"/>
      <c r="BI2681" s="42"/>
    </row>
    <row r="2682" spans="52:61">
      <c r="AZ2682" s="302"/>
      <c r="BA2682" s="313"/>
      <c r="BB2682" s="167"/>
      <c r="BC2682" s="42"/>
      <c r="BD2682" s="358"/>
      <c r="BH2682" s="302"/>
      <c r="BI2682" s="42"/>
    </row>
    <row r="2683" spans="52:61">
      <c r="AZ2683" s="302"/>
      <c r="BA2683" s="313"/>
      <c r="BB2683" s="167"/>
      <c r="BC2683" s="42"/>
      <c r="BD2683" s="358"/>
      <c r="BH2683" s="302"/>
      <c r="BI2683" s="42"/>
    </row>
    <row r="2684" spans="52:61">
      <c r="AZ2684" s="302"/>
      <c r="BA2684" s="313"/>
      <c r="BB2684" s="167"/>
      <c r="BC2684" s="42"/>
      <c r="BD2684" s="358"/>
      <c r="BH2684" s="302"/>
      <c r="BI2684" s="42"/>
    </row>
    <row r="2685" spans="52:61">
      <c r="AZ2685" s="302"/>
      <c r="BA2685" s="313"/>
      <c r="BB2685" s="167"/>
      <c r="BC2685" s="42"/>
      <c r="BD2685" s="358"/>
      <c r="BH2685" s="302"/>
      <c r="BI2685" s="42"/>
    </row>
    <row r="2686" spans="52:61">
      <c r="AZ2686" s="302"/>
      <c r="BA2686" s="313"/>
      <c r="BB2686" s="167"/>
      <c r="BC2686" s="42"/>
      <c r="BD2686" s="358"/>
      <c r="BH2686" s="302"/>
      <c r="BI2686" s="42"/>
    </row>
    <row r="2687" spans="52:61">
      <c r="AZ2687" s="302"/>
      <c r="BA2687" s="313"/>
      <c r="BB2687" s="167"/>
      <c r="BC2687" s="42"/>
      <c r="BD2687" s="358"/>
      <c r="BH2687" s="302"/>
      <c r="BI2687" s="42"/>
    </row>
    <row r="2688" spans="52:61">
      <c r="AZ2688" s="302"/>
      <c r="BA2688" s="313"/>
      <c r="BB2688" s="167"/>
      <c r="BC2688" s="42"/>
      <c r="BD2688" s="358"/>
      <c r="BH2688" s="302"/>
      <c r="BI2688" s="42"/>
    </row>
    <row r="2689" spans="52:61">
      <c r="AZ2689" s="302"/>
      <c r="BA2689" s="313"/>
      <c r="BB2689" s="167"/>
      <c r="BC2689" s="42"/>
      <c r="BD2689" s="358"/>
      <c r="BH2689" s="302"/>
      <c r="BI2689" s="42"/>
    </row>
    <row r="2690" spans="52:61">
      <c r="AZ2690" s="302"/>
      <c r="BA2690" s="313"/>
      <c r="BB2690" s="167"/>
      <c r="BC2690" s="42"/>
      <c r="BD2690" s="358"/>
      <c r="BH2690" s="302"/>
      <c r="BI2690" s="42"/>
    </row>
    <row r="2691" spans="52:61">
      <c r="AZ2691" s="302"/>
      <c r="BA2691" s="313"/>
      <c r="BB2691" s="167"/>
      <c r="BC2691" s="42"/>
      <c r="BD2691" s="358"/>
      <c r="BH2691" s="302"/>
      <c r="BI2691" s="42"/>
    </row>
    <row r="2692" spans="52:61">
      <c r="AZ2692" s="302"/>
      <c r="BA2692" s="313"/>
      <c r="BB2692" s="167"/>
      <c r="BC2692" s="42"/>
      <c r="BD2692" s="358"/>
      <c r="BH2692" s="302"/>
      <c r="BI2692" s="42"/>
    </row>
    <row r="2693" spans="52:61">
      <c r="AZ2693" s="302"/>
      <c r="BA2693" s="313"/>
      <c r="BB2693" s="167"/>
      <c r="BC2693" s="42"/>
      <c r="BD2693" s="358"/>
      <c r="BH2693" s="302"/>
      <c r="BI2693" s="42"/>
    </row>
    <row r="2694" spans="52:61">
      <c r="AZ2694" s="302"/>
      <c r="BA2694" s="313"/>
      <c r="BB2694" s="167"/>
      <c r="BC2694" s="42"/>
      <c r="BD2694" s="358"/>
      <c r="BH2694" s="302"/>
      <c r="BI2694" s="42"/>
    </row>
    <row r="2695" spans="52:61">
      <c r="AZ2695" s="302"/>
      <c r="BA2695" s="313"/>
      <c r="BB2695" s="167"/>
      <c r="BC2695" s="42"/>
      <c r="BD2695" s="358"/>
      <c r="BH2695" s="302"/>
      <c r="BI2695" s="42"/>
    </row>
    <row r="2696" spans="52:61">
      <c r="AZ2696" s="302"/>
      <c r="BA2696" s="313"/>
      <c r="BB2696" s="167"/>
      <c r="BC2696" s="42"/>
      <c r="BD2696" s="358"/>
      <c r="BH2696" s="302"/>
      <c r="BI2696" s="42"/>
    </row>
    <row r="2697" spans="52:61">
      <c r="AZ2697" s="302"/>
      <c r="BA2697" s="313"/>
      <c r="BB2697" s="167"/>
      <c r="BC2697" s="42"/>
      <c r="BD2697" s="358"/>
      <c r="BH2697" s="302"/>
      <c r="BI2697" s="42"/>
    </row>
    <row r="2698" spans="52:61">
      <c r="AZ2698" s="302"/>
      <c r="BA2698" s="313"/>
      <c r="BB2698" s="167"/>
      <c r="BC2698" s="42"/>
      <c r="BD2698" s="358"/>
      <c r="BH2698" s="302"/>
      <c r="BI2698" s="42"/>
    </row>
    <row r="2699" spans="52:61">
      <c r="AZ2699" s="302"/>
      <c r="BA2699" s="313"/>
      <c r="BB2699" s="167"/>
      <c r="BC2699" s="42"/>
      <c r="BD2699" s="358"/>
      <c r="BH2699" s="302"/>
      <c r="BI2699" s="42"/>
    </row>
    <row r="2700" spans="52:61">
      <c r="AZ2700" s="302"/>
      <c r="BA2700" s="313"/>
      <c r="BB2700" s="167"/>
      <c r="BC2700" s="42"/>
      <c r="BD2700" s="358"/>
      <c r="BH2700" s="302"/>
      <c r="BI2700" s="42"/>
    </row>
    <row r="2701" spans="52:61">
      <c r="AZ2701" s="302"/>
      <c r="BA2701" s="313"/>
      <c r="BB2701" s="167"/>
      <c r="BC2701" s="42"/>
      <c r="BD2701" s="358"/>
      <c r="BH2701" s="302"/>
      <c r="BI2701" s="42"/>
    </row>
    <row r="2702" spans="52:61">
      <c r="AZ2702" s="302"/>
      <c r="BA2702" s="313"/>
      <c r="BB2702" s="167"/>
      <c r="BC2702" s="42"/>
      <c r="BD2702" s="358"/>
      <c r="BH2702" s="302"/>
      <c r="BI2702" s="42"/>
    </row>
    <row r="2703" spans="52:61">
      <c r="AZ2703" s="302"/>
      <c r="BA2703" s="313"/>
      <c r="BB2703" s="167"/>
      <c r="BC2703" s="42"/>
      <c r="BD2703" s="358"/>
      <c r="BH2703" s="302"/>
      <c r="BI2703" s="42"/>
    </row>
    <row r="2704" spans="52:61">
      <c r="AZ2704" s="302"/>
      <c r="BA2704" s="313"/>
      <c r="BB2704" s="167"/>
      <c r="BC2704" s="42"/>
      <c r="BD2704" s="358"/>
      <c r="BH2704" s="302"/>
      <c r="BI2704" s="42"/>
    </row>
    <row r="2705" spans="52:61">
      <c r="AZ2705" s="302"/>
      <c r="BA2705" s="313"/>
      <c r="BB2705" s="167"/>
      <c r="BC2705" s="42"/>
      <c r="BD2705" s="358"/>
      <c r="BH2705" s="302"/>
      <c r="BI2705" s="42"/>
    </row>
    <row r="2706" spans="52:61">
      <c r="AZ2706" s="302"/>
      <c r="BA2706" s="313"/>
      <c r="BB2706" s="167"/>
      <c r="BC2706" s="42"/>
      <c r="BD2706" s="358"/>
      <c r="BH2706" s="302"/>
      <c r="BI2706" s="42"/>
    </row>
    <row r="2707" spans="52:61">
      <c r="AZ2707" s="302"/>
      <c r="BA2707" s="313"/>
      <c r="BB2707" s="167"/>
      <c r="BC2707" s="42"/>
      <c r="BD2707" s="358"/>
      <c r="BH2707" s="302"/>
      <c r="BI2707" s="42"/>
    </row>
    <row r="2708" spans="52:61">
      <c r="AZ2708" s="302"/>
      <c r="BA2708" s="313"/>
      <c r="BB2708" s="167"/>
      <c r="BC2708" s="42"/>
      <c r="BD2708" s="358"/>
      <c r="BH2708" s="302"/>
      <c r="BI2708" s="42"/>
    </row>
    <row r="2709" spans="52:61">
      <c r="AZ2709" s="302"/>
      <c r="BA2709" s="313"/>
      <c r="BB2709" s="167"/>
      <c r="BC2709" s="42"/>
      <c r="BD2709" s="358"/>
      <c r="BH2709" s="302"/>
      <c r="BI2709" s="42"/>
    </row>
    <row r="2710" spans="52:61">
      <c r="AZ2710" s="302"/>
      <c r="BA2710" s="313"/>
      <c r="BB2710" s="167"/>
      <c r="BC2710" s="42"/>
      <c r="BD2710" s="358"/>
      <c r="BH2710" s="302"/>
      <c r="BI2710" s="42"/>
    </row>
    <row r="2711" spans="52:61">
      <c r="AZ2711" s="302"/>
      <c r="BA2711" s="313"/>
      <c r="BB2711" s="167"/>
      <c r="BC2711" s="42"/>
      <c r="BD2711" s="358"/>
      <c r="BH2711" s="302"/>
      <c r="BI2711" s="42"/>
    </row>
    <row r="2712" spans="52:61">
      <c r="AZ2712" s="302"/>
      <c r="BA2712" s="313"/>
      <c r="BB2712" s="167"/>
      <c r="BC2712" s="42"/>
      <c r="BD2712" s="358"/>
      <c r="BH2712" s="302"/>
      <c r="BI2712" s="42"/>
    </row>
    <row r="2713" spans="52:61">
      <c r="AZ2713" s="302"/>
      <c r="BA2713" s="313"/>
      <c r="BB2713" s="167"/>
      <c r="BC2713" s="42"/>
      <c r="BD2713" s="358"/>
      <c r="BH2713" s="302"/>
      <c r="BI2713" s="42"/>
    </row>
    <row r="2714" spans="52:61">
      <c r="AZ2714" s="302"/>
      <c r="BA2714" s="313"/>
      <c r="BB2714" s="167"/>
      <c r="BC2714" s="42"/>
      <c r="BD2714" s="358"/>
      <c r="BH2714" s="302"/>
      <c r="BI2714" s="42"/>
    </row>
    <row r="2715" spans="52:61">
      <c r="AZ2715" s="302"/>
      <c r="BA2715" s="313"/>
      <c r="BB2715" s="167"/>
      <c r="BC2715" s="42"/>
      <c r="BD2715" s="358"/>
      <c r="BH2715" s="302"/>
      <c r="BI2715" s="42"/>
    </row>
    <row r="2716" spans="52:61">
      <c r="AZ2716" s="302"/>
      <c r="BA2716" s="313"/>
      <c r="BB2716" s="167"/>
      <c r="BC2716" s="42"/>
      <c r="BD2716" s="358"/>
      <c r="BH2716" s="302"/>
      <c r="BI2716" s="42"/>
    </row>
    <row r="2717" spans="52:61">
      <c r="AZ2717" s="302"/>
      <c r="BA2717" s="313"/>
      <c r="BB2717" s="167"/>
      <c r="BC2717" s="42"/>
      <c r="BD2717" s="358"/>
      <c r="BH2717" s="302"/>
      <c r="BI2717" s="42"/>
    </row>
    <row r="2718" spans="52:61">
      <c r="AZ2718" s="302"/>
      <c r="BA2718" s="313"/>
      <c r="BB2718" s="167"/>
      <c r="BC2718" s="42"/>
      <c r="BD2718" s="358"/>
      <c r="BH2718" s="302"/>
      <c r="BI2718" s="42"/>
    </row>
    <row r="2719" spans="52:61">
      <c r="AZ2719" s="302"/>
      <c r="BA2719" s="313"/>
      <c r="BB2719" s="167"/>
      <c r="BC2719" s="42"/>
      <c r="BD2719" s="358"/>
      <c r="BH2719" s="302"/>
      <c r="BI2719" s="42"/>
    </row>
    <row r="2720" spans="52:61">
      <c r="AZ2720" s="302"/>
      <c r="BA2720" s="313"/>
      <c r="BB2720" s="167"/>
      <c r="BC2720" s="42"/>
      <c r="BD2720" s="358"/>
      <c r="BH2720" s="302"/>
      <c r="BI2720" s="42"/>
    </row>
    <row r="2721" spans="52:61">
      <c r="AZ2721" s="302"/>
      <c r="BA2721" s="313"/>
      <c r="BB2721" s="167"/>
      <c r="BC2721" s="42"/>
      <c r="BD2721" s="358"/>
      <c r="BH2721" s="302"/>
      <c r="BI2721" s="42"/>
    </row>
    <row r="2722" spans="52:61">
      <c r="AZ2722" s="302"/>
      <c r="BA2722" s="313"/>
      <c r="BB2722" s="167"/>
      <c r="BC2722" s="42"/>
      <c r="BD2722" s="358"/>
      <c r="BH2722" s="302"/>
      <c r="BI2722" s="42"/>
    </row>
    <row r="2723" spans="52:61">
      <c r="AZ2723" s="302"/>
      <c r="BA2723" s="313"/>
      <c r="BB2723" s="167"/>
      <c r="BC2723" s="42"/>
      <c r="BD2723" s="358"/>
      <c r="BH2723" s="302"/>
      <c r="BI2723" s="42"/>
    </row>
    <row r="2724" spans="52:61">
      <c r="AZ2724" s="302"/>
      <c r="BA2724" s="313"/>
      <c r="BB2724" s="167"/>
      <c r="BC2724" s="42"/>
      <c r="BD2724" s="358"/>
      <c r="BH2724" s="302"/>
      <c r="BI2724" s="42"/>
    </row>
    <row r="2725" spans="52:61">
      <c r="AZ2725" s="302"/>
      <c r="BA2725" s="313"/>
      <c r="BB2725" s="167"/>
      <c r="BC2725" s="42"/>
      <c r="BD2725" s="358"/>
      <c r="BH2725" s="302"/>
      <c r="BI2725" s="42"/>
    </row>
    <row r="2726" spans="52:61">
      <c r="AZ2726" s="302"/>
      <c r="BA2726" s="313"/>
      <c r="BB2726" s="167"/>
      <c r="BC2726" s="42"/>
      <c r="BD2726" s="358"/>
      <c r="BH2726" s="302"/>
      <c r="BI2726" s="42"/>
    </row>
    <row r="2727" spans="52:61">
      <c r="AZ2727" s="302"/>
      <c r="BA2727" s="313"/>
      <c r="BB2727" s="167"/>
      <c r="BC2727" s="42"/>
      <c r="BD2727" s="358"/>
      <c r="BH2727" s="302"/>
      <c r="BI2727" s="42"/>
    </row>
    <row r="2728" spans="52:61">
      <c r="AZ2728" s="302"/>
      <c r="BA2728" s="313"/>
      <c r="BB2728" s="167"/>
      <c r="BC2728" s="42"/>
      <c r="BD2728" s="358"/>
      <c r="BH2728" s="302"/>
      <c r="BI2728" s="42"/>
    </row>
    <row r="2729" spans="52:61">
      <c r="AZ2729" s="302"/>
      <c r="BA2729" s="313"/>
      <c r="BB2729" s="167"/>
      <c r="BC2729" s="42"/>
      <c r="BD2729" s="358"/>
      <c r="BH2729" s="302"/>
      <c r="BI2729" s="42"/>
    </row>
    <row r="2730" spans="52:61">
      <c r="AZ2730" s="302"/>
      <c r="BA2730" s="313"/>
      <c r="BB2730" s="167"/>
      <c r="BC2730" s="42"/>
      <c r="BD2730" s="358"/>
      <c r="BH2730" s="302"/>
      <c r="BI2730" s="42"/>
    </row>
    <row r="2731" spans="52:61">
      <c r="AZ2731" s="302"/>
      <c r="BA2731" s="313"/>
      <c r="BB2731" s="167"/>
      <c r="BC2731" s="42"/>
      <c r="BD2731" s="358"/>
      <c r="BH2731" s="302"/>
      <c r="BI2731" s="42"/>
    </row>
    <row r="2732" spans="52:61">
      <c r="AZ2732" s="302"/>
      <c r="BA2732" s="313"/>
      <c r="BB2732" s="167"/>
      <c r="BC2732" s="42"/>
      <c r="BD2732" s="358"/>
      <c r="BH2732" s="302"/>
      <c r="BI2732" s="42"/>
    </row>
    <row r="2733" spans="52:61">
      <c r="AZ2733" s="302"/>
      <c r="BA2733" s="313"/>
      <c r="BB2733" s="167"/>
      <c r="BC2733" s="42"/>
      <c r="BD2733" s="358"/>
      <c r="BH2733" s="302"/>
      <c r="BI2733" s="42"/>
    </row>
    <row r="2734" spans="52:61">
      <c r="AZ2734" s="302"/>
      <c r="BA2734" s="313"/>
      <c r="BB2734" s="167"/>
      <c r="BC2734" s="42"/>
      <c r="BD2734" s="358"/>
      <c r="BH2734" s="302"/>
      <c r="BI2734" s="42"/>
    </row>
    <row r="2735" spans="52:61">
      <c r="AZ2735" s="302"/>
      <c r="BA2735" s="313"/>
      <c r="BB2735" s="167"/>
      <c r="BC2735" s="42"/>
      <c r="BD2735" s="358"/>
      <c r="BH2735" s="302"/>
      <c r="BI2735" s="42"/>
    </row>
    <row r="2736" spans="52:61">
      <c r="AZ2736" s="302"/>
      <c r="BA2736" s="313"/>
      <c r="BB2736" s="167"/>
      <c r="BC2736" s="42"/>
      <c r="BD2736" s="358"/>
      <c r="BH2736" s="302"/>
      <c r="BI2736" s="42"/>
    </row>
    <row r="2737" spans="52:61">
      <c r="AZ2737" s="302"/>
      <c r="BA2737" s="313"/>
      <c r="BB2737" s="167"/>
      <c r="BC2737" s="42"/>
      <c r="BD2737" s="358"/>
      <c r="BH2737" s="302"/>
      <c r="BI2737" s="42"/>
    </row>
    <row r="2738" spans="52:61">
      <c r="AZ2738" s="302"/>
      <c r="BA2738" s="313"/>
      <c r="BB2738" s="167"/>
      <c r="BC2738" s="42"/>
      <c r="BD2738" s="358"/>
      <c r="BH2738" s="302"/>
      <c r="BI2738" s="42"/>
    </row>
    <row r="2739" spans="52:61">
      <c r="AZ2739" s="302"/>
      <c r="BA2739" s="313"/>
      <c r="BB2739" s="167"/>
      <c r="BC2739" s="42"/>
      <c r="BD2739" s="358"/>
      <c r="BH2739" s="302"/>
      <c r="BI2739" s="42"/>
    </row>
    <row r="2740" spans="52:61">
      <c r="AZ2740" s="302"/>
      <c r="BA2740" s="313"/>
      <c r="BB2740" s="167"/>
      <c r="BC2740" s="42"/>
      <c r="BD2740" s="358"/>
      <c r="BH2740" s="302"/>
      <c r="BI2740" s="42"/>
    </row>
    <row r="2741" spans="52:61">
      <c r="AZ2741" s="302"/>
      <c r="BA2741" s="313"/>
      <c r="BB2741" s="167"/>
      <c r="BC2741" s="42"/>
      <c r="BD2741" s="358"/>
      <c r="BH2741" s="302"/>
      <c r="BI2741" s="42"/>
    </row>
    <row r="2742" spans="52:61">
      <c r="AZ2742" s="302"/>
      <c r="BA2742" s="313"/>
      <c r="BB2742" s="167"/>
      <c r="BC2742" s="42"/>
      <c r="BD2742" s="358"/>
      <c r="BH2742" s="302"/>
      <c r="BI2742" s="42"/>
    </row>
    <row r="2743" spans="52:61">
      <c r="AZ2743" s="302"/>
      <c r="BA2743" s="313"/>
      <c r="BB2743" s="167"/>
      <c r="BC2743" s="42"/>
      <c r="BD2743" s="358"/>
      <c r="BH2743" s="302"/>
      <c r="BI2743" s="42"/>
    </row>
    <row r="2744" spans="52:61">
      <c r="AZ2744" s="302"/>
      <c r="BA2744" s="313"/>
      <c r="BB2744" s="167"/>
      <c r="BC2744" s="42"/>
      <c r="BD2744" s="358"/>
      <c r="BH2744" s="302"/>
      <c r="BI2744" s="42"/>
    </row>
    <row r="2745" spans="52:61">
      <c r="AZ2745" s="302"/>
      <c r="BA2745" s="313"/>
      <c r="BB2745" s="167"/>
      <c r="BC2745" s="42"/>
      <c r="BD2745" s="358"/>
      <c r="BH2745" s="302"/>
      <c r="BI2745" s="42"/>
    </row>
    <row r="2746" spans="52:61">
      <c r="AZ2746" s="302"/>
      <c r="BA2746" s="313"/>
      <c r="BB2746" s="167"/>
      <c r="BC2746" s="42"/>
      <c r="BD2746" s="358"/>
      <c r="BH2746" s="302"/>
      <c r="BI2746" s="42"/>
    </row>
    <row r="2747" spans="52:61">
      <c r="AZ2747" s="302"/>
      <c r="BA2747" s="313"/>
      <c r="BB2747" s="167"/>
      <c r="BC2747" s="42"/>
      <c r="BD2747" s="358"/>
      <c r="BH2747" s="302"/>
      <c r="BI2747" s="42"/>
    </row>
    <row r="2748" spans="52:61">
      <c r="AZ2748" s="302"/>
      <c r="BA2748" s="313"/>
      <c r="BB2748" s="167"/>
      <c r="BC2748" s="42"/>
      <c r="BD2748" s="358"/>
      <c r="BH2748" s="302"/>
      <c r="BI2748" s="42"/>
    </row>
    <row r="2749" spans="52:61">
      <c r="AZ2749" s="302"/>
      <c r="BA2749" s="313"/>
      <c r="BB2749" s="167"/>
      <c r="BC2749" s="42"/>
      <c r="BD2749" s="358"/>
      <c r="BH2749" s="302"/>
      <c r="BI2749" s="42"/>
    </row>
    <row r="2750" spans="52:61">
      <c r="AZ2750" s="302"/>
      <c r="BA2750" s="313"/>
      <c r="BB2750" s="167"/>
      <c r="BC2750" s="42"/>
      <c r="BD2750" s="358"/>
      <c r="BH2750" s="302"/>
      <c r="BI2750" s="42"/>
    </row>
    <row r="2751" spans="52:61">
      <c r="AZ2751" s="302"/>
      <c r="BA2751" s="313"/>
      <c r="BB2751" s="167"/>
      <c r="BC2751" s="42"/>
      <c r="BD2751" s="358"/>
      <c r="BH2751" s="302"/>
      <c r="BI2751" s="42"/>
    </row>
    <row r="2752" spans="52:61">
      <c r="AZ2752" s="302"/>
      <c r="BA2752" s="313"/>
      <c r="BB2752" s="167"/>
      <c r="BC2752" s="42"/>
      <c r="BD2752" s="358"/>
      <c r="BH2752" s="302"/>
      <c r="BI2752" s="42"/>
    </row>
    <row r="2753" spans="52:61">
      <c r="AZ2753" s="302"/>
      <c r="BA2753" s="313"/>
      <c r="BB2753" s="167"/>
      <c r="BC2753" s="42"/>
      <c r="BD2753" s="358"/>
      <c r="BH2753" s="302"/>
      <c r="BI2753" s="42"/>
    </row>
    <row r="2754" spans="52:61">
      <c r="AZ2754" s="302"/>
      <c r="BA2754" s="313"/>
      <c r="BB2754" s="167"/>
      <c r="BC2754" s="42"/>
      <c r="BD2754" s="358"/>
      <c r="BH2754" s="302"/>
      <c r="BI2754" s="42"/>
    </row>
    <row r="2755" spans="52:61">
      <c r="AZ2755" s="302"/>
      <c r="BA2755" s="313"/>
      <c r="BB2755" s="167"/>
      <c r="BC2755" s="42"/>
      <c r="BD2755" s="358"/>
      <c r="BH2755" s="302"/>
      <c r="BI2755" s="42"/>
    </row>
    <row r="2756" spans="52:61">
      <c r="AZ2756" s="302"/>
      <c r="BA2756" s="313"/>
      <c r="BB2756" s="167"/>
      <c r="BC2756" s="42"/>
      <c r="BD2756" s="358"/>
      <c r="BH2756" s="302"/>
      <c r="BI2756" s="42"/>
    </row>
    <row r="2757" spans="52:61">
      <c r="AZ2757" s="302"/>
      <c r="BA2757" s="313"/>
      <c r="BB2757" s="167"/>
      <c r="BC2757" s="42"/>
      <c r="BD2757" s="358"/>
      <c r="BH2757" s="302"/>
      <c r="BI2757" s="42"/>
    </row>
    <row r="2758" spans="52:61">
      <c r="AZ2758" s="302"/>
      <c r="BA2758" s="313"/>
      <c r="BB2758" s="167"/>
      <c r="BC2758" s="42"/>
      <c r="BD2758" s="358"/>
      <c r="BH2758" s="302"/>
      <c r="BI2758" s="42"/>
    </row>
    <row r="2759" spans="52:61">
      <c r="AZ2759" s="302"/>
      <c r="BA2759" s="313"/>
      <c r="BB2759" s="167"/>
      <c r="BC2759" s="42"/>
      <c r="BD2759" s="358"/>
      <c r="BH2759" s="302"/>
      <c r="BI2759" s="42"/>
    </row>
    <row r="2760" spans="52:61">
      <c r="AZ2760" s="302"/>
      <c r="BA2760" s="313"/>
      <c r="BB2760" s="167"/>
      <c r="BC2760" s="42"/>
      <c r="BD2760" s="358"/>
      <c r="BH2760" s="302"/>
      <c r="BI2760" s="42"/>
    </row>
    <row r="2761" spans="52:61">
      <c r="AZ2761" s="302"/>
      <c r="BA2761" s="313"/>
      <c r="BB2761" s="167"/>
      <c r="BC2761" s="42"/>
      <c r="BD2761" s="358"/>
      <c r="BH2761" s="302"/>
      <c r="BI2761" s="42"/>
    </row>
    <row r="2762" spans="52:61">
      <c r="AZ2762" s="302"/>
      <c r="BA2762" s="313"/>
      <c r="BB2762" s="167"/>
      <c r="BC2762" s="42"/>
      <c r="BD2762" s="358"/>
      <c r="BH2762" s="302"/>
      <c r="BI2762" s="42"/>
    </row>
    <row r="2763" spans="52:61">
      <c r="AZ2763" s="302"/>
      <c r="BA2763" s="313"/>
      <c r="BB2763" s="167"/>
      <c r="BC2763" s="42"/>
      <c r="BD2763" s="358"/>
      <c r="BH2763" s="302"/>
      <c r="BI2763" s="42"/>
    </row>
    <row r="2764" spans="52:61">
      <c r="AZ2764" s="302"/>
      <c r="BA2764" s="313"/>
      <c r="BB2764" s="167"/>
      <c r="BC2764" s="42"/>
      <c r="BD2764" s="358"/>
      <c r="BH2764" s="302"/>
      <c r="BI2764" s="42"/>
    </row>
    <row r="2765" spans="52:61">
      <c r="AZ2765" s="302"/>
      <c r="BA2765" s="313"/>
      <c r="BB2765" s="167"/>
      <c r="BC2765" s="42"/>
      <c r="BD2765" s="358"/>
      <c r="BH2765" s="302"/>
      <c r="BI2765" s="42"/>
    </row>
    <row r="2766" spans="52:61">
      <c r="AZ2766" s="302"/>
      <c r="BA2766" s="313"/>
      <c r="BB2766" s="167"/>
      <c r="BC2766" s="42"/>
      <c r="BD2766" s="358"/>
      <c r="BH2766" s="302"/>
      <c r="BI2766" s="42"/>
    </row>
    <row r="2767" spans="52:61">
      <c r="AZ2767" s="302"/>
      <c r="BA2767" s="313"/>
      <c r="BB2767" s="167"/>
      <c r="BC2767" s="42"/>
      <c r="BD2767" s="358"/>
      <c r="BH2767" s="302"/>
      <c r="BI2767" s="42"/>
    </row>
    <row r="2768" spans="52:61">
      <c r="AZ2768" s="302"/>
      <c r="BA2768" s="313"/>
      <c r="BB2768" s="167"/>
      <c r="BC2768" s="42"/>
      <c r="BD2768" s="358"/>
      <c r="BH2768" s="302"/>
      <c r="BI2768" s="42"/>
    </row>
    <row r="2769" spans="52:61">
      <c r="AZ2769" s="302"/>
      <c r="BA2769" s="313"/>
      <c r="BB2769" s="167"/>
      <c r="BC2769" s="42"/>
      <c r="BD2769" s="358"/>
      <c r="BH2769" s="302"/>
      <c r="BI2769" s="42"/>
    </row>
    <row r="2770" spans="52:61">
      <c r="AZ2770" s="302"/>
      <c r="BA2770" s="313"/>
      <c r="BB2770" s="167"/>
      <c r="BC2770" s="42"/>
      <c r="BD2770" s="358"/>
      <c r="BH2770" s="302"/>
      <c r="BI2770" s="42"/>
    </row>
    <row r="2771" spans="52:61">
      <c r="AZ2771" s="302"/>
      <c r="BA2771" s="313"/>
      <c r="BB2771" s="167"/>
      <c r="BC2771" s="42"/>
      <c r="BD2771" s="358"/>
      <c r="BH2771" s="302"/>
      <c r="BI2771" s="42"/>
    </row>
    <row r="2772" spans="52:61">
      <c r="AZ2772" s="302"/>
      <c r="BA2772" s="313"/>
      <c r="BB2772" s="167"/>
      <c r="BC2772" s="42"/>
      <c r="BD2772" s="358"/>
      <c r="BH2772" s="302"/>
      <c r="BI2772" s="42"/>
    </row>
    <row r="2773" spans="52:61">
      <c r="AZ2773" s="302"/>
      <c r="BA2773" s="313"/>
      <c r="BB2773" s="167"/>
      <c r="BC2773" s="42"/>
      <c r="BD2773" s="358"/>
      <c r="BH2773" s="302"/>
      <c r="BI2773" s="42"/>
    </row>
    <row r="2774" spans="52:61">
      <c r="AZ2774" s="302"/>
      <c r="BA2774" s="313"/>
      <c r="BB2774" s="167"/>
      <c r="BC2774" s="42"/>
      <c r="BD2774" s="358"/>
      <c r="BH2774" s="302"/>
      <c r="BI2774" s="42"/>
    </row>
    <row r="2775" spans="52:61">
      <c r="AZ2775" s="302"/>
      <c r="BA2775" s="313"/>
      <c r="BB2775" s="167"/>
      <c r="BC2775" s="42"/>
      <c r="BD2775" s="358"/>
      <c r="BH2775" s="302"/>
      <c r="BI2775" s="42"/>
    </row>
    <row r="2776" spans="52:61">
      <c r="AZ2776" s="302"/>
      <c r="BA2776" s="313"/>
      <c r="BB2776" s="167"/>
      <c r="BC2776" s="42"/>
      <c r="BD2776" s="358"/>
      <c r="BH2776" s="302"/>
      <c r="BI2776" s="42"/>
    </row>
    <row r="2777" spans="52:61">
      <c r="AZ2777" s="302"/>
      <c r="BA2777" s="313"/>
      <c r="BB2777" s="167"/>
      <c r="BC2777" s="42"/>
      <c r="BD2777" s="358"/>
      <c r="BH2777" s="302"/>
      <c r="BI2777" s="42"/>
    </row>
    <row r="2778" spans="52:61">
      <c r="AZ2778" s="302"/>
      <c r="BA2778" s="313"/>
      <c r="BB2778" s="167"/>
      <c r="BC2778" s="42"/>
      <c r="BD2778" s="358"/>
      <c r="BH2778" s="302"/>
      <c r="BI2778" s="42"/>
    </row>
    <row r="2779" spans="52:61">
      <c r="AZ2779" s="302"/>
      <c r="BA2779" s="313"/>
      <c r="BB2779" s="167"/>
      <c r="BC2779" s="42"/>
      <c r="BD2779" s="358"/>
      <c r="BH2779" s="302"/>
      <c r="BI2779" s="42"/>
    </row>
    <row r="2780" spans="52:61">
      <c r="AZ2780" s="302"/>
      <c r="BA2780" s="313"/>
      <c r="BB2780" s="167"/>
      <c r="BC2780" s="42"/>
      <c r="BD2780" s="358"/>
      <c r="BH2780" s="302"/>
      <c r="BI2780" s="42"/>
    </row>
    <row r="2781" spans="52:61">
      <c r="AZ2781" s="302"/>
      <c r="BA2781" s="313"/>
      <c r="BB2781" s="167"/>
      <c r="BC2781" s="42"/>
      <c r="BD2781" s="358"/>
      <c r="BH2781" s="302"/>
      <c r="BI2781" s="42"/>
    </row>
    <row r="2782" spans="52:61">
      <c r="AZ2782" s="302"/>
      <c r="BA2782" s="313"/>
      <c r="BB2782" s="167"/>
      <c r="BC2782" s="42"/>
      <c r="BD2782" s="358"/>
      <c r="BH2782" s="302"/>
      <c r="BI2782" s="42"/>
    </row>
    <row r="2783" spans="52:61">
      <c r="AZ2783" s="302"/>
      <c r="BA2783" s="313"/>
      <c r="BB2783" s="167"/>
      <c r="BC2783" s="42"/>
      <c r="BD2783" s="358"/>
      <c r="BH2783" s="302"/>
      <c r="BI2783" s="42"/>
    </row>
    <row r="2784" spans="52:61">
      <c r="AZ2784" s="302"/>
      <c r="BA2784" s="313"/>
      <c r="BB2784" s="167"/>
      <c r="BC2784" s="42"/>
      <c r="BD2784" s="358"/>
      <c r="BH2784" s="302"/>
      <c r="BI2784" s="42"/>
    </row>
    <row r="2785" spans="52:61">
      <c r="AZ2785" s="302"/>
      <c r="BA2785" s="313"/>
      <c r="BB2785" s="167"/>
      <c r="BC2785" s="42"/>
      <c r="BD2785" s="358"/>
      <c r="BH2785" s="302"/>
      <c r="BI2785" s="42"/>
    </row>
    <row r="2786" spans="52:61">
      <c r="AZ2786" s="302"/>
      <c r="BA2786" s="313"/>
      <c r="BB2786" s="167"/>
      <c r="BC2786" s="42"/>
      <c r="BD2786" s="358"/>
      <c r="BH2786" s="302"/>
      <c r="BI2786" s="42"/>
    </row>
    <row r="2787" spans="52:61">
      <c r="AZ2787" s="302"/>
      <c r="BA2787" s="313"/>
      <c r="BB2787" s="167"/>
      <c r="BC2787" s="42"/>
      <c r="BD2787" s="358"/>
      <c r="BH2787" s="302"/>
      <c r="BI2787" s="42"/>
    </row>
    <row r="2788" spans="52:61">
      <c r="AZ2788" s="302"/>
      <c r="BA2788" s="313"/>
      <c r="BB2788" s="167"/>
      <c r="BC2788" s="42"/>
      <c r="BD2788" s="358"/>
      <c r="BH2788" s="302"/>
      <c r="BI2788" s="42"/>
    </row>
    <row r="2789" spans="52:61">
      <c r="AZ2789" s="302"/>
      <c r="BA2789" s="313"/>
      <c r="BB2789" s="167"/>
      <c r="BC2789" s="42"/>
      <c r="BD2789" s="358"/>
      <c r="BH2789" s="302"/>
      <c r="BI2789" s="42"/>
    </row>
    <row r="2790" spans="52:61">
      <c r="AZ2790" s="302"/>
      <c r="BA2790" s="313"/>
      <c r="BB2790" s="167"/>
      <c r="BC2790" s="42"/>
      <c r="BD2790" s="358"/>
      <c r="BH2790" s="302"/>
      <c r="BI2790" s="42"/>
    </row>
    <row r="2791" spans="52:61">
      <c r="AZ2791" s="302"/>
      <c r="BA2791" s="313"/>
      <c r="BB2791" s="167"/>
      <c r="BC2791" s="42"/>
      <c r="BD2791" s="358"/>
      <c r="BH2791" s="302"/>
      <c r="BI2791" s="42"/>
    </row>
    <row r="2792" spans="52:61">
      <c r="AZ2792" s="302"/>
      <c r="BA2792" s="313"/>
      <c r="BB2792" s="167"/>
      <c r="BC2792" s="42"/>
      <c r="BD2792" s="358"/>
      <c r="BH2792" s="302"/>
      <c r="BI2792" s="42"/>
    </row>
    <row r="2793" spans="52:61">
      <c r="AZ2793" s="302"/>
      <c r="BA2793" s="313"/>
      <c r="BB2793" s="167"/>
      <c r="BC2793" s="42"/>
      <c r="BD2793" s="358"/>
      <c r="BH2793" s="302"/>
      <c r="BI2793" s="42"/>
    </row>
    <row r="2794" spans="52:61">
      <c r="AZ2794" s="302"/>
      <c r="BA2794" s="313"/>
      <c r="BB2794" s="167"/>
      <c r="BC2794" s="42"/>
      <c r="BD2794" s="358"/>
      <c r="BH2794" s="302"/>
      <c r="BI2794" s="42"/>
    </row>
    <row r="2795" spans="52:61">
      <c r="AZ2795" s="302"/>
      <c r="BA2795" s="313"/>
      <c r="BB2795" s="167"/>
      <c r="BC2795" s="42"/>
      <c r="BD2795" s="358"/>
      <c r="BH2795" s="302"/>
      <c r="BI2795" s="42"/>
    </row>
    <row r="2796" spans="52:61">
      <c r="AZ2796" s="302"/>
      <c r="BA2796" s="313"/>
      <c r="BB2796" s="167"/>
      <c r="BC2796" s="42"/>
      <c r="BD2796" s="358"/>
      <c r="BH2796" s="302"/>
      <c r="BI2796" s="42"/>
    </row>
    <row r="2797" spans="52:61">
      <c r="AZ2797" s="302"/>
      <c r="BA2797" s="313"/>
      <c r="BB2797" s="167"/>
      <c r="BC2797" s="42"/>
      <c r="BD2797" s="358"/>
      <c r="BH2797" s="302"/>
      <c r="BI2797" s="42"/>
    </row>
    <row r="2798" spans="52:61">
      <c r="AZ2798" s="302"/>
      <c r="BA2798" s="313"/>
      <c r="BB2798" s="167"/>
      <c r="BC2798" s="42"/>
      <c r="BD2798" s="358"/>
      <c r="BH2798" s="302"/>
      <c r="BI2798" s="42"/>
    </row>
    <row r="2799" spans="52:61">
      <c r="AZ2799" s="302"/>
      <c r="BA2799" s="313"/>
      <c r="BB2799" s="167"/>
      <c r="BC2799" s="42"/>
      <c r="BD2799" s="358"/>
      <c r="BH2799" s="302"/>
      <c r="BI2799" s="42"/>
    </row>
    <row r="2800" spans="52:61">
      <c r="AZ2800" s="302"/>
      <c r="BA2800" s="313"/>
      <c r="BB2800" s="167"/>
      <c r="BC2800" s="42"/>
      <c r="BD2800" s="358"/>
      <c r="BH2800" s="302"/>
      <c r="BI2800" s="42"/>
    </row>
    <row r="2801" spans="52:61">
      <c r="AZ2801" s="302"/>
      <c r="BA2801" s="313"/>
      <c r="BB2801" s="167"/>
      <c r="BC2801" s="42"/>
      <c r="BD2801" s="358"/>
      <c r="BH2801" s="302"/>
      <c r="BI2801" s="42"/>
    </row>
    <row r="2802" spans="52:61">
      <c r="AZ2802" s="302"/>
      <c r="BA2802" s="313"/>
      <c r="BB2802" s="167"/>
      <c r="BC2802" s="42"/>
      <c r="BD2802" s="358"/>
      <c r="BH2802" s="302"/>
      <c r="BI2802" s="42"/>
    </row>
    <row r="2803" spans="52:61">
      <c r="AZ2803" s="302"/>
      <c r="BA2803" s="313"/>
      <c r="BB2803" s="167"/>
      <c r="BC2803" s="42"/>
      <c r="BD2803" s="358"/>
      <c r="BH2803" s="302"/>
      <c r="BI2803" s="42"/>
    </row>
    <row r="2804" spans="52:61">
      <c r="AZ2804" s="302"/>
      <c r="BA2804" s="313"/>
      <c r="BB2804" s="167"/>
      <c r="BC2804" s="42"/>
      <c r="BD2804" s="358"/>
      <c r="BH2804" s="302"/>
      <c r="BI2804" s="42"/>
    </row>
    <row r="2805" spans="52:61">
      <c r="AZ2805" s="302"/>
      <c r="BA2805" s="313"/>
      <c r="BB2805" s="167"/>
      <c r="BC2805" s="42"/>
      <c r="BD2805" s="358"/>
      <c r="BH2805" s="302"/>
      <c r="BI2805" s="42"/>
    </row>
    <row r="2806" spans="52:61">
      <c r="AZ2806" s="302"/>
      <c r="BA2806" s="313"/>
      <c r="BB2806" s="167"/>
      <c r="BC2806" s="42"/>
      <c r="BD2806" s="358"/>
      <c r="BH2806" s="302"/>
      <c r="BI2806" s="42"/>
    </row>
    <row r="2807" spans="52:61">
      <c r="AZ2807" s="302"/>
      <c r="BA2807" s="313"/>
      <c r="BB2807" s="167"/>
      <c r="BC2807" s="42"/>
      <c r="BD2807" s="358"/>
      <c r="BH2807" s="302"/>
      <c r="BI2807" s="42"/>
    </row>
    <row r="2808" spans="52:61">
      <c r="AZ2808" s="302"/>
      <c r="BA2808" s="313"/>
      <c r="BB2808" s="167"/>
      <c r="BC2808" s="42"/>
      <c r="BD2808" s="358"/>
      <c r="BH2808" s="302"/>
      <c r="BI2808" s="42"/>
    </row>
    <row r="2809" spans="52:61">
      <c r="AZ2809" s="302"/>
      <c r="BA2809" s="313"/>
      <c r="BB2809" s="167"/>
      <c r="BC2809" s="42"/>
      <c r="BD2809" s="358"/>
      <c r="BH2809" s="302"/>
      <c r="BI2809" s="42"/>
    </row>
    <row r="2810" spans="52:61">
      <c r="AZ2810" s="302"/>
      <c r="BA2810" s="313"/>
      <c r="BB2810" s="167"/>
      <c r="BC2810" s="42"/>
      <c r="BD2810" s="358"/>
      <c r="BH2810" s="302"/>
      <c r="BI2810" s="42"/>
    </row>
    <row r="2811" spans="52:61">
      <c r="AZ2811" s="302"/>
      <c r="BA2811" s="313"/>
      <c r="BB2811" s="167"/>
      <c r="BC2811" s="42"/>
      <c r="BD2811" s="358"/>
      <c r="BH2811" s="302"/>
      <c r="BI2811" s="42"/>
    </row>
    <row r="2812" spans="52:61">
      <c r="AZ2812" s="302"/>
      <c r="BA2812" s="313"/>
      <c r="BB2812" s="167"/>
      <c r="BC2812" s="42"/>
      <c r="BD2812" s="358"/>
      <c r="BH2812" s="302"/>
      <c r="BI2812" s="42"/>
    </row>
    <row r="2813" spans="52:61">
      <c r="AZ2813" s="302"/>
      <c r="BA2813" s="313"/>
      <c r="BB2813" s="167"/>
      <c r="BC2813" s="42"/>
      <c r="BD2813" s="358"/>
      <c r="BH2813" s="302"/>
      <c r="BI2813" s="42"/>
    </row>
    <row r="2814" spans="52:61">
      <c r="AZ2814" s="302"/>
      <c r="BA2814" s="313"/>
      <c r="BB2814" s="167"/>
      <c r="BC2814" s="42"/>
      <c r="BD2814" s="358"/>
      <c r="BH2814" s="302"/>
      <c r="BI2814" s="42"/>
    </row>
    <row r="2815" spans="52:61">
      <c r="AZ2815" s="302"/>
      <c r="BA2815" s="313"/>
      <c r="BB2815" s="167"/>
      <c r="BC2815" s="42"/>
      <c r="BD2815" s="358"/>
      <c r="BH2815" s="302"/>
      <c r="BI2815" s="42"/>
    </row>
    <row r="2816" spans="52:61">
      <c r="AZ2816" s="302"/>
      <c r="BA2816" s="313"/>
      <c r="BB2816" s="167"/>
      <c r="BC2816" s="42"/>
      <c r="BD2816" s="358"/>
      <c r="BH2816" s="302"/>
      <c r="BI2816" s="42"/>
    </row>
    <row r="2817" spans="52:61">
      <c r="AZ2817" s="302"/>
      <c r="BA2817" s="313"/>
      <c r="BB2817" s="167"/>
      <c r="BC2817" s="42"/>
      <c r="BD2817" s="358"/>
      <c r="BH2817" s="302"/>
      <c r="BI2817" s="42"/>
    </row>
    <row r="2818" spans="52:61">
      <c r="AZ2818" s="302"/>
      <c r="BA2818" s="313"/>
      <c r="BB2818" s="167"/>
      <c r="BC2818" s="42"/>
      <c r="BD2818" s="358"/>
      <c r="BH2818" s="302"/>
      <c r="BI2818" s="42"/>
    </row>
    <row r="2819" spans="52:61">
      <c r="AZ2819" s="302"/>
      <c r="BA2819" s="313"/>
      <c r="BB2819" s="167"/>
      <c r="BC2819" s="42"/>
      <c r="BD2819" s="358"/>
      <c r="BH2819" s="302"/>
      <c r="BI2819" s="42"/>
    </row>
    <row r="2820" spans="52:61">
      <c r="AZ2820" s="302"/>
      <c r="BA2820" s="313"/>
      <c r="BB2820" s="167"/>
      <c r="BC2820" s="42"/>
      <c r="BD2820" s="358"/>
      <c r="BH2820" s="302"/>
      <c r="BI2820" s="42"/>
    </row>
    <row r="2821" spans="52:61">
      <c r="AZ2821" s="302"/>
      <c r="BA2821" s="313"/>
      <c r="BB2821" s="167"/>
      <c r="BC2821" s="42"/>
      <c r="BD2821" s="358"/>
      <c r="BH2821" s="302"/>
      <c r="BI2821" s="42"/>
    </row>
    <row r="2822" spans="52:61">
      <c r="AZ2822" s="302"/>
      <c r="BA2822" s="313"/>
      <c r="BB2822" s="167"/>
      <c r="BC2822" s="42"/>
      <c r="BD2822" s="358"/>
      <c r="BH2822" s="302"/>
      <c r="BI2822" s="42"/>
    </row>
    <row r="2823" spans="52:61">
      <c r="AZ2823" s="302"/>
      <c r="BA2823" s="313"/>
      <c r="BB2823" s="167"/>
      <c r="BC2823" s="42"/>
      <c r="BD2823" s="358"/>
      <c r="BH2823" s="302"/>
      <c r="BI2823" s="42"/>
    </row>
    <row r="2824" spans="52:61">
      <c r="AZ2824" s="302"/>
      <c r="BA2824" s="313"/>
      <c r="BB2824" s="167"/>
      <c r="BC2824" s="42"/>
      <c r="BD2824" s="358"/>
      <c r="BH2824" s="302"/>
      <c r="BI2824" s="42"/>
    </row>
    <row r="2825" spans="52:61">
      <c r="AZ2825" s="302"/>
      <c r="BA2825" s="313"/>
      <c r="BB2825" s="167"/>
      <c r="BC2825" s="42"/>
      <c r="BD2825" s="358"/>
      <c r="BH2825" s="302"/>
      <c r="BI2825" s="42"/>
    </row>
    <row r="2826" spans="52:61">
      <c r="AZ2826" s="302"/>
      <c r="BA2826" s="313"/>
      <c r="BB2826" s="167"/>
      <c r="BC2826" s="42"/>
      <c r="BD2826" s="358"/>
      <c r="BH2826" s="302"/>
      <c r="BI2826" s="42"/>
    </row>
    <row r="2827" spans="52:61">
      <c r="AZ2827" s="302"/>
      <c r="BA2827" s="313"/>
      <c r="BB2827" s="167"/>
      <c r="BC2827" s="42"/>
      <c r="BD2827" s="358"/>
      <c r="BH2827" s="302"/>
      <c r="BI2827" s="42"/>
    </row>
    <row r="2828" spans="52:61">
      <c r="AZ2828" s="302"/>
      <c r="BA2828" s="313"/>
      <c r="BB2828" s="167"/>
      <c r="BC2828" s="42"/>
      <c r="BD2828" s="358"/>
      <c r="BH2828" s="302"/>
      <c r="BI2828" s="42"/>
    </row>
    <row r="2829" spans="52:61">
      <c r="AZ2829" s="302"/>
      <c r="BA2829" s="313"/>
      <c r="BB2829" s="167"/>
      <c r="BC2829" s="42"/>
      <c r="BD2829" s="358"/>
      <c r="BH2829" s="302"/>
      <c r="BI2829" s="42"/>
    </row>
    <row r="2830" spans="52:61">
      <c r="AZ2830" s="302"/>
      <c r="BA2830" s="313"/>
      <c r="BB2830" s="167"/>
      <c r="BC2830" s="42"/>
      <c r="BD2830" s="358"/>
      <c r="BH2830" s="302"/>
      <c r="BI2830" s="42"/>
    </row>
    <row r="2831" spans="52:61">
      <c r="AZ2831" s="302"/>
      <c r="BA2831" s="313"/>
      <c r="BB2831" s="167"/>
      <c r="BC2831" s="42"/>
      <c r="BD2831" s="358"/>
      <c r="BH2831" s="302"/>
      <c r="BI2831" s="42"/>
    </row>
    <row r="2832" spans="52:61">
      <c r="AZ2832" s="302"/>
      <c r="BA2832" s="313"/>
      <c r="BB2832" s="167"/>
      <c r="BC2832" s="42"/>
      <c r="BD2832" s="358"/>
      <c r="BH2832" s="302"/>
      <c r="BI2832" s="42"/>
    </row>
    <row r="2833" spans="52:61">
      <c r="AZ2833" s="302"/>
      <c r="BA2833" s="313"/>
      <c r="BB2833" s="167"/>
      <c r="BC2833" s="42"/>
      <c r="BD2833" s="358"/>
      <c r="BH2833" s="302"/>
      <c r="BI2833" s="42"/>
    </row>
    <row r="2834" spans="52:61">
      <c r="AZ2834" s="302"/>
      <c r="BA2834" s="313"/>
      <c r="BB2834" s="167"/>
      <c r="BC2834" s="42"/>
      <c r="BD2834" s="358"/>
      <c r="BH2834" s="302"/>
      <c r="BI2834" s="42"/>
    </row>
    <row r="2835" spans="52:61">
      <c r="AZ2835" s="302"/>
      <c r="BA2835" s="313"/>
      <c r="BB2835" s="167"/>
      <c r="BC2835" s="42"/>
      <c r="BD2835" s="358"/>
      <c r="BH2835" s="302"/>
      <c r="BI2835" s="42"/>
    </row>
    <row r="2836" spans="52:61">
      <c r="AZ2836" s="302"/>
      <c r="BA2836" s="313"/>
      <c r="BB2836" s="167"/>
      <c r="BC2836" s="42"/>
      <c r="BD2836" s="358"/>
      <c r="BH2836" s="302"/>
      <c r="BI2836" s="42"/>
    </row>
    <row r="2837" spans="52:61">
      <c r="AZ2837" s="302"/>
      <c r="BA2837" s="313"/>
      <c r="BB2837" s="167"/>
      <c r="BC2837" s="42"/>
      <c r="BD2837" s="358"/>
      <c r="BH2837" s="302"/>
      <c r="BI2837" s="42"/>
    </row>
    <row r="2838" spans="52:61">
      <c r="AZ2838" s="302"/>
      <c r="BA2838" s="313"/>
      <c r="BB2838" s="167"/>
      <c r="BC2838" s="42"/>
      <c r="BD2838" s="358"/>
      <c r="BH2838" s="302"/>
      <c r="BI2838" s="42"/>
    </row>
    <row r="2839" spans="52:61">
      <c r="AZ2839" s="302"/>
      <c r="BA2839" s="313"/>
      <c r="BB2839" s="167"/>
      <c r="BC2839" s="42"/>
      <c r="BD2839" s="358"/>
      <c r="BH2839" s="302"/>
      <c r="BI2839" s="42"/>
    </row>
    <row r="2840" spans="52:61">
      <c r="AZ2840" s="302"/>
      <c r="BA2840" s="313"/>
      <c r="BB2840" s="167"/>
      <c r="BC2840" s="42"/>
      <c r="BD2840" s="358"/>
      <c r="BH2840" s="302"/>
      <c r="BI2840" s="42"/>
    </row>
    <row r="2841" spans="52:61">
      <c r="AZ2841" s="302"/>
      <c r="BA2841" s="313"/>
      <c r="BB2841" s="167"/>
      <c r="BC2841" s="42"/>
      <c r="BD2841" s="358"/>
      <c r="BH2841" s="302"/>
      <c r="BI2841" s="42"/>
    </row>
    <row r="2842" spans="52:61">
      <c r="AZ2842" s="302"/>
      <c r="BA2842" s="313"/>
      <c r="BB2842" s="167"/>
      <c r="BC2842" s="42"/>
      <c r="BD2842" s="358"/>
      <c r="BH2842" s="302"/>
      <c r="BI2842" s="42"/>
    </row>
    <row r="2843" spans="52:61">
      <c r="AZ2843" s="302"/>
      <c r="BA2843" s="313"/>
      <c r="BB2843" s="167"/>
      <c r="BC2843" s="42"/>
      <c r="BD2843" s="358"/>
      <c r="BH2843" s="302"/>
      <c r="BI2843" s="42"/>
    </row>
    <row r="2844" spans="52:61">
      <c r="AZ2844" s="302"/>
      <c r="BA2844" s="313"/>
      <c r="BB2844" s="167"/>
      <c r="BC2844" s="42"/>
      <c r="BD2844" s="358"/>
      <c r="BH2844" s="302"/>
      <c r="BI2844" s="42"/>
    </row>
    <row r="2845" spans="52:61">
      <c r="AZ2845" s="302"/>
      <c r="BA2845" s="313"/>
      <c r="BB2845" s="167"/>
      <c r="BC2845" s="42"/>
      <c r="BD2845" s="358"/>
      <c r="BH2845" s="302"/>
      <c r="BI2845" s="42"/>
    </row>
    <row r="2846" spans="52:61">
      <c r="AZ2846" s="302"/>
      <c r="BA2846" s="313"/>
      <c r="BB2846" s="167"/>
      <c r="BC2846" s="42"/>
      <c r="BD2846" s="358"/>
      <c r="BH2846" s="302"/>
      <c r="BI2846" s="42"/>
    </row>
    <row r="2847" spans="52:61">
      <c r="AZ2847" s="302"/>
      <c r="BA2847" s="313"/>
      <c r="BB2847" s="167"/>
      <c r="BC2847" s="42"/>
      <c r="BD2847" s="358"/>
      <c r="BH2847" s="302"/>
      <c r="BI2847" s="42"/>
    </row>
    <row r="2848" spans="52:61">
      <c r="AZ2848" s="302"/>
      <c r="BA2848" s="313"/>
      <c r="BB2848" s="167"/>
      <c r="BC2848" s="42"/>
      <c r="BD2848" s="358"/>
      <c r="BH2848" s="302"/>
      <c r="BI2848" s="42"/>
    </row>
    <row r="2849" spans="52:61">
      <c r="AZ2849" s="302"/>
      <c r="BA2849" s="313"/>
      <c r="BB2849" s="167"/>
      <c r="BC2849" s="42"/>
      <c r="BD2849" s="358"/>
      <c r="BH2849" s="302"/>
      <c r="BI2849" s="42"/>
    </row>
    <row r="2850" spans="52:61">
      <c r="AZ2850" s="302"/>
      <c r="BA2850" s="313"/>
      <c r="BB2850" s="167"/>
      <c r="BC2850" s="42"/>
      <c r="BD2850" s="358"/>
      <c r="BH2850" s="302"/>
      <c r="BI2850" s="42"/>
    </row>
    <row r="2851" spans="52:61">
      <c r="AZ2851" s="302"/>
      <c r="BA2851" s="313"/>
      <c r="BB2851" s="167"/>
      <c r="BC2851" s="42"/>
      <c r="BD2851" s="358"/>
      <c r="BH2851" s="302"/>
      <c r="BI2851" s="42"/>
    </row>
    <row r="2852" spans="52:61">
      <c r="AZ2852" s="302"/>
      <c r="BA2852" s="313"/>
      <c r="BB2852" s="167"/>
      <c r="BC2852" s="42"/>
      <c r="BD2852" s="358"/>
      <c r="BH2852" s="302"/>
      <c r="BI2852" s="42"/>
    </row>
    <row r="2853" spans="52:61">
      <c r="AZ2853" s="302"/>
      <c r="BA2853" s="313"/>
      <c r="BB2853" s="167"/>
      <c r="BC2853" s="42"/>
      <c r="BD2853" s="358"/>
      <c r="BH2853" s="302"/>
      <c r="BI2853" s="42"/>
    </row>
    <row r="2854" spans="52:61">
      <c r="AZ2854" s="302"/>
      <c r="BA2854" s="313"/>
      <c r="BB2854" s="167"/>
      <c r="BC2854" s="42"/>
      <c r="BD2854" s="358"/>
      <c r="BH2854" s="302"/>
      <c r="BI2854" s="42"/>
    </row>
    <row r="2855" spans="52:61">
      <c r="AZ2855" s="302"/>
      <c r="BA2855" s="313"/>
      <c r="BB2855" s="167"/>
      <c r="BC2855" s="42"/>
      <c r="BD2855" s="358"/>
      <c r="BH2855" s="302"/>
      <c r="BI2855" s="42"/>
    </row>
    <row r="2856" spans="52:61">
      <c r="AZ2856" s="302"/>
      <c r="BA2856" s="313"/>
      <c r="BB2856" s="167"/>
      <c r="BC2856" s="42"/>
      <c r="BD2856" s="358"/>
      <c r="BH2856" s="302"/>
      <c r="BI2856" s="42"/>
    </row>
    <row r="2857" spans="52:61">
      <c r="AZ2857" s="302"/>
      <c r="BA2857" s="313"/>
      <c r="BB2857" s="167"/>
      <c r="BC2857" s="42"/>
      <c r="BD2857" s="358"/>
      <c r="BH2857" s="302"/>
      <c r="BI2857" s="42"/>
    </row>
    <row r="2858" spans="52:61">
      <c r="AZ2858" s="302"/>
      <c r="BA2858" s="313"/>
      <c r="BB2858" s="167"/>
      <c r="BC2858" s="42"/>
      <c r="BD2858" s="358"/>
      <c r="BH2858" s="302"/>
      <c r="BI2858" s="42"/>
    </row>
    <row r="2859" spans="52:61">
      <c r="AZ2859" s="302"/>
      <c r="BA2859" s="313"/>
      <c r="BB2859" s="167"/>
      <c r="BC2859" s="42"/>
      <c r="BD2859" s="358"/>
      <c r="BH2859" s="302"/>
      <c r="BI2859" s="42"/>
    </row>
    <row r="2860" spans="52:61">
      <c r="AZ2860" s="302"/>
      <c r="BA2860" s="313"/>
      <c r="BB2860" s="167"/>
      <c r="BC2860" s="42"/>
      <c r="BD2860" s="358"/>
      <c r="BH2860" s="302"/>
      <c r="BI2860" s="42"/>
    </row>
    <row r="2861" spans="52:61">
      <c r="AZ2861" s="302"/>
      <c r="BA2861" s="313"/>
      <c r="BB2861" s="167"/>
      <c r="BC2861" s="42"/>
      <c r="BD2861" s="358"/>
      <c r="BH2861" s="302"/>
      <c r="BI2861" s="42"/>
    </row>
    <row r="2862" spans="52:61">
      <c r="AZ2862" s="302"/>
      <c r="BA2862" s="313"/>
      <c r="BB2862" s="167"/>
      <c r="BC2862" s="42"/>
      <c r="BD2862" s="358"/>
      <c r="BH2862" s="302"/>
      <c r="BI2862" s="42"/>
    </row>
    <row r="2863" spans="52:61">
      <c r="AZ2863" s="302"/>
      <c r="BA2863" s="313"/>
      <c r="BB2863" s="167"/>
      <c r="BC2863" s="42"/>
      <c r="BD2863" s="358"/>
      <c r="BH2863" s="302"/>
      <c r="BI2863" s="42"/>
    </row>
    <row r="2864" spans="52:61">
      <c r="AZ2864" s="302"/>
      <c r="BA2864" s="313"/>
      <c r="BB2864" s="167"/>
      <c r="BC2864" s="42"/>
      <c r="BD2864" s="358"/>
      <c r="BH2864" s="302"/>
      <c r="BI2864" s="42"/>
    </row>
    <row r="2865" spans="52:61">
      <c r="AZ2865" s="302"/>
      <c r="BA2865" s="313"/>
      <c r="BB2865" s="167"/>
      <c r="BC2865" s="42"/>
      <c r="BD2865" s="358"/>
      <c r="BH2865" s="302"/>
      <c r="BI2865" s="42"/>
    </row>
    <row r="2866" spans="52:61">
      <c r="AZ2866" s="302"/>
      <c r="BA2866" s="313"/>
      <c r="BB2866" s="167"/>
      <c r="BC2866" s="42"/>
      <c r="BD2866" s="358"/>
      <c r="BH2866" s="302"/>
      <c r="BI2866" s="42"/>
    </row>
    <row r="2867" spans="52:61">
      <c r="AZ2867" s="302"/>
      <c r="BA2867" s="313"/>
      <c r="BB2867" s="167"/>
      <c r="BC2867" s="42"/>
      <c r="BD2867" s="358"/>
      <c r="BH2867" s="302"/>
      <c r="BI2867" s="42"/>
    </row>
    <row r="2868" spans="52:61">
      <c r="AZ2868" s="302"/>
      <c r="BA2868" s="313"/>
      <c r="BB2868" s="167"/>
      <c r="BC2868" s="42"/>
      <c r="BD2868" s="358"/>
      <c r="BH2868" s="302"/>
      <c r="BI2868" s="42"/>
    </row>
    <row r="2869" spans="52:61">
      <c r="AZ2869" s="302"/>
      <c r="BA2869" s="313"/>
      <c r="BB2869" s="167"/>
      <c r="BC2869" s="42"/>
      <c r="BD2869" s="358"/>
      <c r="BH2869" s="302"/>
      <c r="BI2869" s="42"/>
    </row>
    <row r="2870" spans="52:61">
      <c r="AZ2870" s="302"/>
      <c r="BA2870" s="313"/>
      <c r="BB2870" s="167"/>
      <c r="BC2870" s="42"/>
      <c r="BD2870" s="358"/>
      <c r="BH2870" s="302"/>
      <c r="BI2870" s="42"/>
    </row>
    <row r="2871" spans="52:61">
      <c r="AZ2871" s="302"/>
      <c r="BA2871" s="313"/>
      <c r="BB2871" s="167"/>
      <c r="BC2871" s="42"/>
      <c r="BD2871" s="358"/>
      <c r="BH2871" s="302"/>
      <c r="BI2871" s="42"/>
    </row>
    <row r="2872" spans="52:61">
      <c r="AZ2872" s="302"/>
      <c r="BA2872" s="313"/>
      <c r="BB2872" s="167"/>
      <c r="BC2872" s="42"/>
      <c r="BD2872" s="358"/>
      <c r="BH2872" s="302"/>
      <c r="BI2872" s="42"/>
    </row>
    <row r="2873" spans="52:61">
      <c r="AZ2873" s="302"/>
      <c r="BA2873" s="313"/>
      <c r="BB2873" s="167"/>
      <c r="BC2873" s="42"/>
      <c r="BD2873" s="358"/>
      <c r="BH2873" s="302"/>
      <c r="BI2873" s="42"/>
    </row>
    <row r="2874" spans="52:61">
      <c r="AZ2874" s="302"/>
      <c r="BA2874" s="313"/>
      <c r="BB2874" s="167"/>
      <c r="BC2874" s="42"/>
      <c r="BD2874" s="358"/>
      <c r="BH2874" s="302"/>
      <c r="BI2874" s="42"/>
    </row>
    <row r="2875" spans="52:61">
      <c r="AZ2875" s="302"/>
      <c r="BA2875" s="313"/>
      <c r="BB2875" s="167"/>
      <c r="BC2875" s="42"/>
      <c r="BD2875" s="358"/>
      <c r="BH2875" s="302"/>
      <c r="BI2875" s="42"/>
    </row>
    <row r="2876" spans="52:61">
      <c r="AZ2876" s="302"/>
      <c r="BA2876" s="313"/>
      <c r="BB2876" s="167"/>
      <c r="BC2876" s="42"/>
      <c r="BD2876" s="358"/>
      <c r="BH2876" s="302"/>
      <c r="BI2876" s="42"/>
    </row>
    <row r="2877" spans="52:61">
      <c r="AZ2877" s="302"/>
      <c r="BA2877" s="313"/>
      <c r="BB2877" s="167"/>
      <c r="BC2877" s="42"/>
      <c r="BD2877" s="358"/>
      <c r="BH2877" s="302"/>
      <c r="BI2877" s="42"/>
    </row>
    <row r="2878" spans="52:61">
      <c r="AZ2878" s="302"/>
      <c r="BA2878" s="313"/>
      <c r="BB2878" s="167"/>
      <c r="BC2878" s="42"/>
      <c r="BD2878" s="358"/>
      <c r="BH2878" s="302"/>
      <c r="BI2878" s="42"/>
    </row>
    <row r="2879" spans="52:61">
      <c r="AZ2879" s="302"/>
      <c r="BA2879" s="313"/>
      <c r="BB2879" s="167"/>
      <c r="BC2879" s="42"/>
      <c r="BD2879" s="358"/>
      <c r="BH2879" s="302"/>
      <c r="BI2879" s="42"/>
    </row>
    <row r="2880" spans="52:61">
      <c r="AZ2880" s="302"/>
      <c r="BA2880" s="313"/>
      <c r="BB2880" s="167"/>
      <c r="BC2880" s="42"/>
      <c r="BD2880" s="358"/>
      <c r="BH2880" s="302"/>
      <c r="BI2880" s="42"/>
    </row>
    <row r="2881" spans="52:61">
      <c r="AZ2881" s="302"/>
      <c r="BA2881" s="313"/>
      <c r="BB2881" s="167"/>
      <c r="BC2881" s="42"/>
      <c r="BD2881" s="358"/>
      <c r="BH2881" s="302"/>
      <c r="BI2881" s="42"/>
    </row>
    <row r="2882" spans="52:61">
      <c r="AZ2882" s="302"/>
      <c r="BA2882" s="313"/>
      <c r="BB2882" s="167"/>
      <c r="BC2882" s="42"/>
      <c r="BD2882" s="358"/>
      <c r="BH2882" s="302"/>
      <c r="BI2882" s="42"/>
    </row>
    <row r="2883" spans="52:61">
      <c r="AZ2883" s="302"/>
      <c r="BA2883" s="313"/>
      <c r="BB2883" s="167"/>
      <c r="BC2883" s="42"/>
      <c r="BD2883" s="358"/>
      <c r="BH2883" s="302"/>
      <c r="BI2883" s="42"/>
    </row>
    <row r="2884" spans="52:61">
      <c r="AZ2884" s="302"/>
      <c r="BA2884" s="313"/>
      <c r="BB2884" s="167"/>
      <c r="BC2884" s="42"/>
      <c r="BD2884" s="358"/>
      <c r="BH2884" s="302"/>
      <c r="BI2884" s="42"/>
    </row>
    <row r="2885" spans="52:61">
      <c r="AZ2885" s="302"/>
      <c r="BA2885" s="313"/>
      <c r="BB2885" s="167"/>
      <c r="BC2885" s="42"/>
      <c r="BD2885" s="358"/>
      <c r="BH2885" s="302"/>
      <c r="BI2885" s="42"/>
    </row>
    <row r="2886" spans="52:61">
      <c r="AZ2886" s="302"/>
      <c r="BA2886" s="313"/>
      <c r="BB2886" s="167"/>
      <c r="BC2886" s="42"/>
      <c r="BD2886" s="358"/>
      <c r="BH2886" s="302"/>
      <c r="BI2886" s="42"/>
    </row>
    <row r="2887" spans="52:61">
      <c r="AZ2887" s="302"/>
      <c r="BA2887" s="313"/>
      <c r="BB2887" s="167"/>
      <c r="BC2887" s="42"/>
      <c r="BD2887" s="358"/>
      <c r="BH2887" s="302"/>
      <c r="BI2887" s="42"/>
    </row>
    <row r="2888" spans="52:61">
      <c r="AZ2888" s="302"/>
      <c r="BA2888" s="313"/>
      <c r="BB2888" s="167"/>
      <c r="BC2888" s="42"/>
      <c r="BD2888" s="358"/>
      <c r="BH2888" s="302"/>
      <c r="BI2888" s="42"/>
    </row>
    <row r="2889" spans="52:61">
      <c r="AZ2889" s="302"/>
      <c r="BA2889" s="313"/>
      <c r="BB2889" s="167"/>
      <c r="BC2889" s="42"/>
      <c r="BD2889" s="358"/>
      <c r="BH2889" s="302"/>
      <c r="BI2889" s="42"/>
    </row>
    <row r="2890" spans="52:61">
      <c r="AZ2890" s="302"/>
      <c r="BA2890" s="313"/>
      <c r="BB2890" s="167"/>
      <c r="BC2890" s="42"/>
      <c r="BD2890" s="358"/>
      <c r="BH2890" s="302"/>
      <c r="BI2890" s="42"/>
    </row>
    <row r="2891" spans="52:61">
      <c r="AZ2891" s="302"/>
      <c r="BA2891" s="313"/>
      <c r="BB2891" s="167"/>
      <c r="BC2891" s="42"/>
      <c r="BD2891" s="358"/>
      <c r="BH2891" s="302"/>
      <c r="BI2891" s="42"/>
    </row>
    <row r="2892" spans="52:61">
      <c r="AZ2892" s="302"/>
      <c r="BA2892" s="313"/>
      <c r="BB2892" s="167"/>
      <c r="BC2892" s="42"/>
      <c r="BD2892" s="358"/>
      <c r="BH2892" s="302"/>
      <c r="BI2892" s="42"/>
    </row>
    <row r="2893" spans="52:61">
      <c r="AZ2893" s="302"/>
      <c r="BA2893" s="313"/>
      <c r="BB2893" s="167"/>
      <c r="BC2893" s="42"/>
      <c r="BD2893" s="358"/>
      <c r="BH2893" s="302"/>
      <c r="BI2893" s="42"/>
    </row>
    <row r="2894" spans="52:61">
      <c r="AZ2894" s="302"/>
      <c r="BA2894" s="313"/>
      <c r="BB2894" s="167"/>
      <c r="BC2894" s="42"/>
      <c r="BD2894" s="358"/>
      <c r="BH2894" s="302"/>
      <c r="BI2894" s="42"/>
    </row>
    <row r="2895" spans="52:61">
      <c r="AZ2895" s="302"/>
      <c r="BA2895" s="313"/>
      <c r="BB2895" s="167"/>
      <c r="BC2895" s="42"/>
      <c r="BD2895" s="358"/>
      <c r="BH2895" s="302"/>
      <c r="BI2895" s="42"/>
    </row>
    <row r="2896" spans="52:61">
      <c r="AZ2896" s="302"/>
      <c r="BA2896" s="313"/>
      <c r="BB2896" s="167"/>
      <c r="BC2896" s="42"/>
      <c r="BD2896" s="358"/>
      <c r="BH2896" s="302"/>
      <c r="BI2896" s="42"/>
    </row>
    <row r="2897" spans="52:61">
      <c r="AZ2897" s="302"/>
      <c r="BA2897" s="313"/>
      <c r="BB2897" s="167"/>
      <c r="BC2897" s="42"/>
      <c r="BD2897" s="358"/>
      <c r="BH2897" s="302"/>
      <c r="BI2897" s="42"/>
    </row>
    <row r="2898" spans="52:61">
      <c r="AZ2898" s="302"/>
      <c r="BA2898" s="313"/>
      <c r="BB2898" s="167"/>
      <c r="BC2898" s="42"/>
      <c r="BD2898" s="358"/>
      <c r="BH2898" s="302"/>
      <c r="BI2898" s="42"/>
    </row>
    <row r="2899" spans="52:61">
      <c r="AZ2899" s="302"/>
      <c r="BA2899" s="313"/>
      <c r="BB2899" s="167"/>
      <c r="BC2899" s="42"/>
      <c r="BD2899" s="358"/>
      <c r="BH2899" s="302"/>
      <c r="BI2899" s="42"/>
    </row>
    <row r="2900" spans="52:61">
      <c r="AZ2900" s="302"/>
      <c r="BA2900" s="313"/>
      <c r="BB2900" s="167"/>
      <c r="BC2900" s="42"/>
      <c r="BD2900" s="358"/>
      <c r="BH2900" s="302"/>
      <c r="BI2900" s="42"/>
    </row>
    <row r="2901" spans="52:61">
      <c r="AZ2901" s="302"/>
      <c r="BA2901" s="313"/>
      <c r="BB2901" s="167"/>
      <c r="BC2901" s="42"/>
      <c r="BD2901" s="358"/>
      <c r="BH2901" s="302"/>
      <c r="BI2901" s="42"/>
    </row>
    <row r="2902" spans="52:61">
      <c r="AZ2902" s="302"/>
      <c r="BA2902" s="313"/>
      <c r="BB2902" s="167"/>
      <c r="BC2902" s="42"/>
      <c r="BD2902" s="358"/>
      <c r="BH2902" s="302"/>
      <c r="BI2902" s="42"/>
    </row>
    <row r="2903" spans="52:61">
      <c r="AZ2903" s="302"/>
      <c r="BA2903" s="313"/>
      <c r="BB2903" s="167"/>
      <c r="BC2903" s="42"/>
      <c r="BD2903" s="358"/>
      <c r="BH2903" s="302"/>
      <c r="BI2903" s="42"/>
    </row>
    <row r="2904" spans="52:61">
      <c r="AZ2904" s="302"/>
      <c r="BA2904" s="313"/>
      <c r="BB2904" s="167"/>
      <c r="BC2904" s="42"/>
      <c r="BD2904" s="358"/>
      <c r="BH2904" s="302"/>
      <c r="BI2904" s="42"/>
    </row>
    <row r="2905" spans="52:61">
      <c r="AZ2905" s="302"/>
      <c r="BA2905" s="313"/>
      <c r="BB2905" s="167"/>
      <c r="BC2905" s="42"/>
      <c r="BD2905" s="358"/>
      <c r="BH2905" s="302"/>
      <c r="BI2905" s="42"/>
    </row>
    <row r="2906" spans="52:61">
      <c r="AZ2906" s="302"/>
      <c r="BA2906" s="313"/>
      <c r="BB2906" s="167"/>
      <c r="BC2906" s="42"/>
      <c r="BD2906" s="358"/>
      <c r="BH2906" s="302"/>
      <c r="BI2906" s="42"/>
    </row>
    <row r="2907" spans="52:61">
      <c r="AZ2907" s="302"/>
      <c r="BA2907" s="313"/>
      <c r="BB2907" s="167"/>
      <c r="BC2907" s="42"/>
      <c r="BD2907" s="358"/>
      <c r="BH2907" s="302"/>
      <c r="BI2907" s="42"/>
    </row>
    <row r="2908" spans="52:61">
      <c r="AZ2908" s="302"/>
      <c r="BA2908" s="313"/>
      <c r="BB2908" s="167"/>
      <c r="BC2908" s="42"/>
      <c r="BD2908" s="358"/>
      <c r="BH2908" s="302"/>
      <c r="BI2908" s="42"/>
    </row>
    <row r="2909" spans="52:61">
      <c r="AZ2909" s="302"/>
      <c r="BA2909" s="313"/>
      <c r="BB2909" s="167"/>
      <c r="BC2909" s="42"/>
      <c r="BD2909" s="358"/>
      <c r="BH2909" s="302"/>
      <c r="BI2909" s="42"/>
    </row>
    <row r="2910" spans="52:61">
      <c r="AZ2910" s="302"/>
      <c r="BA2910" s="313"/>
      <c r="BB2910" s="167"/>
      <c r="BC2910" s="42"/>
      <c r="BD2910" s="358"/>
      <c r="BH2910" s="302"/>
      <c r="BI2910" s="42"/>
    </row>
    <row r="2911" spans="52:61">
      <c r="AZ2911" s="302"/>
      <c r="BA2911" s="313"/>
      <c r="BB2911" s="167"/>
      <c r="BC2911" s="42"/>
      <c r="BD2911" s="358"/>
      <c r="BH2911" s="302"/>
      <c r="BI2911" s="42"/>
    </row>
    <row r="2912" spans="52:61">
      <c r="AZ2912" s="302"/>
      <c r="BA2912" s="313"/>
      <c r="BB2912" s="167"/>
      <c r="BC2912" s="42"/>
      <c r="BD2912" s="358"/>
      <c r="BH2912" s="302"/>
      <c r="BI2912" s="42"/>
    </row>
    <row r="2913" spans="52:61">
      <c r="AZ2913" s="302"/>
      <c r="BA2913" s="313"/>
      <c r="BB2913" s="167"/>
      <c r="BC2913" s="42"/>
      <c r="BD2913" s="358"/>
      <c r="BH2913" s="302"/>
      <c r="BI2913" s="42"/>
    </row>
    <row r="2914" spans="52:61">
      <c r="AZ2914" s="302"/>
      <c r="BA2914" s="313"/>
      <c r="BB2914" s="167"/>
      <c r="BC2914" s="42"/>
      <c r="BD2914" s="358"/>
      <c r="BH2914" s="302"/>
      <c r="BI2914" s="42"/>
    </row>
    <row r="2915" spans="52:61">
      <c r="AZ2915" s="302"/>
      <c r="BA2915" s="313"/>
      <c r="BB2915" s="167"/>
      <c r="BC2915" s="42"/>
      <c r="BD2915" s="358"/>
      <c r="BH2915" s="302"/>
      <c r="BI2915" s="42"/>
    </row>
    <row r="2916" spans="52:61">
      <c r="AZ2916" s="302"/>
      <c r="BA2916" s="313"/>
      <c r="BB2916" s="167"/>
      <c r="BC2916" s="42"/>
      <c r="BD2916" s="358"/>
      <c r="BH2916" s="302"/>
      <c r="BI2916" s="42"/>
    </row>
    <row r="2917" spans="52:61">
      <c r="AZ2917" s="302"/>
      <c r="BA2917" s="313"/>
      <c r="BB2917" s="167"/>
      <c r="BC2917" s="42"/>
      <c r="BD2917" s="358"/>
      <c r="BH2917" s="302"/>
      <c r="BI2917" s="42"/>
    </row>
    <row r="2918" spans="52:61">
      <c r="AZ2918" s="302"/>
      <c r="BA2918" s="313"/>
      <c r="BB2918" s="167"/>
      <c r="BC2918" s="42"/>
      <c r="BD2918" s="358"/>
      <c r="BH2918" s="302"/>
      <c r="BI2918" s="42"/>
    </row>
    <row r="2919" spans="52:61">
      <c r="AZ2919" s="302"/>
      <c r="BA2919" s="313"/>
      <c r="BB2919" s="167"/>
      <c r="BC2919" s="42"/>
      <c r="BD2919" s="358"/>
      <c r="BH2919" s="302"/>
      <c r="BI2919" s="42"/>
    </row>
    <row r="2920" spans="52:61">
      <c r="AZ2920" s="302"/>
      <c r="BA2920" s="313"/>
      <c r="BB2920" s="167"/>
      <c r="BC2920" s="42"/>
      <c r="BD2920" s="358"/>
      <c r="BH2920" s="302"/>
      <c r="BI2920" s="42"/>
    </row>
    <row r="2921" spans="52:61">
      <c r="AZ2921" s="302"/>
      <c r="BA2921" s="313"/>
      <c r="BB2921" s="167"/>
      <c r="BC2921" s="42"/>
      <c r="BD2921" s="358"/>
      <c r="BH2921" s="302"/>
      <c r="BI2921" s="42"/>
    </row>
    <row r="2922" spans="52:61">
      <c r="AZ2922" s="302"/>
      <c r="BA2922" s="313"/>
      <c r="BB2922" s="167"/>
      <c r="BC2922" s="42"/>
      <c r="BD2922" s="358"/>
      <c r="BH2922" s="302"/>
      <c r="BI2922" s="42"/>
    </row>
    <row r="2923" spans="52:61">
      <c r="AZ2923" s="302"/>
      <c r="BA2923" s="313"/>
      <c r="BB2923" s="167"/>
      <c r="BC2923" s="42"/>
      <c r="BD2923" s="358"/>
      <c r="BH2923" s="302"/>
      <c r="BI2923" s="42"/>
    </row>
    <row r="2924" spans="52:61">
      <c r="AZ2924" s="302"/>
      <c r="BA2924" s="313"/>
      <c r="BB2924" s="167"/>
      <c r="BC2924" s="42"/>
      <c r="BD2924" s="358"/>
      <c r="BH2924" s="302"/>
      <c r="BI2924" s="42"/>
    </row>
    <row r="2925" spans="52:61">
      <c r="AZ2925" s="302"/>
      <c r="BA2925" s="313"/>
      <c r="BB2925" s="167"/>
      <c r="BC2925" s="42"/>
      <c r="BD2925" s="358"/>
      <c r="BH2925" s="302"/>
      <c r="BI2925" s="42"/>
    </row>
    <row r="2926" spans="52:61">
      <c r="AZ2926" s="302"/>
      <c r="BA2926" s="313"/>
      <c r="BB2926" s="167"/>
      <c r="BC2926" s="42"/>
      <c r="BD2926" s="358"/>
      <c r="BH2926" s="302"/>
      <c r="BI2926" s="42"/>
    </row>
    <row r="2927" spans="52:61">
      <c r="AZ2927" s="302"/>
      <c r="BA2927" s="313"/>
      <c r="BB2927" s="167"/>
      <c r="BC2927" s="42"/>
      <c r="BD2927" s="358"/>
      <c r="BH2927" s="302"/>
      <c r="BI2927" s="42"/>
    </row>
    <row r="2928" spans="52:61">
      <c r="AZ2928" s="302"/>
      <c r="BA2928" s="313"/>
      <c r="BB2928" s="167"/>
      <c r="BC2928" s="42"/>
      <c r="BD2928" s="358"/>
      <c r="BH2928" s="302"/>
      <c r="BI2928" s="42"/>
    </row>
    <row r="2929" spans="52:61">
      <c r="AZ2929" s="302"/>
      <c r="BA2929" s="313"/>
      <c r="BB2929" s="167"/>
      <c r="BC2929" s="42"/>
      <c r="BD2929" s="358"/>
      <c r="BH2929" s="302"/>
      <c r="BI2929" s="42"/>
    </row>
    <row r="2930" spans="52:61">
      <c r="AZ2930" s="302"/>
      <c r="BA2930" s="313"/>
      <c r="BB2930" s="167"/>
      <c r="BC2930" s="42"/>
      <c r="BD2930" s="358"/>
      <c r="BH2930" s="302"/>
      <c r="BI2930" s="42"/>
    </row>
    <row r="2931" spans="52:61">
      <c r="AZ2931" s="302"/>
      <c r="BA2931" s="313"/>
      <c r="BB2931" s="167"/>
      <c r="BC2931" s="42"/>
      <c r="BD2931" s="358"/>
      <c r="BH2931" s="302"/>
      <c r="BI2931" s="42"/>
    </row>
    <row r="2932" spans="52:61">
      <c r="AZ2932" s="302"/>
      <c r="BA2932" s="313"/>
      <c r="BB2932" s="167"/>
      <c r="BC2932" s="42"/>
      <c r="BD2932" s="358"/>
      <c r="BH2932" s="302"/>
      <c r="BI2932" s="42"/>
    </row>
    <row r="2933" spans="52:61">
      <c r="AZ2933" s="302"/>
      <c r="BA2933" s="313"/>
      <c r="BB2933" s="167"/>
      <c r="BC2933" s="42"/>
      <c r="BD2933" s="358"/>
      <c r="BH2933" s="302"/>
      <c r="BI2933" s="42"/>
    </row>
    <row r="2934" spans="52:61">
      <c r="AZ2934" s="302"/>
      <c r="BA2934" s="313"/>
      <c r="BB2934" s="167"/>
      <c r="BC2934" s="42"/>
      <c r="BD2934" s="358"/>
      <c r="BH2934" s="302"/>
      <c r="BI2934" s="42"/>
    </row>
    <row r="2935" spans="52:61">
      <c r="AZ2935" s="302"/>
      <c r="BA2935" s="313"/>
      <c r="BB2935" s="167"/>
      <c r="BC2935" s="42"/>
      <c r="BD2935" s="358"/>
      <c r="BH2935" s="302"/>
      <c r="BI2935" s="42"/>
    </row>
    <row r="2936" spans="52:61">
      <c r="AZ2936" s="302"/>
      <c r="BA2936" s="313"/>
      <c r="BB2936" s="167"/>
      <c r="BC2936" s="42"/>
      <c r="BD2936" s="358"/>
      <c r="BH2936" s="302"/>
      <c r="BI2936" s="42"/>
    </row>
    <row r="2937" spans="52:61">
      <c r="AZ2937" s="302"/>
      <c r="BA2937" s="313"/>
      <c r="BB2937" s="167"/>
      <c r="BC2937" s="42"/>
      <c r="BD2937" s="358"/>
      <c r="BH2937" s="302"/>
      <c r="BI2937" s="42"/>
    </row>
    <row r="2938" spans="52:61">
      <c r="AZ2938" s="302"/>
      <c r="BA2938" s="313"/>
      <c r="BB2938" s="167"/>
      <c r="BC2938" s="42"/>
      <c r="BD2938" s="358"/>
      <c r="BH2938" s="302"/>
      <c r="BI2938" s="42"/>
    </row>
    <row r="2939" spans="52:61">
      <c r="AZ2939" s="302"/>
      <c r="BA2939" s="313"/>
      <c r="BB2939" s="167"/>
      <c r="BC2939" s="42"/>
      <c r="BD2939" s="358"/>
      <c r="BH2939" s="302"/>
      <c r="BI2939" s="42"/>
    </row>
    <row r="2940" spans="52:61">
      <c r="AZ2940" s="302"/>
      <c r="BA2940" s="313"/>
      <c r="BB2940" s="167"/>
      <c r="BC2940" s="42"/>
      <c r="BD2940" s="358"/>
      <c r="BH2940" s="302"/>
      <c r="BI2940" s="42"/>
    </row>
    <row r="2941" spans="52:61">
      <c r="AZ2941" s="302"/>
      <c r="BA2941" s="313"/>
      <c r="BB2941" s="167"/>
      <c r="BC2941" s="42"/>
      <c r="BD2941" s="358"/>
      <c r="BH2941" s="302"/>
      <c r="BI2941" s="42"/>
    </row>
    <row r="2942" spans="52:61">
      <c r="AZ2942" s="302"/>
      <c r="BA2942" s="313"/>
      <c r="BB2942" s="167"/>
      <c r="BC2942" s="42"/>
      <c r="BD2942" s="358"/>
      <c r="BH2942" s="302"/>
      <c r="BI2942" s="42"/>
    </row>
    <row r="2943" spans="52:61">
      <c r="AZ2943" s="302"/>
      <c r="BA2943" s="313"/>
      <c r="BB2943" s="167"/>
      <c r="BC2943" s="42"/>
      <c r="BD2943" s="358"/>
      <c r="BH2943" s="302"/>
      <c r="BI2943" s="42"/>
    </row>
    <row r="2944" spans="52:61">
      <c r="AZ2944" s="302"/>
      <c r="BA2944" s="313"/>
      <c r="BB2944" s="167"/>
      <c r="BC2944" s="42"/>
      <c r="BD2944" s="358"/>
      <c r="BH2944" s="302"/>
      <c r="BI2944" s="42"/>
    </row>
    <row r="2945" spans="52:61">
      <c r="AZ2945" s="302"/>
      <c r="BA2945" s="313"/>
      <c r="BB2945" s="167"/>
      <c r="BC2945" s="42"/>
      <c r="BD2945" s="358"/>
      <c r="BH2945" s="302"/>
      <c r="BI2945" s="42"/>
    </row>
    <row r="2946" spans="52:61">
      <c r="AZ2946" s="302"/>
      <c r="BA2946" s="313"/>
      <c r="BB2946" s="167"/>
      <c r="BC2946" s="42"/>
      <c r="BD2946" s="358"/>
      <c r="BH2946" s="302"/>
      <c r="BI2946" s="42"/>
    </row>
    <row r="2947" spans="52:61">
      <c r="AZ2947" s="302"/>
      <c r="BA2947" s="313"/>
      <c r="BB2947" s="167"/>
      <c r="BC2947" s="42"/>
      <c r="BD2947" s="358"/>
      <c r="BH2947" s="302"/>
      <c r="BI2947" s="42"/>
    </row>
    <row r="2948" spans="52:61">
      <c r="AZ2948" s="302"/>
      <c r="BA2948" s="313"/>
      <c r="BB2948" s="167"/>
      <c r="BC2948" s="42"/>
      <c r="BD2948" s="358"/>
      <c r="BH2948" s="302"/>
      <c r="BI2948" s="42"/>
    </row>
    <row r="2949" spans="52:61">
      <c r="AZ2949" s="302"/>
      <c r="BA2949" s="313"/>
      <c r="BB2949" s="167"/>
      <c r="BC2949" s="42"/>
      <c r="BD2949" s="358"/>
      <c r="BH2949" s="302"/>
      <c r="BI2949" s="42"/>
    </row>
    <row r="2950" spans="52:61">
      <c r="AZ2950" s="302"/>
      <c r="BA2950" s="313"/>
      <c r="BB2950" s="167"/>
      <c r="BC2950" s="42"/>
      <c r="BD2950" s="358"/>
      <c r="BH2950" s="302"/>
      <c r="BI2950" s="42"/>
    </row>
    <row r="2951" spans="52:61">
      <c r="AZ2951" s="302"/>
      <c r="BA2951" s="313"/>
      <c r="BB2951" s="167"/>
      <c r="BC2951" s="42"/>
      <c r="BD2951" s="358"/>
      <c r="BH2951" s="302"/>
      <c r="BI2951" s="42"/>
    </row>
    <row r="2952" spans="52:61">
      <c r="AZ2952" s="302"/>
      <c r="BA2952" s="313"/>
      <c r="BB2952" s="167"/>
      <c r="BC2952" s="42"/>
      <c r="BD2952" s="358"/>
      <c r="BH2952" s="302"/>
      <c r="BI2952" s="42"/>
    </row>
    <row r="2953" spans="52:61">
      <c r="AZ2953" s="302"/>
      <c r="BA2953" s="313"/>
      <c r="BB2953" s="167"/>
      <c r="BC2953" s="42"/>
      <c r="BD2953" s="358"/>
      <c r="BH2953" s="302"/>
      <c r="BI2953" s="42"/>
    </row>
    <row r="2954" spans="52:61">
      <c r="AZ2954" s="302"/>
      <c r="BA2954" s="313"/>
      <c r="BB2954" s="167"/>
      <c r="BC2954" s="42"/>
      <c r="BD2954" s="358"/>
      <c r="BH2954" s="302"/>
      <c r="BI2954" s="42"/>
    </row>
    <row r="2955" spans="52:61">
      <c r="AZ2955" s="302"/>
      <c r="BA2955" s="313"/>
      <c r="BB2955" s="167"/>
      <c r="BC2955" s="42"/>
      <c r="BD2955" s="358"/>
      <c r="BH2955" s="302"/>
      <c r="BI2955" s="42"/>
    </row>
    <row r="2956" spans="52:61">
      <c r="AZ2956" s="302"/>
      <c r="BA2956" s="313"/>
      <c r="BB2956" s="167"/>
      <c r="BC2956" s="42"/>
      <c r="BD2956" s="358"/>
      <c r="BH2956" s="302"/>
      <c r="BI2956" s="42"/>
    </row>
    <row r="2957" spans="52:61">
      <c r="AZ2957" s="302"/>
      <c r="BA2957" s="313"/>
      <c r="BB2957" s="167"/>
      <c r="BC2957" s="42"/>
      <c r="BD2957" s="358"/>
      <c r="BH2957" s="302"/>
      <c r="BI2957" s="42"/>
    </row>
    <row r="2958" spans="52:61">
      <c r="AZ2958" s="302"/>
      <c r="BA2958" s="313"/>
      <c r="BB2958" s="167"/>
      <c r="BC2958" s="42"/>
      <c r="BD2958" s="358"/>
      <c r="BH2958" s="302"/>
      <c r="BI2958" s="42"/>
    </row>
    <row r="2959" spans="52:61">
      <c r="AZ2959" s="302"/>
      <c r="BA2959" s="313"/>
      <c r="BB2959" s="167"/>
      <c r="BC2959" s="42"/>
      <c r="BD2959" s="358"/>
      <c r="BH2959" s="302"/>
      <c r="BI2959" s="42"/>
    </row>
    <row r="2960" spans="52:61">
      <c r="AZ2960" s="302"/>
      <c r="BA2960" s="313"/>
      <c r="BB2960" s="167"/>
      <c r="BC2960" s="42"/>
      <c r="BD2960" s="358"/>
      <c r="BH2960" s="302"/>
      <c r="BI2960" s="42"/>
    </row>
    <row r="2961" spans="52:61">
      <c r="AZ2961" s="302"/>
      <c r="BA2961" s="313"/>
      <c r="BB2961" s="167"/>
      <c r="BC2961" s="42"/>
      <c r="BD2961" s="358"/>
      <c r="BH2961" s="302"/>
      <c r="BI2961" s="42"/>
    </row>
    <row r="2962" spans="52:61">
      <c r="AZ2962" s="302"/>
      <c r="BA2962" s="313"/>
      <c r="BB2962" s="167"/>
      <c r="BC2962" s="42"/>
      <c r="BD2962" s="358"/>
      <c r="BH2962" s="302"/>
      <c r="BI2962" s="42"/>
    </row>
    <row r="2963" spans="52:61">
      <c r="AZ2963" s="302"/>
      <c r="BA2963" s="313"/>
      <c r="BB2963" s="167"/>
      <c r="BC2963" s="42"/>
      <c r="BD2963" s="358"/>
      <c r="BH2963" s="302"/>
      <c r="BI2963" s="42"/>
    </row>
    <row r="2964" spans="52:61">
      <c r="AZ2964" s="302"/>
      <c r="BA2964" s="313"/>
      <c r="BB2964" s="167"/>
      <c r="BC2964" s="42"/>
      <c r="BD2964" s="358"/>
      <c r="BH2964" s="302"/>
      <c r="BI2964" s="42"/>
    </row>
    <row r="2965" spans="52:61">
      <c r="AZ2965" s="302"/>
      <c r="BA2965" s="313"/>
      <c r="BB2965" s="167"/>
      <c r="BC2965" s="42"/>
      <c r="BD2965" s="358"/>
      <c r="BH2965" s="302"/>
      <c r="BI2965" s="42"/>
    </row>
    <row r="2966" spans="52:61">
      <c r="AZ2966" s="302"/>
      <c r="BA2966" s="313"/>
      <c r="BB2966" s="167"/>
      <c r="BC2966" s="42"/>
      <c r="BD2966" s="358"/>
      <c r="BH2966" s="302"/>
      <c r="BI2966" s="42"/>
    </row>
    <row r="2967" spans="52:61">
      <c r="AZ2967" s="302"/>
      <c r="BA2967" s="313"/>
      <c r="BB2967" s="167"/>
      <c r="BC2967" s="42"/>
      <c r="BD2967" s="358"/>
      <c r="BH2967" s="302"/>
      <c r="BI2967" s="42"/>
    </row>
    <row r="2968" spans="52:61">
      <c r="AZ2968" s="302"/>
      <c r="BA2968" s="313"/>
      <c r="BB2968" s="167"/>
      <c r="BC2968" s="42"/>
      <c r="BD2968" s="358"/>
      <c r="BH2968" s="302"/>
      <c r="BI2968" s="42"/>
    </row>
    <row r="2969" spans="52:61">
      <c r="AZ2969" s="302"/>
      <c r="BA2969" s="313"/>
      <c r="BB2969" s="167"/>
      <c r="BC2969" s="42"/>
      <c r="BD2969" s="358"/>
      <c r="BH2969" s="302"/>
      <c r="BI2969" s="42"/>
    </row>
    <row r="2970" spans="52:61">
      <c r="AZ2970" s="302"/>
      <c r="BA2970" s="313"/>
      <c r="BB2970" s="167"/>
      <c r="BC2970" s="42"/>
      <c r="BD2970" s="358"/>
      <c r="BH2970" s="302"/>
      <c r="BI2970" s="42"/>
    </row>
    <row r="2971" spans="52:61">
      <c r="AZ2971" s="302"/>
      <c r="BA2971" s="313"/>
      <c r="BB2971" s="167"/>
      <c r="BC2971" s="42"/>
      <c r="BD2971" s="358"/>
      <c r="BH2971" s="302"/>
      <c r="BI2971" s="42"/>
    </row>
    <row r="2972" spans="52:61">
      <c r="AZ2972" s="302"/>
      <c r="BA2972" s="313"/>
      <c r="BB2972" s="167"/>
      <c r="BC2972" s="42"/>
      <c r="BD2972" s="358"/>
      <c r="BH2972" s="302"/>
      <c r="BI2972" s="42"/>
    </row>
    <row r="2973" spans="52:61">
      <c r="AZ2973" s="302"/>
      <c r="BA2973" s="313"/>
      <c r="BB2973" s="167"/>
      <c r="BC2973" s="42"/>
      <c r="BD2973" s="358"/>
      <c r="BH2973" s="302"/>
      <c r="BI2973" s="42"/>
    </row>
    <row r="2974" spans="52:61">
      <c r="AZ2974" s="302"/>
      <c r="BA2974" s="313"/>
      <c r="BB2974" s="167"/>
      <c r="BC2974" s="42"/>
      <c r="BD2974" s="358"/>
      <c r="BH2974" s="302"/>
      <c r="BI2974" s="42"/>
    </row>
    <row r="2975" spans="52:61">
      <c r="AZ2975" s="302"/>
      <c r="BA2975" s="313"/>
      <c r="BB2975" s="167"/>
      <c r="BC2975" s="42"/>
      <c r="BD2975" s="358"/>
      <c r="BH2975" s="302"/>
      <c r="BI2975" s="42"/>
    </row>
    <row r="2976" spans="52:61">
      <c r="AZ2976" s="302"/>
      <c r="BA2976" s="313"/>
      <c r="BB2976" s="167"/>
      <c r="BC2976" s="42"/>
      <c r="BD2976" s="358"/>
      <c r="BH2976" s="302"/>
      <c r="BI2976" s="42"/>
    </row>
    <row r="2977" spans="52:61">
      <c r="AZ2977" s="302"/>
      <c r="BA2977" s="313"/>
      <c r="BB2977" s="167"/>
      <c r="BC2977" s="42"/>
      <c r="BD2977" s="358"/>
      <c r="BH2977" s="302"/>
      <c r="BI2977" s="42"/>
    </row>
    <row r="2978" spans="52:61">
      <c r="AZ2978" s="302"/>
      <c r="BA2978" s="313"/>
      <c r="BB2978" s="167"/>
      <c r="BC2978" s="42"/>
      <c r="BD2978" s="358"/>
      <c r="BH2978" s="302"/>
      <c r="BI2978" s="42"/>
    </row>
    <row r="2979" spans="52:61">
      <c r="AZ2979" s="302"/>
      <c r="BA2979" s="313"/>
      <c r="BB2979" s="167"/>
      <c r="BC2979" s="42"/>
      <c r="BD2979" s="358"/>
      <c r="BH2979" s="302"/>
      <c r="BI2979" s="42"/>
    </row>
    <row r="2980" spans="52:61">
      <c r="AZ2980" s="302"/>
      <c r="BA2980" s="313"/>
      <c r="BB2980" s="167"/>
      <c r="BC2980" s="42"/>
      <c r="BD2980" s="358"/>
      <c r="BH2980" s="302"/>
      <c r="BI2980" s="42"/>
    </row>
    <row r="2981" spans="52:61">
      <c r="AZ2981" s="302"/>
      <c r="BA2981" s="313"/>
      <c r="BB2981" s="167"/>
      <c r="BC2981" s="42"/>
      <c r="BD2981" s="358"/>
      <c r="BH2981" s="302"/>
      <c r="BI2981" s="42"/>
    </row>
    <row r="2982" spans="52:61">
      <c r="AZ2982" s="302"/>
      <c r="BA2982" s="313"/>
      <c r="BB2982" s="167"/>
      <c r="BC2982" s="42"/>
      <c r="BD2982" s="358"/>
      <c r="BH2982" s="302"/>
      <c r="BI2982" s="42"/>
    </row>
    <row r="2983" spans="52:61">
      <c r="AZ2983" s="302"/>
      <c r="BA2983" s="313"/>
      <c r="BB2983" s="167"/>
      <c r="BC2983" s="42"/>
      <c r="BD2983" s="358"/>
      <c r="BH2983" s="302"/>
      <c r="BI2983" s="42"/>
    </row>
    <row r="2984" spans="52:61">
      <c r="AZ2984" s="302"/>
      <c r="BA2984" s="313"/>
      <c r="BB2984" s="167"/>
      <c r="BC2984" s="42"/>
      <c r="BD2984" s="358"/>
      <c r="BH2984" s="302"/>
      <c r="BI2984" s="42"/>
    </row>
    <row r="2985" spans="52:61">
      <c r="AZ2985" s="302"/>
      <c r="BA2985" s="313"/>
      <c r="BB2985" s="167"/>
      <c r="BC2985" s="42"/>
      <c r="BD2985" s="358"/>
      <c r="BH2985" s="302"/>
      <c r="BI2985" s="42"/>
    </row>
    <row r="2986" spans="52:61">
      <c r="AZ2986" s="302"/>
      <c r="BA2986" s="313"/>
      <c r="BB2986" s="167"/>
      <c r="BC2986" s="42"/>
      <c r="BD2986" s="358"/>
      <c r="BH2986" s="302"/>
      <c r="BI2986" s="42"/>
    </row>
    <row r="2987" spans="52:61">
      <c r="AZ2987" s="302"/>
      <c r="BA2987" s="313"/>
      <c r="BB2987" s="167"/>
      <c r="BC2987" s="42"/>
      <c r="BD2987" s="358"/>
      <c r="BH2987" s="302"/>
      <c r="BI2987" s="42"/>
    </row>
    <row r="2988" spans="52:61">
      <c r="AZ2988" s="302"/>
      <c r="BA2988" s="313"/>
      <c r="BB2988" s="167"/>
      <c r="BC2988" s="42"/>
      <c r="BD2988" s="358"/>
      <c r="BH2988" s="302"/>
      <c r="BI2988" s="42"/>
    </row>
    <row r="2989" spans="52:61">
      <c r="AZ2989" s="302"/>
      <c r="BA2989" s="313"/>
      <c r="BB2989" s="167"/>
      <c r="BC2989" s="42"/>
      <c r="BD2989" s="358"/>
      <c r="BH2989" s="302"/>
      <c r="BI2989" s="42"/>
    </row>
    <row r="2990" spans="52:61">
      <c r="AZ2990" s="302"/>
      <c r="BA2990" s="313"/>
      <c r="BB2990" s="167"/>
      <c r="BC2990" s="42"/>
      <c r="BD2990" s="358"/>
      <c r="BH2990" s="302"/>
      <c r="BI2990" s="42"/>
    </row>
    <row r="2991" spans="52:61">
      <c r="AZ2991" s="302"/>
      <c r="BA2991" s="313"/>
      <c r="BB2991" s="167"/>
      <c r="BC2991" s="42"/>
      <c r="BD2991" s="358"/>
      <c r="BH2991" s="302"/>
      <c r="BI2991" s="42"/>
    </row>
    <row r="2992" spans="52:61">
      <c r="AZ2992" s="302"/>
      <c r="BA2992" s="313"/>
      <c r="BB2992" s="167"/>
      <c r="BC2992" s="42"/>
      <c r="BD2992" s="358"/>
      <c r="BH2992" s="302"/>
      <c r="BI2992" s="42"/>
    </row>
    <row r="2993" spans="52:61">
      <c r="AZ2993" s="302"/>
      <c r="BA2993" s="313"/>
      <c r="BB2993" s="167"/>
      <c r="BC2993" s="42"/>
      <c r="BD2993" s="358"/>
      <c r="BH2993" s="302"/>
      <c r="BI2993" s="42"/>
    </row>
    <row r="2994" spans="52:61">
      <c r="AZ2994" s="302"/>
      <c r="BA2994" s="313"/>
      <c r="BB2994" s="167"/>
      <c r="BC2994" s="42"/>
      <c r="BD2994" s="358"/>
      <c r="BH2994" s="302"/>
      <c r="BI2994" s="42"/>
    </row>
    <row r="2995" spans="52:61">
      <c r="AZ2995" s="302"/>
      <c r="BA2995" s="313"/>
      <c r="BB2995" s="167"/>
      <c r="BC2995" s="42"/>
      <c r="BD2995" s="358"/>
      <c r="BH2995" s="302"/>
      <c r="BI2995" s="42"/>
    </row>
    <row r="2996" spans="52:61">
      <c r="AZ2996" s="302"/>
      <c r="BA2996" s="313"/>
      <c r="BB2996" s="167"/>
      <c r="BC2996" s="42"/>
      <c r="BD2996" s="358"/>
      <c r="BH2996" s="302"/>
      <c r="BI2996" s="42"/>
    </row>
    <row r="2997" spans="52:61">
      <c r="AZ2997" s="302"/>
      <c r="BA2997" s="313"/>
      <c r="BB2997" s="167"/>
      <c r="BC2997" s="42"/>
      <c r="BD2997" s="358"/>
      <c r="BH2997" s="302"/>
      <c r="BI2997" s="42"/>
    </row>
    <row r="2998" spans="52:61">
      <c r="AZ2998" s="302"/>
      <c r="BA2998" s="313"/>
      <c r="BB2998" s="167"/>
      <c r="BC2998" s="42"/>
      <c r="BD2998" s="358"/>
      <c r="BH2998" s="302"/>
      <c r="BI2998" s="42"/>
    </row>
    <row r="2999" spans="52:61">
      <c r="AZ2999" s="302"/>
      <c r="BA2999" s="313"/>
      <c r="BB2999" s="167"/>
      <c r="BC2999" s="42"/>
      <c r="BD2999" s="358"/>
      <c r="BH2999" s="302"/>
      <c r="BI2999" s="42"/>
    </row>
    <row r="3000" spans="52:61">
      <c r="AZ3000" s="302"/>
      <c r="BA3000" s="313"/>
      <c r="BB3000" s="167"/>
      <c r="BC3000" s="42"/>
      <c r="BD3000" s="358"/>
      <c r="BH3000" s="302"/>
      <c r="BI3000" s="42"/>
    </row>
    <row r="3001" spans="52:61">
      <c r="AZ3001" s="302"/>
      <c r="BA3001" s="313"/>
      <c r="BB3001" s="167"/>
      <c r="BC3001" s="42"/>
      <c r="BD3001" s="358"/>
      <c r="BH3001" s="302"/>
      <c r="BI3001" s="42"/>
    </row>
    <row r="3002" spans="52:61">
      <c r="AZ3002" s="302"/>
      <c r="BA3002" s="313"/>
      <c r="BB3002" s="167"/>
      <c r="BC3002" s="42"/>
      <c r="BD3002" s="358"/>
      <c r="BH3002" s="302"/>
      <c r="BI3002" s="42"/>
    </row>
    <row r="3003" spans="52:61">
      <c r="AZ3003" s="302"/>
      <c r="BA3003" s="313"/>
      <c r="BB3003" s="167"/>
      <c r="BC3003" s="42"/>
      <c r="BD3003" s="358"/>
      <c r="BH3003" s="302"/>
      <c r="BI3003" s="42"/>
    </row>
    <row r="3004" spans="52:61">
      <c r="AZ3004" s="302"/>
      <c r="BA3004" s="313"/>
      <c r="BB3004" s="167"/>
      <c r="BC3004" s="42"/>
      <c r="BD3004" s="358"/>
      <c r="BH3004" s="302"/>
      <c r="BI3004" s="42"/>
    </row>
    <row r="3005" spans="52:61">
      <c r="AZ3005" s="302"/>
      <c r="BA3005" s="313"/>
      <c r="BB3005" s="167"/>
      <c r="BC3005" s="42"/>
      <c r="BD3005" s="358"/>
      <c r="BH3005" s="302"/>
      <c r="BI3005" s="42"/>
    </row>
    <row r="3006" spans="52:61">
      <c r="AZ3006" s="302"/>
      <c r="BA3006" s="313"/>
      <c r="BB3006" s="167"/>
      <c r="BC3006" s="42"/>
      <c r="BD3006" s="358"/>
      <c r="BH3006" s="302"/>
      <c r="BI3006" s="42"/>
    </row>
    <row r="3007" spans="52:61">
      <c r="AZ3007" s="302"/>
      <c r="BA3007" s="313"/>
      <c r="BB3007" s="167"/>
      <c r="BC3007" s="42"/>
      <c r="BD3007" s="358"/>
      <c r="BH3007" s="302"/>
      <c r="BI3007" s="42"/>
    </row>
    <row r="3008" spans="52:61">
      <c r="AZ3008" s="302"/>
      <c r="BA3008" s="313"/>
      <c r="BB3008" s="167"/>
      <c r="BC3008" s="42"/>
      <c r="BD3008" s="358"/>
      <c r="BH3008" s="302"/>
      <c r="BI3008" s="42"/>
    </row>
    <row r="3009" spans="52:61">
      <c r="AZ3009" s="302"/>
      <c r="BA3009" s="313"/>
      <c r="BB3009" s="167"/>
      <c r="BC3009" s="42"/>
      <c r="BD3009" s="358"/>
      <c r="BH3009" s="302"/>
      <c r="BI3009" s="42"/>
    </row>
    <row r="3010" spans="52:61">
      <c r="AZ3010" s="302"/>
      <c r="BA3010" s="313"/>
      <c r="BB3010" s="167"/>
      <c r="BC3010" s="42"/>
      <c r="BD3010" s="358"/>
      <c r="BH3010" s="302"/>
      <c r="BI3010" s="42"/>
    </row>
    <row r="3011" spans="52:61">
      <c r="AZ3011" s="302"/>
      <c r="BA3011" s="313"/>
      <c r="BB3011" s="167"/>
      <c r="BC3011" s="42"/>
      <c r="BD3011" s="358"/>
      <c r="BH3011" s="302"/>
      <c r="BI3011" s="42"/>
    </row>
    <row r="3012" spans="52:61">
      <c r="AZ3012" s="302"/>
      <c r="BA3012" s="313"/>
      <c r="BB3012" s="167"/>
      <c r="BC3012" s="42"/>
      <c r="BD3012" s="358"/>
      <c r="BH3012" s="302"/>
      <c r="BI3012" s="42"/>
    </row>
    <row r="3013" spans="52:61">
      <c r="AZ3013" s="302"/>
      <c r="BA3013" s="313"/>
      <c r="BB3013" s="167"/>
      <c r="BC3013" s="42"/>
      <c r="BD3013" s="358"/>
      <c r="BH3013" s="302"/>
      <c r="BI3013" s="42"/>
    </row>
    <row r="3014" spans="52:61">
      <c r="AZ3014" s="302"/>
      <c r="BA3014" s="313"/>
      <c r="BB3014" s="167"/>
      <c r="BC3014" s="42"/>
      <c r="BD3014" s="358"/>
      <c r="BH3014" s="302"/>
      <c r="BI3014" s="42"/>
    </row>
    <row r="3015" spans="52:61">
      <c r="AZ3015" s="302"/>
      <c r="BA3015" s="313"/>
      <c r="BB3015" s="167"/>
      <c r="BC3015" s="42"/>
      <c r="BD3015" s="358"/>
      <c r="BH3015" s="302"/>
      <c r="BI3015" s="42"/>
    </row>
    <row r="3016" spans="52:61">
      <c r="AZ3016" s="302"/>
      <c r="BA3016" s="313"/>
      <c r="BB3016" s="167"/>
      <c r="BC3016" s="42"/>
      <c r="BD3016" s="358"/>
      <c r="BH3016" s="302"/>
      <c r="BI3016" s="42"/>
    </row>
    <row r="3017" spans="52:61">
      <c r="AZ3017" s="302"/>
      <c r="BA3017" s="313"/>
      <c r="BB3017" s="167"/>
      <c r="BC3017" s="42"/>
      <c r="BD3017" s="358"/>
      <c r="BH3017" s="302"/>
      <c r="BI3017" s="42"/>
    </row>
    <row r="3018" spans="52:61">
      <c r="AZ3018" s="302"/>
      <c r="BA3018" s="313"/>
      <c r="BB3018" s="167"/>
      <c r="BC3018" s="42"/>
      <c r="BD3018" s="358"/>
      <c r="BH3018" s="302"/>
      <c r="BI3018" s="42"/>
    </row>
    <row r="3019" spans="52:61">
      <c r="AZ3019" s="302"/>
      <c r="BA3019" s="313"/>
      <c r="BB3019" s="167"/>
      <c r="BC3019" s="42"/>
      <c r="BD3019" s="358"/>
      <c r="BH3019" s="302"/>
      <c r="BI3019" s="42"/>
    </row>
    <row r="3020" spans="52:61">
      <c r="AZ3020" s="302"/>
      <c r="BA3020" s="313"/>
      <c r="BB3020" s="167"/>
      <c r="BC3020" s="42"/>
      <c r="BD3020" s="358"/>
      <c r="BH3020" s="302"/>
      <c r="BI3020" s="42"/>
    </row>
    <row r="3021" spans="52:61">
      <c r="AZ3021" s="302"/>
      <c r="BA3021" s="313"/>
      <c r="BB3021" s="167"/>
      <c r="BC3021" s="42"/>
      <c r="BD3021" s="358"/>
      <c r="BH3021" s="302"/>
      <c r="BI3021" s="42"/>
    </row>
    <row r="3022" spans="52:61">
      <c r="AZ3022" s="302"/>
      <c r="BA3022" s="313"/>
      <c r="BB3022" s="167"/>
      <c r="BC3022" s="42"/>
      <c r="BD3022" s="358"/>
      <c r="BH3022" s="302"/>
      <c r="BI3022" s="42"/>
    </row>
    <row r="3023" spans="52:61">
      <c r="AZ3023" s="302"/>
      <c r="BA3023" s="313"/>
      <c r="BB3023" s="167"/>
      <c r="BC3023" s="42"/>
      <c r="BD3023" s="358"/>
      <c r="BH3023" s="302"/>
      <c r="BI3023" s="42"/>
    </row>
    <row r="3024" spans="52:61">
      <c r="AZ3024" s="302"/>
      <c r="BA3024" s="313"/>
      <c r="BB3024" s="167"/>
      <c r="BC3024" s="42"/>
      <c r="BD3024" s="358"/>
      <c r="BH3024" s="302"/>
      <c r="BI3024" s="42"/>
    </row>
    <row r="3025" spans="52:61">
      <c r="AZ3025" s="302"/>
      <c r="BA3025" s="313"/>
      <c r="BB3025" s="167"/>
      <c r="BC3025" s="42"/>
      <c r="BD3025" s="358"/>
      <c r="BH3025" s="302"/>
      <c r="BI3025" s="42"/>
    </row>
    <row r="3026" spans="52:61">
      <c r="AZ3026" s="302"/>
      <c r="BA3026" s="313"/>
      <c r="BB3026" s="167"/>
      <c r="BC3026" s="42"/>
      <c r="BD3026" s="358"/>
      <c r="BH3026" s="302"/>
      <c r="BI3026" s="42"/>
    </row>
    <row r="3027" spans="52:61">
      <c r="AZ3027" s="302"/>
      <c r="BA3027" s="313"/>
      <c r="BB3027" s="167"/>
      <c r="BC3027" s="42"/>
      <c r="BD3027" s="358"/>
      <c r="BH3027" s="302"/>
      <c r="BI3027" s="42"/>
    </row>
    <row r="3028" spans="52:61">
      <c r="AZ3028" s="302"/>
      <c r="BA3028" s="313"/>
      <c r="BB3028" s="167"/>
      <c r="BC3028" s="42"/>
      <c r="BD3028" s="358"/>
      <c r="BH3028" s="302"/>
      <c r="BI3028" s="42"/>
    </row>
    <row r="3029" spans="52:61">
      <c r="AZ3029" s="302"/>
      <c r="BA3029" s="313"/>
      <c r="BB3029" s="167"/>
      <c r="BC3029" s="42"/>
      <c r="BD3029" s="358"/>
      <c r="BH3029" s="302"/>
      <c r="BI3029" s="42"/>
    </row>
    <row r="3030" spans="52:61">
      <c r="AZ3030" s="302"/>
      <c r="BA3030" s="313"/>
      <c r="BB3030" s="167"/>
      <c r="BC3030" s="42"/>
      <c r="BD3030" s="358"/>
      <c r="BH3030" s="302"/>
      <c r="BI3030" s="42"/>
    </row>
    <row r="3031" spans="52:61">
      <c r="AZ3031" s="302"/>
      <c r="BA3031" s="313"/>
      <c r="BB3031" s="167"/>
      <c r="BC3031" s="42"/>
      <c r="BD3031" s="358"/>
      <c r="BH3031" s="302"/>
      <c r="BI3031" s="42"/>
    </row>
    <row r="3032" spans="52:61">
      <c r="AZ3032" s="302"/>
      <c r="BA3032" s="313"/>
      <c r="BB3032" s="167"/>
      <c r="BC3032" s="42"/>
      <c r="BD3032" s="358"/>
      <c r="BH3032" s="302"/>
      <c r="BI3032" s="42"/>
    </row>
    <row r="3033" spans="52:61">
      <c r="AZ3033" s="302"/>
      <c r="BA3033" s="313"/>
      <c r="BB3033" s="167"/>
      <c r="BC3033" s="42"/>
      <c r="BD3033" s="358"/>
      <c r="BH3033" s="302"/>
      <c r="BI3033" s="42"/>
    </row>
    <row r="3034" spans="52:61">
      <c r="AZ3034" s="302"/>
      <c r="BA3034" s="313"/>
      <c r="BB3034" s="167"/>
      <c r="BC3034" s="42"/>
      <c r="BD3034" s="358"/>
      <c r="BH3034" s="302"/>
      <c r="BI3034" s="42"/>
    </row>
    <row r="3035" spans="52:61">
      <c r="AZ3035" s="302"/>
      <c r="BA3035" s="313"/>
      <c r="BB3035" s="167"/>
      <c r="BC3035" s="42"/>
      <c r="BD3035" s="358"/>
      <c r="BH3035" s="302"/>
      <c r="BI3035" s="42"/>
    </row>
    <row r="3036" spans="52:61">
      <c r="AZ3036" s="302"/>
      <c r="BA3036" s="313"/>
      <c r="BB3036" s="167"/>
      <c r="BC3036" s="42"/>
      <c r="BD3036" s="358"/>
      <c r="BH3036" s="302"/>
      <c r="BI3036" s="42"/>
    </row>
    <row r="3037" spans="52:61">
      <c r="AZ3037" s="302"/>
      <c r="BA3037" s="313"/>
      <c r="BB3037" s="167"/>
      <c r="BC3037" s="42"/>
      <c r="BD3037" s="358"/>
      <c r="BH3037" s="302"/>
      <c r="BI3037" s="42"/>
    </row>
    <row r="3038" spans="52:61">
      <c r="AZ3038" s="302"/>
      <c r="BA3038" s="313"/>
      <c r="BB3038" s="167"/>
      <c r="BC3038" s="42"/>
      <c r="BD3038" s="358"/>
      <c r="BH3038" s="302"/>
      <c r="BI3038" s="42"/>
    </row>
    <row r="3039" spans="52:61">
      <c r="AZ3039" s="302"/>
      <c r="BA3039" s="313"/>
      <c r="BB3039" s="167"/>
      <c r="BC3039" s="42"/>
      <c r="BD3039" s="358"/>
      <c r="BH3039" s="302"/>
      <c r="BI3039" s="42"/>
    </row>
    <row r="3040" spans="52:61">
      <c r="AZ3040" s="302"/>
      <c r="BA3040" s="313"/>
      <c r="BB3040" s="167"/>
      <c r="BC3040" s="42"/>
      <c r="BD3040" s="358"/>
      <c r="BH3040" s="302"/>
      <c r="BI3040" s="42"/>
    </row>
    <row r="3041" spans="52:61">
      <c r="AZ3041" s="302"/>
      <c r="BA3041" s="313"/>
      <c r="BB3041" s="167"/>
      <c r="BC3041" s="42"/>
      <c r="BD3041" s="358"/>
      <c r="BH3041" s="302"/>
      <c r="BI3041" s="42"/>
    </row>
    <row r="3042" spans="52:61">
      <c r="AZ3042" s="302"/>
      <c r="BA3042" s="313"/>
      <c r="BB3042" s="167"/>
      <c r="BC3042" s="42"/>
      <c r="BD3042" s="358"/>
      <c r="BH3042" s="302"/>
      <c r="BI3042" s="42"/>
    </row>
    <row r="3043" spans="52:61">
      <c r="AZ3043" s="302"/>
      <c r="BA3043" s="313"/>
      <c r="BB3043" s="167"/>
      <c r="BC3043" s="42"/>
      <c r="BD3043" s="358"/>
      <c r="BH3043" s="302"/>
      <c r="BI3043" s="42"/>
    </row>
    <row r="3044" spans="52:61">
      <c r="AZ3044" s="302"/>
      <c r="BA3044" s="313"/>
      <c r="BB3044" s="167"/>
      <c r="BC3044" s="42"/>
      <c r="BD3044" s="358"/>
      <c r="BH3044" s="302"/>
      <c r="BI3044" s="42"/>
    </row>
    <row r="3045" spans="52:61">
      <c r="AZ3045" s="302"/>
      <c r="BA3045" s="313"/>
      <c r="BB3045" s="167"/>
      <c r="BC3045" s="42"/>
      <c r="BD3045" s="358"/>
      <c r="BH3045" s="302"/>
      <c r="BI3045" s="42"/>
    </row>
    <row r="3046" spans="52:61">
      <c r="AZ3046" s="302"/>
      <c r="BA3046" s="313"/>
      <c r="BB3046" s="167"/>
      <c r="BC3046" s="42"/>
      <c r="BD3046" s="358"/>
      <c r="BH3046" s="302"/>
      <c r="BI3046" s="42"/>
    </row>
    <row r="3047" spans="52:61">
      <c r="AZ3047" s="302"/>
      <c r="BA3047" s="313"/>
      <c r="BB3047" s="167"/>
      <c r="BC3047" s="42"/>
      <c r="BD3047" s="358"/>
      <c r="BH3047" s="302"/>
      <c r="BI3047" s="42"/>
    </row>
    <row r="3048" spans="52:61">
      <c r="AZ3048" s="302"/>
      <c r="BA3048" s="313"/>
      <c r="BB3048" s="167"/>
      <c r="BC3048" s="42"/>
      <c r="BD3048" s="358"/>
      <c r="BH3048" s="302"/>
      <c r="BI3048" s="42"/>
    </row>
    <row r="3049" spans="52:61">
      <c r="AZ3049" s="302"/>
      <c r="BA3049" s="313"/>
      <c r="BB3049" s="167"/>
      <c r="BC3049" s="42"/>
      <c r="BD3049" s="358"/>
      <c r="BH3049" s="302"/>
      <c r="BI3049" s="42"/>
    </row>
    <row r="3050" spans="52:61">
      <c r="AZ3050" s="302"/>
      <c r="BA3050" s="313"/>
      <c r="BB3050" s="167"/>
      <c r="BC3050" s="42"/>
      <c r="BD3050" s="358"/>
      <c r="BH3050" s="302"/>
      <c r="BI3050" s="42"/>
    </row>
    <row r="3051" spans="52:61">
      <c r="AZ3051" s="302"/>
      <c r="BA3051" s="313"/>
      <c r="BB3051" s="167"/>
      <c r="BC3051" s="42"/>
      <c r="BD3051" s="358"/>
      <c r="BH3051" s="302"/>
      <c r="BI3051" s="42"/>
    </row>
    <row r="3052" spans="52:61">
      <c r="AZ3052" s="302"/>
      <c r="BA3052" s="313"/>
      <c r="BB3052" s="167"/>
      <c r="BC3052" s="42"/>
      <c r="BD3052" s="358"/>
      <c r="BH3052" s="302"/>
      <c r="BI3052" s="42"/>
    </row>
    <row r="3053" spans="52:61">
      <c r="AZ3053" s="302"/>
      <c r="BA3053" s="313"/>
      <c r="BB3053" s="167"/>
      <c r="BC3053" s="42"/>
      <c r="BD3053" s="358"/>
      <c r="BH3053" s="302"/>
      <c r="BI3053" s="42"/>
    </row>
    <row r="3054" spans="52:61">
      <c r="AZ3054" s="302"/>
      <c r="BA3054" s="313"/>
      <c r="BB3054" s="167"/>
      <c r="BC3054" s="42"/>
      <c r="BD3054" s="358"/>
      <c r="BH3054" s="302"/>
      <c r="BI3054" s="42"/>
    </row>
    <row r="3055" spans="52:61">
      <c r="AZ3055" s="302"/>
      <c r="BA3055" s="313"/>
      <c r="BB3055" s="167"/>
      <c r="BC3055" s="42"/>
      <c r="BD3055" s="358"/>
      <c r="BH3055" s="302"/>
      <c r="BI3055" s="42"/>
    </row>
    <row r="3056" spans="52:61">
      <c r="AZ3056" s="302"/>
      <c r="BA3056" s="313"/>
      <c r="BB3056" s="167"/>
      <c r="BC3056" s="42"/>
      <c r="BD3056" s="358"/>
      <c r="BH3056" s="302"/>
      <c r="BI3056" s="42"/>
    </row>
    <row r="3057" spans="52:61">
      <c r="AZ3057" s="302"/>
      <c r="BA3057" s="313"/>
      <c r="BB3057" s="167"/>
      <c r="BC3057" s="42"/>
      <c r="BD3057" s="358"/>
      <c r="BH3057" s="302"/>
      <c r="BI3057" s="42"/>
    </row>
    <row r="3058" spans="52:61">
      <c r="AZ3058" s="302"/>
      <c r="BA3058" s="313"/>
      <c r="BB3058" s="167"/>
      <c r="BC3058" s="42"/>
      <c r="BD3058" s="358"/>
      <c r="BH3058" s="302"/>
      <c r="BI3058" s="42"/>
    </row>
    <row r="3059" spans="52:61">
      <c r="AZ3059" s="302"/>
      <c r="BA3059" s="313"/>
      <c r="BB3059" s="167"/>
      <c r="BC3059" s="42"/>
      <c r="BD3059" s="358"/>
      <c r="BH3059" s="302"/>
      <c r="BI3059" s="42"/>
    </row>
    <row r="3060" spans="52:61">
      <c r="AZ3060" s="302"/>
      <c r="BA3060" s="313"/>
      <c r="BB3060" s="167"/>
      <c r="BC3060" s="42"/>
      <c r="BD3060" s="358"/>
      <c r="BH3060" s="302"/>
      <c r="BI3060" s="42"/>
    </row>
    <row r="3061" spans="52:61">
      <c r="AZ3061" s="302"/>
      <c r="BA3061" s="313"/>
      <c r="BB3061" s="167"/>
      <c r="BC3061" s="42"/>
      <c r="BD3061" s="358"/>
      <c r="BH3061" s="302"/>
      <c r="BI3061" s="42"/>
    </row>
    <row r="3062" spans="52:61">
      <c r="AZ3062" s="302"/>
      <c r="BA3062" s="313"/>
      <c r="BB3062" s="167"/>
      <c r="BC3062" s="42"/>
      <c r="BD3062" s="358"/>
      <c r="BH3062" s="302"/>
      <c r="BI3062" s="42"/>
    </row>
    <row r="3063" spans="52:61">
      <c r="AZ3063" s="302"/>
      <c r="BA3063" s="313"/>
      <c r="BB3063" s="167"/>
      <c r="BC3063" s="42"/>
      <c r="BD3063" s="358"/>
      <c r="BH3063" s="302"/>
      <c r="BI3063" s="42"/>
    </row>
    <row r="3064" spans="52:61">
      <c r="AZ3064" s="302"/>
      <c r="BA3064" s="313"/>
      <c r="BB3064" s="167"/>
      <c r="BC3064" s="42"/>
      <c r="BD3064" s="358"/>
      <c r="BH3064" s="302"/>
      <c r="BI3064" s="42"/>
    </row>
    <row r="3065" spans="52:61">
      <c r="AZ3065" s="302"/>
      <c r="BA3065" s="313"/>
      <c r="BB3065" s="167"/>
      <c r="BC3065" s="42"/>
      <c r="BD3065" s="358"/>
      <c r="BH3065" s="302"/>
      <c r="BI3065" s="42"/>
    </row>
    <row r="3066" spans="52:61">
      <c r="AZ3066" s="302"/>
      <c r="BA3066" s="313"/>
      <c r="BB3066" s="167"/>
      <c r="BC3066" s="42"/>
      <c r="BD3066" s="358"/>
      <c r="BH3066" s="302"/>
      <c r="BI3066" s="42"/>
    </row>
    <row r="3067" spans="52:61">
      <c r="AZ3067" s="302"/>
      <c r="BA3067" s="313"/>
      <c r="BB3067" s="167"/>
      <c r="BC3067" s="42"/>
      <c r="BD3067" s="358"/>
      <c r="BH3067" s="302"/>
      <c r="BI3067" s="42"/>
    </row>
    <row r="3068" spans="52:61">
      <c r="AZ3068" s="302"/>
      <c r="BA3068" s="313"/>
      <c r="BB3068" s="167"/>
      <c r="BC3068" s="42"/>
      <c r="BD3068" s="358"/>
      <c r="BH3068" s="302"/>
      <c r="BI3068" s="42"/>
    </row>
    <row r="3069" spans="52:61">
      <c r="AZ3069" s="302"/>
      <c r="BA3069" s="313"/>
      <c r="BB3069" s="167"/>
      <c r="BC3069" s="42"/>
      <c r="BD3069" s="358"/>
      <c r="BH3069" s="302"/>
      <c r="BI3069" s="42"/>
    </row>
    <row r="3070" spans="52:61">
      <c r="AZ3070" s="302"/>
      <c r="BA3070" s="313"/>
      <c r="BB3070" s="167"/>
      <c r="BC3070" s="42"/>
      <c r="BD3070" s="358"/>
      <c r="BH3070" s="302"/>
      <c r="BI3070" s="42"/>
    </row>
    <row r="3071" spans="52:61">
      <c r="AZ3071" s="302"/>
      <c r="BA3071" s="313"/>
      <c r="BB3071" s="167"/>
      <c r="BC3071" s="42"/>
      <c r="BD3071" s="358"/>
      <c r="BH3071" s="302"/>
      <c r="BI3071" s="42"/>
    </row>
    <row r="3072" spans="52:61">
      <c r="AZ3072" s="302"/>
      <c r="BA3072" s="313"/>
      <c r="BB3072" s="167"/>
      <c r="BC3072" s="42"/>
      <c r="BD3072" s="358"/>
      <c r="BH3072" s="302"/>
      <c r="BI3072" s="42"/>
    </row>
    <row r="3073" spans="52:61">
      <c r="AZ3073" s="302"/>
      <c r="BA3073" s="313"/>
      <c r="BB3073" s="167"/>
      <c r="BC3073" s="42"/>
      <c r="BD3073" s="358"/>
      <c r="BH3073" s="302"/>
      <c r="BI3073" s="42"/>
    </row>
    <row r="3074" spans="52:61">
      <c r="AZ3074" s="302"/>
      <c r="BA3074" s="313"/>
      <c r="BB3074" s="167"/>
      <c r="BC3074" s="42"/>
      <c r="BD3074" s="358"/>
      <c r="BH3074" s="302"/>
      <c r="BI3074" s="42"/>
    </row>
    <row r="3075" spans="52:61">
      <c r="AZ3075" s="302"/>
      <c r="BA3075" s="313"/>
      <c r="BB3075" s="167"/>
      <c r="BC3075" s="42"/>
      <c r="BD3075" s="358"/>
      <c r="BH3075" s="302"/>
      <c r="BI3075" s="42"/>
    </row>
    <row r="3076" spans="52:61">
      <c r="AZ3076" s="302"/>
      <c r="BA3076" s="313"/>
      <c r="BB3076" s="167"/>
      <c r="BC3076" s="42"/>
      <c r="BD3076" s="358"/>
      <c r="BH3076" s="302"/>
      <c r="BI3076" s="42"/>
    </row>
    <row r="3077" spans="52:61">
      <c r="AZ3077" s="302"/>
      <c r="BA3077" s="313"/>
      <c r="BB3077" s="167"/>
      <c r="BC3077" s="42"/>
      <c r="BD3077" s="358"/>
      <c r="BH3077" s="302"/>
      <c r="BI3077" s="42"/>
    </row>
    <row r="3078" spans="52:61">
      <c r="AZ3078" s="302"/>
      <c r="BA3078" s="313"/>
      <c r="BB3078" s="167"/>
      <c r="BC3078" s="42"/>
      <c r="BD3078" s="358"/>
      <c r="BH3078" s="302"/>
      <c r="BI3078" s="42"/>
    </row>
    <row r="3079" spans="52:61">
      <c r="AZ3079" s="302"/>
      <c r="BA3079" s="313"/>
      <c r="BB3079" s="167"/>
      <c r="BC3079" s="42"/>
      <c r="BD3079" s="358"/>
      <c r="BH3079" s="302"/>
      <c r="BI3079" s="42"/>
    </row>
    <row r="3080" spans="52:61">
      <c r="AZ3080" s="302"/>
      <c r="BA3080" s="313"/>
      <c r="BB3080" s="167"/>
      <c r="BC3080" s="42"/>
      <c r="BD3080" s="358"/>
      <c r="BH3080" s="302"/>
      <c r="BI3080" s="42"/>
    </row>
    <row r="3081" spans="52:61">
      <c r="AZ3081" s="302"/>
      <c r="BA3081" s="313"/>
      <c r="BB3081" s="167"/>
      <c r="BC3081" s="42"/>
      <c r="BD3081" s="358"/>
      <c r="BH3081" s="302"/>
      <c r="BI3081" s="42"/>
    </row>
    <row r="3082" spans="52:61">
      <c r="AZ3082" s="302"/>
      <c r="BA3082" s="313"/>
      <c r="BB3082" s="167"/>
      <c r="BC3082" s="42"/>
      <c r="BD3082" s="358"/>
      <c r="BH3082" s="302"/>
      <c r="BI3082" s="42"/>
    </row>
    <row r="3083" spans="52:61">
      <c r="AZ3083" s="302"/>
      <c r="BA3083" s="313"/>
      <c r="BB3083" s="167"/>
      <c r="BC3083" s="42"/>
      <c r="BD3083" s="358"/>
      <c r="BH3083" s="302"/>
      <c r="BI3083" s="42"/>
    </row>
    <row r="3084" spans="52:61">
      <c r="AZ3084" s="302"/>
      <c r="BA3084" s="313"/>
      <c r="BB3084" s="167"/>
      <c r="BC3084" s="42"/>
      <c r="BD3084" s="358"/>
      <c r="BH3084" s="302"/>
      <c r="BI3084" s="42"/>
    </row>
    <row r="3085" spans="52:61">
      <c r="AZ3085" s="302"/>
      <c r="BA3085" s="313"/>
      <c r="BB3085" s="167"/>
      <c r="BC3085" s="42"/>
      <c r="BD3085" s="358"/>
      <c r="BH3085" s="302"/>
      <c r="BI3085" s="42"/>
    </row>
    <row r="3086" spans="52:61">
      <c r="AZ3086" s="302"/>
      <c r="BA3086" s="313"/>
      <c r="BB3086" s="167"/>
      <c r="BC3086" s="42"/>
      <c r="BD3086" s="358"/>
      <c r="BH3086" s="302"/>
      <c r="BI3086" s="42"/>
    </row>
    <row r="3087" spans="52:61">
      <c r="AZ3087" s="302"/>
      <c r="BA3087" s="313"/>
      <c r="BB3087" s="167"/>
      <c r="BC3087" s="42"/>
      <c r="BD3087" s="358"/>
      <c r="BH3087" s="302"/>
      <c r="BI3087" s="42"/>
    </row>
    <row r="3088" spans="52:61">
      <c r="AZ3088" s="302"/>
      <c r="BA3088" s="313"/>
      <c r="BB3088" s="167"/>
      <c r="BC3088" s="42"/>
      <c r="BD3088" s="358"/>
      <c r="BH3088" s="302"/>
      <c r="BI3088" s="42"/>
    </row>
    <row r="3089" spans="52:61">
      <c r="AZ3089" s="302"/>
      <c r="BA3089" s="313"/>
      <c r="BB3089" s="167"/>
      <c r="BC3089" s="42"/>
      <c r="BD3089" s="358"/>
      <c r="BH3089" s="302"/>
      <c r="BI3089" s="42"/>
    </row>
    <row r="3090" spans="52:61">
      <c r="AZ3090" s="302"/>
      <c r="BA3090" s="313"/>
      <c r="BB3090" s="167"/>
      <c r="BC3090" s="42"/>
      <c r="BD3090" s="358"/>
      <c r="BH3090" s="302"/>
      <c r="BI3090" s="42"/>
    </row>
    <row r="3091" spans="52:61">
      <c r="AZ3091" s="302"/>
      <c r="BA3091" s="313"/>
      <c r="BB3091" s="167"/>
      <c r="BC3091" s="42"/>
      <c r="BD3091" s="358"/>
      <c r="BH3091" s="302"/>
      <c r="BI3091" s="42"/>
    </row>
    <row r="3092" spans="52:61">
      <c r="AZ3092" s="302"/>
      <c r="BA3092" s="313"/>
      <c r="BB3092" s="167"/>
      <c r="BC3092" s="42"/>
      <c r="BD3092" s="358"/>
      <c r="BH3092" s="302"/>
      <c r="BI3092" s="42"/>
    </row>
    <row r="3093" spans="52:61">
      <c r="AZ3093" s="302"/>
      <c r="BA3093" s="313"/>
      <c r="BB3093" s="167"/>
      <c r="BC3093" s="42"/>
      <c r="BD3093" s="358"/>
      <c r="BH3093" s="302"/>
      <c r="BI3093" s="42"/>
    </row>
    <row r="3094" spans="52:61">
      <c r="AZ3094" s="302"/>
      <c r="BA3094" s="313"/>
      <c r="BB3094" s="167"/>
      <c r="BC3094" s="42"/>
      <c r="BD3094" s="358"/>
      <c r="BH3094" s="302"/>
      <c r="BI3094" s="42"/>
    </row>
    <row r="3095" spans="52:61">
      <c r="AZ3095" s="302"/>
      <c r="BA3095" s="313"/>
      <c r="BB3095" s="167"/>
      <c r="BC3095" s="42"/>
      <c r="BD3095" s="358"/>
      <c r="BH3095" s="302"/>
      <c r="BI3095" s="42"/>
    </row>
    <row r="3096" spans="52:61">
      <c r="AZ3096" s="302"/>
      <c r="BA3096" s="313"/>
      <c r="BB3096" s="167"/>
      <c r="BC3096" s="42"/>
      <c r="BD3096" s="358"/>
      <c r="BH3096" s="302"/>
      <c r="BI3096" s="42"/>
    </row>
    <row r="3097" spans="52:61">
      <c r="AZ3097" s="302"/>
      <c r="BA3097" s="313"/>
      <c r="BB3097" s="167"/>
      <c r="BC3097" s="42"/>
      <c r="BD3097" s="358"/>
      <c r="BH3097" s="302"/>
      <c r="BI3097" s="42"/>
    </row>
    <row r="3098" spans="52:61">
      <c r="AZ3098" s="302"/>
      <c r="BA3098" s="313"/>
      <c r="BB3098" s="167"/>
      <c r="BC3098" s="42"/>
      <c r="BD3098" s="358"/>
      <c r="BH3098" s="302"/>
      <c r="BI3098" s="42"/>
    </row>
    <row r="3099" spans="52:61">
      <c r="AZ3099" s="302"/>
      <c r="BA3099" s="313"/>
      <c r="BB3099" s="167"/>
      <c r="BC3099" s="42"/>
      <c r="BD3099" s="358"/>
      <c r="BH3099" s="302"/>
      <c r="BI3099" s="42"/>
    </row>
    <row r="3100" spans="52:61">
      <c r="AZ3100" s="302"/>
      <c r="BA3100" s="313"/>
      <c r="BB3100" s="167"/>
      <c r="BC3100" s="42"/>
      <c r="BD3100" s="358"/>
      <c r="BH3100" s="302"/>
      <c r="BI3100" s="42"/>
    </row>
    <row r="3101" spans="52:61">
      <c r="AZ3101" s="302"/>
      <c r="BA3101" s="313"/>
      <c r="BB3101" s="167"/>
      <c r="BC3101" s="42"/>
      <c r="BD3101" s="358"/>
      <c r="BH3101" s="302"/>
      <c r="BI3101" s="42"/>
    </row>
    <row r="3102" spans="52:61">
      <c r="AZ3102" s="302"/>
      <c r="BA3102" s="313"/>
      <c r="BB3102" s="167"/>
      <c r="BC3102" s="42"/>
      <c r="BD3102" s="358"/>
      <c r="BH3102" s="302"/>
      <c r="BI3102" s="42"/>
    </row>
    <row r="3103" spans="52:61">
      <c r="AZ3103" s="302"/>
      <c r="BA3103" s="313"/>
      <c r="BB3103" s="167"/>
      <c r="BC3103" s="42"/>
      <c r="BD3103" s="358"/>
      <c r="BH3103" s="302"/>
      <c r="BI3103" s="42"/>
    </row>
    <row r="3104" spans="52:61">
      <c r="AZ3104" s="302"/>
      <c r="BA3104" s="313"/>
      <c r="BB3104" s="167"/>
      <c r="BC3104" s="42"/>
      <c r="BD3104" s="358"/>
      <c r="BH3104" s="302"/>
      <c r="BI3104" s="42"/>
    </row>
    <row r="3105" spans="52:61">
      <c r="AZ3105" s="302"/>
      <c r="BA3105" s="313"/>
      <c r="BB3105" s="167"/>
      <c r="BC3105" s="42"/>
      <c r="BD3105" s="358"/>
      <c r="BH3105" s="302"/>
      <c r="BI3105" s="42"/>
    </row>
    <row r="3106" spans="52:61">
      <c r="AZ3106" s="302"/>
      <c r="BA3106" s="313"/>
      <c r="BB3106" s="167"/>
      <c r="BC3106" s="42"/>
      <c r="BD3106" s="358"/>
      <c r="BH3106" s="302"/>
      <c r="BI3106" s="42"/>
    </row>
    <row r="3107" spans="52:61">
      <c r="AZ3107" s="302"/>
      <c r="BA3107" s="313"/>
      <c r="BB3107" s="167"/>
      <c r="BC3107" s="42"/>
      <c r="BD3107" s="358"/>
      <c r="BH3107" s="302"/>
      <c r="BI3107" s="42"/>
    </row>
    <row r="3108" spans="52:61">
      <c r="AZ3108" s="302"/>
      <c r="BA3108" s="313"/>
      <c r="BB3108" s="167"/>
      <c r="BC3108" s="42"/>
      <c r="BD3108" s="358"/>
      <c r="BH3108" s="302"/>
      <c r="BI3108" s="42"/>
    </row>
    <row r="3109" spans="52:61">
      <c r="AZ3109" s="302"/>
      <c r="BA3109" s="313"/>
      <c r="BB3109" s="167"/>
      <c r="BC3109" s="42"/>
      <c r="BD3109" s="358"/>
      <c r="BH3109" s="302"/>
      <c r="BI3109" s="42"/>
    </row>
    <row r="3110" spans="52:61">
      <c r="AZ3110" s="302"/>
      <c r="BA3110" s="313"/>
      <c r="BB3110" s="167"/>
      <c r="BC3110" s="42"/>
      <c r="BD3110" s="358"/>
      <c r="BH3110" s="302"/>
      <c r="BI3110" s="42"/>
    </row>
    <row r="3111" spans="52:61">
      <c r="AZ3111" s="302"/>
      <c r="BA3111" s="313"/>
      <c r="BB3111" s="167"/>
      <c r="BC3111" s="42"/>
      <c r="BD3111" s="358"/>
      <c r="BH3111" s="302"/>
      <c r="BI3111" s="42"/>
    </row>
    <row r="3112" spans="52:61">
      <c r="AZ3112" s="302"/>
      <c r="BA3112" s="313"/>
      <c r="BB3112" s="167"/>
      <c r="BC3112" s="42"/>
      <c r="BD3112" s="358"/>
      <c r="BH3112" s="302"/>
      <c r="BI3112" s="42"/>
    </row>
    <row r="3113" spans="52:61">
      <c r="AZ3113" s="302"/>
      <c r="BA3113" s="313"/>
      <c r="BB3113" s="167"/>
      <c r="BC3113" s="42"/>
      <c r="BD3113" s="358"/>
      <c r="BH3113" s="302"/>
      <c r="BI3113" s="42"/>
    </row>
    <row r="3114" spans="52:61">
      <c r="AZ3114" s="302"/>
      <c r="BA3114" s="313"/>
      <c r="BB3114" s="167"/>
      <c r="BC3114" s="42"/>
      <c r="BD3114" s="358"/>
      <c r="BH3114" s="302"/>
      <c r="BI3114" s="42"/>
    </row>
    <row r="3115" spans="52:61">
      <c r="AZ3115" s="302"/>
      <c r="BA3115" s="313"/>
      <c r="BB3115" s="167"/>
      <c r="BC3115" s="42"/>
      <c r="BD3115" s="358"/>
      <c r="BH3115" s="302"/>
      <c r="BI3115" s="42"/>
    </row>
    <row r="3116" spans="52:61">
      <c r="AZ3116" s="302"/>
      <c r="BA3116" s="313"/>
      <c r="BB3116" s="167"/>
      <c r="BC3116" s="42"/>
      <c r="BD3116" s="358"/>
      <c r="BH3116" s="302"/>
      <c r="BI3116" s="42"/>
    </row>
    <row r="3117" spans="52:61">
      <c r="AZ3117" s="302"/>
      <c r="BA3117" s="313"/>
      <c r="BB3117" s="167"/>
      <c r="BC3117" s="42"/>
      <c r="BD3117" s="358"/>
      <c r="BH3117" s="302"/>
      <c r="BI3117" s="42"/>
    </row>
    <row r="3118" spans="52:61">
      <c r="AZ3118" s="302"/>
      <c r="BA3118" s="313"/>
      <c r="BB3118" s="167"/>
      <c r="BC3118" s="42"/>
      <c r="BD3118" s="358"/>
      <c r="BH3118" s="302"/>
      <c r="BI3118" s="42"/>
    </row>
    <row r="3119" spans="52:61">
      <c r="AZ3119" s="302"/>
      <c r="BA3119" s="313"/>
      <c r="BB3119" s="167"/>
      <c r="BC3119" s="42"/>
      <c r="BD3119" s="358"/>
      <c r="BH3119" s="302"/>
      <c r="BI3119" s="42"/>
    </row>
    <row r="3120" spans="52:61">
      <c r="AZ3120" s="302"/>
      <c r="BA3120" s="313"/>
      <c r="BB3120" s="167"/>
      <c r="BC3120" s="42"/>
      <c r="BD3120" s="358"/>
      <c r="BH3120" s="302"/>
      <c r="BI3120" s="42"/>
    </row>
    <row r="3121" spans="52:61">
      <c r="AZ3121" s="302"/>
      <c r="BA3121" s="313"/>
      <c r="BB3121" s="167"/>
      <c r="BC3121" s="42"/>
      <c r="BD3121" s="358"/>
      <c r="BH3121" s="302"/>
      <c r="BI3121" s="42"/>
    </row>
    <row r="3122" spans="52:61">
      <c r="AZ3122" s="302"/>
      <c r="BA3122" s="313"/>
      <c r="BB3122" s="167"/>
      <c r="BC3122" s="42"/>
      <c r="BD3122" s="358"/>
      <c r="BH3122" s="302"/>
      <c r="BI3122" s="42"/>
    </row>
    <row r="3123" spans="52:61">
      <c r="AZ3123" s="302"/>
      <c r="BA3123" s="313"/>
      <c r="BB3123" s="167"/>
      <c r="BC3123" s="42"/>
      <c r="BD3123" s="358"/>
      <c r="BH3123" s="302"/>
      <c r="BI3123" s="42"/>
    </row>
    <row r="3124" spans="52:61">
      <c r="AZ3124" s="302"/>
      <c r="BA3124" s="313"/>
      <c r="BB3124" s="167"/>
      <c r="BC3124" s="42"/>
      <c r="BD3124" s="358"/>
      <c r="BH3124" s="302"/>
      <c r="BI3124" s="42"/>
    </row>
    <row r="3125" spans="52:61">
      <c r="AZ3125" s="302"/>
      <c r="BA3125" s="313"/>
      <c r="BB3125" s="167"/>
      <c r="BC3125" s="42"/>
      <c r="BD3125" s="358"/>
      <c r="BH3125" s="302"/>
      <c r="BI3125" s="42"/>
    </row>
    <row r="3126" spans="52:61">
      <c r="AZ3126" s="302"/>
      <c r="BA3126" s="313"/>
      <c r="BB3126" s="167"/>
      <c r="BC3126" s="42"/>
      <c r="BD3126" s="358"/>
      <c r="BH3126" s="302"/>
      <c r="BI3126" s="42"/>
    </row>
    <row r="3127" spans="52:61">
      <c r="AZ3127" s="302"/>
      <c r="BA3127" s="313"/>
      <c r="BB3127" s="167"/>
      <c r="BC3127" s="42"/>
      <c r="BD3127" s="358"/>
      <c r="BH3127" s="302"/>
      <c r="BI3127" s="42"/>
    </row>
    <row r="3128" spans="52:61">
      <c r="AZ3128" s="302"/>
      <c r="BA3128" s="313"/>
      <c r="BB3128" s="167"/>
      <c r="BC3128" s="42"/>
      <c r="BD3128" s="358"/>
      <c r="BH3128" s="302"/>
      <c r="BI3128" s="42"/>
    </row>
    <row r="3129" spans="52:61">
      <c r="AZ3129" s="302"/>
      <c r="BA3129" s="313"/>
      <c r="BB3129" s="167"/>
      <c r="BC3129" s="42"/>
      <c r="BD3129" s="358"/>
      <c r="BH3129" s="302"/>
      <c r="BI3129" s="42"/>
    </row>
    <row r="3130" spans="52:61">
      <c r="AZ3130" s="302"/>
      <c r="BA3130" s="313"/>
      <c r="BB3130" s="167"/>
      <c r="BC3130" s="42"/>
      <c r="BD3130" s="358"/>
      <c r="BH3130" s="302"/>
      <c r="BI3130" s="42"/>
    </row>
    <row r="3131" spans="52:61">
      <c r="AZ3131" s="302"/>
      <c r="BA3131" s="313"/>
      <c r="BB3131" s="167"/>
      <c r="BC3131" s="42"/>
      <c r="BD3131" s="358"/>
      <c r="BH3131" s="302"/>
      <c r="BI3131" s="42"/>
    </row>
    <row r="3132" spans="52:61">
      <c r="AZ3132" s="302"/>
      <c r="BA3132" s="313"/>
      <c r="BB3132" s="167"/>
      <c r="BC3132" s="42"/>
      <c r="BD3132" s="358"/>
      <c r="BH3132" s="302"/>
      <c r="BI3132" s="42"/>
    </row>
    <row r="3133" spans="52:61">
      <c r="AZ3133" s="302"/>
      <c r="BA3133" s="313"/>
      <c r="BB3133" s="167"/>
      <c r="BC3133" s="42"/>
      <c r="BD3133" s="358"/>
      <c r="BH3133" s="302"/>
      <c r="BI3133" s="42"/>
    </row>
    <row r="3134" spans="52:61">
      <c r="AZ3134" s="302"/>
      <c r="BA3134" s="313"/>
      <c r="BB3134" s="167"/>
      <c r="BC3134" s="42"/>
      <c r="BD3134" s="358"/>
      <c r="BH3134" s="302"/>
      <c r="BI3134" s="42"/>
    </row>
    <row r="3135" spans="52:61">
      <c r="AZ3135" s="302"/>
      <c r="BA3135" s="313"/>
      <c r="BB3135" s="167"/>
      <c r="BC3135" s="42"/>
      <c r="BD3135" s="358"/>
      <c r="BH3135" s="302"/>
      <c r="BI3135" s="42"/>
    </row>
    <row r="3136" spans="52:61">
      <c r="AZ3136" s="302"/>
      <c r="BA3136" s="313"/>
      <c r="BB3136" s="167"/>
      <c r="BC3136" s="42"/>
      <c r="BD3136" s="358"/>
      <c r="BH3136" s="302"/>
      <c r="BI3136" s="42"/>
    </row>
    <row r="3137" spans="52:61">
      <c r="AZ3137" s="302"/>
      <c r="BA3137" s="313"/>
      <c r="BB3137" s="167"/>
      <c r="BC3137" s="42"/>
      <c r="BD3137" s="358"/>
      <c r="BH3137" s="302"/>
      <c r="BI3137" s="42"/>
    </row>
    <row r="3138" spans="52:61">
      <c r="AZ3138" s="302"/>
      <c r="BA3138" s="313"/>
      <c r="BB3138" s="167"/>
      <c r="BC3138" s="42"/>
      <c r="BD3138" s="358"/>
      <c r="BH3138" s="302"/>
      <c r="BI3138" s="42"/>
    </row>
    <row r="3139" spans="52:61">
      <c r="AZ3139" s="302"/>
      <c r="BA3139" s="313"/>
      <c r="BB3139" s="167"/>
      <c r="BC3139" s="42"/>
      <c r="BD3139" s="358"/>
      <c r="BH3139" s="302"/>
      <c r="BI3139" s="42"/>
    </row>
    <row r="3140" spans="52:61">
      <c r="AZ3140" s="302"/>
      <c r="BA3140" s="313"/>
      <c r="BB3140" s="167"/>
      <c r="BC3140" s="42"/>
      <c r="BD3140" s="358"/>
      <c r="BH3140" s="302"/>
      <c r="BI3140" s="42"/>
    </row>
    <row r="3141" spans="52:61">
      <c r="AZ3141" s="302"/>
      <c r="BA3141" s="313"/>
      <c r="BB3141" s="167"/>
      <c r="BC3141" s="42"/>
      <c r="BD3141" s="358"/>
      <c r="BH3141" s="302"/>
      <c r="BI3141" s="42"/>
    </row>
    <row r="3142" spans="52:61">
      <c r="AZ3142" s="302"/>
      <c r="BA3142" s="313"/>
      <c r="BB3142" s="167"/>
      <c r="BC3142" s="42"/>
      <c r="BD3142" s="358"/>
      <c r="BH3142" s="302"/>
      <c r="BI3142" s="42"/>
    </row>
    <row r="3143" spans="52:61">
      <c r="AZ3143" s="302"/>
      <c r="BA3143" s="313"/>
      <c r="BB3143" s="167"/>
      <c r="BC3143" s="42"/>
      <c r="BD3143" s="358"/>
      <c r="BH3143" s="302"/>
      <c r="BI3143" s="42"/>
    </row>
    <row r="3144" spans="52:61">
      <c r="AZ3144" s="302"/>
      <c r="BA3144" s="313"/>
      <c r="BB3144" s="167"/>
      <c r="BC3144" s="42"/>
      <c r="BD3144" s="358"/>
      <c r="BH3144" s="302"/>
      <c r="BI3144" s="42"/>
    </row>
    <row r="3145" spans="52:61">
      <c r="AZ3145" s="302"/>
      <c r="BA3145" s="313"/>
      <c r="BB3145" s="167"/>
      <c r="BC3145" s="42"/>
      <c r="BD3145" s="358"/>
      <c r="BH3145" s="302"/>
      <c r="BI3145" s="42"/>
    </row>
    <row r="3146" spans="52:61">
      <c r="AZ3146" s="302"/>
      <c r="BA3146" s="313"/>
      <c r="BB3146" s="167"/>
      <c r="BC3146" s="42"/>
      <c r="BD3146" s="358"/>
      <c r="BH3146" s="302"/>
      <c r="BI3146" s="42"/>
    </row>
    <row r="3147" spans="52:61">
      <c r="AZ3147" s="302"/>
      <c r="BA3147" s="313"/>
      <c r="BB3147" s="167"/>
      <c r="BC3147" s="42"/>
      <c r="BD3147" s="358"/>
      <c r="BH3147" s="302"/>
      <c r="BI3147" s="42"/>
    </row>
    <row r="3148" spans="52:61">
      <c r="AZ3148" s="302"/>
      <c r="BA3148" s="313"/>
      <c r="BB3148" s="167"/>
      <c r="BC3148" s="42"/>
      <c r="BD3148" s="358"/>
      <c r="BH3148" s="302"/>
      <c r="BI3148" s="42"/>
    </row>
    <row r="3149" spans="52:61">
      <c r="AZ3149" s="302"/>
      <c r="BA3149" s="313"/>
      <c r="BB3149" s="167"/>
      <c r="BC3149" s="42"/>
      <c r="BD3149" s="358"/>
      <c r="BH3149" s="302"/>
      <c r="BI3149" s="42"/>
    </row>
    <row r="3150" spans="52:61">
      <c r="AZ3150" s="302"/>
      <c r="BA3150" s="313"/>
      <c r="BB3150" s="167"/>
      <c r="BC3150" s="42"/>
      <c r="BD3150" s="358"/>
      <c r="BH3150" s="302"/>
      <c r="BI3150" s="42"/>
    </row>
    <row r="3151" spans="52:61">
      <c r="AZ3151" s="302"/>
      <c r="BA3151" s="313"/>
      <c r="BB3151" s="167"/>
      <c r="BC3151" s="42"/>
      <c r="BD3151" s="358"/>
      <c r="BH3151" s="302"/>
      <c r="BI3151" s="42"/>
    </row>
    <row r="3152" spans="52:61">
      <c r="AZ3152" s="302"/>
      <c r="BA3152" s="313"/>
      <c r="BB3152" s="167"/>
      <c r="BC3152" s="42"/>
      <c r="BD3152" s="358"/>
      <c r="BH3152" s="302"/>
      <c r="BI3152" s="42"/>
    </row>
    <row r="3153" spans="52:61">
      <c r="AZ3153" s="302"/>
      <c r="BA3153" s="313"/>
      <c r="BB3153" s="167"/>
      <c r="BC3153" s="42"/>
      <c r="BD3153" s="358"/>
      <c r="BH3153" s="302"/>
      <c r="BI3153" s="42"/>
    </row>
    <row r="3154" spans="52:61">
      <c r="AZ3154" s="302"/>
      <c r="BA3154" s="313"/>
      <c r="BB3154" s="167"/>
      <c r="BC3154" s="42"/>
      <c r="BD3154" s="358"/>
      <c r="BH3154" s="302"/>
      <c r="BI3154" s="42"/>
    </row>
    <row r="3155" spans="52:61">
      <c r="AZ3155" s="302"/>
      <c r="BA3155" s="313"/>
      <c r="BB3155" s="167"/>
      <c r="BC3155" s="42"/>
      <c r="BD3155" s="358"/>
      <c r="BH3155" s="302"/>
      <c r="BI3155" s="42"/>
    </row>
    <row r="3156" spans="52:61">
      <c r="AZ3156" s="302"/>
      <c r="BA3156" s="313"/>
      <c r="BB3156" s="167"/>
      <c r="BC3156" s="42"/>
      <c r="BD3156" s="358"/>
      <c r="BH3156" s="302"/>
      <c r="BI3156" s="42"/>
    </row>
    <row r="3157" spans="52:61">
      <c r="AZ3157" s="302"/>
      <c r="BA3157" s="313"/>
      <c r="BB3157" s="167"/>
      <c r="BC3157" s="42"/>
      <c r="BD3157" s="358"/>
      <c r="BH3157" s="302"/>
      <c r="BI3157" s="42"/>
    </row>
    <row r="3158" spans="52:61">
      <c r="AZ3158" s="302"/>
      <c r="BA3158" s="313"/>
      <c r="BB3158" s="167"/>
      <c r="BC3158" s="42"/>
      <c r="BD3158" s="358"/>
      <c r="BH3158" s="302"/>
      <c r="BI3158" s="42"/>
    </row>
    <row r="3159" spans="52:61">
      <c r="AZ3159" s="302"/>
      <c r="BA3159" s="313"/>
      <c r="BB3159" s="167"/>
      <c r="BC3159" s="42"/>
      <c r="BD3159" s="358"/>
      <c r="BH3159" s="302"/>
      <c r="BI3159" s="42"/>
    </row>
    <row r="3160" spans="52:61">
      <c r="AZ3160" s="302"/>
      <c r="BA3160" s="313"/>
      <c r="BB3160" s="167"/>
      <c r="BC3160" s="42"/>
      <c r="BD3160" s="358"/>
      <c r="BH3160" s="302"/>
      <c r="BI3160" s="42"/>
    </row>
    <row r="3161" spans="52:61">
      <c r="AZ3161" s="302"/>
      <c r="BA3161" s="313"/>
      <c r="BB3161" s="167"/>
      <c r="BC3161" s="42"/>
      <c r="BD3161" s="358"/>
      <c r="BH3161" s="302"/>
      <c r="BI3161" s="42"/>
    </row>
    <row r="3162" spans="52:61">
      <c r="AZ3162" s="302"/>
      <c r="BA3162" s="313"/>
      <c r="BB3162" s="167"/>
      <c r="BC3162" s="42"/>
      <c r="BD3162" s="358"/>
      <c r="BH3162" s="302"/>
      <c r="BI3162" s="42"/>
    </row>
    <row r="3163" spans="52:61">
      <c r="AZ3163" s="302"/>
      <c r="BA3163" s="313"/>
      <c r="BB3163" s="167"/>
      <c r="BC3163" s="42"/>
      <c r="BD3163" s="358"/>
      <c r="BH3163" s="302"/>
      <c r="BI3163" s="42"/>
    </row>
    <row r="3164" spans="52:61">
      <c r="AZ3164" s="302"/>
      <c r="BA3164" s="313"/>
      <c r="BB3164" s="167"/>
      <c r="BC3164" s="42"/>
      <c r="BD3164" s="358"/>
      <c r="BH3164" s="302"/>
      <c r="BI3164" s="42"/>
    </row>
    <row r="3165" spans="52:61">
      <c r="AZ3165" s="302"/>
      <c r="BA3165" s="313"/>
      <c r="BB3165" s="167"/>
      <c r="BC3165" s="42"/>
      <c r="BD3165" s="358"/>
      <c r="BH3165" s="302"/>
      <c r="BI3165" s="42"/>
    </row>
    <row r="3166" spans="52:61">
      <c r="AZ3166" s="302"/>
      <c r="BA3166" s="313"/>
      <c r="BB3166" s="167"/>
      <c r="BC3166" s="42"/>
      <c r="BD3166" s="358"/>
      <c r="BH3166" s="302"/>
      <c r="BI3166" s="42"/>
    </row>
    <row r="3167" spans="52:61">
      <c r="AZ3167" s="302"/>
      <c r="BA3167" s="313"/>
      <c r="BB3167" s="167"/>
      <c r="BC3167" s="42"/>
      <c r="BD3167" s="358"/>
      <c r="BH3167" s="302"/>
      <c r="BI3167" s="42"/>
    </row>
    <row r="3168" spans="52:61">
      <c r="AZ3168" s="302"/>
      <c r="BA3168" s="313"/>
      <c r="BB3168" s="167"/>
      <c r="BC3168" s="42"/>
      <c r="BD3168" s="358"/>
      <c r="BH3168" s="302"/>
      <c r="BI3168" s="42"/>
    </row>
    <row r="3169" spans="52:61">
      <c r="AZ3169" s="302"/>
      <c r="BA3169" s="313"/>
      <c r="BB3169" s="167"/>
      <c r="BC3169" s="42"/>
      <c r="BD3169" s="358"/>
      <c r="BH3169" s="302"/>
      <c r="BI3169" s="42"/>
    </row>
    <row r="3170" spans="52:61">
      <c r="AZ3170" s="302"/>
      <c r="BA3170" s="313"/>
      <c r="BB3170" s="167"/>
      <c r="BC3170" s="42"/>
      <c r="BD3170" s="358"/>
      <c r="BH3170" s="302"/>
      <c r="BI3170" s="42"/>
    </row>
    <row r="3171" spans="52:61">
      <c r="AZ3171" s="302"/>
      <c r="BA3171" s="313"/>
      <c r="BB3171" s="167"/>
      <c r="BC3171" s="42"/>
      <c r="BD3171" s="358"/>
      <c r="BH3171" s="302"/>
      <c r="BI3171" s="42"/>
    </row>
    <row r="3172" spans="52:61">
      <c r="AZ3172" s="302"/>
      <c r="BA3172" s="313"/>
      <c r="BB3172" s="167"/>
      <c r="BC3172" s="42"/>
      <c r="BD3172" s="358"/>
      <c r="BH3172" s="302"/>
      <c r="BI3172" s="42"/>
    </row>
    <row r="3173" spans="52:61">
      <c r="AZ3173" s="302"/>
      <c r="BA3173" s="313"/>
      <c r="BB3173" s="167"/>
      <c r="BC3173" s="42"/>
      <c r="BD3173" s="358"/>
      <c r="BH3173" s="302"/>
      <c r="BI3173" s="42"/>
    </row>
    <row r="3174" spans="52:61">
      <c r="AZ3174" s="302"/>
      <c r="BA3174" s="313"/>
      <c r="BB3174" s="167"/>
      <c r="BC3174" s="42"/>
      <c r="BD3174" s="358"/>
      <c r="BH3174" s="302"/>
      <c r="BI3174" s="42"/>
    </row>
    <row r="3175" spans="52:61">
      <c r="AZ3175" s="302"/>
      <c r="BA3175" s="313"/>
      <c r="BB3175" s="167"/>
      <c r="BC3175" s="42"/>
      <c r="BD3175" s="358"/>
      <c r="BH3175" s="302"/>
      <c r="BI3175" s="42"/>
    </row>
    <row r="3176" spans="52:61">
      <c r="AZ3176" s="302"/>
      <c r="BA3176" s="313"/>
      <c r="BB3176" s="167"/>
      <c r="BC3176" s="42"/>
      <c r="BD3176" s="358"/>
      <c r="BH3176" s="302"/>
      <c r="BI3176" s="42"/>
    </row>
    <row r="3177" spans="52:61">
      <c r="AZ3177" s="302"/>
      <c r="BA3177" s="313"/>
      <c r="BB3177" s="167"/>
      <c r="BC3177" s="42"/>
      <c r="BD3177" s="358"/>
      <c r="BH3177" s="302"/>
      <c r="BI3177" s="42"/>
    </row>
    <row r="3178" spans="52:61">
      <c r="AZ3178" s="302"/>
      <c r="BA3178" s="313"/>
      <c r="BB3178" s="167"/>
      <c r="BC3178" s="42"/>
      <c r="BD3178" s="358"/>
      <c r="BH3178" s="302"/>
      <c r="BI3178" s="42"/>
    </row>
    <row r="3179" spans="52:61">
      <c r="AZ3179" s="302"/>
      <c r="BA3179" s="313"/>
      <c r="BB3179" s="167"/>
      <c r="BC3179" s="42"/>
      <c r="BD3179" s="358"/>
      <c r="BH3179" s="302"/>
      <c r="BI3179" s="42"/>
    </row>
    <row r="3180" spans="52:61">
      <c r="AZ3180" s="302"/>
      <c r="BA3180" s="313"/>
      <c r="BB3180" s="167"/>
      <c r="BC3180" s="42"/>
      <c r="BD3180" s="358"/>
      <c r="BH3180" s="302"/>
      <c r="BI3180" s="42"/>
    </row>
    <row r="3181" spans="52:61">
      <c r="AZ3181" s="302"/>
      <c r="BA3181" s="313"/>
      <c r="BB3181" s="167"/>
      <c r="BC3181" s="42"/>
      <c r="BD3181" s="358"/>
      <c r="BH3181" s="302"/>
      <c r="BI3181" s="42"/>
    </row>
    <row r="3182" spans="52:61">
      <c r="AZ3182" s="302"/>
      <c r="BA3182" s="313"/>
      <c r="BB3182" s="167"/>
      <c r="BC3182" s="42"/>
      <c r="BD3182" s="358"/>
      <c r="BH3182" s="302"/>
      <c r="BI3182" s="42"/>
    </row>
    <row r="3183" spans="52:61">
      <c r="AZ3183" s="302"/>
      <c r="BA3183" s="313"/>
      <c r="BB3183" s="167"/>
      <c r="BC3183" s="42"/>
      <c r="BD3183" s="358"/>
      <c r="BH3183" s="302"/>
      <c r="BI3183" s="42"/>
    </row>
    <row r="3184" spans="52:61">
      <c r="AZ3184" s="302"/>
      <c r="BA3184" s="313"/>
      <c r="BB3184" s="167"/>
      <c r="BC3184" s="42"/>
      <c r="BD3184" s="358"/>
      <c r="BH3184" s="302"/>
      <c r="BI3184" s="42"/>
    </row>
    <row r="3185" spans="52:61">
      <c r="AZ3185" s="302"/>
      <c r="BA3185" s="313"/>
      <c r="BB3185" s="167"/>
      <c r="BC3185" s="42"/>
      <c r="BD3185" s="358"/>
      <c r="BH3185" s="302"/>
      <c r="BI3185" s="42"/>
    </row>
    <row r="3186" spans="52:61">
      <c r="AZ3186" s="302"/>
      <c r="BA3186" s="313"/>
      <c r="BB3186" s="167"/>
      <c r="BC3186" s="42"/>
      <c r="BD3186" s="358"/>
      <c r="BH3186" s="302"/>
      <c r="BI3186" s="42"/>
    </row>
    <row r="3187" spans="52:61">
      <c r="AZ3187" s="302"/>
      <c r="BA3187" s="313"/>
      <c r="BB3187" s="167"/>
      <c r="BC3187" s="42"/>
      <c r="BD3187" s="358"/>
      <c r="BH3187" s="302"/>
      <c r="BI3187" s="42"/>
    </row>
    <row r="3188" spans="52:61">
      <c r="AZ3188" s="302"/>
      <c r="BA3188" s="313"/>
      <c r="BB3188" s="167"/>
      <c r="BC3188" s="42"/>
      <c r="BD3188" s="358"/>
      <c r="BH3188" s="302"/>
      <c r="BI3188" s="42"/>
    </row>
    <row r="3189" spans="52:61">
      <c r="AZ3189" s="302"/>
      <c r="BA3189" s="313"/>
      <c r="BB3189" s="167"/>
      <c r="BC3189" s="42"/>
      <c r="BD3189" s="358"/>
      <c r="BH3189" s="302"/>
      <c r="BI3189" s="42"/>
    </row>
    <row r="3190" spans="52:61">
      <c r="AZ3190" s="302"/>
      <c r="BA3190" s="313"/>
      <c r="BB3190" s="167"/>
      <c r="BC3190" s="42"/>
      <c r="BD3190" s="358"/>
      <c r="BH3190" s="302"/>
      <c r="BI3190" s="42"/>
    </row>
    <row r="3191" spans="52:61">
      <c r="AZ3191" s="302"/>
      <c r="BA3191" s="313"/>
      <c r="BB3191" s="167"/>
      <c r="BC3191" s="42"/>
      <c r="BD3191" s="358"/>
      <c r="BH3191" s="302"/>
      <c r="BI3191" s="42"/>
    </row>
    <row r="3192" spans="52:61">
      <c r="AZ3192" s="302"/>
      <c r="BA3192" s="313"/>
      <c r="BB3192" s="167"/>
      <c r="BC3192" s="42"/>
      <c r="BD3192" s="358"/>
      <c r="BH3192" s="302"/>
      <c r="BI3192" s="42"/>
    </row>
    <row r="3193" spans="52:61">
      <c r="AZ3193" s="302"/>
      <c r="BA3193" s="313"/>
      <c r="BB3193" s="167"/>
      <c r="BC3193" s="42"/>
      <c r="BD3193" s="358"/>
      <c r="BH3193" s="302"/>
      <c r="BI3193" s="42"/>
    </row>
    <row r="3194" spans="52:61">
      <c r="AZ3194" s="302"/>
      <c r="BA3194" s="313"/>
      <c r="BB3194" s="167"/>
      <c r="BC3194" s="42"/>
      <c r="BD3194" s="358"/>
      <c r="BH3194" s="302"/>
      <c r="BI3194" s="42"/>
    </row>
    <row r="3195" spans="52:61">
      <c r="AZ3195" s="302"/>
      <c r="BA3195" s="313"/>
      <c r="BB3195" s="167"/>
      <c r="BC3195" s="42"/>
      <c r="BD3195" s="358"/>
      <c r="BH3195" s="302"/>
      <c r="BI3195" s="42"/>
    </row>
    <row r="3196" spans="52:61">
      <c r="AZ3196" s="302"/>
      <c r="BA3196" s="313"/>
      <c r="BB3196" s="167"/>
      <c r="BC3196" s="42"/>
      <c r="BD3196" s="358"/>
      <c r="BH3196" s="302"/>
      <c r="BI3196" s="42"/>
    </row>
    <row r="3197" spans="52:61">
      <c r="AZ3197" s="302"/>
      <c r="BA3197" s="313"/>
      <c r="BB3197" s="167"/>
      <c r="BC3197" s="42"/>
      <c r="BD3197" s="358"/>
      <c r="BH3197" s="302"/>
      <c r="BI3197" s="42"/>
    </row>
    <row r="3198" spans="52:61">
      <c r="AZ3198" s="302"/>
      <c r="BA3198" s="313"/>
      <c r="BB3198" s="167"/>
      <c r="BC3198" s="42"/>
      <c r="BD3198" s="358"/>
      <c r="BH3198" s="302"/>
      <c r="BI3198" s="42"/>
    </row>
    <row r="3199" spans="52:61">
      <c r="AZ3199" s="302"/>
      <c r="BA3199" s="313"/>
      <c r="BB3199" s="167"/>
      <c r="BC3199" s="42"/>
      <c r="BD3199" s="358"/>
      <c r="BH3199" s="302"/>
      <c r="BI3199" s="42"/>
    </row>
    <row r="3200" spans="52:61">
      <c r="AZ3200" s="302"/>
      <c r="BA3200" s="313"/>
      <c r="BB3200" s="167"/>
      <c r="BC3200" s="42"/>
      <c r="BD3200" s="358"/>
      <c r="BH3200" s="302"/>
      <c r="BI3200" s="42"/>
    </row>
    <row r="3201" spans="52:61">
      <c r="AZ3201" s="302"/>
      <c r="BA3201" s="313"/>
      <c r="BB3201" s="167"/>
      <c r="BC3201" s="42"/>
      <c r="BD3201" s="358"/>
      <c r="BH3201" s="302"/>
      <c r="BI3201" s="42"/>
    </row>
    <row r="3202" spans="52:61">
      <c r="AZ3202" s="302"/>
      <c r="BA3202" s="313"/>
      <c r="BB3202" s="167"/>
      <c r="BC3202" s="42"/>
      <c r="BD3202" s="358"/>
      <c r="BH3202" s="302"/>
      <c r="BI3202" s="42"/>
    </row>
    <row r="3203" spans="52:61">
      <c r="AZ3203" s="302"/>
      <c r="BA3203" s="313"/>
      <c r="BB3203" s="167"/>
      <c r="BC3203" s="42"/>
      <c r="BD3203" s="358"/>
      <c r="BH3203" s="302"/>
      <c r="BI3203" s="42"/>
    </row>
    <row r="3204" spans="52:61">
      <c r="AZ3204" s="302"/>
      <c r="BA3204" s="313"/>
      <c r="BB3204" s="167"/>
      <c r="BC3204" s="42"/>
      <c r="BD3204" s="358"/>
      <c r="BH3204" s="302"/>
      <c r="BI3204" s="42"/>
    </row>
    <row r="3205" spans="52:61">
      <c r="AZ3205" s="302"/>
      <c r="BA3205" s="313"/>
      <c r="BB3205" s="167"/>
      <c r="BC3205" s="42"/>
      <c r="BD3205" s="358"/>
      <c r="BH3205" s="302"/>
      <c r="BI3205" s="42"/>
    </row>
    <row r="3206" spans="52:61">
      <c r="AZ3206" s="302"/>
      <c r="BA3206" s="313"/>
      <c r="BB3206" s="167"/>
      <c r="BC3206" s="42"/>
      <c r="BD3206" s="358"/>
      <c r="BH3206" s="302"/>
      <c r="BI3206" s="42"/>
    </row>
    <row r="3207" spans="52:61">
      <c r="AZ3207" s="302"/>
      <c r="BA3207" s="313"/>
      <c r="BB3207" s="167"/>
      <c r="BC3207" s="42"/>
      <c r="BD3207" s="358"/>
      <c r="BH3207" s="302"/>
      <c r="BI3207" s="42"/>
    </row>
    <row r="3208" spans="52:61">
      <c r="AZ3208" s="302"/>
      <c r="BA3208" s="313"/>
      <c r="BB3208" s="167"/>
      <c r="BC3208" s="42"/>
      <c r="BD3208" s="358"/>
      <c r="BH3208" s="302"/>
      <c r="BI3208" s="42"/>
    </row>
    <row r="3209" spans="52:61">
      <c r="AZ3209" s="302"/>
      <c r="BA3209" s="313"/>
      <c r="BB3209" s="167"/>
      <c r="BC3209" s="42"/>
      <c r="BD3209" s="358"/>
      <c r="BH3209" s="302"/>
      <c r="BI3209" s="42"/>
    </row>
    <row r="3210" spans="52:61">
      <c r="AZ3210" s="302"/>
      <c r="BA3210" s="313"/>
      <c r="BB3210" s="167"/>
      <c r="BC3210" s="42"/>
      <c r="BD3210" s="358"/>
      <c r="BH3210" s="302"/>
      <c r="BI3210" s="42"/>
    </row>
    <row r="3211" spans="52:61">
      <c r="AZ3211" s="302"/>
      <c r="BA3211" s="313"/>
      <c r="BB3211" s="167"/>
      <c r="BC3211" s="42"/>
      <c r="BD3211" s="358"/>
      <c r="BH3211" s="302"/>
      <c r="BI3211" s="42"/>
    </row>
    <row r="3212" spans="52:61">
      <c r="AZ3212" s="302"/>
      <c r="BA3212" s="313"/>
      <c r="BB3212" s="167"/>
      <c r="BC3212" s="42"/>
      <c r="BD3212" s="358"/>
      <c r="BH3212" s="302"/>
      <c r="BI3212" s="42"/>
    </row>
    <row r="3213" spans="52:61">
      <c r="AZ3213" s="302"/>
      <c r="BA3213" s="313"/>
      <c r="BB3213" s="167"/>
      <c r="BC3213" s="42"/>
      <c r="BD3213" s="358"/>
      <c r="BH3213" s="302"/>
      <c r="BI3213" s="42"/>
    </row>
    <row r="3214" spans="52:61">
      <c r="AZ3214" s="302"/>
      <c r="BA3214" s="313"/>
      <c r="BB3214" s="167"/>
      <c r="BC3214" s="42"/>
      <c r="BD3214" s="358"/>
      <c r="BH3214" s="302"/>
      <c r="BI3214" s="42"/>
    </row>
    <row r="3215" spans="52:61">
      <c r="AZ3215" s="302"/>
      <c r="BA3215" s="313"/>
      <c r="BB3215" s="167"/>
      <c r="BC3215" s="42"/>
      <c r="BD3215" s="358"/>
      <c r="BH3215" s="302"/>
      <c r="BI3215" s="42"/>
    </row>
    <row r="3216" spans="52:61">
      <c r="AZ3216" s="302"/>
      <c r="BA3216" s="313"/>
      <c r="BB3216" s="167"/>
      <c r="BC3216" s="42"/>
      <c r="BD3216" s="358"/>
      <c r="BH3216" s="302"/>
      <c r="BI3216" s="42"/>
    </row>
    <row r="3217" spans="52:61">
      <c r="AZ3217" s="302"/>
      <c r="BA3217" s="313"/>
      <c r="BB3217" s="167"/>
      <c r="BC3217" s="42"/>
      <c r="BD3217" s="358"/>
      <c r="BH3217" s="302"/>
      <c r="BI3217" s="42"/>
    </row>
    <row r="3218" spans="52:61">
      <c r="AZ3218" s="302"/>
      <c r="BA3218" s="313"/>
      <c r="BB3218" s="167"/>
      <c r="BC3218" s="42"/>
      <c r="BD3218" s="358"/>
      <c r="BH3218" s="302"/>
      <c r="BI3218" s="42"/>
    </row>
    <row r="3219" spans="52:61">
      <c r="AZ3219" s="302"/>
      <c r="BA3219" s="313"/>
      <c r="BB3219" s="167"/>
      <c r="BC3219" s="42"/>
      <c r="BD3219" s="358"/>
      <c r="BH3219" s="302"/>
      <c r="BI3219" s="42"/>
    </row>
    <row r="3220" spans="52:61">
      <c r="AZ3220" s="302"/>
      <c r="BA3220" s="313"/>
      <c r="BB3220" s="167"/>
      <c r="BC3220" s="42"/>
      <c r="BD3220" s="358"/>
      <c r="BH3220" s="302"/>
      <c r="BI3220" s="42"/>
    </row>
    <row r="3221" spans="52:61">
      <c r="AZ3221" s="302"/>
      <c r="BA3221" s="313"/>
      <c r="BB3221" s="167"/>
      <c r="BC3221" s="42"/>
      <c r="BD3221" s="358"/>
      <c r="BH3221" s="302"/>
      <c r="BI3221" s="42"/>
    </row>
    <row r="3222" spans="52:61">
      <c r="AZ3222" s="302"/>
      <c r="BA3222" s="313"/>
      <c r="BB3222" s="167"/>
      <c r="BC3222" s="42"/>
      <c r="BD3222" s="358"/>
      <c r="BH3222" s="302"/>
      <c r="BI3222" s="42"/>
    </row>
    <row r="3223" spans="52:61">
      <c r="AZ3223" s="302"/>
      <c r="BA3223" s="313"/>
      <c r="BB3223" s="167"/>
      <c r="BC3223" s="42"/>
      <c r="BD3223" s="358"/>
      <c r="BH3223" s="302"/>
      <c r="BI3223" s="42"/>
    </row>
    <row r="3224" spans="52:61">
      <c r="AZ3224" s="302"/>
      <c r="BA3224" s="313"/>
      <c r="BB3224" s="167"/>
      <c r="BC3224" s="42"/>
      <c r="BD3224" s="358"/>
      <c r="BH3224" s="302"/>
      <c r="BI3224" s="42"/>
    </row>
    <row r="3225" spans="52:61">
      <c r="AZ3225" s="302"/>
      <c r="BA3225" s="313"/>
      <c r="BB3225" s="167"/>
      <c r="BC3225" s="42"/>
      <c r="BD3225" s="358"/>
      <c r="BH3225" s="302"/>
      <c r="BI3225" s="42"/>
    </row>
    <row r="3226" spans="52:61">
      <c r="AZ3226" s="302"/>
      <c r="BA3226" s="313"/>
      <c r="BB3226" s="167"/>
      <c r="BC3226" s="42"/>
      <c r="BD3226" s="358"/>
      <c r="BH3226" s="302"/>
      <c r="BI3226" s="42"/>
    </row>
    <row r="3227" spans="52:61">
      <c r="AZ3227" s="302"/>
      <c r="BA3227" s="313"/>
      <c r="BB3227" s="167"/>
      <c r="BC3227" s="42"/>
      <c r="BD3227" s="358"/>
      <c r="BH3227" s="302"/>
      <c r="BI3227" s="42"/>
    </row>
    <row r="3228" spans="52:61">
      <c r="AZ3228" s="302"/>
      <c r="BA3228" s="313"/>
      <c r="BB3228" s="167"/>
      <c r="BC3228" s="42"/>
      <c r="BD3228" s="358"/>
      <c r="BH3228" s="302"/>
      <c r="BI3228" s="42"/>
    </row>
    <row r="3229" spans="52:61">
      <c r="AZ3229" s="302"/>
      <c r="BA3229" s="313"/>
      <c r="BB3229" s="167"/>
      <c r="BC3229" s="42"/>
      <c r="BD3229" s="358"/>
      <c r="BH3229" s="302"/>
      <c r="BI3229" s="42"/>
    </row>
    <row r="3230" spans="52:61">
      <c r="AZ3230" s="302"/>
      <c r="BA3230" s="313"/>
      <c r="BB3230" s="167"/>
      <c r="BC3230" s="42"/>
      <c r="BD3230" s="358"/>
      <c r="BH3230" s="302"/>
      <c r="BI3230" s="42"/>
    </row>
    <row r="3231" spans="52:61">
      <c r="AZ3231" s="302"/>
      <c r="BA3231" s="313"/>
      <c r="BB3231" s="167"/>
      <c r="BC3231" s="42"/>
      <c r="BD3231" s="358"/>
      <c r="BH3231" s="302"/>
      <c r="BI3231" s="42"/>
    </row>
    <row r="3232" spans="52:61">
      <c r="AZ3232" s="302"/>
      <c r="BA3232" s="313"/>
      <c r="BB3232" s="167"/>
      <c r="BC3232" s="42"/>
      <c r="BD3232" s="358"/>
      <c r="BH3232" s="302"/>
      <c r="BI3232" s="42"/>
    </row>
    <row r="3233" spans="52:61">
      <c r="AZ3233" s="302"/>
      <c r="BA3233" s="313"/>
      <c r="BB3233" s="167"/>
      <c r="BC3233" s="42"/>
      <c r="BD3233" s="358"/>
      <c r="BH3233" s="302"/>
      <c r="BI3233" s="42"/>
    </row>
    <row r="3234" spans="52:61">
      <c r="AZ3234" s="302"/>
      <c r="BA3234" s="313"/>
      <c r="BB3234" s="167"/>
      <c r="BC3234" s="42"/>
      <c r="BD3234" s="358"/>
      <c r="BH3234" s="302"/>
      <c r="BI3234" s="42"/>
    </row>
    <row r="3235" spans="52:61">
      <c r="AZ3235" s="302"/>
      <c r="BA3235" s="313"/>
      <c r="BB3235" s="167"/>
      <c r="BC3235" s="42"/>
      <c r="BD3235" s="358"/>
      <c r="BH3235" s="302"/>
      <c r="BI3235" s="42"/>
    </row>
    <row r="3236" spans="52:61">
      <c r="AZ3236" s="302"/>
      <c r="BA3236" s="313"/>
      <c r="BB3236" s="167"/>
      <c r="BC3236" s="42"/>
      <c r="BD3236" s="358"/>
      <c r="BH3236" s="302"/>
      <c r="BI3236" s="42"/>
    </row>
    <row r="3237" spans="52:61">
      <c r="AZ3237" s="302"/>
      <c r="BA3237" s="313"/>
      <c r="BB3237" s="167"/>
      <c r="BC3237" s="42"/>
      <c r="BD3237" s="358"/>
      <c r="BH3237" s="302"/>
      <c r="BI3237" s="42"/>
    </row>
    <row r="3238" spans="52:61">
      <c r="AZ3238" s="302"/>
      <c r="BA3238" s="313"/>
      <c r="BB3238" s="167"/>
      <c r="BC3238" s="42"/>
      <c r="BD3238" s="358"/>
      <c r="BH3238" s="302"/>
      <c r="BI3238" s="42"/>
    </row>
    <row r="3239" spans="52:61">
      <c r="AZ3239" s="302"/>
      <c r="BA3239" s="313"/>
      <c r="BB3239" s="167"/>
      <c r="BC3239" s="42"/>
      <c r="BD3239" s="358"/>
      <c r="BH3239" s="302"/>
      <c r="BI3239" s="42"/>
    </row>
    <row r="3240" spans="52:61">
      <c r="AZ3240" s="302"/>
      <c r="BA3240" s="313"/>
      <c r="BB3240" s="167"/>
      <c r="BC3240" s="42"/>
      <c r="BD3240" s="358"/>
      <c r="BH3240" s="302"/>
      <c r="BI3240" s="42"/>
    </row>
    <row r="3241" spans="52:61">
      <c r="AZ3241" s="302"/>
      <c r="BA3241" s="313"/>
      <c r="BB3241" s="167"/>
      <c r="BC3241" s="42"/>
      <c r="BD3241" s="358"/>
      <c r="BH3241" s="302"/>
      <c r="BI3241" s="42"/>
    </row>
    <row r="3242" spans="52:61">
      <c r="AZ3242" s="302"/>
      <c r="BA3242" s="313"/>
      <c r="BB3242" s="167"/>
      <c r="BC3242" s="42"/>
      <c r="BD3242" s="358"/>
      <c r="BH3242" s="302"/>
      <c r="BI3242" s="42"/>
    </row>
    <row r="3243" spans="52:61">
      <c r="AZ3243" s="302"/>
      <c r="BA3243" s="313"/>
      <c r="BB3243" s="167"/>
      <c r="BC3243" s="42"/>
      <c r="BD3243" s="358"/>
      <c r="BH3243" s="302"/>
      <c r="BI3243" s="42"/>
    </row>
    <row r="3244" spans="52:61">
      <c r="AZ3244" s="302"/>
      <c r="BA3244" s="313"/>
      <c r="BB3244" s="167"/>
      <c r="BC3244" s="42"/>
      <c r="BD3244" s="358"/>
      <c r="BH3244" s="302"/>
      <c r="BI3244" s="42"/>
    </row>
    <row r="3245" spans="52:61">
      <c r="AZ3245" s="302"/>
      <c r="BA3245" s="313"/>
      <c r="BB3245" s="167"/>
      <c r="BC3245" s="42"/>
      <c r="BD3245" s="358"/>
      <c r="BH3245" s="302"/>
      <c r="BI3245" s="42"/>
    </row>
    <row r="3246" spans="52:61">
      <c r="AZ3246" s="302"/>
      <c r="BA3246" s="313"/>
      <c r="BB3246" s="167"/>
      <c r="BC3246" s="42"/>
      <c r="BD3246" s="358"/>
      <c r="BH3246" s="302"/>
      <c r="BI3246" s="42"/>
    </row>
    <row r="3247" spans="52:61">
      <c r="AZ3247" s="302"/>
      <c r="BA3247" s="313"/>
      <c r="BB3247" s="167"/>
      <c r="BC3247" s="42"/>
      <c r="BD3247" s="358"/>
      <c r="BH3247" s="302"/>
      <c r="BI3247" s="42"/>
    </row>
    <row r="3248" spans="52:61">
      <c r="AZ3248" s="302"/>
      <c r="BA3248" s="313"/>
      <c r="BB3248" s="167"/>
      <c r="BC3248" s="42"/>
      <c r="BD3248" s="358"/>
      <c r="BH3248" s="302"/>
      <c r="BI3248" s="42"/>
    </row>
    <row r="3249" spans="52:61">
      <c r="AZ3249" s="302"/>
      <c r="BA3249" s="313"/>
      <c r="BB3249" s="167"/>
      <c r="BC3249" s="42"/>
      <c r="BD3249" s="358"/>
      <c r="BH3249" s="302"/>
      <c r="BI3249" s="42"/>
    </row>
    <row r="3250" spans="52:61">
      <c r="AZ3250" s="302"/>
      <c r="BA3250" s="313"/>
      <c r="BB3250" s="167"/>
      <c r="BC3250" s="42"/>
      <c r="BD3250" s="358"/>
      <c r="BH3250" s="302"/>
      <c r="BI3250" s="42"/>
    </row>
    <row r="3251" spans="52:61">
      <c r="AZ3251" s="302"/>
      <c r="BA3251" s="313"/>
      <c r="BB3251" s="167"/>
      <c r="BC3251" s="42"/>
      <c r="BD3251" s="358"/>
      <c r="BH3251" s="302"/>
      <c r="BI3251" s="42"/>
    </row>
    <row r="3252" spans="52:61">
      <c r="AZ3252" s="302"/>
      <c r="BA3252" s="313"/>
      <c r="BB3252" s="167"/>
      <c r="BC3252" s="42"/>
      <c r="BD3252" s="358"/>
      <c r="BH3252" s="302"/>
      <c r="BI3252" s="42"/>
    </row>
    <row r="3253" spans="52:61">
      <c r="AZ3253" s="302"/>
      <c r="BA3253" s="313"/>
      <c r="BB3253" s="167"/>
      <c r="BC3253" s="42"/>
      <c r="BD3253" s="358"/>
      <c r="BH3253" s="302"/>
      <c r="BI3253" s="42"/>
    </row>
    <row r="3254" spans="52:61">
      <c r="AZ3254" s="302"/>
      <c r="BA3254" s="313"/>
      <c r="BB3254" s="167"/>
      <c r="BC3254" s="42"/>
      <c r="BD3254" s="358"/>
      <c r="BH3254" s="302"/>
      <c r="BI3254" s="42"/>
    </row>
    <row r="3255" spans="52:61">
      <c r="AZ3255" s="302"/>
      <c r="BA3255" s="313"/>
      <c r="BB3255" s="167"/>
      <c r="BC3255" s="42"/>
      <c r="BD3255" s="358"/>
      <c r="BH3255" s="302"/>
      <c r="BI3255" s="42"/>
    </row>
    <row r="3256" spans="52:61">
      <c r="AZ3256" s="302"/>
      <c r="BA3256" s="313"/>
      <c r="BB3256" s="167"/>
      <c r="BC3256" s="42"/>
      <c r="BD3256" s="358"/>
      <c r="BH3256" s="302"/>
      <c r="BI3256" s="42"/>
    </row>
    <row r="3257" spans="52:61">
      <c r="AZ3257" s="302"/>
      <c r="BA3257" s="313"/>
      <c r="BB3257" s="167"/>
      <c r="BC3257" s="42"/>
      <c r="BD3257" s="358"/>
      <c r="BH3257" s="302"/>
      <c r="BI3257" s="42"/>
    </row>
    <row r="3258" spans="52:61">
      <c r="AZ3258" s="302"/>
      <c r="BA3258" s="313"/>
      <c r="BB3258" s="167"/>
      <c r="BC3258" s="42"/>
      <c r="BD3258" s="358"/>
      <c r="BH3258" s="302"/>
      <c r="BI3258" s="42"/>
    </row>
    <row r="3259" spans="52:61">
      <c r="AZ3259" s="302"/>
      <c r="BA3259" s="313"/>
      <c r="BB3259" s="167"/>
      <c r="BC3259" s="42"/>
      <c r="BD3259" s="358"/>
      <c r="BH3259" s="302"/>
      <c r="BI3259" s="42"/>
    </row>
    <row r="3260" spans="52:61">
      <c r="AZ3260" s="302"/>
      <c r="BA3260" s="313"/>
      <c r="BB3260" s="167"/>
      <c r="BC3260" s="42"/>
      <c r="BD3260" s="358"/>
      <c r="BH3260" s="302"/>
      <c r="BI3260" s="42"/>
    </row>
    <row r="3261" spans="52:61">
      <c r="AZ3261" s="302"/>
      <c r="BA3261" s="313"/>
      <c r="BB3261" s="167"/>
      <c r="BC3261" s="42"/>
      <c r="BD3261" s="358"/>
      <c r="BH3261" s="302"/>
      <c r="BI3261" s="42"/>
    </row>
    <row r="3262" spans="52:61">
      <c r="AZ3262" s="302"/>
      <c r="BA3262" s="313"/>
      <c r="BB3262" s="167"/>
      <c r="BC3262" s="42"/>
      <c r="BD3262" s="358"/>
      <c r="BH3262" s="302"/>
      <c r="BI3262" s="42"/>
    </row>
    <row r="3263" spans="52:61">
      <c r="AZ3263" s="302"/>
      <c r="BA3263" s="313"/>
      <c r="BB3263" s="167"/>
      <c r="BC3263" s="42"/>
      <c r="BD3263" s="358"/>
      <c r="BH3263" s="302"/>
      <c r="BI3263" s="42"/>
    </row>
    <row r="3264" spans="52:61">
      <c r="AZ3264" s="302"/>
      <c r="BA3264" s="313"/>
      <c r="BB3264" s="167"/>
      <c r="BC3264" s="42"/>
      <c r="BD3264" s="358"/>
      <c r="BH3264" s="302"/>
      <c r="BI3264" s="42"/>
    </row>
    <row r="3265" spans="52:61">
      <c r="AZ3265" s="302"/>
      <c r="BA3265" s="313"/>
      <c r="BB3265" s="167"/>
      <c r="BC3265" s="42"/>
      <c r="BD3265" s="358"/>
      <c r="BH3265" s="302"/>
      <c r="BI3265" s="42"/>
    </row>
    <row r="3266" spans="52:61">
      <c r="AZ3266" s="302"/>
      <c r="BA3266" s="313"/>
      <c r="BB3266" s="167"/>
      <c r="BC3266" s="42"/>
      <c r="BD3266" s="358"/>
      <c r="BH3266" s="302"/>
      <c r="BI3266" s="42"/>
    </row>
    <row r="3267" spans="52:61">
      <c r="AZ3267" s="302"/>
      <c r="BA3267" s="313"/>
      <c r="BB3267" s="167"/>
      <c r="BC3267" s="42"/>
      <c r="BD3267" s="358"/>
      <c r="BH3267" s="302"/>
      <c r="BI3267" s="42"/>
    </row>
    <row r="3268" spans="52:61">
      <c r="AZ3268" s="302"/>
      <c r="BA3268" s="313"/>
      <c r="BB3268" s="167"/>
      <c r="BC3268" s="42"/>
      <c r="BD3268" s="358"/>
      <c r="BH3268" s="302"/>
      <c r="BI3268" s="42"/>
    </row>
    <row r="3269" spans="52:61">
      <c r="AZ3269" s="302"/>
      <c r="BA3269" s="313"/>
      <c r="BB3269" s="167"/>
      <c r="BC3269" s="42"/>
      <c r="BD3269" s="358"/>
      <c r="BH3269" s="302"/>
      <c r="BI3269" s="42"/>
    </row>
    <row r="3270" spans="52:61">
      <c r="AZ3270" s="302"/>
      <c r="BA3270" s="313"/>
      <c r="BB3270" s="167"/>
      <c r="BC3270" s="42"/>
      <c r="BD3270" s="358"/>
      <c r="BH3270" s="302"/>
      <c r="BI3270" s="42"/>
    </row>
    <row r="3271" spans="52:61">
      <c r="AZ3271" s="302"/>
      <c r="BA3271" s="313"/>
      <c r="BB3271" s="167"/>
      <c r="BC3271" s="42"/>
      <c r="BD3271" s="358"/>
      <c r="BH3271" s="302"/>
      <c r="BI3271" s="42"/>
    </row>
    <row r="3272" spans="52:61">
      <c r="AZ3272" s="302"/>
      <c r="BA3272" s="313"/>
      <c r="BB3272" s="167"/>
      <c r="BC3272" s="42"/>
      <c r="BD3272" s="358"/>
      <c r="BH3272" s="302"/>
      <c r="BI3272" s="42"/>
    </row>
    <row r="3273" spans="52:61">
      <c r="AZ3273" s="302"/>
      <c r="BA3273" s="313"/>
      <c r="BB3273" s="167"/>
      <c r="BC3273" s="42"/>
      <c r="BD3273" s="358"/>
      <c r="BH3273" s="302"/>
      <c r="BI3273" s="42"/>
    </row>
    <row r="3274" spans="52:61">
      <c r="AZ3274" s="302"/>
      <c r="BA3274" s="313"/>
      <c r="BB3274" s="167"/>
      <c r="BC3274" s="42"/>
      <c r="BD3274" s="358"/>
      <c r="BH3274" s="302"/>
      <c r="BI3274" s="42"/>
    </row>
    <row r="3275" spans="52:61">
      <c r="AZ3275" s="302"/>
      <c r="BA3275" s="313"/>
      <c r="BB3275" s="167"/>
      <c r="BC3275" s="42"/>
      <c r="BD3275" s="358"/>
      <c r="BH3275" s="302"/>
      <c r="BI3275" s="42"/>
    </row>
    <row r="3276" spans="52:61">
      <c r="AZ3276" s="302"/>
      <c r="BA3276" s="313"/>
      <c r="BB3276" s="167"/>
      <c r="BC3276" s="42"/>
      <c r="BD3276" s="358"/>
      <c r="BH3276" s="302"/>
      <c r="BI3276" s="42"/>
    </row>
    <row r="3277" spans="52:61">
      <c r="AZ3277" s="302"/>
      <c r="BA3277" s="313"/>
      <c r="BB3277" s="167"/>
      <c r="BC3277" s="42"/>
      <c r="BD3277" s="358"/>
      <c r="BH3277" s="302"/>
      <c r="BI3277" s="42"/>
    </row>
    <row r="3278" spans="52:61">
      <c r="AZ3278" s="302"/>
      <c r="BA3278" s="313"/>
      <c r="BB3278" s="167"/>
      <c r="BC3278" s="42"/>
      <c r="BD3278" s="358"/>
      <c r="BH3278" s="302"/>
      <c r="BI3278" s="42"/>
    </row>
    <row r="3279" spans="52:61">
      <c r="AZ3279" s="302"/>
      <c r="BA3279" s="313"/>
      <c r="BB3279" s="167"/>
      <c r="BC3279" s="42"/>
      <c r="BD3279" s="358"/>
      <c r="BH3279" s="302"/>
      <c r="BI3279" s="42"/>
    </row>
    <row r="3280" spans="52:61">
      <c r="AZ3280" s="302"/>
      <c r="BA3280" s="313"/>
      <c r="BB3280" s="167"/>
      <c r="BC3280" s="42"/>
      <c r="BD3280" s="358"/>
      <c r="BH3280" s="302"/>
      <c r="BI3280" s="42"/>
    </row>
    <row r="3281" spans="52:61">
      <c r="AZ3281" s="302"/>
      <c r="BA3281" s="313"/>
      <c r="BB3281" s="167"/>
      <c r="BC3281" s="42"/>
      <c r="BD3281" s="358"/>
      <c r="BH3281" s="302"/>
      <c r="BI3281" s="42"/>
    </row>
    <row r="3282" spans="52:61">
      <c r="AZ3282" s="302"/>
      <c r="BA3282" s="313"/>
      <c r="BB3282" s="167"/>
      <c r="BC3282" s="42"/>
      <c r="BD3282" s="358"/>
      <c r="BH3282" s="302"/>
      <c r="BI3282" s="42"/>
    </row>
    <row r="3283" spans="52:61">
      <c r="AZ3283" s="302"/>
      <c r="BA3283" s="313"/>
      <c r="BB3283" s="167"/>
      <c r="BC3283" s="42"/>
      <c r="BD3283" s="358"/>
      <c r="BH3283" s="302"/>
      <c r="BI3283" s="42"/>
    </row>
    <row r="3284" spans="52:61">
      <c r="AZ3284" s="302"/>
      <c r="BA3284" s="313"/>
      <c r="BB3284" s="167"/>
      <c r="BC3284" s="42"/>
      <c r="BD3284" s="358"/>
      <c r="BH3284" s="302"/>
      <c r="BI3284" s="42"/>
    </row>
    <row r="3285" spans="52:61">
      <c r="AZ3285" s="302"/>
      <c r="BA3285" s="313"/>
      <c r="BB3285" s="167"/>
      <c r="BC3285" s="42"/>
      <c r="BD3285" s="358"/>
      <c r="BH3285" s="302"/>
      <c r="BI3285" s="42"/>
    </row>
    <row r="3286" spans="52:61">
      <c r="AZ3286" s="302"/>
      <c r="BA3286" s="313"/>
      <c r="BB3286" s="167"/>
      <c r="BC3286" s="42"/>
      <c r="BD3286" s="358"/>
      <c r="BH3286" s="302"/>
      <c r="BI3286" s="42"/>
    </row>
    <row r="3287" spans="52:61">
      <c r="AZ3287" s="302"/>
      <c r="BA3287" s="313"/>
      <c r="BB3287" s="167"/>
      <c r="BC3287" s="42"/>
      <c r="BD3287" s="358"/>
      <c r="BH3287" s="302"/>
      <c r="BI3287" s="42"/>
    </row>
    <row r="3288" spans="52:61">
      <c r="AZ3288" s="302"/>
      <c r="BA3288" s="313"/>
      <c r="BB3288" s="167"/>
      <c r="BC3288" s="42"/>
      <c r="BD3288" s="358"/>
      <c r="BH3288" s="302"/>
      <c r="BI3288" s="42"/>
    </row>
    <row r="3289" spans="52:61">
      <c r="AZ3289" s="302"/>
      <c r="BA3289" s="313"/>
      <c r="BB3289" s="167"/>
      <c r="BC3289" s="42"/>
      <c r="BD3289" s="358"/>
      <c r="BH3289" s="302"/>
      <c r="BI3289" s="42"/>
    </row>
    <row r="3290" spans="52:61">
      <c r="AZ3290" s="302"/>
      <c r="BA3290" s="313"/>
      <c r="BB3290" s="167"/>
      <c r="BC3290" s="42"/>
      <c r="BD3290" s="358"/>
      <c r="BH3290" s="302"/>
      <c r="BI3290" s="42"/>
    </row>
    <row r="3291" spans="52:61">
      <c r="AZ3291" s="302"/>
      <c r="BA3291" s="313"/>
      <c r="BB3291" s="167"/>
      <c r="BC3291" s="42"/>
      <c r="BD3291" s="358"/>
      <c r="BH3291" s="302"/>
      <c r="BI3291" s="42"/>
    </row>
    <row r="3292" spans="52:61">
      <c r="AZ3292" s="302"/>
      <c r="BA3292" s="313"/>
      <c r="BB3292" s="167"/>
      <c r="BC3292" s="42"/>
      <c r="BD3292" s="358"/>
      <c r="BH3292" s="302"/>
      <c r="BI3292" s="42"/>
    </row>
    <row r="3293" spans="52:61">
      <c r="AZ3293" s="302"/>
      <c r="BA3293" s="313"/>
      <c r="BB3293" s="167"/>
      <c r="BC3293" s="42"/>
      <c r="BD3293" s="358"/>
      <c r="BH3293" s="302"/>
      <c r="BI3293" s="42"/>
    </row>
    <row r="3294" spans="52:61">
      <c r="AZ3294" s="302"/>
      <c r="BA3294" s="313"/>
      <c r="BB3294" s="167"/>
      <c r="BC3294" s="42"/>
      <c r="BD3294" s="358"/>
      <c r="BH3294" s="302"/>
      <c r="BI3294" s="42"/>
    </row>
    <row r="3295" spans="52:61">
      <c r="AZ3295" s="302"/>
      <c r="BA3295" s="313"/>
      <c r="BB3295" s="167"/>
      <c r="BC3295" s="42"/>
      <c r="BD3295" s="358"/>
      <c r="BH3295" s="302"/>
      <c r="BI3295" s="42"/>
    </row>
    <row r="3296" spans="52:61">
      <c r="AZ3296" s="302"/>
      <c r="BA3296" s="313"/>
      <c r="BB3296" s="167"/>
      <c r="BC3296" s="42"/>
      <c r="BD3296" s="358"/>
      <c r="BH3296" s="302"/>
      <c r="BI3296" s="42"/>
    </row>
    <row r="3297" spans="52:61">
      <c r="AZ3297" s="302"/>
      <c r="BA3297" s="313"/>
      <c r="BB3297" s="167"/>
      <c r="BC3297" s="42"/>
      <c r="BD3297" s="358"/>
      <c r="BH3297" s="302"/>
      <c r="BI3297" s="42"/>
    </row>
    <row r="3298" spans="52:61">
      <c r="AZ3298" s="302"/>
      <c r="BA3298" s="313"/>
      <c r="BB3298" s="167"/>
      <c r="BC3298" s="42"/>
      <c r="BD3298" s="358"/>
      <c r="BH3298" s="302"/>
      <c r="BI3298" s="42"/>
    </row>
    <row r="3299" spans="52:61">
      <c r="AZ3299" s="302"/>
      <c r="BA3299" s="313"/>
      <c r="BB3299" s="167"/>
      <c r="BC3299" s="42"/>
      <c r="BD3299" s="358"/>
      <c r="BH3299" s="302"/>
      <c r="BI3299" s="42"/>
    </row>
    <row r="3300" spans="52:61">
      <c r="AZ3300" s="302"/>
      <c r="BA3300" s="313"/>
      <c r="BB3300" s="167"/>
      <c r="BC3300" s="42"/>
      <c r="BD3300" s="358"/>
      <c r="BH3300" s="302"/>
      <c r="BI3300" s="42"/>
    </row>
    <row r="3301" spans="52:61">
      <c r="AZ3301" s="302"/>
      <c r="BA3301" s="313"/>
      <c r="BB3301" s="167"/>
      <c r="BC3301" s="42"/>
      <c r="BD3301" s="358"/>
      <c r="BH3301" s="302"/>
      <c r="BI3301" s="42"/>
    </row>
    <row r="3302" spans="52:61">
      <c r="AZ3302" s="302"/>
      <c r="BA3302" s="313"/>
      <c r="BB3302" s="167"/>
      <c r="BC3302" s="42"/>
      <c r="BD3302" s="358"/>
      <c r="BH3302" s="302"/>
      <c r="BI3302" s="42"/>
    </row>
    <row r="3303" spans="52:61">
      <c r="AZ3303" s="302"/>
      <c r="BA3303" s="313"/>
      <c r="BB3303" s="167"/>
      <c r="BC3303" s="42"/>
      <c r="BD3303" s="358"/>
      <c r="BH3303" s="302"/>
      <c r="BI3303" s="42"/>
    </row>
    <row r="3304" spans="52:61">
      <c r="AZ3304" s="302"/>
      <c r="BA3304" s="313"/>
      <c r="BB3304" s="167"/>
      <c r="BC3304" s="42"/>
      <c r="BD3304" s="358"/>
      <c r="BH3304" s="302"/>
      <c r="BI3304" s="42"/>
    </row>
    <row r="3305" spans="52:61">
      <c r="AZ3305" s="302"/>
      <c r="BA3305" s="313"/>
      <c r="BB3305" s="167"/>
      <c r="BC3305" s="42"/>
      <c r="BD3305" s="358"/>
      <c r="BH3305" s="302"/>
      <c r="BI3305" s="42"/>
    </row>
    <row r="3306" spans="52:61">
      <c r="AZ3306" s="302"/>
      <c r="BA3306" s="313"/>
      <c r="BB3306" s="167"/>
      <c r="BC3306" s="42"/>
      <c r="BD3306" s="358"/>
      <c r="BH3306" s="302"/>
      <c r="BI3306" s="42"/>
    </row>
    <row r="3307" spans="52:61">
      <c r="AZ3307" s="302"/>
      <c r="BA3307" s="313"/>
      <c r="BB3307" s="167"/>
      <c r="BC3307" s="42"/>
      <c r="BD3307" s="358"/>
      <c r="BH3307" s="302"/>
      <c r="BI3307" s="42"/>
    </row>
    <row r="3308" spans="52:61">
      <c r="AZ3308" s="302"/>
      <c r="BA3308" s="313"/>
      <c r="BB3308" s="167"/>
      <c r="BC3308" s="42"/>
      <c r="BD3308" s="358"/>
      <c r="BH3308" s="302"/>
      <c r="BI3308" s="42"/>
    </row>
    <row r="3309" spans="52:61">
      <c r="AZ3309" s="302"/>
      <c r="BA3309" s="313"/>
      <c r="BB3309" s="167"/>
      <c r="BC3309" s="42"/>
      <c r="BD3309" s="358"/>
      <c r="BH3309" s="302"/>
      <c r="BI3309" s="42"/>
    </row>
    <row r="3310" spans="52:61">
      <c r="AZ3310" s="302"/>
      <c r="BA3310" s="313"/>
      <c r="BB3310" s="167"/>
      <c r="BC3310" s="42"/>
      <c r="BD3310" s="358"/>
      <c r="BH3310" s="302"/>
      <c r="BI3310" s="42"/>
    </row>
    <row r="3311" spans="52:61">
      <c r="AZ3311" s="302"/>
      <c r="BA3311" s="313"/>
      <c r="BB3311" s="167"/>
      <c r="BC3311" s="42"/>
      <c r="BD3311" s="358"/>
      <c r="BH3311" s="302"/>
      <c r="BI3311" s="42"/>
    </row>
    <row r="3312" spans="52:61">
      <c r="AZ3312" s="302"/>
      <c r="BA3312" s="313"/>
      <c r="BB3312" s="167"/>
      <c r="BC3312" s="42"/>
      <c r="BD3312" s="358"/>
      <c r="BH3312" s="302"/>
      <c r="BI3312" s="42"/>
    </row>
    <row r="3313" spans="52:61">
      <c r="AZ3313" s="302"/>
      <c r="BA3313" s="313"/>
      <c r="BB3313" s="167"/>
      <c r="BC3313" s="42"/>
      <c r="BD3313" s="358"/>
      <c r="BH3313" s="302"/>
      <c r="BI3313" s="42"/>
    </row>
    <row r="3314" spans="52:61">
      <c r="AZ3314" s="302"/>
      <c r="BA3314" s="313"/>
      <c r="BB3314" s="167"/>
      <c r="BC3314" s="42"/>
      <c r="BD3314" s="358"/>
      <c r="BH3314" s="302"/>
      <c r="BI3314" s="42"/>
    </row>
    <row r="3315" spans="52:61">
      <c r="AZ3315" s="302"/>
      <c r="BA3315" s="313"/>
      <c r="BB3315" s="167"/>
      <c r="BC3315" s="42"/>
      <c r="BD3315" s="358"/>
      <c r="BH3315" s="302"/>
      <c r="BI3315" s="42"/>
    </row>
    <row r="3316" spans="52:61">
      <c r="AZ3316" s="302"/>
      <c r="BA3316" s="313"/>
      <c r="BB3316" s="167"/>
      <c r="BC3316" s="42"/>
      <c r="BD3316" s="358"/>
      <c r="BH3316" s="302"/>
      <c r="BI3316" s="42"/>
    </row>
    <row r="3317" spans="52:61">
      <c r="AZ3317" s="302"/>
      <c r="BA3317" s="313"/>
      <c r="BB3317" s="167"/>
      <c r="BC3317" s="42"/>
      <c r="BD3317" s="358"/>
      <c r="BH3317" s="302"/>
      <c r="BI3317" s="42"/>
    </row>
    <row r="3318" spans="52:61">
      <c r="AZ3318" s="302"/>
      <c r="BA3318" s="313"/>
      <c r="BB3318" s="167"/>
      <c r="BC3318" s="42"/>
      <c r="BD3318" s="358"/>
      <c r="BH3318" s="302"/>
      <c r="BI3318" s="42"/>
    </row>
    <row r="3319" spans="52:61">
      <c r="AZ3319" s="302"/>
      <c r="BA3319" s="313"/>
      <c r="BB3319" s="167"/>
      <c r="BC3319" s="42"/>
      <c r="BD3319" s="358"/>
      <c r="BH3319" s="302"/>
      <c r="BI3319" s="42"/>
    </row>
    <row r="3320" spans="52:61">
      <c r="AZ3320" s="302"/>
      <c r="BA3320" s="313"/>
      <c r="BB3320" s="167"/>
      <c r="BC3320" s="42"/>
      <c r="BD3320" s="358"/>
      <c r="BH3320" s="302"/>
      <c r="BI3320" s="42"/>
    </row>
    <row r="3321" spans="52:61">
      <c r="AZ3321" s="302"/>
      <c r="BA3321" s="313"/>
      <c r="BB3321" s="167"/>
      <c r="BC3321" s="42"/>
      <c r="BD3321" s="358"/>
      <c r="BH3321" s="302"/>
      <c r="BI3321" s="42"/>
    </row>
    <row r="3322" spans="52:61">
      <c r="AZ3322" s="302"/>
      <c r="BA3322" s="313"/>
      <c r="BB3322" s="167"/>
      <c r="BC3322" s="42"/>
      <c r="BD3322" s="358"/>
      <c r="BH3322" s="302"/>
      <c r="BI3322" s="42"/>
    </row>
    <row r="3323" spans="52:61">
      <c r="AZ3323" s="302"/>
      <c r="BA3323" s="313"/>
      <c r="BB3323" s="167"/>
      <c r="BC3323" s="42"/>
      <c r="BD3323" s="358"/>
      <c r="BH3323" s="302"/>
      <c r="BI3323" s="42"/>
    </row>
    <row r="3324" spans="52:61">
      <c r="AZ3324" s="302"/>
      <c r="BA3324" s="313"/>
      <c r="BB3324" s="167"/>
      <c r="BC3324" s="42"/>
      <c r="BD3324" s="358"/>
      <c r="BH3324" s="302"/>
      <c r="BI3324" s="42"/>
    </row>
    <row r="3325" spans="52:61">
      <c r="AZ3325" s="302"/>
      <c r="BA3325" s="313"/>
      <c r="BB3325" s="167"/>
      <c r="BC3325" s="42"/>
      <c r="BD3325" s="358"/>
      <c r="BH3325" s="302"/>
      <c r="BI3325" s="42"/>
    </row>
    <row r="3326" spans="52:61">
      <c r="AZ3326" s="302"/>
      <c r="BA3326" s="313"/>
      <c r="BB3326" s="167"/>
      <c r="BC3326" s="42"/>
      <c r="BD3326" s="358"/>
      <c r="BH3326" s="302"/>
      <c r="BI3326" s="42"/>
    </row>
    <row r="3327" spans="52:61">
      <c r="AZ3327" s="302"/>
      <c r="BA3327" s="313"/>
      <c r="BB3327" s="167"/>
      <c r="BC3327" s="42"/>
      <c r="BD3327" s="358"/>
      <c r="BH3327" s="302"/>
      <c r="BI3327" s="42"/>
    </row>
    <row r="3328" spans="52:61">
      <c r="AZ3328" s="302"/>
      <c r="BA3328" s="313"/>
      <c r="BB3328" s="167"/>
      <c r="BC3328" s="42"/>
      <c r="BD3328" s="358"/>
      <c r="BH3328" s="302"/>
      <c r="BI3328" s="42"/>
    </row>
    <row r="3329" spans="52:61">
      <c r="AZ3329" s="302"/>
      <c r="BA3329" s="313"/>
      <c r="BB3329" s="167"/>
      <c r="BC3329" s="42"/>
      <c r="BD3329" s="358"/>
      <c r="BH3329" s="302"/>
      <c r="BI3329" s="42"/>
    </row>
    <row r="3330" spans="52:61">
      <c r="AZ3330" s="302"/>
      <c r="BA3330" s="313"/>
      <c r="BB3330" s="167"/>
      <c r="BC3330" s="42"/>
      <c r="BD3330" s="358"/>
      <c r="BH3330" s="302"/>
      <c r="BI3330" s="42"/>
    </row>
    <row r="3331" spans="52:61">
      <c r="AZ3331" s="302"/>
      <c r="BA3331" s="313"/>
      <c r="BB3331" s="167"/>
      <c r="BC3331" s="42"/>
      <c r="BD3331" s="358"/>
      <c r="BH3331" s="302"/>
      <c r="BI3331" s="42"/>
    </row>
    <row r="3332" spans="52:61">
      <c r="AZ3332" s="302"/>
      <c r="BA3332" s="313"/>
      <c r="BB3332" s="167"/>
      <c r="BC3332" s="42"/>
      <c r="BD3332" s="358"/>
      <c r="BH3332" s="302"/>
      <c r="BI3332" s="42"/>
    </row>
    <row r="3333" spans="52:61">
      <c r="AZ3333" s="302"/>
      <c r="BA3333" s="313"/>
      <c r="BB3333" s="167"/>
      <c r="BC3333" s="42"/>
      <c r="BD3333" s="358"/>
      <c r="BH3333" s="302"/>
      <c r="BI3333" s="42"/>
    </row>
    <row r="3334" spans="52:61">
      <c r="AZ3334" s="302"/>
      <c r="BA3334" s="313"/>
      <c r="BB3334" s="167"/>
      <c r="BC3334" s="42"/>
      <c r="BD3334" s="358"/>
      <c r="BH3334" s="302"/>
      <c r="BI3334" s="42"/>
    </row>
    <row r="3335" spans="52:61">
      <c r="AZ3335" s="302"/>
      <c r="BA3335" s="313"/>
      <c r="BB3335" s="167"/>
      <c r="BC3335" s="42"/>
      <c r="BD3335" s="358"/>
      <c r="BH3335" s="302"/>
      <c r="BI3335" s="42"/>
    </row>
    <row r="3336" spans="52:61">
      <c r="AZ3336" s="302"/>
      <c r="BA3336" s="313"/>
      <c r="BB3336" s="167"/>
      <c r="BC3336" s="42"/>
      <c r="BD3336" s="358"/>
      <c r="BH3336" s="302"/>
      <c r="BI3336" s="42"/>
    </row>
    <row r="3337" spans="52:61">
      <c r="AZ3337" s="302"/>
      <c r="BA3337" s="313"/>
      <c r="BB3337" s="167"/>
      <c r="BC3337" s="42"/>
      <c r="BD3337" s="358"/>
      <c r="BH3337" s="302"/>
      <c r="BI3337" s="42"/>
    </row>
    <row r="3338" spans="52:61">
      <c r="AZ3338" s="302"/>
      <c r="BA3338" s="313"/>
      <c r="BB3338" s="167"/>
      <c r="BC3338" s="42"/>
      <c r="BD3338" s="358"/>
      <c r="BH3338" s="302"/>
      <c r="BI3338" s="42"/>
    </row>
    <row r="3339" spans="52:61">
      <c r="AZ3339" s="302"/>
      <c r="BA3339" s="313"/>
      <c r="BB3339" s="167"/>
      <c r="BC3339" s="42"/>
      <c r="BD3339" s="358"/>
      <c r="BH3339" s="302"/>
      <c r="BI3339" s="42"/>
    </row>
    <row r="3340" spans="52:61">
      <c r="AZ3340" s="302"/>
      <c r="BA3340" s="313"/>
      <c r="BB3340" s="167"/>
      <c r="BC3340" s="42"/>
      <c r="BD3340" s="358"/>
      <c r="BH3340" s="302"/>
      <c r="BI3340" s="42"/>
    </row>
    <row r="3341" spans="52:61">
      <c r="AZ3341" s="302"/>
      <c r="BA3341" s="313"/>
      <c r="BB3341" s="167"/>
      <c r="BC3341" s="42"/>
      <c r="BD3341" s="358"/>
      <c r="BH3341" s="302"/>
      <c r="BI3341" s="42"/>
    </row>
    <row r="3342" spans="52:61">
      <c r="AZ3342" s="302"/>
      <c r="BA3342" s="313"/>
      <c r="BB3342" s="167"/>
      <c r="BC3342" s="42"/>
      <c r="BD3342" s="358"/>
      <c r="BH3342" s="302"/>
      <c r="BI3342" s="42"/>
    </row>
    <row r="3343" spans="52:61">
      <c r="AZ3343" s="302"/>
      <c r="BA3343" s="313"/>
      <c r="BB3343" s="167"/>
      <c r="BC3343" s="42"/>
      <c r="BD3343" s="358"/>
      <c r="BH3343" s="302"/>
      <c r="BI3343" s="42"/>
    </row>
    <row r="3344" spans="52:61">
      <c r="AZ3344" s="302"/>
      <c r="BA3344" s="313"/>
      <c r="BB3344" s="167"/>
      <c r="BC3344" s="42"/>
      <c r="BD3344" s="358"/>
      <c r="BH3344" s="302"/>
      <c r="BI3344" s="42"/>
    </row>
    <row r="3345" spans="52:61">
      <c r="AZ3345" s="302"/>
      <c r="BA3345" s="313"/>
      <c r="BB3345" s="167"/>
      <c r="BC3345" s="42"/>
      <c r="BD3345" s="358"/>
      <c r="BH3345" s="302"/>
      <c r="BI3345" s="42"/>
    </row>
    <row r="3346" spans="52:61">
      <c r="AZ3346" s="302"/>
      <c r="BA3346" s="313"/>
      <c r="BB3346" s="167"/>
      <c r="BC3346" s="42"/>
      <c r="BD3346" s="358"/>
      <c r="BH3346" s="302"/>
      <c r="BI3346" s="42"/>
    </row>
    <row r="3347" spans="52:61">
      <c r="AZ3347" s="302"/>
      <c r="BA3347" s="313"/>
      <c r="BB3347" s="167"/>
      <c r="BC3347" s="42"/>
      <c r="BD3347" s="358"/>
      <c r="BH3347" s="302"/>
      <c r="BI3347" s="42"/>
    </row>
    <row r="3348" spans="52:61">
      <c r="AZ3348" s="302"/>
      <c r="BA3348" s="313"/>
      <c r="BB3348" s="167"/>
      <c r="BC3348" s="42"/>
      <c r="BD3348" s="358"/>
      <c r="BH3348" s="302"/>
      <c r="BI3348" s="42"/>
    </row>
    <row r="3349" spans="52:61">
      <c r="AZ3349" s="302"/>
      <c r="BA3349" s="313"/>
      <c r="BB3349" s="167"/>
      <c r="BC3349" s="42"/>
      <c r="BD3349" s="358"/>
      <c r="BH3349" s="302"/>
      <c r="BI3349" s="42"/>
    </row>
    <row r="3350" spans="52:61">
      <c r="AZ3350" s="302"/>
      <c r="BA3350" s="313"/>
      <c r="BB3350" s="167"/>
      <c r="BC3350" s="42"/>
      <c r="BD3350" s="358"/>
      <c r="BH3350" s="302"/>
      <c r="BI3350" s="42"/>
    </row>
    <row r="3351" spans="52:61">
      <c r="AZ3351" s="302"/>
      <c r="BA3351" s="313"/>
      <c r="BB3351" s="167"/>
      <c r="BC3351" s="42"/>
      <c r="BD3351" s="358"/>
      <c r="BH3351" s="302"/>
      <c r="BI3351" s="42"/>
    </row>
    <row r="3352" spans="52:61">
      <c r="AZ3352" s="302"/>
      <c r="BA3352" s="313"/>
      <c r="BB3352" s="167"/>
      <c r="BC3352" s="42"/>
      <c r="BD3352" s="358"/>
      <c r="BH3352" s="302"/>
      <c r="BI3352" s="42"/>
    </row>
    <row r="3353" spans="52:61">
      <c r="AZ3353" s="302"/>
      <c r="BA3353" s="313"/>
      <c r="BB3353" s="167"/>
      <c r="BC3353" s="42"/>
      <c r="BD3353" s="358"/>
      <c r="BH3353" s="302"/>
      <c r="BI3353" s="42"/>
    </row>
    <row r="3354" spans="52:61">
      <c r="AZ3354" s="302"/>
      <c r="BA3354" s="313"/>
      <c r="BB3354" s="167"/>
      <c r="BC3354" s="42"/>
      <c r="BD3354" s="358"/>
      <c r="BH3354" s="302"/>
      <c r="BI3354" s="42"/>
    </row>
    <row r="3355" spans="52:61">
      <c r="AZ3355" s="302"/>
      <c r="BA3355" s="313"/>
      <c r="BB3355" s="167"/>
      <c r="BC3355" s="42"/>
      <c r="BD3355" s="358"/>
      <c r="BH3355" s="302"/>
      <c r="BI3355" s="42"/>
    </row>
    <row r="3356" spans="52:61">
      <c r="AZ3356" s="302"/>
      <c r="BA3356" s="313"/>
      <c r="BB3356" s="167"/>
      <c r="BC3356" s="42"/>
      <c r="BD3356" s="358"/>
      <c r="BH3356" s="302"/>
      <c r="BI3356" s="42"/>
    </row>
    <row r="3357" spans="52:61">
      <c r="AZ3357" s="302"/>
      <c r="BA3357" s="313"/>
      <c r="BB3357" s="167"/>
      <c r="BC3357" s="42"/>
      <c r="BD3357" s="358"/>
      <c r="BH3357" s="302"/>
      <c r="BI3357" s="42"/>
    </row>
    <row r="3358" spans="52:61">
      <c r="AZ3358" s="302"/>
      <c r="BA3358" s="313"/>
      <c r="BB3358" s="167"/>
      <c r="BC3358" s="42"/>
      <c r="BD3358" s="358"/>
      <c r="BH3358" s="302"/>
      <c r="BI3358" s="42"/>
    </row>
    <row r="3359" spans="52:61">
      <c r="AZ3359" s="302"/>
      <c r="BA3359" s="313"/>
      <c r="BB3359" s="167"/>
      <c r="BC3359" s="42"/>
      <c r="BD3359" s="358"/>
      <c r="BH3359" s="302"/>
      <c r="BI3359" s="42"/>
    </row>
    <row r="3360" spans="52:61">
      <c r="AZ3360" s="302"/>
      <c r="BA3360" s="313"/>
      <c r="BB3360" s="167"/>
      <c r="BC3360" s="42"/>
      <c r="BD3360" s="358"/>
      <c r="BH3360" s="302"/>
      <c r="BI3360" s="42"/>
    </row>
    <row r="3361" spans="52:61">
      <c r="AZ3361" s="302"/>
      <c r="BA3361" s="313"/>
      <c r="BB3361" s="167"/>
      <c r="BC3361" s="42"/>
      <c r="BD3361" s="358"/>
      <c r="BH3361" s="302"/>
      <c r="BI3361" s="42"/>
    </row>
    <row r="3362" spans="52:61">
      <c r="AZ3362" s="302"/>
      <c r="BA3362" s="313"/>
      <c r="BB3362" s="167"/>
      <c r="BC3362" s="42"/>
      <c r="BD3362" s="358"/>
      <c r="BH3362" s="302"/>
      <c r="BI3362" s="42"/>
    </row>
    <row r="3363" spans="52:61">
      <c r="AZ3363" s="302"/>
      <c r="BA3363" s="313"/>
      <c r="BB3363" s="167"/>
      <c r="BC3363" s="42"/>
      <c r="BD3363" s="358"/>
      <c r="BH3363" s="302"/>
      <c r="BI3363" s="42"/>
    </row>
    <row r="3364" spans="52:61">
      <c r="AZ3364" s="302"/>
      <c r="BA3364" s="313"/>
      <c r="BB3364" s="167"/>
      <c r="BC3364" s="42"/>
      <c r="BD3364" s="358"/>
      <c r="BH3364" s="302"/>
      <c r="BI3364" s="42"/>
    </row>
    <row r="3365" spans="52:61">
      <c r="AZ3365" s="302"/>
      <c r="BA3365" s="313"/>
      <c r="BB3365" s="167"/>
      <c r="BC3365" s="42"/>
      <c r="BD3365" s="358"/>
      <c r="BH3365" s="302"/>
      <c r="BI3365" s="42"/>
    </row>
    <row r="3366" spans="52:61">
      <c r="AZ3366" s="302"/>
      <c r="BA3366" s="313"/>
      <c r="BB3366" s="167"/>
      <c r="BC3366" s="42"/>
      <c r="BD3366" s="358"/>
      <c r="BH3366" s="302"/>
      <c r="BI3366" s="42"/>
    </row>
    <row r="3367" spans="52:61">
      <c r="AZ3367" s="302"/>
      <c r="BA3367" s="313"/>
      <c r="BB3367" s="167"/>
      <c r="BC3367" s="42"/>
      <c r="BD3367" s="358"/>
      <c r="BH3367" s="302"/>
      <c r="BI3367" s="42"/>
    </row>
    <row r="3368" spans="52:61">
      <c r="AZ3368" s="302"/>
      <c r="BA3368" s="313"/>
      <c r="BB3368" s="167"/>
      <c r="BC3368" s="42"/>
      <c r="BD3368" s="358"/>
      <c r="BH3368" s="302"/>
      <c r="BI3368" s="42"/>
    </row>
    <row r="3369" spans="52:61">
      <c r="AZ3369" s="302"/>
      <c r="BA3369" s="313"/>
      <c r="BB3369" s="167"/>
      <c r="BC3369" s="42"/>
      <c r="BD3369" s="358"/>
      <c r="BH3369" s="302"/>
      <c r="BI3369" s="42"/>
    </row>
    <row r="3370" spans="52:61">
      <c r="AZ3370" s="302"/>
      <c r="BA3370" s="313"/>
      <c r="BB3370" s="167"/>
      <c r="BC3370" s="42"/>
      <c r="BD3370" s="358"/>
      <c r="BH3370" s="302"/>
      <c r="BI3370" s="42"/>
    </row>
    <row r="3371" spans="52:61">
      <c r="AZ3371" s="302"/>
      <c r="BA3371" s="313"/>
      <c r="BB3371" s="167"/>
      <c r="BC3371" s="42"/>
      <c r="BD3371" s="358"/>
      <c r="BH3371" s="302"/>
      <c r="BI3371" s="42"/>
    </row>
    <row r="3372" spans="52:61">
      <c r="AZ3372" s="302"/>
      <c r="BA3372" s="313"/>
      <c r="BB3372" s="167"/>
      <c r="BC3372" s="42"/>
      <c r="BD3372" s="358"/>
      <c r="BH3372" s="302"/>
      <c r="BI3372" s="42"/>
    </row>
    <row r="3373" spans="52:61">
      <c r="AZ3373" s="302"/>
      <c r="BA3373" s="313"/>
      <c r="BB3373" s="167"/>
      <c r="BC3373" s="42"/>
      <c r="BD3373" s="358"/>
      <c r="BH3373" s="302"/>
      <c r="BI3373" s="42"/>
    </row>
    <row r="3374" spans="52:61">
      <c r="AZ3374" s="302"/>
      <c r="BA3374" s="313"/>
      <c r="BB3374" s="167"/>
      <c r="BC3374" s="42"/>
      <c r="BD3374" s="358"/>
      <c r="BH3374" s="302"/>
      <c r="BI3374" s="42"/>
    </row>
    <row r="3375" spans="52:61">
      <c r="AZ3375" s="302"/>
      <c r="BA3375" s="313"/>
      <c r="BB3375" s="167"/>
      <c r="BC3375" s="42"/>
      <c r="BD3375" s="358"/>
      <c r="BH3375" s="302"/>
      <c r="BI3375" s="42"/>
    </row>
    <row r="3376" spans="52:61">
      <c r="AZ3376" s="302"/>
      <c r="BA3376" s="313"/>
      <c r="BB3376" s="167"/>
      <c r="BC3376" s="42"/>
      <c r="BD3376" s="358"/>
      <c r="BH3376" s="302"/>
      <c r="BI3376" s="42"/>
    </row>
    <row r="3377" spans="52:61">
      <c r="AZ3377" s="302"/>
      <c r="BA3377" s="313"/>
      <c r="BB3377" s="167"/>
      <c r="BC3377" s="42"/>
      <c r="BD3377" s="358"/>
      <c r="BH3377" s="302"/>
      <c r="BI3377" s="42"/>
    </row>
    <row r="3378" spans="52:61">
      <c r="AZ3378" s="302"/>
      <c r="BA3378" s="313"/>
      <c r="BB3378" s="167"/>
      <c r="BC3378" s="42"/>
      <c r="BD3378" s="358"/>
      <c r="BH3378" s="302"/>
      <c r="BI3378" s="42"/>
    </row>
    <row r="3379" spans="52:61">
      <c r="AZ3379" s="302"/>
      <c r="BA3379" s="313"/>
      <c r="BB3379" s="167"/>
      <c r="BC3379" s="42"/>
      <c r="BD3379" s="358"/>
      <c r="BH3379" s="302"/>
      <c r="BI3379" s="42"/>
    </row>
    <row r="3380" spans="52:61">
      <c r="AZ3380" s="302"/>
      <c r="BA3380" s="313"/>
      <c r="BB3380" s="167"/>
      <c r="BC3380" s="42"/>
      <c r="BD3380" s="358"/>
      <c r="BH3380" s="302"/>
      <c r="BI3380" s="42"/>
    </row>
    <row r="3381" spans="52:61">
      <c r="AZ3381" s="302"/>
      <c r="BA3381" s="313"/>
      <c r="BB3381" s="167"/>
      <c r="BC3381" s="42"/>
      <c r="BD3381" s="358"/>
      <c r="BH3381" s="302"/>
      <c r="BI3381" s="42"/>
    </row>
    <row r="3382" spans="52:61">
      <c r="AZ3382" s="302"/>
      <c r="BA3382" s="313"/>
      <c r="BB3382" s="167"/>
      <c r="BC3382" s="42"/>
      <c r="BD3382" s="358"/>
      <c r="BH3382" s="302"/>
      <c r="BI3382" s="42"/>
    </row>
    <row r="3383" spans="52:61">
      <c r="AZ3383" s="302"/>
      <c r="BA3383" s="313"/>
      <c r="BB3383" s="167"/>
      <c r="BC3383" s="42"/>
      <c r="BD3383" s="358"/>
      <c r="BH3383" s="302"/>
      <c r="BI3383" s="42"/>
    </row>
    <row r="3384" spans="52:61">
      <c r="AZ3384" s="302"/>
      <c r="BA3384" s="313"/>
      <c r="BB3384" s="167"/>
      <c r="BC3384" s="42"/>
      <c r="BD3384" s="358"/>
      <c r="BH3384" s="302"/>
      <c r="BI3384" s="42"/>
    </row>
    <row r="3385" spans="52:61">
      <c r="AZ3385" s="302"/>
      <c r="BA3385" s="313"/>
      <c r="BB3385" s="167"/>
      <c r="BC3385" s="42"/>
      <c r="BD3385" s="358"/>
      <c r="BH3385" s="302"/>
      <c r="BI3385" s="42"/>
    </row>
    <row r="3386" spans="52:61">
      <c r="AZ3386" s="302"/>
      <c r="BA3386" s="313"/>
      <c r="BB3386" s="167"/>
      <c r="BC3386" s="42"/>
      <c r="BD3386" s="358"/>
      <c r="BH3386" s="302"/>
      <c r="BI3386" s="42"/>
    </row>
    <row r="3387" spans="52:61">
      <c r="AZ3387" s="302"/>
      <c r="BA3387" s="313"/>
      <c r="BB3387" s="167"/>
      <c r="BC3387" s="42"/>
      <c r="BD3387" s="358"/>
      <c r="BH3387" s="302"/>
      <c r="BI3387" s="42"/>
    </row>
    <row r="3388" spans="52:61">
      <c r="AZ3388" s="302"/>
      <c r="BA3388" s="313"/>
      <c r="BB3388" s="167"/>
      <c r="BC3388" s="42"/>
      <c r="BD3388" s="358"/>
      <c r="BH3388" s="302"/>
      <c r="BI3388" s="42"/>
    </row>
    <row r="3389" spans="52:61">
      <c r="AZ3389" s="302"/>
      <c r="BA3389" s="313"/>
      <c r="BB3389" s="167"/>
      <c r="BC3389" s="42"/>
      <c r="BD3389" s="358"/>
      <c r="BH3389" s="302"/>
      <c r="BI3389" s="42"/>
    </row>
    <row r="3390" spans="52:61">
      <c r="AZ3390" s="302"/>
      <c r="BA3390" s="313"/>
      <c r="BB3390" s="167"/>
      <c r="BC3390" s="42"/>
      <c r="BD3390" s="358"/>
      <c r="BH3390" s="302"/>
      <c r="BI3390" s="42"/>
    </row>
    <row r="3391" spans="52:61">
      <c r="AZ3391" s="302"/>
      <c r="BA3391" s="313"/>
      <c r="BB3391" s="167"/>
      <c r="BC3391" s="42"/>
      <c r="BD3391" s="358"/>
      <c r="BH3391" s="302"/>
      <c r="BI3391" s="42"/>
    </row>
    <row r="3392" spans="52:61">
      <c r="AZ3392" s="302"/>
      <c r="BA3392" s="313"/>
      <c r="BB3392" s="167"/>
      <c r="BC3392" s="42"/>
      <c r="BD3392" s="358"/>
      <c r="BH3392" s="302"/>
      <c r="BI3392" s="42"/>
    </row>
    <row r="3393" spans="52:61">
      <c r="AZ3393" s="302"/>
      <c r="BA3393" s="313"/>
      <c r="BB3393" s="167"/>
      <c r="BC3393" s="42"/>
      <c r="BD3393" s="358"/>
      <c r="BH3393" s="302"/>
      <c r="BI3393" s="42"/>
    </row>
    <row r="3394" spans="52:61">
      <c r="AZ3394" s="302"/>
      <c r="BA3394" s="313"/>
      <c r="BB3394" s="167"/>
      <c r="BC3394" s="42"/>
      <c r="BD3394" s="358"/>
      <c r="BH3394" s="302"/>
      <c r="BI3394" s="42"/>
    </row>
    <row r="3395" spans="52:61">
      <c r="AZ3395" s="302"/>
      <c r="BA3395" s="313"/>
      <c r="BB3395" s="167"/>
      <c r="BC3395" s="42"/>
      <c r="BD3395" s="358"/>
      <c r="BH3395" s="302"/>
      <c r="BI3395" s="42"/>
    </row>
    <row r="3396" spans="52:61">
      <c r="AZ3396" s="302"/>
      <c r="BA3396" s="313"/>
      <c r="BB3396" s="167"/>
      <c r="BC3396" s="42"/>
      <c r="BD3396" s="358"/>
      <c r="BH3396" s="302"/>
      <c r="BI3396" s="42"/>
    </row>
    <row r="3397" spans="52:61">
      <c r="AZ3397" s="302"/>
      <c r="BA3397" s="313"/>
      <c r="BB3397" s="167"/>
      <c r="BC3397" s="42"/>
      <c r="BD3397" s="358"/>
      <c r="BH3397" s="302"/>
      <c r="BI3397" s="42"/>
    </row>
    <row r="3398" spans="52:61">
      <c r="AZ3398" s="302"/>
      <c r="BA3398" s="313"/>
      <c r="BB3398" s="167"/>
      <c r="BC3398" s="42"/>
      <c r="BD3398" s="358"/>
      <c r="BH3398" s="302"/>
      <c r="BI3398" s="42"/>
    </row>
    <row r="3399" spans="52:61">
      <c r="AZ3399" s="302"/>
      <c r="BA3399" s="313"/>
      <c r="BB3399" s="167"/>
      <c r="BC3399" s="42"/>
      <c r="BD3399" s="358"/>
      <c r="BH3399" s="302"/>
      <c r="BI3399" s="42"/>
    </row>
    <row r="3400" spans="52:61">
      <c r="AZ3400" s="302"/>
      <c r="BA3400" s="313"/>
      <c r="BB3400" s="167"/>
      <c r="BC3400" s="42"/>
      <c r="BD3400" s="358"/>
      <c r="BH3400" s="302"/>
      <c r="BI3400" s="42"/>
    </row>
    <row r="3401" spans="52:61">
      <c r="AZ3401" s="302"/>
      <c r="BA3401" s="313"/>
      <c r="BB3401" s="167"/>
      <c r="BC3401" s="42"/>
      <c r="BD3401" s="358"/>
      <c r="BH3401" s="302"/>
      <c r="BI3401" s="42"/>
    </row>
    <row r="3402" spans="52:61">
      <c r="AZ3402" s="302"/>
      <c r="BA3402" s="313"/>
      <c r="BB3402" s="167"/>
      <c r="BC3402" s="42"/>
      <c r="BD3402" s="358"/>
      <c r="BH3402" s="302"/>
      <c r="BI3402" s="42"/>
    </row>
    <row r="3403" spans="52:61">
      <c r="AZ3403" s="302"/>
      <c r="BA3403" s="313"/>
      <c r="BB3403" s="167"/>
      <c r="BC3403" s="42"/>
      <c r="BD3403" s="358"/>
      <c r="BH3403" s="302"/>
      <c r="BI3403" s="42"/>
    </row>
    <row r="3404" spans="52:61">
      <c r="AZ3404" s="302"/>
      <c r="BA3404" s="313"/>
      <c r="BB3404" s="167"/>
      <c r="BC3404" s="42"/>
      <c r="BD3404" s="358"/>
      <c r="BH3404" s="302"/>
      <c r="BI3404" s="42"/>
    </row>
    <row r="3405" spans="52:61">
      <c r="AZ3405" s="302"/>
      <c r="BA3405" s="313"/>
      <c r="BB3405" s="167"/>
      <c r="BC3405" s="42"/>
      <c r="BD3405" s="358"/>
      <c r="BH3405" s="302"/>
      <c r="BI3405" s="42"/>
    </row>
    <row r="3406" spans="52:61">
      <c r="AZ3406" s="302"/>
      <c r="BA3406" s="313"/>
      <c r="BB3406" s="167"/>
      <c r="BC3406" s="42"/>
      <c r="BD3406" s="358"/>
      <c r="BH3406" s="302"/>
      <c r="BI3406" s="42"/>
    </row>
    <row r="3407" spans="52:61">
      <c r="AZ3407" s="302"/>
      <c r="BA3407" s="313"/>
      <c r="BB3407" s="167"/>
      <c r="BC3407" s="42"/>
      <c r="BD3407" s="358"/>
      <c r="BH3407" s="302"/>
      <c r="BI3407" s="42"/>
    </row>
    <row r="3408" spans="52:61">
      <c r="AZ3408" s="302"/>
      <c r="BA3408" s="313"/>
      <c r="BB3408" s="167"/>
      <c r="BC3408" s="42"/>
      <c r="BD3408" s="358"/>
      <c r="BH3408" s="302"/>
      <c r="BI3408" s="42"/>
    </row>
    <row r="3409" spans="52:61">
      <c r="AZ3409" s="302"/>
      <c r="BA3409" s="313"/>
      <c r="BB3409" s="167"/>
      <c r="BC3409" s="42"/>
      <c r="BD3409" s="358"/>
      <c r="BH3409" s="302"/>
      <c r="BI3409" s="42"/>
    </row>
    <row r="3410" spans="52:61">
      <c r="AZ3410" s="302"/>
      <c r="BA3410" s="313"/>
      <c r="BB3410" s="167"/>
      <c r="BC3410" s="42"/>
      <c r="BD3410" s="358"/>
      <c r="BH3410" s="302"/>
      <c r="BI3410" s="42"/>
    </row>
    <row r="3411" spans="52:61">
      <c r="AZ3411" s="302"/>
      <c r="BA3411" s="313"/>
      <c r="BB3411" s="167"/>
      <c r="BC3411" s="42"/>
      <c r="BD3411" s="358"/>
      <c r="BH3411" s="302"/>
      <c r="BI3411" s="42"/>
    </row>
    <row r="3412" spans="52:61">
      <c r="AZ3412" s="302"/>
      <c r="BA3412" s="313"/>
      <c r="BB3412" s="167"/>
      <c r="BC3412" s="42"/>
      <c r="BD3412" s="358"/>
      <c r="BH3412" s="302"/>
      <c r="BI3412" s="42"/>
    </row>
    <row r="3413" spans="52:61">
      <c r="AZ3413" s="302"/>
      <c r="BA3413" s="313"/>
      <c r="BB3413" s="167"/>
      <c r="BC3413" s="42"/>
      <c r="BD3413" s="358"/>
      <c r="BH3413" s="302"/>
      <c r="BI3413" s="42"/>
    </row>
    <row r="3414" spans="52:61">
      <c r="AZ3414" s="302"/>
      <c r="BA3414" s="313"/>
      <c r="BB3414" s="167"/>
      <c r="BC3414" s="42"/>
      <c r="BD3414" s="358"/>
      <c r="BH3414" s="302"/>
      <c r="BI3414" s="42"/>
    </row>
    <row r="3415" spans="52:61">
      <c r="AZ3415" s="302"/>
      <c r="BA3415" s="313"/>
      <c r="BB3415" s="167"/>
      <c r="BC3415" s="42"/>
      <c r="BD3415" s="358"/>
      <c r="BH3415" s="302"/>
      <c r="BI3415" s="42"/>
    </row>
    <row r="3416" spans="52:61">
      <c r="AZ3416" s="302"/>
      <c r="BA3416" s="313"/>
      <c r="BB3416" s="167"/>
      <c r="BC3416" s="42"/>
      <c r="BD3416" s="358"/>
      <c r="BH3416" s="302"/>
      <c r="BI3416" s="42"/>
    </row>
    <row r="3417" spans="52:61">
      <c r="AZ3417" s="302"/>
      <c r="BA3417" s="313"/>
      <c r="BB3417" s="167"/>
      <c r="BC3417" s="42"/>
      <c r="BD3417" s="358"/>
      <c r="BH3417" s="302"/>
      <c r="BI3417" s="42"/>
    </row>
    <row r="3418" spans="52:61">
      <c r="AZ3418" s="302"/>
      <c r="BA3418" s="313"/>
      <c r="BB3418" s="167"/>
      <c r="BC3418" s="42"/>
      <c r="BD3418" s="358"/>
      <c r="BH3418" s="302"/>
      <c r="BI3418" s="42"/>
    </row>
    <row r="3419" spans="52:61">
      <c r="AZ3419" s="302"/>
      <c r="BA3419" s="313"/>
      <c r="BB3419" s="167"/>
      <c r="BC3419" s="42"/>
      <c r="BD3419" s="358"/>
      <c r="BH3419" s="302"/>
      <c r="BI3419" s="42"/>
    </row>
    <row r="3420" spans="52:61">
      <c r="AZ3420" s="302"/>
      <c r="BA3420" s="313"/>
      <c r="BB3420" s="167"/>
      <c r="BC3420" s="42"/>
      <c r="BD3420" s="358"/>
      <c r="BH3420" s="302"/>
      <c r="BI3420" s="42"/>
    </row>
    <row r="3421" spans="52:61">
      <c r="AZ3421" s="302"/>
      <c r="BA3421" s="313"/>
      <c r="BB3421" s="167"/>
      <c r="BC3421" s="42"/>
      <c r="BD3421" s="358"/>
      <c r="BH3421" s="302"/>
      <c r="BI3421" s="42"/>
    </row>
    <row r="3422" spans="52:61">
      <c r="AZ3422" s="302"/>
      <c r="BA3422" s="313"/>
      <c r="BB3422" s="167"/>
      <c r="BC3422" s="42"/>
      <c r="BD3422" s="358"/>
      <c r="BH3422" s="302"/>
      <c r="BI3422" s="42"/>
    </row>
    <row r="3423" spans="52:61">
      <c r="AZ3423" s="302"/>
      <c r="BA3423" s="313"/>
      <c r="BB3423" s="167"/>
      <c r="BC3423" s="42"/>
      <c r="BD3423" s="358"/>
      <c r="BH3423" s="302"/>
      <c r="BI3423" s="42"/>
    </row>
    <row r="3424" spans="52:61">
      <c r="AZ3424" s="302"/>
      <c r="BA3424" s="313"/>
      <c r="BB3424" s="167"/>
      <c r="BC3424" s="42"/>
      <c r="BD3424" s="358"/>
      <c r="BH3424" s="302"/>
      <c r="BI3424" s="42"/>
    </row>
    <row r="3425" spans="52:61">
      <c r="AZ3425" s="302"/>
      <c r="BA3425" s="313"/>
      <c r="BB3425" s="167"/>
      <c r="BC3425" s="42"/>
      <c r="BD3425" s="358"/>
      <c r="BH3425" s="302"/>
      <c r="BI3425" s="42"/>
    </row>
    <row r="3426" spans="52:61">
      <c r="AZ3426" s="302"/>
      <c r="BA3426" s="313"/>
      <c r="BB3426" s="167"/>
      <c r="BC3426" s="42"/>
      <c r="BD3426" s="358"/>
      <c r="BH3426" s="302"/>
      <c r="BI3426" s="42"/>
    </row>
    <row r="3427" spans="52:61">
      <c r="AZ3427" s="302"/>
      <c r="BA3427" s="313"/>
      <c r="BB3427" s="167"/>
      <c r="BC3427" s="42"/>
      <c r="BD3427" s="358"/>
      <c r="BH3427" s="302"/>
      <c r="BI3427" s="42"/>
    </row>
    <row r="3428" spans="52:61">
      <c r="AZ3428" s="302"/>
      <c r="BA3428" s="313"/>
      <c r="BB3428" s="167"/>
      <c r="BC3428" s="42"/>
      <c r="BD3428" s="358"/>
      <c r="BH3428" s="302"/>
      <c r="BI3428" s="42"/>
    </row>
    <row r="3429" spans="52:61">
      <c r="AZ3429" s="302"/>
      <c r="BA3429" s="313"/>
      <c r="BB3429" s="167"/>
      <c r="BC3429" s="42"/>
      <c r="BD3429" s="358"/>
      <c r="BH3429" s="302"/>
      <c r="BI3429" s="42"/>
    </row>
    <row r="3430" spans="52:61">
      <c r="AZ3430" s="302"/>
      <c r="BA3430" s="313"/>
      <c r="BB3430" s="167"/>
      <c r="BC3430" s="42"/>
      <c r="BD3430" s="358"/>
      <c r="BH3430" s="302"/>
      <c r="BI3430" s="42"/>
    </row>
    <row r="3431" spans="52:61">
      <c r="AZ3431" s="302"/>
      <c r="BA3431" s="313"/>
      <c r="BB3431" s="167"/>
      <c r="BC3431" s="42"/>
      <c r="BD3431" s="358"/>
      <c r="BH3431" s="302"/>
      <c r="BI3431" s="42"/>
    </row>
    <row r="3432" spans="52:61">
      <c r="AZ3432" s="302"/>
      <c r="BA3432" s="313"/>
      <c r="BB3432" s="167"/>
      <c r="BC3432" s="42"/>
      <c r="BD3432" s="358"/>
      <c r="BH3432" s="302"/>
      <c r="BI3432" s="42"/>
    </row>
    <row r="3433" spans="52:61">
      <c r="AZ3433" s="302"/>
      <c r="BA3433" s="313"/>
      <c r="BB3433" s="167"/>
      <c r="BC3433" s="42"/>
      <c r="BD3433" s="358"/>
      <c r="BH3433" s="302"/>
      <c r="BI3433" s="42"/>
    </row>
    <row r="3434" spans="52:61">
      <c r="AZ3434" s="302"/>
      <c r="BA3434" s="313"/>
      <c r="BB3434" s="167"/>
      <c r="BC3434" s="42"/>
      <c r="BD3434" s="358"/>
      <c r="BH3434" s="302"/>
      <c r="BI3434" s="42"/>
    </row>
    <row r="3435" spans="52:61">
      <c r="AZ3435" s="302"/>
      <c r="BA3435" s="313"/>
      <c r="BB3435" s="167"/>
      <c r="BC3435" s="42"/>
      <c r="BD3435" s="358"/>
      <c r="BH3435" s="302"/>
      <c r="BI3435" s="42"/>
    </row>
    <row r="3436" spans="52:61">
      <c r="AZ3436" s="302"/>
      <c r="BA3436" s="313"/>
      <c r="BB3436" s="167"/>
      <c r="BC3436" s="42"/>
      <c r="BD3436" s="358"/>
      <c r="BH3436" s="302"/>
      <c r="BI3436" s="42"/>
    </row>
    <row r="3437" spans="52:61">
      <c r="AZ3437" s="302"/>
      <c r="BA3437" s="313"/>
      <c r="BB3437" s="167"/>
      <c r="BC3437" s="42"/>
      <c r="BD3437" s="358"/>
      <c r="BH3437" s="302"/>
      <c r="BI3437" s="42"/>
    </row>
    <row r="3438" spans="52:61">
      <c r="AZ3438" s="302"/>
      <c r="BA3438" s="313"/>
      <c r="BB3438" s="167"/>
      <c r="BC3438" s="42"/>
      <c r="BD3438" s="358"/>
      <c r="BH3438" s="302"/>
      <c r="BI3438" s="42"/>
    </row>
    <row r="3439" spans="52:61">
      <c r="AZ3439" s="302"/>
      <c r="BA3439" s="313"/>
      <c r="BB3439" s="167"/>
      <c r="BC3439" s="42"/>
      <c r="BD3439" s="358"/>
      <c r="BH3439" s="302"/>
      <c r="BI3439" s="42"/>
    </row>
    <row r="3440" spans="52:61">
      <c r="AZ3440" s="302"/>
      <c r="BA3440" s="313"/>
      <c r="BB3440" s="167"/>
      <c r="BC3440" s="42"/>
      <c r="BD3440" s="358"/>
      <c r="BH3440" s="302"/>
      <c r="BI3440" s="42"/>
    </row>
    <row r="3441" spans="52:61">
      <c r="AZ3441" s="302"/>
      <c r="BA3441" s="313"/>
      <c r="BB3441" s="167"/>
      <c r="BC3441" s="42"/>
      <c r="BD3441" s="358"/>
      <c r="BH3441" s="302"/>
      <c r="BI3441" s="42"/>
    </row>
    <row r="3442" spans="52:61">
      <c r="AZ3442" s="302"/>
      <c r="BA3442" s="313"/>
      <c r="BB3442" s="167"/>
      <c r="BC3442" s="42"/>
      <c r="BD3442" s="358"/>
      <c r="BH3442" s="302"/>
      <c r="BI3442" s="42"/>
    </row>
    <row r="3443" spans="52:61">
      <c r="AZ3443" s="302"/>
      <c r="BA3443" s="313"/>
      <c r="BB3443" s="167"/>
      <c r="BC3443" s="42"/>
      <c r="BD3443" s="358"/>
      <c r="BH3443" s="302"/>
      <c r="BI3443" s="42"/>
    </row>
    <row r="3444" spans="52:61">
      <c r="AZ3444" s="302"/>
      <c r="BA3444" s="313"/>
      <c r="BB3444" s="167"/>
      <c r="BC3444" s="42"/>
      <c r="BD3444" s="358"/>
      <c r="BH3444" s="302"/>
      <c r="BI3444" s="42"/>
    </row>
    <row r="3445" spans="52:61">
      <c r="AZ3445" s="302"/>
      <c r="BA3445" s="313"/>
      <c r="BB3445" s="167"/>
      <c r="BC3445" s="42"/>
      <c r="BD3445" s="358"/>
      <c r="BH3445" s="302"/>
      <c r="BI3445" s="42"/>
    </row>
    <row r="3446" spans="52:61">
      <c r="AZ3446" s="302"/>
      <c r="BA3446" s="313"/>
      <c r="BB3446" s="167"/>
      <c r="BC3446" s="42"/>
      <c r="BD3446" s="358"/>
      <c r="BH3446" s="302"/>
      <c r="BI3446" s="42"/>
    </row>
    <row r="3447" spans="52:61">
      <c r="AZ3447" s="302"/>
      <c r="BA3447" s="313"/>
      <c r="BB3447" s="167"/>
      <c r="BC3447" s="42"/>
      <c r="BD3447" s="358"/>
      <c r="BH3447" s="302"/>
      <c r="BI3447" s="42"/>
    </row>
    <row r="3448" spans="52:61">
      <c r="AZ3448" s="302"/>
      <c r="BA3448" s="313"/>
      <c r="BB3448" s="167"/>
      <c r="BC3448" s="42"/>
      <c r="BD3448" s="358"/>
      <c r="BH3448" s="302"/>
      <c r="BI3448" s="42"/>
    </row>
    <row r="3449" spans="52:61">
      <c r="AZ3449" s="302"/>
      <c r="BA3449" s="313"/>
      <c r="BB3449" s="167"/>
      <c r="BC3449" s="42"/>
      <c r="BD3449" s="358"/>
      <c r="BH3449" s="302"/>
      <c r="BI3449" s="42"/>
    </row>
    <row r="3450" spans="52:61">
      <c r="AZ3450" s="302"/>
      <c r="BA3450" s="313"/>
      <c r="BB3450" s="167"/>
      <c r="BC3450" s="42"/>
      <c r="BD3450" s="358"/>
      <c r="BH3450" s="302"/>
      <c r="BI3450" s="42"/>
    </row>
    <row r="3451" spans="52:61">
      <c r="AZ3451" s="302"/>
      <c r="BA3451" s="313"/>
      <c r="BB3451" s="167"/>
      <c r="BC3451" s="42"/>
      <c r="BD3451" s="358"/>
      <c r="BH3451" s="302"/>
      <c r="BI3451" s="42"/>
    </row>
    <row r="3452" spans="52:61">
      <c r="AZ3452" s="302"/>
      <c r="BA3452" s="313"/>
      <c r="BB3452" s="167"/>
      <c r="BC3452" s="42"/>
      <c r="BD3452" s="358"/>
      <c r="BH3452" s="302"/>
      <c r="BI3452" s="42"/>
    </row>
    <row r="3453" spans="52:61">
      <c r="AZ3453" s="302"/>
      <c r="BA3453" s="313"/>
      <c r="BB3453" s="167"/>
      <c r="BC3453" s="42"/>
      <c r="BD3453" s="358"/>
      <c r="BH3453" s="302"/>
      <c r="BI3453" s="42"/>
    </row>
    <row r="3454" spans="52:61">
      <c r="AZ3454" s="302"/>
      <c r="BA3454" s="313"/>
      <c r="BB3454" s="167"/>
      <c r="BC3454" s="42"/>
      <c r="BD3454" s="358"/>
      <c r="BH3454" s="302"/>
      <c r="BI3454" s="42"/>
    </row>
    <row r="3455" spans="52:61">
      <c r="AZ3455" s="302"/>
      <c r="BA3455" s="313"/>
      <c r="BB3455" s="167"/>
      <c r="BC3455" s="42"/>
      <c r="BD3455" s="358"/>
      <c r="BH3455" s="302"/>
      <c r="BI3455" s="42"/>
    </row>
    <row r="3456" spans="52:61">
      <c r="AZ3456" s="302"/>
      <c r="BA3456" s="313"/>
      <c r="BB3456" s="167"/>
      <c r="BC3456" s="42"/>
      <c r="BD3456" s="358"/>
      <c r="BH3456" s="302"/>
      <c r="BI3456" s="42"/>
    </row>
    <row r="3457" spans="52:61">
      <c r="AZ3457" s="302"/>
      <c r="BA3457" s="313"/>
      <c r="BB3457" s="167"/>
      <c r="BC3457" s="42"/>
      <c r="BD3457" s="358"/>
      <c r="BH3457" s="302"/>
      <c r="BI3457" s="42"/>
    </row>
    <row r="3458" spans="52:61">
      <c r="AZ3458" s="302"/>
      <c r="BA3458" s="313"/>
      <c r="BB3458" s="167"/>
      <c r="BC3458" s="42"/>
      <c r="BD3458" s="358"/>
      <c r="BH3458" s="302"/>
      <c r="BI3458" s="42"/>
    </row>
    <row r="3459" spans="52:61">
      <c r="AZ3459" s="302"/>
      <c r="BA3459" s="313"/>
      <c r="BB3459" s="167"/>
      <c r="BC3459" s="42"/>
      <c r="BD3459" s="358"/>
      <c r="BH3459" s="302"/>
      <c r="BI3459" s="42"/>
    </row>
    <row r="3460" spans="52:61">
      <c r="AZ3460" s="302"/>
      <c r="BA3460" s="313"/>
      <c r="BB3460" s="167"/>
      <c r="BC3460" s="42"/>
      <c r="BD3460" s="358"/>
      <c r="BH3460" s="302"/>
      <c r="BI3460" s="42"/>
    </row>
    <row r="3461" spans="52:61">
      <c r="AZ3461" s="302"/>
      <c r="BA3461" s="313"/>
      <c r="BB3461" s="167"/>
      <c r="BC3461" s="42"/>
      <c r="BD3461" s="358"/>
      <c r="BH3461" s="302"/>
      <c r="BI3461" s="42"/>
    </row>
    <row r="3462" spans="52:61">
      <c r="AZ3462" s="302"/>
      <c r="BA3462" s="313"/>
      <c r="BB3462" s="167"/>
      <c r="BC3462" s="42"/>
      <c r="BD3462" s="358"/>
      <c r="BH3462" s="302"/>
      <c r="BI3462" s="42"/>
    </row>
    <row r="3463" spans="52:61">
      <c r="AZ3463" s="302"/>
      <c r="BA3463" s="313"/>
      <c r="BB3463" s="167"/>
      <c r="BC3463" s="42"/>
      <c r="BD3463" s="358"/>
      <c r="BH3463" s="302"/>
      <c r="BI3463" s="42"/>
    </row>
    <row r="3464" spans="52:61">
      <c r="AZ3464" s="302"/>
      <c r="BA3464" s="313"/>
      <c r="BB3464" s="167"/>
      <c r="BC3464" s="42"/>
      <c r="BD3464" s="358"/>
      <c r="BH3464" s="302"/>
      <c r="BI3464" s="42"/>
    </row>
    <row r="3465" spans="52:61">
      <c r="AZ3465" s="302"/>
      <c r="BA3465" s="313"/>
      <c r="BB3465" s="167"/>
      <c r="BC3465" s="42"/>
      <c r="BD3465" s="358"/>
      <c r="BH3465" s="302"/>
      <c r="BI3465" s="42"/>
    </row>
    <row r="3466" spans="52:61">
      <c r="AZ3466" s="302"/>
      <c r="BA3466" s="313"/>
      <c r="BB3466" s="167"/>
      <c r="BC3466" s="42"/>
      <c r="BD3466" s="358"/>
      <c r="BH3466" s="302"/>
      <c r="BI3466" s="42"/>
    </row>
    <row r="3467" spans="52:61">
      <c r="AZ3467" s="302"/>
      <c r="BA3467" s="313"/>
      <c r="BB3467" s="167"/>
      <c r="BC3467" s="42"/>
      <c r="BD3467" s="358"/>
      <c r="BH3467" s="302"/>
      <c r="BI3467" s="42"/>
    </row>
    <row r="3468" spans="52:61">
      <c r="AZ3468" s="302"/>
      <c r="BA3468" s="313"/>
      <c r="BB3468" s="167"/>
      <c r="BC3468" s="42"/>
      <c r="BD3468" s="358"/>
      <c r="BH3468" s="302"/>
      <c r="BI3468" s="42"/>
    </row>
    <row r="3469" spans="52:61">
      <c r="AZ3469" s="302"/>
      <c r="BA3469" s="313"/>
      <c r="BB3469" s="167"/>
      <c r="BC3469" s="42"/>
      <c r="BD3469" s="358"/>
      <c r="BH3469" s="302"/>
      <c r="BI3469" s="42"/>
    </row>
    <row r="3470" spans="52:61">
      <c r="AZ3470" s="302"/>
      <c r="BA3470" s="313"/>
      <c r="BB3470" s="167"/>
      <c r="BC3470" s="42"/>
      <c r="BD3470" s="358"/>
      <c r="BH3470" s="302"/>
      <c r="BI3470" s="42"/>
    </row>
    <row r="3471" spans="52:61">
      <c r="AZ3471" s="302"/>
      <c r="BA3471" s="313"/>
      <c r="BB3471" s="167"/>
      <c r="BC3471" s="42"/>
      <c r="BD3471" s="358"/>
      <c r="BH3471" s="302"/>
      <c r="BI3471" s="42"/>
    </row>
    <row r="3472" spans="52:61">
      <c r="AZ3472" s="302"/>
      <c r="BA3472" s="313"/>
      <c r="BB3472" s="167"/>
      <c r="BC3472" s="42"/>
      <c r="BD3472" s="358"/>
      <c r="BH3472" s="302"/>
      <c r="BI3472" s="42"/>
    </row>
    <row r="3473" spans="52:61">
      <c r="AZ3473" s="302"/>
      <c r="BA3473" s="313"/>
      <c r="BB3473" s="167"/>
      <c r="BC3473" s="42"/>
      <c r="BD3473" s="358"/>
      <c r="BH3473" s="302"/>
      <c r="BI3473" s="42"/>
    </row>
    <row r="3474" spans="52:61">
      <c r="AZ3474" s="302"/>
      <c r="BA3474" s="313"/>
      <c r="BB3474" s="167"/>
      <c r="BC3474" s="42"/>
      <c r="BD3474" s="358"/>
      <c r="BH3474" s="302"/>
      <c r="BI3474" s="42"/>
    </row>
    <row r="3475" spans="52:61">
      <c r="AZ3475" s="302"/>
      <c r="BA3475" s="313"/>
      <c r="BB3475" s="167"/>
      <c r="BC3475" s="42"/>
      <c r="BD3475" s="358"/>
      <c r="BH3475" s="302"/>
      <c r="BI3475" s="42"/>
    </row>
    <row r="3476" spans="52:61">
      <c r="AZ3476" s="302"/>
      <c r="BA3476" s="313"/>
      <c r="BB3476" s="167"/>
      <c r="BC3476" s="42"/>
      <c r="BD3476" s="358"/>
      <c r="BH3476" s="302"/>
      <c r="BI3476" s="42"/>
    </row>
    <row r="3477" spans="52:61">
      <c r="AZ3477" s="302"/>
      <c r="BA3477" s="313"/>
      <c r="BB3477" s="167"/>
      <c r="BC3477" s="42"/>
      <c r="BD3477" s="358"/>
      <c r="BH3477" s="302"/>
      <c r="BI3477" s="42"/>
    </row>
    <row r="3478" spans="52:61">
      <c r="AZ3478" s="302"/>
      <c r="BA3478" s="313"/>
      <c r="BB3478" s="167"/>
      <c r="BC3478" s="42"/>
      <c r="BD3478" s="358"/>
      <c r="BH3478" s="302"/>
      <c r="BI3478" s="42"/>
    </row>
    <row r="3479" spans="52:61">
      <c r="AZ3479" s="302"/>
      <c r="BA3479" s="313"/>
      <c r="BB3479" s="167"/>
      <c r="BC3479" s="42"/>
      <c r="BD3479" s="358"/>
      <c r="BH3479" s="302"/>
      <c r="BI3479" s="42"/>
    </row>
    <row r="3480" spans="52:61">
      <c r="AZ3480" s="302"/>
      <c r="BA3480" s="313"/>
      <c r="BB3480" s="167"/>
      <c r="BC3480" s="42"/>
      <c r="BD3480" s="358"/>
      <c r="BH3480" s="302"/>
      <c r="BI3480" s="42"/>
    </row>
    <row r="3481" spans="52:61">
      <c r="AZ3481" s="302"/>
      <c r="BA3481" s="313"/>
      <c r="BB3481" s="167"/>
      <c r="BC3481" s="42"/>
      <c r="BD3481" s="358"/>
      <c r="BH3481" s="302"/>
      <c r="BI3481" s="42"/>
    </row>
    <row r="3482" spans="52:61">
      <c r="AZ3482" s="302"/>
      <c r="BA3482" s="313"/>
      <c r="BB3482" s="167"/>
      <c r="BC3482" s="42"/>
      <c r="BD3482" s="358"/>
      <c r="BH3482" s="302"/>
      <c r="BI3482" s="42"/>
    </row>
    <row r="3483" spans="52:61">
      <c r="AZ3483" s="302"/>
      <c r="BA3483" s="313"/>
      <c r="BB3483" s="167"/>
      <c r="BC3483" s="42"/>
      <c r="BD3483" s="358"/>
      <c r="BH3483" s="302"/>
      <c r="BI3483" s="42"/>
    </row>
    <row r="3484" spans="52:61">
      <c r="AZ3484" s="302"/>
      <c r="BA3484" s="313"/>
      <c r="BB3484" s="167"/>
      <c r="BC3484" s="42"/>
      <c r="BD3484" s="358"/>
      <c r="BH3484" s="302"/>
      <c r="BI3484" s="42"/>
    </row>
    <row r="3485" spans="52:61">
      <c r="AZ3485" s="302"/>
      <c r="BA3485" s="313"/>
      <c r="BB3485" s="167"/>
      <c r="BC3485" s="42"/>
      <c r="BD3485" s="358"/>
      <c r="BH3485" s="302"/>
      <c r="BI3485" s="42"/>
    </row>
    <row r="3486" spans="52:61">
      <c r="AZ3486" s="302"/>
      <c r="BA3486" s="313"/>
      <c r="BB3486" s="167"/>
      <c r="BC3486" s="42"/>
      <c r="BD3486" s="358"/>
      <c r="BH3486" s="302"/>
      <c r="BI3486" s="42"/>
    </row>
    <row r="3487" spans="52:61">
      <c r="AZ3487" s="302"/>
      <c r="BA3487" s="313"/>
      <c r="BB3487" s="167"/>
      <c r="BC3487" s="42"/>
      <c r="BD3487" s="358"/>
      <c r="BH3487" s="302"/>
      <c r="BI3487" s="42"/>
    </row>
    <row r="3488" spans="52:61">
      <c r="AZ3488" s="302"/>
      <c r="BA3488" s="313"/>
      <c r="BB3488" s="167"/>
      <c r="BC3488" s="42"/>
      <c r="BD3488" s="358"/>
      <c r="BH3488" s="302"/>
      <c r="BI3488" s="42"/>
    </row>
    <row r="3489" spans="52:61">
      <c r="AZ3489" s="302"/>
      <c r="BA3489" s="313"/>
      <c r="BB3489" s="167"/>
      <c r="BC3489" s="42"/>
      <c r="BD3489" s="358"/>
      <c r="BH3489" s="302"/>
      <c r="BI3489" s="42"/>
    </row>
    <row r="3490" spans="52:61">
      <c r="AZ3490" s="302"/>
      <c r="BA3490" s="313"/>
      <c r="BB3490" s="167"/>
      <c r="BC3490" s="42"/>
      <c r="BD3490" s="358"/>
      <c r="BH3490" s="302"/>
      <c r="BI3490" s="42"/>
    </row>
    <row r="3491" spans="52:61">
      <c r="AZ3491" s="302"/>
      <c r="BA3491" s="313"/>
      <c r="BB3491" s="167"/>
      <c r="BC3491" s="42"/>
      <c r="BD3491" s="358"/>
      <c r="BH3491" s="302"/>
      <c r="BI3491" s="42"/>
    </row>
    <row r="3492" spans="52:61">
      <c r="AZ3492" s="302"/>
      <c r="BA3492" s="313"/>
      <c r="BB3492" s="167"/>
      <c r="BC3492" s="42"/>
      <c r="BD3492" s="358"/>
      <c r="BH3492" s="302"/>
      <c r="BI3492" s="42"/>
    </row>
    <row r="3493" spans="52:61">
      <c r="AZ3493" s="302"/>
      <c r="BA3493" s="313"/>
      <c r="BB3493" s="167"/>
      <c r="BC3493" s="42"/>
      <c r="BD3493" s="358"/>
      <c r="BH3493" s="302"/>
      <c r="BI3493" s="42"/>
    </row>
    <row r="3494" spans="52:61">
      <c r="AZ3494" s="302"/>
      <c r="BA3494" s="313"/>
      <c r="BB3494" s="167"/>
      <c r="BC3494" s="42"/>
      <c r="BD3494" s="358"/>
      <c r="BH3494" s="302"/>
      <c r="BI3494" s="42"/>
    </row>
    <row r="3495" spans="52:61">
      <c r="AZ3495" s="302"/>
      <c r="BA3495" s="313"/>
      <c r="BB3495" s="167"/>
      <c r="BC3495" s="42"/>
      <c r="BD3495" s="358"/>
      <c r="BH3495" s="302"/>
      <c r="BI3495" s="42"/>
    </row>
    <row r="3496" spans="52:61">
      <c r="AZ3496" s="302"/>
      <c r="BA3496" s="313"/>
      <c r="BB3496" s="167"/>
      <c r="BC3496" s="42"/>
      <c r="BD3496" s="358"/>
      <c r="BH3496" s="302"/>
      <c r="BI3496" s="42"/>
    </row>
    <row r="3497" spans="52:61">
      <c r="AZ3497" s="302"/>
      <c r="BA3497" s="313"/>
      <c r="BB3497" s="167"/>
      <c r="BC3497" s="42"/>
      <c r="BD3497" s="358"/>
      <c r="BH3497" s="302"/>
      <c r="BI3497" s="42"/>
    </row>
    <row r="3498" spans="52:61">
      <c r="AZ3498" s="302"/>
      <c r="BA3498" s="313"/>
      <c r="BB3498" s="167"/>
      <c r="BC3498" s="42"/>
      <c r="BD3498" s="358"/>
      <c r="BH3498" s="302"/>
      <c r="BI3498" s="42"/>
    </row>
    <row r="3499" spans="52:61">
      <c r="AZ3499" s="302"/>
      <c r="BA3499" s="313"/>
      <c r="BB3499" s="167"/>
      <c r="BC3499" s="42"/>
      <c r="BD3499" s="358"/>
      <c r="BH3499" s="302"/>
      <c r="BI3499" s="42"/>
    </row>
    <row r="3500" spans="52:61">
      <c r="AZ3500" s="302"/>
      <c r="BA3500" s="313"/>
      <c r="BB3500" s="167"/>
      <c r="BC3500" s="42"/>
      <c r="BD3500" s="358"/>
      <c r="BH3500" s="302"/>
      <c r="BI3500" s="42"/>
    </row>
    <row r="3501" spans="52:61">
      <c r="AZ3501" s="302"/>
      <c r="BA3501" s="313"/>
      <c r="BB3501" s="167"/>
      <c r="BC3501" s="42"/>
      <c r="BD3501" s="358"/>
      <c r="BH3501" s="302"/>
      <c r="BI3501" s="42"/>
    </row>
    <row r="3502" spans="52:61">
      <c r="AZ3502" s="302"/>
      <c r="BA3502" s="313"/>
      <c r="BB3502" s="167"/>
      <c r="BC3502" s="42"/>
      <c r="BD3502" s="358"/>
      <c r="BH3502" s="302"/>
      <c r="BI3502" s="42"/>
    </row>
    <row r="3503" spans="52:61">
      <c r="AZ3503" s="302"/>
      <c r="BA3503" s="313"/>
      <c r="BB3503" s="167"/>
      <c r="BC3503" s="42"/>
      <c r="BD3503" s="358"/>
      <c r="BH3503" s="302"/>
      <c r="BI3503" s="42"/>
    </row>
    <row r="3504" spans="52:61">
      <c r="AZ3504" s="302"/>
      <c r="BA3504" s="313"/>
      <c r="BB3504" s="167"/>
      <c r="BC3504" s="42"/>
      <c r="BD3504" s="358"/>
      <c r="BH3504" s="302"/>
      <c r="BI3504" s="42"/>
    </row>
    <row r="3505" spans="52:61">
      <c r="AZ3505" s="302"/>
      <c r="BA3505" s="313"/>
      <c r="BB3505" s="167"/>
      <c r="BC3505" s="42"/>
      <c r="BD3505" s="358"/>
      <c r="BH3505" s="302"/>
      <c r="BI3505" s="42"/>
    </row>
    <row r="3506" spans="52:61">
      <c r="AZ3506" s="302"/>
      <c r="BA3506" s="313"/>
      <c r="BB3506" s="167"/>
      <c r="BC3506" s="42"/>
      <c r="BD3506" s="358"/>
      <c r="BH3506" s="302"/>
      <c r="BI3506" s="42"/>
    </row>
    <row r="3507" spans="52:61">
      <c r="AZ3507" s="302"/>
      <c r="BA3507" s="313"/>
      <c r="BB3507" s="167"/>
      <c r="BC3507" s="42"/>
      <c r="BD3507" s="358"/>
      <c r="BH3507" s="302"/>
      <c r="BI3507" s="42"/>
    </row>
    <row r="3508" spans="52:61">
      <c r="AZ3508" s="302"/>
      <c r="BA3508" s="313"/>
      <c r="BB3508" s="167"/>
      <c r="BC3508" s="42"/>
      <c r="BD3508" s="358"/>
      <c r="BH3508" s="302"/>
      <c r="BI3508" s="42"/>
    </row>
    <row r="3509" spans="52:61">
      <c r="AZ3509" s="302"/>
      <c r="BA3509" s="313"/>
      <c r="BB3509" s="167"/>
      <c r="BC3509" s="42"/>
      <c r="BD3509" s="358"/>
      <c r="BH3509" s="302"/>
      <c r="BI3509" s="42"/>
    </row>
    <row r="3510" spans="52:61">
      <c r="AZ3510" s="302"/>
      <c r="BA3510" s="313"/>
      <c r="BB3510" s="167"/>
      <c r="BC3510" s="42"/>
      <c r="BD3510" s="358"/>
      <c r="BH3510" s="302"/>
      <c r="BI3510" s="42"/>
    </row>
    <row r="3511" spans="52:61">
      <c r="AZ3511" s="302"/>
      <c r="BA3511" s="313"/>
      <c r="BB3511" s="167"/>
      <c r="BC3511" s="42"/>
      <c r="BD3511" s="358"/>
      <c r="BH3511" s="302"/>
      <c r="BI3511" s="42"/>
    </row>
    <row r="3512" spans="52:61">
      <c r="AZ3512" s="302"/>
      <c r="BA3512" s="313"/>
      <c r="BB3512" s="167"/>
      <c r="BC3512" s="42"/>
      <c r="BD3512" s="358"/>
      <c r="BH3512" s="302"/>
      <c r="BI3512" s="42"/>
    </row>
    <row r="3513" spans="52:61">
      <c r="AZ3513" s="302"/>
      <c r="BA3513" s="313"/>
      <c r="BB3513" s="167"/>
      <c r="BC3513" s="42"/>
      <c r="BD3513" s="358"/>
      <c r="BH3513" s="302"/>
      <c r="BI3513" s="42"/>
    </row>
    <row r="3514" spans="52:61">
      <c r="AZ3514" s="302"/>
      <c r="BA3514" s="313"/>
      <c r="BB3514" s="167"/>
      <c r="BC3514" s="42"/>
      <c r="BD3514" s="358"/>
      <c r="BH3514" s="302"/>
      <c r="BI3514" s="42"/>
    </row>
    <row r="3515" spans="52:61">
      <c r="AZ3515" s="302"/>
      <c r="BA3515" s="313"/>
      <c r="BB3515" s="167"/>
      <c r="BC3515" s="42"/>
      <c r="BD3515" s="358"/>
      <c r="BH3515" s="302"/>
      <c r="BI3515" s="42"/>
    </row>
    <row r="3516" spans="52:61">
      <c r="AZ3516" s="302"/>
      <c r="BA3516" s="313"/>
      <c r="BB3516" s="167"/>
      <c r="BC3516" s="42"/>
      <c r="BD3516" s="358"/>
      <c r="BH3516" s="302"/>
      <c r="BI3516" s="42"/>
    </row>
    <row r="3517" spans="52:61">
      <c r="AZ3517" s="302"/>
      <c r="BA3517" s="313"/>
      <c r="BB3517" s="167"/>
      <c r="BC3517" s="42"/>
      <c r="BD3517" s="358"/>
      <c r="BH3517" s="302"/>
      <c r="BI3517" s="42"/>
    </row>
    <row r="3518" spans="52:61">
      <c r="AZ3518" s="302"/>
      <c r="BA3518" s="313"/>
      <c r="BB3518" s="167"/>
      <c r="BC3518" s="42"/>
      <c r="BD3518" s="358"/>
      <c r="BH3518" s="302"/>
      <c r="BI3518" s="42"/>
    </row>
    <row r="3519" spans="52:61">
      <c r="AZ3519" s="302"/>
      <c r="BA3519" s="313"/>
      <c r="BB3519" s="167"/>
      <c r="BC3519" s="42"/>
      <c r="BD3519" s="358"/>
      <c r="BH3519" s="302"/>
      <c r="BI3519" s="42"/>
    </row>
    <row r="3520" spans="52:61">
      <c r="AZ3520" s="302"/>
      <c r="BA3520" s="313"/>
      <c r="BB3520" s="167"/>
      <c r="BC3520" s="42"/>
      <c r="BD3520" s="358"/>
      <c r="BH3520" s="302"/>
      <c r="BI3520" s="42"/>
    </row>
    <row r="3521" spans="52:61">
      <c r="AZ3521" s="302"/>
      <c r="BA3521" s="313"/>
      <c r="BB3521" s="167"/>
      <c r="BC3521" s="42"/>
      <c r="BD3521" s="358"/>
      <c r="BH3521" s="302"/>
      <c r="BI3521" s="42"/>
    </row>
    <row r="3522" spans="52:61">
      <c r="AZ3522" s="302"/>
      <c r="BA3522" s="313"/>
      <c r="BB3522" s="167"/>
      <c r="BC3522" s="42"/>
      <c r="BD3522" s="358"/>
      <c r="BH3522" s="302"/>
      <c r="BI3522" s="42"/>
    </row>
    <row r="3523" spans="52:61">
      <c r="AZ3523" s="302"/>
      <c r="BA3523" s="313"/>
      <c r="BB3523" s="167"/>
      <c r="BC3523" s="42"/>
      <c r="BD3523" s="358"/>
      <c r="BH3523" s="302"/>
      <c r="BI3523" s="42"/>
    </row>
    <row r="3524" spans="52:61">
      <c r="AZ3524" s="302"/>
      <c r="BA3524" s="313"/>
      <c r="BB3524" s="167"/>
      <c r="BC3524" s="42"/>
      <c r="BD3524" s="358"/>
      <c r="BH3524" s="302"/>
      <c r="BI3524" s="42"/>
    </row>
    <row r="3525" spans="52:61">
      <c r="AZ3525" s="302"/>
      <c r="BA3525" s="313"/>
      <c r="BB3525" s="167"/>
      <c r="BC3525" s="42"/>
      <c r="BD3525" s="358"/>
      <c r="BH3525" s="302"/>
      <c r="BI3525" s="42"/>
    </row>
    <row r="3526" spans="52:61">
      <c r="AZ3526" s="302"/>
      <c r="BA3526" s="313"/>
      <c r="BB3526" s="167"/>
      <c r="BC3526" s="42"/>
      <c r="BD3526" s="358"/>
      <c r="BH3526" s="302"/>
      <c r="BI3526" s="42"/>
    </row>
    <row r="3527" spans="52:61">
      <c r="AZ3527" s="302"/>
      <c r="BA3527" s="313"/>
      <c r="BB3527" s="167"/>
      <c r="BC3527" s="42"/>
      <c r="BD3527" s="358"/>
      <c r="BH3527" s="302"/>
      <c r="BI3527" s="42"/>
    </row>
    <row r="3528" spans="52:61">
      <c r="AZ3528" s="302"/>
      <c r="BA3528" s="313"/>
      <c r="BB3528" s="167"/>
      <c r="BC3528" s="42"/>
      <c r="BD3528" s="358"/>
      <c r="BH3528" s="302"/>
      <c r="BI3528" s="42"/>
    </row>
    <row r="3529" spans="52:61">
      <c r="AZ3529" s="302"/>
      <c r="BA3529" s="313"/>
      <c r="BB3529" s="167"/>
      <c r="BC3529" s="42"/>
      <c r="BD3529" s="358"/>
      <c r="BH3529" s="302"/>
      <c r="BI3529" s="42"/>
    </row>
    <row r="3530" spans="52:61">
      <c r="AZ3530" s="302"/>
      <c r="BA3530" s="313"/>
      <c r="BB3530" s="167"/>
      <c r="BC3530" s="42"/>
      <c r="BD3530" s="358"/>
      <c r="BH3530" s="302"/>
      <c r="BI3530" s="42"/>
    </row>
    <row r="3531" spans="52:61">
      <c r="AZ3531" s="302"/>
      <c r="BA3531" s="313"/>
      <c r="BB3531" s="167"/>
      <c r="BC3531" s="42"/>
      <c r="BD3531" s="358"/>
      <c r="BH3531" s="302"/>
      <c r="BI3531" s="42"/>
    </row>
    <row r="3532" spans="52:61">
      <c r="AZ3532" s="302"/>
      <c r="BA3532" s="313"/>
      <c r="BB3532" s="167"/>
      <c r="BC3532" s="42"/>
      <c r="BD3532" s="358"/>
      <c r="BH3532" s="302"/>
      <c r="BI3532" s="42"/>
    </row>
    <row r="3533" spans="52:61">
      <c r="AZ3533" s="302"/>
      <c r="BA3533" s="313"/>
      <c r="BB3533" s="167"/>
      <c r="BC3533" s="42"/>
      <c r="BD3533" s="358"/>
      <c r="BH3533" s="302"/>
      <c r="BI3533" s="42"/>
    </row>
    <row r="3534" spans="52:61">
      <c r="AZ3534" s="302"/>
      <c r="BA3534" s="313"/>
      <c r="BB3534" s="167"/>
      <c r="BC3534" s="42"/>
      <c r="BD3534" s="358"/>
      <c r="BH3534" s="302"/>
      <c r="BI3534" s="42"/>
    </row>
    <row r="3535" spans="52:61">
      <c r="AZ3535" s="302"/>
      <c r="BA3535" s="313"/>
      <c r="BB3535" s="167"/>
      <c r="BC3535" s="42"/>
      <c r="BD3535" s="358"/>
      <c r="BH3535" s="302"/>
      <c r="BI3535" s="42"/>
    </row>
    <row r="3536" spans="52:61">
      <c r="AZ3536" s="302"/>
      <c r="BA3536" s="313"/>
      <c r="BB3536" s="167"/>
      <c r="BC3536" s="42"/>
      <c r="BD3536" s="358"/>
      <c r="BH3536" s="302"/>
      <c r="BI3536" s="42"/>
    </row>
    <row r="3537" spans="52:61">
      <c r="AZ3537" s="302"/>
      <c r="BA3537" s="313"/>
      <c r="BB3537" s="167"/>
      <c r="BC3537" s="42"/>
      <c r="BD3537" s="358"/>
      <c r="BH3537" s="302"/>
      <c r="BI3537" s="42"/>
    </row>
    <row r="3538" spans="52:61">
      <c r="AZ3538" s="302"/>
      <c r="BA3538" s="313"/>
      <c r="BB3538" s="167"/>
      <c r="BC3538" s="42"/>
      <c r="BD3538" s="358"/>
      <c r="BH3538" s="302"/>
      <c r="BI3538" s="42"/>
    </row>
    <row r="3539" spans="52:61">
      <c r="AZ3539" s="302"/>
      <c r="BA3539" s="313"/>
      <c r="BB3539" s="167"/>
      <c r="BC3539" s="42"/>
      <c r="BD3539" s="358"/>
      <c r="BH3539" s="302"/>
      <c r="BI3539" s="42"/>
    </row>
    <row r="3540" spans="52:61">
      <c r="AZ3540" s="302"/>
      <c r="BA3540" s="313"/>
      <c r="BB3540" s="167"/>
      <c r="BC3540" s="42"/>
      <c r="BD3540" s="358"/>
      <c r="BH3540" s="302"/>
      <c r="BI3540" s="42"/>
    </row>
    <row r="3541" spans="52:61">
      <c r="AZ3541" s="302"/>
      <c r="BA3541" s="313"/>
      <c r="BB3541" s="167"/>
      <c r="BC3541" s="42"/>
      <c r="BD3541" s="358"/>
      <c r="BH3541" s="302"/>
      <c r="BI3541" s="42"/>
    </row>
    <row r="3542" spans="52:61">
      <c r="AZ3542" s="302"/>
      <c r="BA3542" s="313"/>
      <c r="BB3542" s="167"/>
      <c r="BC3542" s="42"/>
      <c r="BD3542" s="358"/>
      <c r="BH3542" s="302"/>
      <c r="BI3542" s="42"/>
    </row>
    <row r="3543" spans="52:61">
      <c r="AZ3543" s="302"/>
      <c r="BA3543" s="313"/>
      <c r="BB3543" s="167"/>
      <c r="BC3543" s="42"/>
      <c r="BD3543" s="358"/>
      <c r="BH3543" s="302"/>
      <c r="BI3543" s="42"/>
    </row>
    <row r="3544" spans="52:61">
      <c r="AZ3544" s="302"/>
      <c r="BA3544" s="313"/>
      <c r="BB3544" s="167"/>
      <c r="BC3544" s="42"/>
      <c r="BD3544" s="358"/>
      <c r="BH3544" s="302"/>
      <c r="BI3544" s="42"/>
    </row>
    <row r="3545" spans="52:61">
      <c r="AZ3545" s="302"/>
      <c r="BA3545" s="313"/>
      <c r="BB3545" s="167"/>
      <c r="BC3545" s="42"/>
      <c r="BD3545" s="358"/>
      <c r="BH3545" s="302"/>
      <c r="BI3545" s="42"/>
    </row>
    <row r="3546" spans="52:61">
      <c r="AZ3546" s="302"/>
      <c r="BA3546" s="313"/>
      <c r="BB3546" s="167"/>
      <c r="BC3546" s="42"/>
      <c r="BD3546" s="358"/>
      <c r="BH3546" s="302"/>
      <c r="BI3546" s="42"/>
    </row>
    <row r="3547" spans="52:61">
      <c r="AZ3547" s="302"/>
      <c r="BA3547" s="313"/>
      <c r="BB3547" s="167"/>
      <c r="BC3547" s="42"/>
      <c r="BD3547" s="358"/>
      <c r="BH3547" s="302"/>
      <c r="BI3547" s="42"/>
    </row>
    <row r="3548" spans="52:61">
      <c r="AZ3548" s="302"/>
      <c r="BA3548" s="313"/>
      <c r="BB3548" s="167"/>
      <c r="BC3548" s="42"/>
      <c r="BD3548" s="358"/>
      <c r="BH3548" s="302"/>
      <c r="BI3548" s="42"/>
    </row>
    <row r="3549" spans="52:61">
      <c r="AZ3549" s="302"/>
      <c r="BA3549" s="313"/>
      <c r="BB3549" s="167"/>
      <c r="BC3549" s="42"/>
      <c r="BD3549" s="358"/>
      <c r="BH3549" s="302"/>
      <c r="BI3549" s="42"/>
    </row>
    <row r="3550" spans="52:61">
      <c r="AZ3550" s="302"/>
      <c r="BA3550" s="313"/>
      <c r="BB3550" s="167"/>
      <c r="BC3550" s="42"/>
      <c r="BD3550" s="358"/>
      <c r="BH3550" s="302"/>
      <c r="BI3550" s="42"/>
    </row>
    <row r="3551" spans="52:61">
      <c r="AZ3551" s="302"/>
      <c r="BA3551" s="313"/>
      <c r="BB3551" s="167"/>
      <c r="BC3551" s="42"/>
      <c r="BD3551" s="358"/>
      <c r="BH3551" s="302"/>
      <c r="BI3551" s="42"/>
    </row>
    <row r="3552" spans="52:61">
      <c r="AZ3552" s="302"/>
      <c r="BA3552" s="313"/>
      <c r="BB3552" s="167"/>
      <c r="BC3552" s="42"/>
      <c r="BD3552" s="358"/>
      <c r="BH3552" s="302"/>
      <c r="BI3552" s="42"/>
    </row>
    <row r="3553" spans="52:61">
      <c r="AZ3553" s="302"/>
      <c r="BA3553" s="313"/>
      <c r="BB3553" s="167"/>
      <c r="BC3553" s="42"/>
      <c r="BD3553" s="358"/>
      <c r="BH3553" s="302"/>
      <c r="BI3553" s="42"/>
    </row>
    <row r="3554" spans="52:61">
      <c r="AZ3554" s="302"/>
      <c r="BA3554" s="313"/>
      <c r="BB3554" s="167"/>
      <c r="BC3554" s="42"/>
      <c r="BD3554" s="358"/>
      <c r="BH3554" s="302"/>
      <c r="BI3554" s="42"/>
    </row>
    <row r="3555" spans="52:61">
      <c r="AZ3555" s="302"/>
      <c r="BA3555" s="313"/>
      <c r="BB3555" s="167"/>
      <c r="BC3555" s="42"/>
      <c r="BD3555" s="358"/>
      <c r="BH3555" s="302"/>
      <c r="BI3555" s="42"/>
    </row>
    <row r="3556" spans="52:61">
      <c r="AZ3556" s="302"/>
      <c r="BA3556" s="313"/>
      <c r="BB3556" s="167"/>
      <c r="BC3556" s="42"/>
      <c r="BD3556" s="358"/>
      <c r="BH3556" s="302"/>
      <c r="BI3556" s="42"/>
    </row>
    <row r="3557" spans="52:61">
      <c r="AZ3557" s="302"/>
      <c r="BA3557" s="313"/>
      <c r="BB3557" s="167"/>
      <c r="BC3557" s="42"/>
      <c r="BD3557" s="358"/>
      <c r="BH3557" s="302"/>
      <c r="BI3557" s="42"/>
    </row>
    <row r="3558" spans="52:61">
      <c r="AZ3558" s="302"/>
      <c r="BA3558" s="313"/>
      <c r="BB3558" s="167"/>
      <c r="BC3558" s="42"/>
      <c r="BD3558" s="358"/>
      <c r="BH3558" s="302"/>
      <c r="BI3558" s="42"/>
    </row>
    <row r="3559" spans="52:61">
      <c r="AZ3559" s="302"/>
      <c r="BA3559" s="313"/>
      <c r="BB3559" s="167"/>
      <c r="BC3559" s="42"/>
      <c r="BD3559" s="358"/>
      <c r="BH3559" s="302"/>
      <c r="BI3559" s="42"/>
    </row>
    <row r="3560" spans="52:61">
      <c r="AZ3560" s="302"/>
      <c r="BA3560" s="313"/>
      <c r="BB3560" s="167"/>
      <c r="BC3560" s="42"/>
      <c r="BD3560" s="358"/>
      <c r="BH3560" s="302"/>
      <c r="BI3560" s="42"/>
    </row>
    <row r="3561" spans="52:61">
      <c r="AZ3561" s="302"/>
      <c r="BA3561" s="313"/>
      <c r="BB3561" s="167"/>
      <c r="BC3561" s="42"/>
      <c r="BD3561" s="358"/>
      <c r="BH3561" s="302"/>
      <c r="BI3561" s="42"/>
    </row>
    <row r="3562" spans="52:61">
      <c r="AZ3562" s="302"/>
      <c r="BA3562" s="313"/>
      <c r="BB3562" s="167"/>
      <c r="BC3562" s="42"/>
      <c r="BD3562" s="358"/>
      <c r="BH3562" s="302"/>
      <c r="BI3562" s="42"/>
    </row>
    <row r="3563" spans="52:61">
      <c r="AZ3563" s="302"/>
      <c r="BA3563" s="313"/>
      <c r="BB3563" s="167"/>
      <c r="BC3563" s="42"/>
      <c r="BD3563" s="358"/>
      <c r="BH3563" s="302"/>
      <c r="BI3563" s="42"/>
    </row>
    <row r="3564" spans="52:61">
      <c r="AZ3564" s="302"/>
      <c r="BA3564" s="313"/>
      <c r="BB3564" s="167"/>
      <c r="BC3564" s="42"/>
      <c r="BD3564" s="358"/>
      <c r="BH3564" s="302"/>
      <c r="BI3564" s="42"/>
    </row>
    <row r="3565" spans="52:61">
      <c r="AZ3565" s="302"/>
      <c r="BA3565" s="313"/>
      <c r="BB3565" s="167"/>
      <c r="BC3565" s="42"/>
      <c r="BD3565" s="358"/>
      <c r="BH3565" s="302"/>
      <c r="BI3565" s="42"/>
    </row>
    <row r="3566" spans="52:61">
      <c r="AZ3566" s="302"/>
      <c r="BA3566" s="313"/>
      <c r="BB3566" s="167"/>
      <c r="BC3566" s="42"/>
      <c r="BD3566" s="358"/>
      <c r="BH3566" s="302"/>
      <c r="BI3566" s="42"/>
    </row>
    <row r="3567" spans="52:61">
      <c r="AZ3567" s="302"/>
      <c r="BA3567" s="313"/>
      <c r="BB3567" s="167"/>
      <c r="BC3567" s="42"/>
      <c r="BD3567" s="358"/>
      <c r="BH3567" s="302"/>
      <c r="BI3567" s="42"/>
    </row>
    <row r="3568" spans="52:61">
      <c r="AZ3568" s="302"/>
      <c r="BA3568" s="313"/>
      <c r="BB3568" s="167"/>
      <c r="BC3568" s="42"/>
      <c r="BD3568" s="358"/>
      <c r="BH3568" s="302"/>
      <c r="BI3568" s="42"/>
    </row>
    <row r="3569" spans="52:61">
      <c r="AZ3569" s="302"/>
      <c r="BA3569" s="313"/>
      <c r="BB3569" s="167"/>
      <c r="BC3569" s="42"/>
      <c r="BD3569" s="358"/>
      <c r="BH3569" s="302"/>
      <c r="BI3569" s="42"/>
    </row>
    <row r="3570" spans="52:61">
      <c r="AZ3570" s="302"/>
      <c r="BA3570" s="313"/>
      <c r="BB3570" s="167"/>
      <c r="BC3570" s="42"/>
      <c r="BD3570" s="358"/>
      <c r="BH3570" s="302"/>
      <c r="BI3570" s="42"/>
    </row>
    <row r="3571" spans="52:61">
      <c r="AZ3571" s="302"/>
      <c r="BA3571" s="313"/>
      <c r="BB3571" s="167"/>
      <c r="BC3571" s="42"/>
      <c r="BD3571" s="358"/>
      <c r="BH3571" s="302"/>
      <c r="BI3571" s="42"/>
    </row>
    <row r="3572" spans="52:61">
      <c r="AZ3572" s="302"/>
      <c r="BA3572" s="313"/>
      <c r="BB3572" s="167"/>
      <c r="BC3572" s="42"/>
      <c r="BD3572" s="358"/>
      <c r="BH3572" s="302"/>
      <c r="BI3572" s="42"/>
    </row>
    <row r="3573" spans="52:61">
      <c r="AZ3573" s="302"/>
      <c r="BA3573" s="313"/>
      <c r="BB3573" s="167"/>
      <c r="BC3573" s="42"/>
      <c r="BD3573" s="358"/>
      <c r="BH3573" s="302"/>
      <c r="BI3573" s="42"/>
    </row>
    <row r="3574" spans="52:61">
      <c r="AZ3574" s="302"/>
      <c r="BA3574" s="313"/>
      <c r="BB3574" s="167"/>
      <c r="BC3574" s="42"/>
      <c r="BD3574" s="358"/>
      <c r="BH3574" s="302"/>
      <c r="BI3574" s="42"/>
    </row>
    <row r="3575" spans="52:61">
      <c r="AZ3575" s="302"/>
      <c r="BA3575" s="313"/>
      <c r="BB3575" s="167"/>
      <c r="BC3575" s="42"/>
      <c r="BD3575" s="358"/>
      <c r="BH3575" s="302"/>
      <c r="BI3575" s="42"/>
    </row>
    <row r="3576" spans="52:61">
      <c r="AZ3576" s="302"/>
      <c r="BA3576" s="313"/>
      <c r="BB3576" s="167"/>
      <c r="BC3576" s="42"/>
      <c r="BD3576" s="358"/>
      <c r="BH3576" s="302"/>
      <c r="BI3576" s="42"/>
    </row>
    <row r="3577" spans="52:61">
      <c r="AZ3577" s="302"/>
      <c r="BA3577" s="313"/>
      <c r="BB3577" s="167"/>
      <c r="BC3577" s="42"/>
      <c r="BD3577" s="358"/>
      <c r="BH3577" s="302"/>
      <c r="BI3577" s="42"/>
    </row>
    <row r="3578" spans="52:61">
      <c r="AZ3578" s="302"/>
      <c r="BA3578" s="313"/>
      <c r="BB3578" s="167"/>
      <c r="BC3578" s="42"/>
      <c r="BD3578" s="358"/>
      <c r="BH3578" s="302"/>
      <c r="BI3578" s="42"/>
    </row>
    <row r="3579" spans="52:61">
      <c r="AZ3579" s="302"/>
      <c r="BA3579" s="313"/>
      <c r="BB3579" s="167"/>
      <c r="BC3579" s="42"/>
      <c r="BD3579" s="358"/>
      <c r="BH3579" s="302"/>
      <c r="BI3579" s="42"/>
    </row>
    <row r="3580" spans="52:61">
      <c r="AZ3580" s="302"/>
      <c r="BA3580" s="313"/>
      <c r="BB3580" s="167"/>
      <c r="BC3580" s="42"/>
      <c r="BD3580" s="358"/>
      <c r="BH3580" s="302"/>
      <c r="BI3580" s="42"/>
    </row>
    <row r="3581" spans="52:61">
      <c r="AZ3581" s="302"/>
      <c r="BA3581" s="313"/>
      <c r="BB3581" s="167"/>
      <c r="BC3581" s="42"/>
      <c r="BD3581" s="358"/>
      <c r="BH3581" s="302"/>
      <c r="BI3581" s="42"/>
    </row>
    <row r="3582" spans="52:61">
      <c r="AZ3582" s="302"/>
      <c r="BA3582" s="313"/>
      <c r="BB3582" s="167"/>
      <c r="BC3582" s="42"/>
      <c r="BD3582" s="358"/>
      <c r="BH3582" s="302"/>
      <c r="BI3582" s="42"/>
    </row>
    <row r="3583" spans="52:61">
      <c r="AZ3583" s="302"/>
      <c r="BA3583" s="313"/>
      <c r="BB3583" s="167"/>
      <c r="BC3583" s="42"/>
      <c r="BD3583" s="358"/>
      <c r="BH3583" s="302"/>
      <c r="BI3583" s="42"/>
    </row>
    <row r="3584" spans="52:61">
      <c r="AZ3584" s="302"/>
      <c r="BA3584" s="313"/>
      <c r="BB3584" s="167"/>
      <c r="BC3584" s="42"/>
      <c r="BD3584" s="358"/>
      <c r="BH3584" s="302"/>
      <c r="BI3584" s="42"/>
    </row>
    <row r="3585" spans="52:61">
      <c r="AZ3585" s="302"/>
      <c r="BA3585" s="313"/>
      <c r="BB3585" s="167"/>
      <c r="BC3585" s="42"/>
      <c r="BD3585" s="358"/>
      <c r="BH3585" s="302"/>
      <c r="BI3585" s="42"/>
    </row>
    <row r="3586" spans="52:61">
      <c r="AZ3586" s="302"/>
      <c r="BA3586" s="313"/>
      <c r="BB3586" s="167"/>
      <c r="BC3586" s="42"/>
      <c r="BD3586" s="358"/>
      <c r="BH3586" s="302"/>
      <c r="BI3586" s="42"/>
    </row>
    <row r="3587" spans="52:61">
      <c r="AZ3587" s="302"/>
      <c r="BA3587" s="313"/>
      <c r="BB3587" s="167"/>
      <c r="BC3587" s="42"/>
      <c r="BD3587" s="358"/>
      <c r="BH3587" s="302"/>
      <c r="BI3587" s="42"/>
    </row>
    <row r="3588" spans="52:61">
      <c r="AZ3588" s="302"/>
      <c r="BA3588" s="313"/>
      <c r="BB3588" s="167"/>
      <c r="BC3588" s="42"/>
      <c r="BD3588" s="358"/>
      <c r="BH3588" s="302"/>
      <c r="BI3588" s="42"/>
    </row>
    <row r="3589" spans="52:61">
      <c r="AZ3589" s="302"/>
      <c r="BA3589" s="313"/>
      <c r="BB3589" s="167"/>
      <c r="BC3589" s="42"/>
      <c r="BD3589" s="358"/>
      <c r="BH3589" s="302"/>
      <c r="BI3589" s="42"/>
    </row>
    <row r="3590" spans="52:61">
      <c r="AZ3590" s="302"/>
      <c r="BA3590" s="313"/>
      <c r="BB3590" s="167"/>
      <c r="BC3590" s="42"/>
      <c r="BD3590" s="358"/>
      <c r="BH3590" s="302"/>
      <c r="BI3590" s="42"/>
    </row>
    <row r="3591" spans="52:61">
      <c r="AZ3591" s="302"/>
      <c r="BA3591" s="313"/>
      <c r="BB3591" s="167"/>
      <c r="BC3591" s="42"/>
      <c r="BD3591" s="358"/>
      <c r="BH3591" s="302"/>
      <c r="BI3591" s="42"/>
    </row>
    <row r="3592" spans="52:61">
      <c r="AZ3592" s="302"/>
      <c r="BA3592" s="313"/>
      <c r="BB3592" s="167"/>
      <c r="BC3592" s="42"/>
      <c r="BD3592" s="358"/>
      <c r="BH3592" s="302"/>
      <c r="BI3592" s="42"/>
    </row>
    <row r="3593" spans="52:61">
      <c r="AZ3593" s="302"/>
      <c r="BA3593" s="313"/>
      <c r="BB3593" s="167"/>
      <c r="BC3593" s="42"/>
      <c r="BD3593" s="358"/>
      <c r="BH3593" s="302"/>
      <c r="BI3593" s="42"/>
    </row>
    <row r="3594" spans="52:61">
      <c r="AZ3594" s="302"/>
      <c r="BA3594" s="313"/>
      <c r="BB3594" s="167"/>
      <c r="BC3594" s="42"/>
      <c r="BD3594" s="358"/>
      <c r="BH3594" s="302"/>
      <c r="BI3594" s="42"/>
    </row>
    <row r="3595" spans="52:61">
      <c r="AZ3595" s="302"/>
      <c r="BA3595" s="313"/>
      <c r="BB3595" s="167"/>
      <c r="BC3595" s="42"/>
      <c r="BD3595" s="358"/>
      <c r="BH3595" s="302"/>
      <c r="BI3595" s="42"/>
    </row>
    <row r="3596" spans="52:61">
      <c r="AZ3596" s="302"/>
      <c r="BA3596" s="313"/>
      <c r="BB3596" s="167"/>
      <c r="BC3596" s="42"/>
      <c r="BD3596" s="358"/>
      <c r="BH3596" s="302"/>
      <c r="BI3596" s="42"/>
    </row>
    <row r="3597" spans="52:61">
      <c r="AZ3597" s="302"/>
      <c r="BA3597" s="313"/>
      <c r="BB3597" s="167"/>
      <c r="BC3597" s="42"/>
      <c r="BD3597" s="358"/>
      <c r="BH3597" s="302"/>
      <c r="BI3597" s="42"/>
    </row>
    <row r="3598" spans="52:61">
      <c r="AZ3598" s="302"/>
      <c r="BA3598" s="313"/>
      <c r="BB3598" s="167"/>
      <c r="BC3598" s="42"/>
      <c r="BD3598" s="358"/>
      <c r="BH3598" s="302"/>
      <c r="BI3598" s="42"/>
    </row>
    <row r="3599" spans="52:61">
      <c r="AZ3599" s="302"/>
      <c r="BA3599" s="313"/>
      <c r="BB3599" s="167"/>
      <c r="BC3599" s="42"/>
      <c r="BD3599" s="358"/>
      <c r="BH3599" s="302"/>
      <c r="BI3599" s="42"/>
    </row>
    <row r="3600" spans="52:61">
      <c r="AZ3600" s="302"/>
      <c r="BA3600" s="313"/>
      <c r="BB3600" s="167"/>
      <c r="BC3600" s="42"/>
      <c r="BD3600" s="358"/>
      <c r="BH3600" s="302"/>
      <c r="BI3600" s="42"/>
    </row>
    <row r="3601" spans="52:61">
      <c r="AZ3601" s="302"/>
      <c r="BA3601" s="313"/>
      <c r="BB3601" s="167"/>
      <c r="BC3601" s="42"/>
      <c r="BD3601" s="358"/>
      <c r="BH3601" s="302"/>
      <c r="BI3601" s="42"/>
    </row>
    <row r="3602" spans="52:61">
      <c r="AZ3602" s="302"/>
      <c r="BA3602" s="313"/>
      <c r="BB3602" s="167"/>
      <c r="BC3602" s="42"/>
      <c r="BD3602" s="358"/>
      <c r="BH3602" s="302"/>
      <c r="BI3602" s="42"/>
    </row>
    <row r="3603" spans="52:61">
      <c r="AZ3603" s="302"/>
      <c r="BA3603" s="313"/>
      <c r="BB3603" s="167"/>
      <c r="BC3603" s="42"/>
      <c r="BD3603" s="358"/>
      <c r="BH3603" s="302"/>
      <c r="BI3603" s="42"/>
    </row>
    <row r="3604" spans="52:61">
      <c r="AZ3604" s="302"/>
      <c r="BA3604" s="313"/>
      <c r="BB3604" s="167"/>
      <c r="BC3604" s="42"/>
      <c r="BD3604" s="358"/>
      <c r="BH3604" s="302"/>
      <c r="BI3604" s="42"/>
    </row>
    <row r="3605" spans="52:61">
      <c r="AZ3605" s="302"/>
      <c r="BA3605" s="313"/>
      <c r="BB3605" s="167"/>
      <c r="BC3605" s="42"/>
      <c r="BD3605" s="358"/>
      <c r="BH3605" s="302"/>
      <c r="BI3605" s="42"/>
    </row>
    <row r="3606" spans="52:61">
      <c r="AZ3606" s="302"/>
      <c r="BA3606" s="313"/>
      <c r="BB3606" s="167"/>
      <c r="BC3606" s="42"/>
      <c r="BD3606" s="358"/>
      <c r="BH3606" s="302"/>
      <c r="BI3606" s="42"/>
    </row>
    <row r="3607" spans="52:61">
      <c r="AZ3607" s="302"/>
      <c r="BA3607" s="313"/>
      <c r="BB3607" s="167"/>
      <c r="BC3607" s="42"/>
      <c r="BD3607" s="358"/>
      <c r="BH3607" s="302"/>
      <c r="BI3607" s="42"/>
    </row>
    <row r="3608" spans="52:61">
      <c r="AZ3608" s="302"/>
      <c r="BA3608" s="313"/>
      <c r="BB3608" s="167"/>
      <c r="BC3608" s="42"/>
      <c r="BD3608" s="358"/>
      <c r="BH3608" s="302"/>
      <c r="BI3608" s="42"/>
    </row>
    <row r="3609" spans="52:61">
      <c r="AZ3609" s="302"/>
      <c r="BA3609" s="313"/>
      <c r="BB3609" s="167"/>
      <c r="BC3609" s="42"/>
      <c r="BD3609" s="358"/>
      <c r="BH3609" s="302"/>
      <c r="BI3609" s="42"/>
    </row>
    <row r="3610" spans="52:61">
      <c r="AZ3610" s="302"/>
      <c r="BA3610" s="313"/>
      <c r="BB3610" s="167"/>
      <c r="BC3610" s="42"/>
      <c r="BD3610" s="358"/>
      <c r="BH3610" s="302"/>
      <c r="BI3610" s="42"/>
    </row>
    <row r="3611" spans="52:61">
      <c r="AZ3611" s="302"/>
      <c r="BA3611" s="313"/>
      <c r="BB3611" s="167"/>
      <c r="BC3611" s="42"/>
      <c r="BD3611" s="358"/>
      <c r="BH3611" s="302"/>
      <c r="BI3611" s="42"/>
    </row>
    <row r="3612" spans="52:61">
      <c r="AZ3612" s="302"/>
      <c r="BA3612" s="313"/>
      <c r="BB3612" s="167"/>
      <c r="BC3612" s="42"/>
      <c r="BD3612" s="358"/>
      <c r="BH3612" s="302"/>
      <c r="BI3612" s="42"/>
    </row>
    <row r="3613" spans="52:61">
      <c r="AZ3613" s="302"/>
      <c r="BA3613" s="313"/>
      <c r="BB3613" s="167"/>
      <c r="BC3613" s="42"/>
      <c r="BD3613" s="358"/>
      <c r="BH3613" s="302"/>
      <c r="BI3613" s="42"/>
    </row>
    <row r="3614" spans="52:61">
      <c r="AZ3614" s="302"/>
      <c r="BA3614" s="313"/>
      <c r="BB3614" s="167"/>
      <c r="BC3614" s="42"/>
      <c r="BD3614" s="358"/>
      <c r="BH3614" s="302"/>
      <c r="BI3614" s="42"/>
    </row>
    <row r="3615" spans="52:61">
      <c r="AZ3615" s="302"/>
      <c r="BA3615" s="313"/>
      <c r="BB3615" s="167"/>
      <c r="BC3615" s="42"/>
      <c r="BD3615" s="358"/>
      <c r="BH3615" s="302"/>
      <c r="BI3615" s="42"/>
    </row>
    <row r="3616" spans="52:61">
      <c r="AZ3616" s="302"/>
      <c r="BA3616" s="313"/>
      <c r="BB3616" s="167"/>
      <c r="BC3616" s="42"/>
      <c r="BD3616" s="358"/>
      <c r="BH3616" s="302"/>
      <c r="BI3616" s="42"/>
    </row>
    <row r="3617" spans="52:61">
      <c r="AZ3617" s="302"/>
      <c r="BA3617" s="313"/>
      <c r="BB3617" s="167"/>
      <c r="BC3617" s="42"/>
      <c r="BD3617" s="358"/>
      <c r="BH3617" s="302"/>
      <c r="BI3617" s="42"/>
    </row>
    <row r="3618" spans="52:61">
      <c r="AZ3618" s="302"/>
      <c r="BA3618" s="313"/>
      <c r="BB3618" s="167"/>
      <c r="BC3618" s="42"/>
      <c r="BD3618" s="358"/>
      <c r="BH3618" s="302"/>
      <c r="BI3618" s="42"/>
    </row>
    <row r="3619" spans="52:61">
      <c r="AZ3619" s="302"/>
      <c r="BA3619" s="313"/>
      <c r="BB3619" s="167"/>
      <c r="BC3619" s="42"/>
      <c r="BD3619" s="358"/>
      <c r="BH3619" s="302"/>
      <c r="BI3619" s="42"/>
    </row>
    <row r="3620" spans="52:61">
      <c r="AZ3620" s="302"/>
      <c r="BA3620" s="313"/>
      <c r="BB3620" s="167"/>
      <c r="BC3620" s="42"/>
      <c r="BD3620" s="358"/>
      <c r="BH3620" s="302"/>
      <c r="BI3620" s="42"/>
    </row>
    <row r="3621" spans="52:61">
      <c r="AZ3621" s="302"/>
      <c r="BA3621" s="313"/>
      <c r="BB3621" s="167"/>
      <c r="BC3621" s="42"/>
      <c r="BD3621" s="358"/>
      <c r="BH3621" s="302"/>
      <c r="BI3621" s="42"/>
    </row>
    <row r="3622" spans="52:61">
      <c r="AZ3622" s="302"/>
      <c r="BA3622" s="313"/>
      <c r="BB3622" s="167"/>
      <c r="BC3622" s="42"/>
      <c r="BD3622" s="358"/>
      <c r="BH3622" s="302"/>
      <c r="BI3622" s="42"/>
    </row>
    <row r="3623" spans="52:61">
      <c r="AZ3623" s="302"/>
      <c r="BA3623" s="313"/>
      <c r="BB3623" s="167"/>
      <c r="BC3623" s="42"/>
      <c r="BD3623" s="358"/>
      <c r="BH3623" s="302"/>
      <c r="BI3623" s="42"/>
    </row>
    <row r="3624" spans="52:61">
      <c r="AZ3624" s="302"/>
      <c r="BA3624" s="313"/>
      <c r="BB3624" s="167"/>
      <c r="BC3624" s="42"/>
      <c r="BD3624" s="358"/>
      <c r="BH3624" s="302"/>
      <c r="BI3624" s="42"/>
    </row>
    <row r="3625" spans="52:61">
      <c r="AZ3625" s="302"/>
      <c r="BA3625" s="313"/>
      <c r="BB3625" s="167"/>
      <c r="BC3625" s="42"/>
      <c r="BD3625" s="358"/>
      <c r="BH3625" s="302"/>
      <c r="BI3625" s="42"/>
    </row>
    <row r="3626" spans="52:61">
      <c r="AZ3626" s="302"/>
      <c r="BA3626" s="313"/>
      <c r="BB3626" s="167"/>
      <c r="BC3626" s="42"/>
      <c r="BD3626" s="358"/>
      <c r="BH3626" s="302"/>
      <c r="BI3626" s="42"/>
    </row>
    <row r="3627" spans="52:61">
      <c r="AZ3627" s="302"/>
      <c r="BA3627" s="313"/>
      <c r="BB3627" s="167"/>
      <c r="BC3627" s="42"/>
      <c r="BD3627" s="358"/>
      <c r="BH3627" s="302"/>
      <c r="BI3627" s="42"/>
    </row>
    <row r="3628" spans="52:61">
      <c r="AZ3628" s="302"/>
      <c r="BA3628" s="313"/>
      <c r="BB3628" s="167"/>
      <c r="BC3628" s="42"/>
      <c r="BD3628" s="358"/>
      <c r="BH3628" s="302"/>
      <c r="BI3628" s="42"/>
    </row>
    <row r="3629" spans="52:61">
      <c r="AZ3629" s="302"/>
      <c r="BA3629" s="313"/>
      <c r="BB3629" s="167"/>
      <c r="BC3629" s="42"/>
      <c r="BD3629" s="358"/>
      <c r="BH3629" s="302"/>
      <c r="BI3629" s="42"/>
    </row>
    <row r="3630" spans="52:61">
      <c r="AZ3630" s="302"/>
      <c r="BA3630" s="313"/>
      <c r="BB3630" s="167"/>
      <c r="BC3630" s="42"/>
      <c r="BD3630" s="358"/>
      <c r="BH3630" s="302"/>
      <c r="BI3630" s="42"/>
    </row>
    <row r="3631" spans="52:61">
      <c r="AZ3631" s="302"/>
      <c r="BA3631" s="313"/>
      <c r="BB3631" s="167"/>
      <c r="BC3631" s="42"/>
      <c r="BD3631" s="358"/>
      <c r="BH3631" s="302"/>
      <c r="BI3631" s="42"/>
    </row>
    <row r="3632" spans="52:61">
      <c r="AZ3632" s="302"/>
      <c r="BA3632" s="313"/>
      <c r="BB3632" s="167"/>
      <c r="BC3632" s="42"/>
      <c r="BD3632" s="358"/>
      <c r="BH3632" s="302"/>
      <c r="BI3632" s="42"/>
    </row>
    <row r="3633" spans="52:61">
      <c r="AZ3633" s="302"/>
      <c r="BA3633" s="313"/>
      <c r="BB3633" s="167"/>
      <c r="BC3633" s="42"/>
      <c r="BD3633" s="358"/>
      <c r="BH3633" s="302"/>
      <c r="BI3633" s="42"/>
    </row>
    <row r="3634" spans="52:61">
      <c r="AZ3634" s="302"/>
      <c r="BA3634" s="313"/>
      <c r="BB3634" s="167"/>
      <c r="BC3634" s="42"/>
      <c r="BD3634" s="358"/>
      <c r="BH3634" s="302"/>
      <c r="BI3634" s="42"/>
    </row>
    <row r="3635" spans="52:61">
      <c r="AZ3635" s="302"/>
      <c r="BA3635" s="313"/>
      <c r="BB3635" s="167"/>
      <c r="BC3635" s="42"/>
      <c r="BD3635" s="358"/>
      <c r="BH3635" s="302"/>
      <c r="BI3635" s="42"/>
    </row>
    <row r="3636" spans="52:61">
      <c r="AZ3636" s="302"/>
      <c r="BA3636" s="313"/>
      <c r="BB3636" s="167"/>
      <c r="BC3636" s="42"/>
      <c r="BD3636" s="358"/>
      <c r="BH3636" s="302"/>
      <c r="BI3636" s="42"/>
    </row>
    <row r="3637" spans="52:61">
      <c r="AZ3637" s="302"/>
      <c r="BA3637" s="313"/>
      <c r="BB3637" s="167"/>
      <c r="BC3637" s="42"/>
      <c r="BD3637" s="358"/>
      <c r="BH3637" s="302"/>
      <c r="BI3637" s="42"/>
    </row>
    <row r="3638" spans="52:61">
      <c r="AZ3638" s="302"/>
      <c r="BA3638" s="313"/>
      <c r="BB3638" s="167"/>
      <c r="BC3638" s="42"/>
      <c r="BD3638" s="358"/>
      <c r="BH3638" s="302"/>
      <c r="BI3638" s="42"/>
    </row>
    <row r="3639" spans="52:61">
      <c r="AZ3639" s="302"/>
      <c r="BA3639" s="313"/>
      <c r="BB3639" s="167"/>
      <c r="BC3639" s="42"/>
      <c r="BD3639" s="358"/>
      <c r="BH3639" s="302"/>
      <c r="BI3639" s="42"/>
    </row>
    <row r="3640" spans="52:61">
      <c r="AZ3640" s="302"/>
      <c r="BA3640" s="313"/>
      <c r="BB3640" s="167"/>
      <c r="BC3640" s="42"/>
      <c r="BD3640" s="358"/>
      <c r="BH3640" s="302"/>
      <c r="BI3640" s="42"/>
    </row>
    <row r="3641" spans="52:61">
      <c r="AZ3641" s="302"/>
      <c r="BA3641" s="313"/>
      <c r="BB3641" s="167"/>
      <c r="BC3641" s="42"/>
      <c r="BD3641" s="358"/>
      <c r="BH3641" s="302"/>
      <c r="BI3641" s="42"/>
    </row>
    <row r="3642" spans="52:61">
      <c r="AZ3642" s="302"/>
      <c r="BA3642" s="313"/>
      <c r="BB3642" s="167"/>
      <c r="BC3642" s="42"/>
      <c r="BD3642" s="358"/>
      <c r="BH3642" s="302"/>
      <c r="BI3642" s="42"/>
    </row>
    <row r="3643" spans="52:61">
      <c r="AZ3643" s="302"/>
      <c r="BA3643" s="313"/>
      <c r="BB3643" s="167"/>
      <c r="BC3643" s="42"/>
      <c r="BD3643" s="358"/>
      <c r="BH3643" s="302"/>
      <c r="BI3643" s="42"/>
    </row>
    <row r="3644" spans="52:61">
      <c r="AZ3644" s="302"/>
      <c r="BA3644" s="313"/>
      <c r="BB3644" s="167"/>
      <c r="BC3644" s="42"/>
      <c r="BD3644" s="358"/>
      <c r="BH3644" s="302"/>
      <c r="BI3644" s="42"/>
    </row>
    <row r="3645" spans="52:61">
      <c r="AZ3645" s="302"/>
      <c r="BA3645" s="313"/>
      <c r="BB3645" s="167"/>
      <c r="BC3645" s="42"/>
      <c r="BD3645" s="358"/>
      <c r="BH3645" s="302"/>
      <c r="BI3645" s="42"/>
    </row>
    <row r="3646" spans="52:61">
      <c r="AZ3646" s="302"/>
      <c r="BA3646" s="313"/>
      <c r="BB3646" s="167"/>
      <c r="BC3646" s="42"/>
      <c r="BD3646" s="358"/>
      <c r="BH3646" s="302"/>
      <c r="BI3646" s="42"/>
    </row>
    <row r="3647" spans="52:61">
      <c r="AZ3647" s="302"/>
      <c r="BA3647" s="313"/>
      <c r="BB3647" s="167"/>
      <c r="BC3647" s="42"/>
      <c r="BD3647" s="358"/>
      <c r="BH3647" s="302"/>
      <c r="BI3647" s="42"/>
    </row>
    <row r="3648" spans="52:61">
      <c r="AZ3648" s="302"/>
      <c r="BA3648" s="313"/>
      <c r="BB3648" s="167"/>
      <c r="BC3648" s="42"/>
      <c r="BD3648" s="358"/>
      <c r="BH3648" s="302"/>
      <c r="BI3648" s="42"/>
    </row>
    <row r="3649" spans="52:61">
      <c r="AZ3649" s="302"/>
      <c r="BA3649" s="313"/>
      <c r="BB3649" s="167"/>
      <c r="BC3649" s="42"/>
      <c r="BD3649" s="358"/>
      <c r="BH3649" s="302"/>
      <c r="BI3649" s="42"/>
    </row>
    <row r="3650" spans="52:61">
      <c r="AZ3650" s="302"/>
      <c r="BA3650" s="313"/>
      <c r="BB3650" s="167"/>
      <c r="BC3650" s="42"/>
      <c r="BD3650" s="358"/>
      <c r="BH3650" s="302"/>
      <c r="BI3650" s="42"/>
    </row>
    <row r="3651" spans="52:61">
      <c r="AZ3651" s="302"/>
      <c r="BA3651" s="313"/>
      <c r="BB3651" s="167"/>
      <c r="BC3651" s="42"/>
      <c r="BD3651" s="358"/>
      <c r="BH3651" s="302"/>
      <c r="BI3651" s="42"/>
    </row>
    <row r="3652" spans="52:61">
      <c r="AZ3652" s="302"/>
      <c r="BA3652" s="313"/>
      <c r="BB3652" s="167"/>
      <c r="BC3652" s="42"/>
      <c r="BD3652" s="358"/>
      <c r="BH3652" s="302"/>
      <c r="BI3652" s="42"/>
    </row>
    <row r="3653" spans="52:61">
      <c r="AZ3653" s="302"/>
      <c r="BA3653" s="313"/>
      <c r="BB3653" s="167"/>
      <c r="BC3653" s="42"/>
      <c r="BD3653" s="358"/>
      <c r="BH3653" s="302"/>
      <c r="BI3653" s="42"/>
    </row>
    <row r="3654" spans="52:61">
      <c r="AZ3654" s="302"/>
      <c r="BA3654" s="313"/>
      <c r="BB3654" s="167"/>
      <c r="BC3654" s="42"/>
      <c r="BD3654" s="358"/>
      <c r="BH3654" s="302"/>
      <c r="BI3654" s="42"/>
    </row>
    <row r="3655" spans="52:61">
      <c r="AZ3655" s="302"/>
      <c r="BA3655" s="313"/>
      <c r="BB3655" s="167"/>
      <c r="BC3655" s="42"/>
      <c r="BD3655" s="358"/>
      <c r="BH3655" s="302"/>
      <c r="BI3655" s="42"/>
    </row>
    <row r="3656" spans="52:61">
      <c r="AZ3656" s="302"/>
      <c r="BA3656" s="313"/>
      <c r="BB3656" s="167"/>
      <c r="BC3656" s="42"/>
      <c r="BD3656" s="358"/>
      <c r="BH3656" s="302"/>
      <c r="BI3656" s="42"/>
    </row>
    <row r="3657" spans="52:61">
      <c r="AZ3657" s="302"/>
      <c r="BA3657" s="313"/>
      <c r="BB3657" s="167"/>
      <c r="BC3657" s="42"/>
      <c r="BD3657" s="358"/>
      <c r="BH3657" s="302"/>
      <c r="BI3657" s="42"/>
    </row>
    <row r="3658" spans="52:61">
      <c r="AZ3658" s="302"/>
      <c r="BA3658" s="313"/>
      <c r="BB3658" s="167"/>
      <c r="BC3658" s="42"/>
      <c r="BD3658" s="358"/>
      <c r="BH3658" s="302"/>
      <c r="BI3658" s="42"/>
    </row>
    <row r="3659" spans="52:61">
      <c r="AZ3659" s="302"/>
      <c r="BA3659" s="313"/>
      <c r="BB3659" s="167"/>
      <c r="BC3659" s="42"/>
      <c r="BD3659" s="358"/>
      <c r="BH3659" s="302"/>
      <c r="BI3659" s="42"/>
    </row>
    <row r="3660" spans="52:61">
      <c r="AZ3660" s="302"/>
      <c r="BA3660" s="313"/>
      <c r="BB3660" s="167"/>
      <c r="BC3660" s="42"/>
      <c r="BD3660" s="358"/>
      <c r="BH3660" s="302"/>
      <c r="BI3660" s="42"/>
    </row>
    <row r="3661" spans="52:61">
      <c r="AZ3661" s="302"/>
      <c r="BA3661" s="313"/>
      <c r="BB3661" s="167"/>
      <c r="BC3661" s="42"/>
      <c r="BD3661" s="358"/>
      <c r="BH3661" s="302"/>
      <c r="BI3661" s="42"/>
    </row>
    <row r="3662" spans="52:61">
      <c r="AZ3662" s="302"/>
      <c r="BA3662" s="313"/>
      <c r="BB3662" s="167"/>
      <c r="BC3662" s="42"/>
      <c r="BD3662" s="358"/>
      <c r="BH3662" s="302"/>
      <c r="BI3662" s="42"/>
    </row>
    <row r="3663" spans="52:61">
      <c r="AZ3663" s="302"/>
      <c r="BA3663" s="313"/>
      <c r="BB3663" s="167"/>
      <c r="BC3663" s="42"/>
      <c r="BD3663" s="358"/>
      <c r="BH3663" s="302"/>
      <c r="BI3663" s="42"/>
    </row>
    <row r="3664" spans="52:61">
      <c r="AZ3664" s="302"/>
      <c r="BA3664" s="313"/>
      <c r="BB3664" s="167"/>
      <c r="BC3664" s="42"/>
      <c r="BD3664" s="358"/>
      <c r="BH3664" s="302"/>
      <c r="BI3664" s="42"/>
    </row>
    <row r="3665" spans="52:61">
      <c r="AZ3665" s="302"/>
      <c r="BA3665" s="313"/>
      <c r="BB3665" s="167"/>
      <c r="BC3665" s="42"/>
      <c r="BD3665" s="358"/>
      <c r="BH3665" s="302"/>
      <c r="BI3665" s="42"/>
    </row>
    <row r="3666" spans="52:61">
      <c r="AZ3666" s="302"/>
      <c r="BA3666" s="313"/>
      <c r="BB3666" s="167"/>
      <c r="BC3666" s="42"/>
      <c r="BD3666" s="358"/>
      <c r="BH3666" s="302"/>
      <c r="BI3666" s="42"/>
    </row>
    <row r="3667" spans="52:61">
      <c r="AZ3667" s="302"/>
      <c r="BA3667" s="313"/>
      <c r="BB3667" s="167"/>
      <c r="BC3667" s="42"/>
      <c r="BD3667" s="358"/>
      <c r="BH3667" s="302"/>
      <c r="BI3667" s="42"/>
    </row>
    <row r="3668" spans="52:61">
      <c r="AZ3668" s="302"/>
      <c r="BA3668" s="313"/>
      <c r="BB3668" s="167"/>
      <c r="BC3668" s="42"/>
      <c r="BD3668" s="358"/>
      <c r="BH3668" s="302"/>
      <c r="BI3668" s="42"/>
    </row>
    <row r="3669" spans="52:61">
      <c r="AZ3669" s="302"/>
      <c r="BA3669" s="313"/>
      <c r="BB3669" s="167"/>
      <c r="BC3669" s="42"/>
      <c r="BD3669" s="358"/>
      <c r="BH3669" s="302"/>
      <c r="BI3669" s="42"/>
    </row>
    <row r="3670" spans="52:61">
      <c r="AZ3670" s="302"/>
      <c r="BA3670" s="313"/>
      <c r="BB3670" s="167"/>
      <c r="BC3670" s="42"/>
      <c r="BD3670" s="358"/>
      <c r="BH3670" s="302"/>
      <c r="BI3670" s="42"/>
    </row>
    <row r="3671" spans="52:61">
      <c r="AZ3671" s="302"/>
      <c r="BA3671" s="313"/>
      <c r="BB3671" s="167"/>
      <c r="BC3671" s="42"/>
      <c r="BD3671" s="358"/>
      <c r="BH3671" s="302"/>
      <c r="BI3671" s="42"/>
    </row>
    <row r="3672" spans="52:61">
      <c r="AZ3672" s="302"/>
      <c r="BA3672" s="313"/>
      <c r="BB3672" s="167"/>
      <c r="BC3672" s="42"/>
      <c r="BD3672" s="358"/>
      <c r="BH3672" s="302"/>
      <c r="BI3672" s="42"/>
    </row>
    <row r="3673" spans="52:61">
      <c r="AZ3673" s="302"/>
      <c r="BA3673" s="313"/>
      <c r="BB3673" s="167"/>
      <c r="BC3673" s="42"/>
      <c r="BD3673" s="358"/>
      <c r="BH3673" s="302"/>
      <c r="BI3673" s="42"/>
    </row>
    <row r="3674" spans="52:61">
      <c r="AZ3674" s="302"/>
      <c r="BA3674" s="313"/>
      <c r="BB3674" s="167"/>
      <c r="BC3674" s="42"/>
      <c r="BD3674" s="358"/>
      <c r="BH3674" s="302"/>
      <c r="BI3674" s="42"/>
    </row>
    <row r="3675" spans="52:61">
      <c r="AZ3675" s="302"/>
      <c r="BA3675" s="313"/>
      <c r="BB3675" s="167"/>
      <c r="BC3675" s="42"/>
      <c r="BD3675" s="358"/>
      <c r="BH3675" s="302"/>
      <c r="BI3675" s="42"/>
    </row>
    <row r="3676" spans="52:61">
      <c r="AZ3676" s="302"/>
      <c r="BA3676" s="313"/>
      <c r="BB3676" s="167"/>
      <c r="BC3676" s="42"/>
      <c r="BD3676" s="358"/>
      <c r="BH3676" s="302"/>
      <c r="BI3676" s="42"/>
    </row>
    <row r="3677" spans="52:61">
      <c r="AZ3677" s="302"/>
      <c r="BA3677" s="313"/>
      <c r="BB3677" s="167"/>
      <c r="BC3677" s="42"/>
      <c r="BD3677" s="358"/>
      <c r="BH3677" s="302"/>
      <c r="BI3677" s="42"/>
    </row>
    <row r="3678" spans="52:61">
      <c r="AZ3678" s="302"/>
      <c r="BA3678" s="313"/>
      <c r="BB3678" s="167"/>
      <c r="BC3678" s="42"/>
      <c r="BD3678" s="358"/>
      <c r="BH3678" s="302"/>
      <c r="BI3678" s="42"/>
    </row>
    <row r="3679" spans="52:61">
      <c r="AZ3679" s="302"/>
      <c r="BA3679" s="313"/>
      <c r="BB3679" s="167"/>
      <c r="BC3679" s="42"/>
      <c r="BD3679" s="358"/>
      <c r="BH3679" s="302"/>
      <c r="BI3679" s="42"/>
    </row>
    <row r="3680" spans="52:61">
      <c r="AZ3680" s="302"/>
      <c r="BA3680" s="313"/>
      <c r="BB3680" s="167"/>
      <c r="BC3680" s="42"/>
      <c r="BD3680" s="358"/>
      <c r="BH3680" s="302"/>
      <c r="BI3680" s="42"/>
    </row>
    <row r="3681" spans="52:61">
      <c r="AZ3681" s="302"/>
      <c r="BA3681" s="313"/>
      <c r="BB3681" s="167"/>
      <c r="BC3681" s="42"/>
      <c r="BD3681" s="358"/>
      <c r="BH3681" s="302"/>
      <c r="BI3681" s="42"/>
    </row>
    <row r="3682" spans="52:61">
      <c r="AZ3682" s="302"/>
      <c r="BA3682" s="313"/>
      <c r="BB3682" s="167"/>
      <c r="BC3682" s="42"/>
      <c r="BD3682" s="358"/>
      <c r="BH3682" s="302"/>
      <c r="BI3682" s="42"/>
    </row>
    <row r="3683" spans="52:61">
      <c r="AZ3683" s="302"/>
      <c r="BA3683" s="313"/>
      <c r="BB3683" s="167"/>
      <c r="BC3683" s="42"/>
      <c r="BD3683" s="358"/>
      <c r="BH3683" s="302"/>
      <c r="BI3683" s="42"/>
    </row>
    <row r="3684" spans="52:61">
      <c r="AZ3684" s="302"/>
      <c r="BA3684" s="313"/>
      <c r="BB3684" s="167"/>
      <c r="BC3684" s="42"/>
      <c r="BD3684" s="358"/>
      <c r="BH3684" s="302"/>
      <c r="BI3684" s="42"/>
    </row>
    <row r="3685" spans="52:61">
      <c r="AZ3685" s="302"/>
      <c r="BA3685" s="313"/>
      <c r="BB3685" s="167"/>
      <c r="BC3685" s="42"/>
      <c r="BD3685" s="358"/>
      <c r="BH3685" s="302"/>
      <c r="BI3685" s="42"/>
    </row>
    <row r="3686" spans="52:61">
      <c r="AZ3686" s="302"/>
      <c r="BA3686" s="313"/>
      <c r="BB3686" s="167"/>
      <c r="BC3686" s="42"/>
      <c r="BD3686" s="358"/>
      <c r="BH3686" s="302"/>
      <c r="BI3686" s="42"/>
    </row>
    <row r="3687" spans="52:61">
      <c r="AZ3687" s="302"/>
      <c r="BA3687" s="313"/>
      <c r="BB3687" s="167"/>
      <c r="BC3687" s="42"/>
      <c r="BD3687" s="358"/>
      <c r="BH3687" s="302"/>
      <c r="BI3687" s="42"/>
    </row>
    <row r="3688" spans="52:61">
      <c r="AZ3688" s="302"/>
      <c r="BA3688" s="313"/>
      <c r="BB3688" s="167"/>
      <c r="BC3688" s="42"/>
      <c r="BD3688" s="358"/>
      <c r="BH3688" s="302"/>
      <c r="BI3688" s="42"/>
    </row>
    <row r="3689" spans="52:61">
      <c r="AZ3689" s="302"/>
      <c r="BA3689" s="313"/>
      <c r="BB3689" s="167"/>
      <c r="BC3689" s="42"/>
      <c r="BD3689" s="358"/>
      <c r="BH3689" s="302"/>
      <c r="BI3689" s="42"/>
    </row>
    <row r="3690" spans="52:61">
      <c r="AZ3690" s="302"/>
      <c r="BA3690" s="313"/>
      <c r="BB3690" s="167"/>
      <c r="BC3690" s="42"/>
      <c r="BD3690" s="358"/>
      <c r="BH3690" s="302"/>
      <c r="BI3690" s="42"/>
    </row>
    <row r="3691" spans="52:61">
      <c r="AZ3691" s="302"/>
      <c r="BA3691" s="313"/>
      <c r="BB3691" s="167"/>
      <c r="BC3691" s="42"/>
      <c r="BD3691" s="358"/>
      <c r="BH3691" s="302"/>
      <c r="BI3691" s="42"/>
    </row>
    <row r="3692" spans="52:61">
      <c r="AZ3692" s="302"/>
      <c r="BA3692" s="313"/>
      <c r="BB3692" s="167"/>
      <c r="BC3692" s="42"/>
      <c r="BD3692" s="358"/>
      <c r="BH3692" s="302"/>
      <c r="BI3692" s="42"/>
    </row>
    <row r="3693" spans="52:61">
      <c r="AZ3693" s="302"/>
      <c r="BA3693" s="313"/>
      <c r="BB3693" s="167"/>
      <c r="BC3693" s="42"/>
      <c r="BD3693" s="358"/>
      <c r="BH3693" s="302"/>
      <c r="BI3693" s="42"/>
    </row>
    <row r="3694" spans="52:61">
      <c r="AZ3694" s="302"/>
      <c r="BA3694" s="313"/>
      <c r="BB3694" s="167"/>
      <c r="BC3694" s="42"/>
      <c r="BD3694" s="358"/>
      <c r="BH3694" s="302"/>
      <c r="BI3694" s="42"/>
    </row>
    <row r="3695" spans="52:61">
      <c r="AZ3695" s="302"/>
      <c r="BA3695" s="313"/>
      <c r="BB3695" s="167"/>
      <c r="BC3695" s="42"/>
      <c r="BD3695" s="358"/>
      <c r="BH3695" s="302"/>
      <c r="BI3695" s="42"/>
    </row>
    <row r="3696" spans="52:61">
      <c r="AZ3696" s="302"/>
      <c r="BA3696" s="313"/>
      <c r="BB3696" s="167"/>
      <c r="BC3696" s="42"/>
      <c r="BD3696" s="358"/>
      <c r="BH3696" s="302"/>
      <c r="BI3696" s="42"/>
    </row>
    <row r="3697" spans="52:61">
      <c r="AZ3697" s="302"/>
      <c r="BA3697" s="313"/>
      <c r="BB3697" s="167"/>
      <c r="BC3697" s="42"/>
      <c r="BD3697" s="358"/>
      <c r="BH3697" s="302"/>
      <c r="BI3697" s="42"/>
    </row>
    <row r="3698" spans="52:61">
      <c r="AZ3698" s="302"/>
      <c r="BA3698" s="313"/>
      <c r="BB3698" s="167"/>
      <c r="BC3698" s="42"/>
      <c r="BD3698" s="358"/>
      <c r="BH3698" s="302"/>
      <c r="BI3698" s="42"/>
    </row>
    <row r="3699" spans="52:61">
      <c r="AZ3699" s="302"/>
      <c r="BA3699" s="313"/>
      <c r="BB3699" s="167"/>
      <c r="BC3699" s="42"/>
      <c r="BD3699" s="358"/>
      <c r="BH3699" s="302"/>
      <c r="BI3699" s="42"/>
    </row>
    <row r="3700" spans="52:61">
      <c r="AZ3700" s="302"/>
      <c r="BA3700" s="313"/>
      <c r="BB3700" s="167"/>
      <c r="BC3700" s="42"/>
      <c r="BD3700" s="358"/>
      <c r="BH3700" s="302"/>
      <c r="BI3700" s="42"/>
    </row>
    <row r="3701" spans="52:61">
      <c r="AZ3701" s="302"/>
      <c r="BA3701" s="313"/>
      <c r="BB3701" s="167"/>
      <c r="BC3701" s="42"/>
      <c r="BD3701" s="358"/>
      <c r="BH3701" s="302"/>
      <c r="BI3701" s="42"/>
    </row>
    <row r="3702" spans="52:61">
      <c r="AZ3702" s="302"/>
      <c r="BA3702" s="313"/>
      <c r="BB3702" s="167"/>
      <c r="BC3702" s="42"/>
      <c r="BD3702" s="358"/>
      <c r="BH3702" s="302"/>
      <c r="BI3702" s="42"/>
    </row>
    <row r="3703" spans="52:61">
      <c r="AZ3703" s="302"/>
      <c r="BA3703" s="313"/>
      <c r="BB3703" s="167"/>
      <c r="BC3703" s="42"/>
      <c r="BD3703" s="358"/>
      <c r="BH3703" s="302"/>
      <c r="BI3703" s="42"/>
    </row>
    <row r="3704" spans="52:61">
      <c r="AZ3704" s="302"/>
      <c r="BA3704" s="313"/>
      <c r="BB3704" s="167"/>
      <c r="BC3704" s="42"/>
      <c r="BD3704" s="358"/>
      <c r="BH3704" s="302"/>
      <c r="BI3704" s="42"/>
    </row>
    <row r="3705" spans="52:61">
      <c r="AZ3705" s="302"/>
      <c r="BA3705" s="313"/>
      <c r="BB3705" s="167"/>
      <c r="BC3705" s="42"/>
      <c r="BD3705" s="358"/>
      <c r="BH3705" s="302"/>
      <c r="BI3705" s="42"/>
    </row>
    <row r="3706" spans="52:61">
      <c r="AZ3706" s="302"/>
      <c r="BA3706" s="313"/>
      <c r="BB3706" s="167"/>
      <c r="BC3706" s="42"/>
      <c r="BD3706" s="358"/>
      <c r="BH3706" s="302"/>
      <c r="BI3706" s="42"/>
    </row>
    <row r="3707" spans="52:61">
      <c r="AZ3707" s="302"/>
      <c r="BA3707" s="313"/>
      <c r="BB3707" s="167"/>
      <c r="BC3707" s="42"/>
      <c r="BD3707" s="358"/>
      <c r="BH3707" s="302"/>
      <c r="BI3707" s="42"/>
    </row>
    <row r="3708" spans="52:61">
      <c r="AZ3708" s="302"/>
      <c r="BA3708" s="313"/>
      <c r="BB3708" s="167"/>
      <c r="BC3708" s="42"/>
      <c r="BD3708" s="358"/>
      <c r="BH3708" s="302"/>
      <c r="BI3708" s="42"/>
    </row>
    <row r="3709" spans="52:61">
      <c r="AZ3709" s="302"/>
      <c r="BA3709" s="313"/>
      <c r="BB3709" s="167"/>
      <c r="BC3709" s="42"/>
      <c r="BD3709" s="358"/>
      <c r="BH3709" s="302"/>
      <c r="BI3709" s="42"/>
    </row>
    <row r="3710" spans="52:61">
      <c r="AZ3710" s="302"/>
      <c r="BA3710" s="313"/>
      <c r="BB3710" s="167"/>
      <c r="BC3710" s="42"/>
      <c r="BD3710" s="358"/>
      <c r="BH3710" s="302"/>
      <c r="BI3710" s="42"/>
    </row>
    <row r="3711" spans="52:61">
      <c r="AZ3711" s="302"/>
      <c r="BA3711" s="313"/>
      <c r="BB3711" s="167"/>
      <c r="BC3711" s="42"/>
      <c r="BD3711" s="358"/>
      <c r="BH3711" s="302"/>
      <c r="BI3711" s="42"/>
    </row>
    <row r="3712" spans="52:61">
      <c r="AZ3712" s="302"/>
      <c r="BA3712" s="313"/>
      <c r="BB3712" s="167"/>
      <c r="BC3712" s="42"/>
      <c r="BD3712" s="358"/>
      <c r="BH3712" s="302"/>
      <c r="BI3712" s="42"/>
    </row>
    <row r="3713" spans="52:61">
      <c r="AZ3713" s="302"/>
      <c r="BA3713" s="313"/>
      <c r="BB3713" s="167"/>
      <c r="BC3713" s="42"/>
      <c r="BD3713" s="358"/>
      <c r="BH3713" s="302"/>
      <c r="BI3713" s="42"/>
    </row>
    <row r="3714" spans="52:61">
      <c r="AZ3714" s="302"/>
      <c r="BA3714" s="313"/>
      <c r="BB3714" s="167"/>
      <c r="BC3714" s="42"/>
      <c r="BD3714" s="358"/>
      <c r="BH3714" s="302"/>
      <c r="BI3714" s="42"/>
    </row>
    <row r="3715" spans="52:61">
      <c r="AZ3715" s="302"/>
      <c r="BA3715" s="313"/>
      <c r="BB3715" s="167"/>
      <c r="BC3715" s="42"/>
      <c r="BD3715" s="358"/>
      <c r="BH3715" s="302"/>
      <c r="BI3715" s="42"/>
    </row>
    <row r="3716" spans="52:61">
      <c r="AZ3716" s="302"/>
      <c r="BA3716" s="313"/>
      <c r="BB3716" s="167"/>
      <c r="BC3716" s="42"/>
      <c r="BD3716" s="358"/>
      <c r="BH3716" s="302"/>
      <c r="BI3716" s="42"/>
    </row>
    <row r="3717" spans="52:61">
      <c r="AZ3717" s="302"/>
      <c r="BA3717" s="313"/>
      <c r="BB3717" s="167"/>
      <c r="BC3717" s="42"/>
      <c r="BD3717" s="358"/>
      <c r="BH3717" s="302"/>
      <c r="BI3717" s="42"/>
    </row>
    <row r="3718" spans="52:61">
      <c r="AZ3718" s="302"/>
      <c r="BA3718" s="313"/>
      <c r="BB3718" s="167"/>
      <c r="BC3718" s="42"/>
      <c r="BD3718" s="358"/>
      <c r="BH3718" s="302"/>
      <c r="BI3718" s="42"/>
    </row>
    <row r="3719" spans="52:61">
      <c r="AZ3719" s="302"/>
      <c r="BA3719" s="313"/>
      <c r="BB3719" s="167"/>
      <c r="BC3719" s="42"/>
      <c r="BD3719" s="358"/>
      <c r="BH3719" s="302"/>
      <c r="BI3719" s="42"/>
    </row>
    <row r="3720" spans="52:61">
      <c r="AZ3720" s="302"/>
      <c r="BA3720" s="313"/>
      <c r="BB3720" s="167"/>
      <c r="BC3720" s="42"/>
      <c r="BD3720" s="358"/>
      <c r="BH3720" s="302"/>
      <c r="BI3720" s="42"/>
    </row>
    <row r="3721" spans="52:61">
      <c r="AZ3721" s="302"/>
      <c r="BA3721" s="313"/>
      <c r="BB3721" s="167"/>
      <c r="BC3721" s="42"/>
      <c r="BD3721" s="358"/>
      <c r="BH3721" s="302"/>
      <c r="BI3721" s="42"/>
    </row>
    <row r="3722" spans="52:61">
      <c r="AZ3722" s="302"/>
      <c r="BA3722" s="313"/>
      <c r="BB3722" s="167"/>
      <c r="BC3722" s="42"/>
      <c r="BD3722" s="358"/>
      <c r="BH3722" s="302"/>
      <c r="BI3722" s="42"/>
    </row>
    <row r="3723" spans="52:61">
      <c r="AZ3723" s="302"/>
      <c r="BA3723" s="313"/>
      <c r="BB3723" s="167"/>
      <c r="BC3723" s="42"/>
      <c r="BD3723" s="358"/>
      <c r="BH3723" s="302"/>
      <c r="BI3723" s="42"/>
    </row>
    <row r="3724" spans="52:61">
      <c r="AZ3724" s="302"/>
      <c r="BA3724" s="313"/>
      <c r="BB3724" s="167"/>
      <c r="BC3724" s="42"/>
      <c r="BD3724" s="358"/>
      <c r="BH3724" s="302"/>
      <c r="BI3724" s="42"/>
    </row>
    <row r="3725" spans="52:61">
      <c r="AZ3725" s="302"/>
      <c r="BA3725" s="313"/>
      <c r="BB3725" s="167"/>
      <c r="BC3725" s="42"/>
      <c r="BD3725" s="358"/>
      <c r="BH3725" s="302"/>
      <c r="BI3725" s="42"/>
    </row>
    <row r="3726" spans="52:61">
      <c r="AZ3726" s="302"/>
      <c r="BA3726" s="313"/>
      <c r="BB3726" s="167"/>
      <c r="BC3726" s="42"/>
      <c r="BD3726" s="358"/>
      <c r="BH3726" s="302"/>
      <c r="BI3726" s="42"/>
    </row>
    <row r="3727" spans="52:61">
      <c r="AZ3727" s="302"/>
      <c r="BA3727" s="313"/>
      <c r="BB3727" s="167"/>
      <c r="BC3727" s="42"/>
      <c r="BD3727" s="358"/>
      <c r="BH3727" s="302"/>
      <c r="BI3727" s="42"/>
    </row>
    <row r="3728" spans="52:61">
      <c r="AZ3728" s="302"/>
      <c r="BA3728" s="313"/>
      <c r="BB3728" s="167"/>
      <c r="BC3728" s="42"/>
      <c r="BD3728" s="358"/>
      <c r="BH3728" s="302"/>
      <c r="BI3728" s="42"/>
    </row>
    <row r="3729" spans="52:61">
      <c r="AZ3729" s="302"/>
      <c r="BA3729" s="313"/>
      <c r="BB3729" s="167"/>
      <c r="BC3729" s="42"/>
      <c r="BD3729" s="358"/>
      <c r="BH3729" s="302"/>
      <c r="BI3729" s="42"/>
    </row>
    <row r="3730" spans="52:61">
      <c r="AZ3730" s="302"/>
      <c r="BA3730" s="313"/>
      <c r="BB3730" s="167"/>
      <c r="BC3730" s="42"/>
      <c r="BD3730" s="358"/>
      <c r="BH3730" s="302"/>
      <c r="BI3730" s="42"/>
    </row>
    <row r="3731" spans="52:61">
      <c r="AZ3731" s="302"/>
      <c r="BA3731" s="313"/>
      <c r="BB3731" s="167"/>
      <c r="BC3731" s="42"/>
      <c r="BD3731" s="358"/>
      <c r="BH3731" s="302"/>
      <c r="BI3731" s="42"/>
    </row>
    <row r="3732" spans="52:61">
      <c r="AZ3732" s="302"/>
      <c r="BA3732" s="313"/>
      <c r="BB3732" s="167"/>
      <c r="BC3732" s="42"/>
      <c r="BD3732" s="358"/>
      <c r="BH3732" s="302"/>
      <c r="BI3732" s="42"/>
    </row>
    <row r="3733" spans="52:61">
      <c r="AZ3733" s="302"/>
      <c r="BA3733" s="313"/>
      <c r="BB3733" s="167"/>
      <c r="BC3733" s="42"/>
      <c r="BD3733" s="358"/>
      <c r="BH3733" s="302"/>
      <c r="BI3733" s="42"/>
    </row>
    <row r="3734" spans="52:61">
      <c r="AZ3734" s="302"/>
      <c r="BA3734" s="313"/>
      <c r="BB3734" s="167"/>
      <c r="BC3734" s="42"/>
      <c r="BD3734" s="358"/>
      <c r="BH3734" s="302"/>
      <c r="BI3734" s="42"/>
    </row>
    <row r="3735" spans="52:61">
      <c r="AZ3735" s="302"/>
      <c r="BA3735" s="313"/>
      <c r="BB3735" s="167"/>
      <c r="BC3735" s="42"/>
      <c r="BD3735" s="358"/>
      <c r="BH3735" s="302"/>
      <c r="BI3735" s="42"/>
    </row>
    <row r="3736" spans="52:61">
      <c r="AZ3736" s="302"/>
      <c r="BA3736" s="313"/>
      <c r="BB3736" s="167"/>
      <c r="BC3736" s="42"/>
      <c r="BD3736" s="358"/>
      <c r="BH3736" s="302"/>
      <c r="BI3736" s="42"/>
    </row>
    <row r="3737" spans="52:61">
      <c r="AZ3737" s="302"/>
      <c r="BA3737" s="313"/>
      <c r="BB3737" s="167"/>
      <c r="BC3737" s="42"/>
      <c r="BD3737" s="358"/>
      <c r="BH3737" s="302"/>
      <c r="BI3737" s="42"/>
    </row>
    <row r="3738" spans="52:61">
      <c r="AZ3738" s="302"/>
      <c r="BA3738" s="313"/>
      <c r="BB3738" s="167"/>
      <c r="BC3738" s="42"/>
      <c r="BD3738" s="358"/>
      <c r="BH3738" s="302"/>
      <c r="BI3738" s="42"/>
    </row>
    <row r="3739" spans="52:61">
      <c r="AZ3739" s="302"/>
      <c r="BA3739" s="313"/>
      <c r="BB3739" s="167"/>
      <c r="BC3739" s="42"/>
      <c r="BD3739" s="358"/>
      <c r="BH3739" s="302"/>
      <c r="BI3739" s="42"/>
    </row>
    <row r="3740" spans="52:61">
      <c r="AZ3740" s="302"/>
      <c r="BA3740" s="313"/>
      <c r="BB3740" s="167"/>
      <c r="BC3740" s="42"/>
      <c r="BD3740" s="358"/>
      <c r="BH3740" s="302"/>
      <c r="BI3740" s="42"/>
    </row>
    <row r="3741" spans="52:61">
      <c r="AZ3741" s="302"/>
      <c r="BA3741" s="313"/>
      <c r="BB3741" s="167"/>
      <c r="BC3741" s="42"/>
      <c r="BD3741" s="358"/>
      <c r="BH3741" s="302"/>
      <c r="BI3741" s="42"/>
    </row>
    <row r="3742" spans="52:61">
      <c r="AZ3742" s="302"/>
      <c r="BA3742" s="313"/>
      <c r="BB3742" s="167"/>
      <c r="BC3742" s="42"/>
      <c r="BD3742" s="358"/>
      <c r="BH3742" s="302"/>
      <c r="BI3742" s="42"/>
    </row>
    <row r="3743" spans="52:61">
      <c r="AZ3743" s="302"/>
      <c r="BA3743" s="313"/>
      <c r="BB3743" s="167"/>
      <c r="BC3743" s="42"/>
      <c r="BD3743" s="358"/>
      <c r="BH3743" s="302"/>
      <c r="BI3743" s="42"/>
    </row>
    <row r="3744" spans="52:61">
      <c r="AZ3744" s="302"/>
      <c r="BA3744" s="313"/>
      <c r="BB3744" s="167"/>
      <c r="BC3744" s="42"/>
      <c r="BD3744" s="358"/>
      <c r="BH3744" s="302"/>
      <c r="BI3744" s="42"/>
    </row>
    <row r="3745" spans="52:61">
      <c r="AZ3745" s="302"/>
      <c r="BA3745" s="313"/>
      <c r="BB3745" s="167"/>
      <c r="BC3745" s="42"/>
      <c r="BD3745" s="358"/>
      <c r="BH3745" s="302"/>
      <c r="BI3745" s="42"/>
    </row>
    <row r="3746" spans="52:61">
      <c r="AZ3746" s="302"/>
      <c r="BA3746" s="313"/>
      <c r="BB3746" s="167"/>
      <c r="BC3746" s="42"/>
      <c r="BD3746" s="358"/>
      <c r="BH3746" s="302"/>
      <c r="BI3746" s="42"/>
    </row>
    <row r="3747" spans="52:61">
      <c r="AZ3747" s="302"/>
      <c r="BA3747" s="313"/>
      <c r="BB3747" s="167"/>
      <c r="BC3747" s="42"/>
      <c r="BD3747" s="358"/>
      <c r="BH3747" s="302"/>
      <c r="BI3747" s="42"/>
    </row>
    <row r="3748" spans="52:61">
      <c r="AZ3748" s="302"/>
      <c r="BA3748" s="313"/>
      <c r="BB3748" s="167"/>
      <c r="BC3748" s="42"/>
      <c r="BD3748" s="358"/>
      <c r="BH3748" s="302"/>
      <c r="BI3748" s="42"/>
    </row>
    <row r="3749" spans="52:61">
      <c r="AZ3749" s="302"/>
      <c r="BA3749" s="313"/>
      <c r="BB3749" s="167"/>
      <c r="BC3749" s="42"/>
      <c r="BD3749" s="358"/>
      <c r="BH3749" s="302"/>
      <c r="BI3749" s="42"/>
    </row>
    <row r="3750" spans="52:61">
      <c r="AZ3750" s="302"/>
      <c r="BA3750" s="313"/>
      <c r="BB3750" s="167"/>
      <c r="BC3750" s="42"/>
      <c r="BD3750" s="358"/>
      <c r="BH3750" s="302"/>
      <c r="BI3750" s="42"/>
    </row>
    <row r="3751" spans="52:61">
      <c r="AZ3751" s="302"/>
      <c r="BA3751" s="313"/>
      <c r="BB3751" s="167"/>
      <c r="BC3751" s="42"/>
      <c r="BD3751" s="358"/>
      <c r="BH3751" s="302"/>
      <c r="BI3751" s="42"/>
    </row>
    <row r="3752" spans="52:61">
      <c r="AZ3752" s="302"/>
      <c r="BA3752" s="313"/>
      <c r="BB3752" s="167"/>
      <c r="BC3752" s="42"/>
      <c r="BD3752" s="358"/>
      <c r="BH3752" s="302"/>
      <c r="BI3752" s="42"/>
    </row>
    <row r="3753" spans="52:61">
      <c r="AZ3753" s="302"/>
      <c r="BA3753" s="313"/>
      <c r="BB3753" s="167"/>
      <c r="BC3753" s="42"/>
      <c r="BD3753" s="358"/>
      <c r="BH3753" s="302"/>
      <c r="BI3753" s="42"/>
    </row>
    <row r="3754" spans="52:61">
      <c r="AZ3754" s="302"/>
      <c r="BA3754" s="313"/>
      <c r="BB3754" s="167"/>
      <c r="BC3754" s="42"/>
      <c r="BD3754" s="358"/>
      <c r="BH3754" s="302"/>
      <c r="BI3754" s="42"/>
    </row>
    <row r="3755" spans="52:61">
      <c r="AZ3755" s="302"/>
      <c r="BA3755" s="313"/>
      <c r="BB3755" s="167"/>
      <c r="BC3755" s="42"/>
      <c r="BD3755" s="358"/>
      <c r="BH3755" s="302"/>
      <c r="BI3755" s="42"/>
    </row>
    <row r="3756" spans="52:61">
      <c r="AZ3756" s="302"/>
      <c r="BA3756" s="313"/>
      <c r="BB3756" s="167"/>
      <c r="BC3756" s="42"/>
      <c r="BD3756" s="358"/>
      <c r="BH3756" s="302"/>
      <c r="BI3756" s="42"/>
    </row>
    <row r="3757" spans="52:61">
      <c r="AZ3757" s="302"/>
      <c r="BA3757" s="313"/>
      <c r="BB3757" s="167"/>
      <c r="BC3757" s="42"/>
      <c r="BD3757" s="358"/>
      <c r="BH3757" s="302"/>
      <c r="BI3757" s="42"/>
    </row>
    <row r="3758" spans="52:61">
      <c r="AZ3758" s="302"/>
      <c r="BA3758" s="313"/>
      <c r="BB3758" s="167"/>
      <c r="BC3758" s="42"/>
      <c r="BD3758" s="358"/>
      <c r="BH3758" s="302"/>
      <c r="BI3758" s="42"/>
    </row>
    <row r="3759" spans="52:61">
      <c r="AZ3759" s="302"/>
      <c r="BA3759" s="313"/>
      <c r="BB3759" s="167"/>
      <c r="BC3759" s="42"/>
      <c r="BD3759" s="358"/>
      <c r="BH3759" s="302"/>
      <c r="BI3759" s="42"/>
    </row>
    <row r="3760" spans="52:61">
      <c r="AZ3760" s="302"/>
      <c r="BA3760" s="313"/>
      <c r="BB3760" s="167"/>
      <c r="BC3760" s="42"/>
      <c r="BD3760" s="358"/>
      <c r="BH3760" s="302"/>
      <c r="BI3760" s="42"/>
    </row>
    <row r="3761" spans="52:61">
      <c r="AZ3761" s="302"/>
      <c r="BA3761" s="313"/>
      <c r="BB3761" s="167"/>
      <c r="BC3761" s="42"/>
      <c r="BD3761" s="358"/>
      <c r="BH3761" s="302"/>
      <c r="BI3761" s="42"/>
    </row>
    <row r="3762" spans="52:61">
      <c r="AZ3762" s="302"/>
      <c r="BA3762" s="313"/>
      <c r="BB3762" s="167"/>
      <c r="BC3762" s="42"/>
      <c r="BD3762" s="358"/>
      <c r="BH3762" s="302"/>
      <c r="BI3762" s="42"/>
    </row>
    <row r="3763" spans="52:61">
      <c r="AZ3763" s="302"/>
      <c r="BA3763" s="313"/>
      <c r="BB3763" s="167"/>
      <c r="BC3763" s="42"/>
      <c r="BD3763" s="358"/>
      <c r="BH3763" s="302"/>
      <c r="BI3763" s="42"/>
    </row>
    <row r="3764" spans="52:61">
      <c r="AZ3764" s="302"/>
      <c r="BA3764" s="313"/>
      <c r="BB3764" s="167"/>
      <c r="BC3764" s="42"/>
      <c r="BD3764" s="358"/>
      <c r="BH3764" s="302"/>
      <c r="BI3764" s="42"/>
    </row>
    <row r="3765" spans="52:61">
      <c r="AZ3765" s="302"/>
      <c r="BA3765" s="313"/>
      <c r="BB3765" s="167"/>
      <c r="BC3765" s="42"/>
      <c r="BD3765" s="358"/>
      <c r="BH3765" s="302"/>
      <c r="BI3765" s="42"/>
    </row>
    <row r="3766" spans="52:61">
      <c r="AZ3766" s="302"/>
      <c r="BA3766" s="313"/>
      <c r="BB3766" s="167"/>
      <c r="BC3766" s="42"/>
      <c r="BD3766" s="358"/>
      <c r="BH3766" s="302"/>
      <c r="BI3766" s="42"/>
    </row>
    <row r="3767" spans="52:61">
      <c r="AZ3767" s="302"/>
      <c r="BA3767" s="313"/>
      <c r="BB3767" s="167"/>
      <c r="BC3767" s="42"/>
      <c r="BD3767" s="358"/>
      <c r="BH3767" s="302"/>
      <c r="BI3767" s="42"/>
    </row>
    <row r="3768" spans="52:61">
      <c r="AZ3768" s="302"/>
      <c r="BA3768" s="313"/>
      <c r="BB3768" s="167"/>
      <c r="BC3768" s="42"/>
      <c r="BD3768" s="358"/>
      <c r="BH3768" s="302"/>
      <c r="BI3768" s="42"/>
    </row>
    <row r="3769" spans="52:61">
      <c r="AZ3769" s="302"/>
      <c r="BA3769" s="313"/>
      <c r="BB3769" s="167"/>
      <c r="BC3769" s="42"/>
      <c r="BD3769" s="358"/>
      <c r="BH3769" s="302"/>
      <c r="BI3769" s="42"/>
    </row>
    <row r="3770" spans="52:61">
      <c r="AZ3770" s="302"/>
      <c r="BA3770" s="313"/>
      <c r="BB3770" s="167"/>
      <c r="BC3770" s="42"/>
      <c r="BD3770" s="358"/>
      <c r="BH3770" s="302"/>
      <c r="BI3770" s="42"/>
    </row>
    <row r="3771" spans="52:61">
      <c r="AZ3771" s="302"/>
      <c r="BA3771" s="313"/>
      <c r="BB3771" s="167"/>
      <c r="BC3771" s="42"/>
      <c r="BD3771" s="358"/>
      <c r="BH3771" s="302"/>
      <c r="BI3771" s="42"/>
    </row>
    <row r="3772" spans="52:61">
      <c r="AZ3772" s="302"/>
      <c r="BA3772" s="313"/>
      <c r="BB3772" s="167"/>
      <c r="BC3772" s="42"/>
      <c r="BD3772" s="358"/>
      <c r="BH3772" s="302"/>
      <c r="BI3772" s="42"/>
    </row>
    <row r="3773" spans="52:61">
      <c r="AZ3773" s="302"/>
      <c r="BA3773" s="313"/>
      <c r="BB3773" s="167"/>
      <c r="BC3773" s="42"/>
      <c r="BD3773" s="358"/>
      <c r="BH3773" s="302"/>
      <c r="BI3773" s="42"/>
    </row>
    <row r="3774" spans="52:61">
      <c r="AZ3774" s="302"/>
      <c r="BA3774" s="313"/>
      <c r="BB3774" s="167"/>
      <c r="BC3774" s="42"/>
      <c r="BD3774" s="358"/>
      <c r="BH3774" s="302"/>
      <c r="BI3774" s="42"/>
    </row>
    <row r="3775" spans="52:61">
      <c r="AZ3775" s="302"/>
      <c r="BA3775" s="313"/>
      <c r="BB3775" s="167"/>
      <c r="BC3775" s="42"/>
      <c r="BD3775" s="358"/>
      <c r="BH3775" s="302"/>
      <c r="BI3775" s="42"/>
    </row>
    <row r="3776" spans="52:61">
      <c r="AZ3776" s="302"/>
      <c r="BA3776" s="313"/>
      <c r="BB3776" s="167"/>
      <c r="BC3776" s="42"/>
      <c r="BD3776" s="358"/>
      <c r="BH3776" s="302"/>
      <c r="BI3776" s="42"/>
    </row>
    <row r="3777" spans="52:61">
      <c r="AZ3777" s="302"/>
      <c r="BA3777" s="313"/>
      <c r="BB3777" s="167"/>
      <c r="BC3777" s="42"/>
      <c r="BD3777" s="358"/>
      <c r="BH3777" s="302"/>
      <c r="BI3777" s="42"/>
    </row>
    <row r="3778" spans="52:61">
      <c r="AZ3778" s="302"/>
      <c r="BA3778" s="313"/>
      <c r="BB3778" s="167"/>
      <c r="BC3778" s="42"/>
      <c r="BD3778" s="358"/>
      <c r="BH3778" s="302"/>
      <c r="BI3778" s="42"/>
    </row>
    <row r="3779" spans="52:61">
      <c r="AZ3779" s="302"/>
      <c r="BA3779" s="313"/>
      <c r="BB3779" s="167"/>
      <c r="BC3779" s="42"/>
      <c r="BD3779" s="358"/>
      <c r="BH3779" s="302"/>
      <c r="BI3779" s="42"/>
    </row>
    <row r="3780" spans="52:61">
      <c r="AZ3780" s="302"/>
      <c r="BA3780" s="313"/>
      <c r="BB3780" s="167"/>
      <c r="BC3780" s="42"/>
      <c r="BD3780" s="358"/>
      <c r="BH3780" s="302"/>
      <c r="BI3780" s="42"/>
    </row>
    <row r="3781" spans="52:61">
      <c r="AZ3781" s="302"/>
      <c r="BA3781" s="313"/>
      <c r="BB3781" s="167"/>
      <c r="BC3781" s="42"/>
      <c r="BD3781" s="358"/>
      <c r="BH3781" s="302"/>
      <c r="BI3781" s="42"/>
    </row>
    <row r="3782" spans="52:61">
      <c r="AZ3782" s="302"/>
      <c r="BA3782" s="313"/>
      <c r="BB3782" s="167"/>
      <c r="BC3782" s="42"/>
      <c r="BD3782" s="358"/>
      <c r="BH3782" s="302"/>
      <c r="BI3782" s="42"/>
    </row>
    <row r="3783" spans="52:61">
      <c r="AZ3783" s="302"/>
      <c r="BA3783" s="313"/>
      <c r="BB3783" s="167"/>
      <c r="BC3783" s="42"/>
      <c r="BD3783" s="358"/>
      <c r="BH3783" s="302"/>
      <c r="BI3783" s="42"/>
    </row>
    <row r="3784" spans="52:61">
      <c r="AZ3784" s="302"/>
      <c r="BA3784" s="313"/>
      <c r="BB3784" s="167"/>
      <c r="BC3784" s="42"/>
      <c r="BD3784" s="358"/>
      <c r="BH3784" s="302"/>
      <c r="BI3784" s="42"/>
    </row>
    <row r="3785" spans="52:61">
      <c r="AZ3785" s="302"/>
      <c r="BA3785" s="313"/>
      <c r="BB3785" s="167"/>
      <c r="BC3785" s="42"/>
      <c r="BD3785" s="358"/>
      <c r="BH3785" s="302"/>
      <c r="BI3785" s="42"/>
    </row>
    <row r="3786" spans="52:61">
      <c r="AZ3786" s="302"/>
      <c r="BA3786" s="313"/>
      <c r="BB3786" s="167"/>
      <c r="BC3786" s="42"/>
      <c r="BD3786" s="358"/>
      <c r="BH3786" s="302"/>
      <c r="BI3786" s="42"/>
    </row>
    <row r="3787" spans="52:61">
      <c r="AZ3787" s="302"/>
      <c r="BA3787" s="313"/>
      <c r="BB3787" s="167"/>
      <c r="BC3787" s="42"/>
      <c r="BD3787" s="358"/>
      <c r="BH3787" s="302"/>
      <c r="BI3787" s="42"/>
    </row>
    <row r="3788" spans="52:61">
      <c r="AZ3788" s="302"/>
      <c r="BA3788" s="313"/>
      <c r="BB3788" s="167"/>
      <c r="BC3788" s="42"/>
      <c r="BD3788" s="358"/>
      <c r="BH3788" s="302"/>
      <c r="BI3788" s="42"/>
    </row>
    <row r="3789" spans="52:61">
      <c r="AZ3789" s="302"/>
      <c r="BA3789" s="313"/>
      <c r="BB3789" s="167"/>
      <c r="BC3789" s="42"/>
      <c r="BD3789" s="358"/>
      <c r="BH3789" s="302"/>
      <c r="BI3789" s="42"/>
    </row>
    <row r="3790" spans="52:61">
      <c r="AZ3790" s="302"/>
      <c r="BA3790" s="313"/>
      <c r="BB3790" s="167"/>
      <c r="BC3790" s="42"/>
      <c r="BD3790" s="358"/>
      <c r="BH3790" s="302"/>
      <c r="BI3790" s="42"/>
    </row>
    <row r="3791" spans="52:61">
      <c r="AZ3791" s="302"/>
      <c r="BA3791" s="313"/>
      <c r="BB3791" s="167"/>
      <c r="BC3791" s="42"/>
      <c r="BD3791" s="358"/>
      <c r="BH3791" s="302"/>
      <c r="BI3791" s="42"/>
    </row>
    <row r="3792" spans="52:61">
      <c r="AZ3792" s="302"/>
      <c r="BA3792" s="313"/>
      <c r="BB3792" s="167"/>
      <c r="BC3792" s="42"/>
      <c r="BD3792" s="358"/>
      <c r="BH3792" s="302"/>
      <c r="BI3792" s="42"/>
    </row>
    <row r="3793" spans="52:61">
      <c r="AZ3793" s="302"/>
      <c r="BA3793" s="313"/>
      <c r="BB3793" s="167"/>
      <c r="BC3793" s="42"/>
      <c r="BD3793" s="358"/>
      <c r="BH3793" s="302"/>
      <c r="BI3793" s="42"/>
    </row>
    <row r="3794" spans="52:61">
      <c r="AZ3794" s="302"/>
      <c r="BA3794" s="313"/>
      <c r="BB3794" s="167"/>
      <c r="BC3794" s="42"/>
      <c r="BD3794" s="358"/>
      <c r="BH3794" s="302"/>
      <c r="BI3794" s="42"/>
    </row>
    <row r="3795" spans="52:61">
      <c r="AZ3795" s="302"/>
      <c r="BA3795" s="313"/>
      <c r="BB3795" s="167"/>
      <c r="BC3795" s="42"/>
      <c r="BD3795" s="358"/>
      <c r="BH3795" s="302"/>
      <c r="BI3795" s="42"/>
    </row>
    <row r="3796" spans="52:61">
      <c r="AZ3796" s="302"/>
      <c r="BA3796" s="313"/>
      <c r="BB3796" s="167"/>
      <c r="BC3796" s="42"/>
      <c r="BD3796" s="358"/>
      <c r="BH3796" s="302"/>
      <c r="BI3796" s="42"/>
    </row>
    <row r="3797" spans="52:61">
      <c r="AZ3797" s="302"/>
      <c r="BA3797" s="313"/>
      <c r="BB3797" s="167"/>
      <c r="BC3797" s="42"/>
      <c r="BD3797" s="358"/>
      <c r="BH3797" s="302"/>
      <c r="BI3797" s="42"/>
    </row>
    <row r="3798" spans="52:61">
      <c r="AZ3798" s="302"/>
      <c r="BA3798" s="313"/>
      <c r="BB3798" s="167"/>
      <c r="BC3798" s="42"/>
      <c r="BD3798" s="358"/>
      <c r="BH3798" s="302"/>
      <c r="BI3798" s="42"/>
    </row>
    <row r="3799" spans="52:61">
      <c r="AZ3799" s="302"/>
      <c r="BA3799" s="313"/>
      <c r="BB3799" s="167"/>
      <c r="BC3799" s="42"/>
      <c r="BD3799" s="358"/>
      <c r="BH3799" s="302"/>
      <c r="BI3799" s="42"/>
    </row>
    <row r="3800" spans="52:61">
      <c r="AZ3800" s="302"/>
      <c r="BA3800" s="313"/>
      <c r="BB3800" s="167"/>
      <c r="BC3800" s="42"/>
      <c r="BD3800" s="358"/>
      <c r="BH3800" s="302"/>
      <c r="BI3800" s="42"/>
    </row>
    <row r="3801" spans="52:61">
      <c r="AZ3801" s="302"/>
      <c r="BA3801" s="313"/>
      <c r="BB3801" s="167"/>
      <c r="BC3801" s="42"/>
      <c r="BD3801" s="358"/>
      <c r="BH3801" s="302"/>
      <c r="BI3801" s="42"/>
    </row>
    <row r="3802" spans="52:61">
      <c r="AZ3802" s="302"/>
      <c r="BA3802" s="313"/>
      <c r="BB3802" s="167"/>
      <c r="BC3802" s="42"/>
      <c r="BD3802" s="358"/>
      <c r="BH3802" s="302"/>
      <c r="BI3802" s="42"/>
    </row>
    <row r="3803" spans="52:61">
      <c r="AZ3803" s="302"/>
      <c r="BA3803" s="313"/>
      <c r="BB3803" s="167"/>
      <c r="BC3803" s="42"/>
      <c r="BD3803" s="358"/>
      <c r="BH3803" s="302"/>
      <c r="BI3803" s="42"/>
    </row>
    <row r="3804" spans="52:61">
      <c r="AZ3804" s="302"/>
      <c r="BA3804" s="313"/>
      <c r="BB3804" s="167"/>
      <c r="BC3804" s="42"/>
      <c r="BD3804" s="358"/>
      <c r="BH3804" s="302"/>
      <c r="BI3804" s="42"/>
    </row>
    <row r="3805" spans="52:61">
      <c r="AZ3805" s="302"/>
      <c r="BA3805" s="313"/>
      <c r="BB3805" s="167"/>
      <c r="BC3805" s="42"/>
      <c r="BD3805" s="358"/>
      <c r="BH3805" s="302"/>
      <c r="BI3805" s="42"/>
    </row>
    <row r="3806" spans="52:61">
      <c r="AZ3806" s="302"/>
      <c r="BA3806" s="313"/>
      <c r="BB3806" s="167"/>
      <c r="BC3806" s="42"/>
      <c r="BD3806" s="358"/>
      <c r="BH3806" s="302"/>
      <c r="BI3806" s="42"/>
    </row>
    <row r="3807" spans="52:61">
      <c r="AZ3807" s="302"/>
      <c r="BA3807" s="313"/>
      <c r="BB3807" s="167"/>
      <c r="BC3807" s="42"/>
      <c r="BD3807" s="358"/>
      <c r="BH3807" s="302"/>
      <c r="BI3807" s="42"/>
    </row>
    <row r="3808" spans="52:61">
      <c r="AZ3808" s="302"/>
      <c r="BA3808" s="313"/>
      <c r="BB3808" s="167"/>
      <c r="BC3808" s="42"/>
      <c r="BD3808" s="358"/>
      <c r="BH3808" s="302"/>
      <c r="BI3808" s="42"/>
    </row>
    <row r="3809" spans="52:61">
      <c r="AZ3809" s="302"/>
      <c r="BA3809" s="313"/>
      <c r="BB3809" s="167"/>
      <c r="BC3809" s="42"/>
      <c r="BD3809" s="358"/>
      <c r="BH3809" s="302"/>
      <c r="BI3809" s="42"/>
    </row>
    <row r="3810" spans="52:61">
      <c r="AZ3810" s="302"/>
      <c r="BA3810" s="313"/>
      <c r="BB3810" s="167"/>
      <c r="BC3810" s="42"/>
      <c r="BD3810" s="358"/>
      <c r="BH3810" s="302"/>
      <c r="BI3810" s="42"/>
    </row>
    <row r="3811" spans="52:61">
      <c r="AZ3811" s="302"/>
      <c r="BA3811" s="313"/>
      <c r="BB3811" s="167"/>
      <c r="BC3811" s="42"/>
      <c r="BD3811" s="358"/>
      <c r="BH3811" s="302"/>
      <c r="BI3811" s="42"/>
    </row>
    <row r="3812" spans="52:61">
      <c r="AZ3812" s="302"/>
      <c r="BA3812" s="313"/>
      <c r="BB3812" s="167"/>
      <c r="BC3812" s="42"/>
      <c r="BD3812" s="358"/>
      <c r="BH3812" s="302"/>
      <c r="BI3812" s="42"/>
    </row>
    <row r="3813" spans="52:61">
      <c r="AZ3813" s="302"/>
      <c r="BA3813" s="313"/>
      <c r="BB3813" s="167"/>
      <c r="BC3813" s="42"/>
      <c r="BD3813" s="358"/>
      <c r="BH3813" s="302"/>
      <c r="BI3813" s="42"/>
    </row>
    <row r="3814" spans="52:61">
      <c r="AZ3814" s="302"/>
      <c r="BA3814" s="313"/>
      <c r="BB3814" s="167"/>
      <c r="BC3814" s="42"/>
      <c r="BD3814" s="358"/>
      <c r="BH3814" s="302"/>
      <c r="BI3814" s="42"/>
    </row>
    <row r="3815" spans="52:61">
      <c r="AZ3815" s="302"/>
      <c r="BA3815" s="313"/>
      <c r="BB3815" s="167"/>
      <c r="BC3815" s="42"/>
      <c r="BD3815" s="358"/>
      <c r="BH3815" s="302"/>
      <c r="BI3815" s="42"/>
    </row>
    <row r="3816" spans="52:61">
      <c r="AZ3816" s="302"/>
      <c r="BA3816" s="313"/>
      <c r="BB3816" s="167"/>
      <c r="BC3816" s="42"/>
      <c r="BD3816" s="358"/>
      <c r="BH3816" s="302"/>
      <c r="BI3816" s="42"/>
    </row>
    <row r="3817" spans="52:61">
      <c r="AZ3817" s="302"/>
      <c r="BA3817" s="313"/>
      <c r="BB3817" s="167"/>
      <c r="BC3817" s="42"/>
      <c r="BD3817" s="358"/>
      <c r="BH3817" s="302"/>
      <c r="BI3817" s="42"/>
    </row>
    <row r="3818" spans="52:61">
      <c r="AZ3818" s="302"/>
      <c r="BA3818" s="313"/>
      <c r="BB3818" s="167"/>
      <c r="BC3818" s="42"/>
      <c r="BD3818" s="358"/>
      <c r="BH3818" s="302"/>
      <c r="BI3818" s="42"/>
    </row>
    <row r="3819" spans="52:61">
      <c r="AZ3819" s="302"/>
      <c r="BA3819" s="313"/>
      <c r="BB3819" s="167"/>
      <c r="BC3819" s="42"/>
      <c r="BD3819" s="358"/>
      <c r="BH3819" s="302"/>
      <c r="BI3819" s="42"/>
    </row>
    <row r="3820" spans="52:61">
      <c r="AZ3820" s="302"/>
      <c r="BA3820" s="313"/>
      <c r="BB3820" s="167"/>
      <c r="BC3820" s="42"/>
      <c r="BD3820" s="358"/>
      <c r="BH3820" s="302"/>
      <c r="BI3820" s="42"/>
    </row>
    <row r="3821" spans="52:61">
      <c r="AZ3821" s="302"/>
      <c r="BA3821" s="313"/>
      <c r="BB3821" s="167"/>
      <c r="BC3821" s="42"/>
      <c r="BD3821" s="358"/>
      <c r="BH3821" s="302"/>
      <c r="BI3821" s="42"/>
    </row>
    <row r="3822" spans="52:61">
      <c r="AZ3822" s="302"/>
      <c r="BA3822" s="313"/>
      <c r="BB3822" s="167"/>
      <c r="BC3822" s="42"/>
      <c r="BD3822" s="358"/>
      <c r="BH3822" s="302"/>
      <c r="BI3822" s="42"/>
    </row>
    <row r="3823" spans="52:61">
      <c r="AZ3823" s="302"/>
      <c r="BA3823" s="313"/>
      <c r="BB3823" s="167"/>
      <c r="BC3823" s="42"/>
      <c r="BD3823" s="358"/>
      <c r="BH3823" s="302"/>
      <c r="BI3823" s="42"/>
    </row>
    <row r="3824" spans="52:61">
      <c r="AZ3824" s="302"/>
      <c r="BA3824" s="313"/>
      <c r="BB3824" s="167"/>
      <c r="BC3824" s="42"/>
      <c r="BD3824" s="358"/>
      <c r="BH3824" s="302"/>
      <c r="BI3824" s="42"/>
    </row>
    <row r="3825" spans="52:61">
      <c r="AZ3825" s="302"/>
      <c r="BA3825" s="313"/>
      <c r="BB3825" s="167"/>
      <c r="BC3825" s="42"/>
      <c r="BD3825" s="358"/>
      <c r="BH3825" s="302"/>
      <c r="BI3825" s="42"/>
    </row>
    <row r="3826" spans="52:61">
      <c r="AZ3826" s="302"/>
      <c r="BA3826" s="313"/>
      <c r="BB3826" s="167"/>
      <c r="BC3826" s="42"/>
      <c r="BD3826" s="358"/>
      <c r="BH3826" s="302"/>
      <c r="BI3826" s="42"/>
    </row>
    <row r="3827" spans="52:61">
      <c r="AZ3827" s="302"/>
      <c r="BA3827" s="313"/>
      <c r="BB3827" s="167"/>
      <c r="BC3827" s="42"/>
      <c r="BD3827" s="358"/>
      <c r="BH3827" s="302"/>
      <c r="BI3827" s="42"/>
    </row>
    <row r="3828" spans="52:61">
      <c r="AZ3828" s="302"/>
      <c r="BA3828" s="313"/>
      <c r="BB3828" s="167"/>
      <c r="BC3828" s="42"/>
      <c r="BD3828" s="358"/>
      <c r="BH3828" s="302"/>
      <c r="BI3828" s="42"/>
    </row>
    <row r="3829" spans="52:61">
      <c r="AZ3829" s="302"/>
      <c r="BA3829" s="313"/>
      <c r="BB3829" s="167"/>
      <c r="BC3829" s="42"/>
      <c r="BD3829" s="358"/>
      <c r="BH3829" s="302"/>
      <c r="BI3829" s="42"/>
    </row>
    <row r="3830" spans="52:61">
      <c r="AZ3830" s="302"/>
      <c r="BA3830" s="313"/>
      <c r="BB3830" s="167"/>
      <c r="BC3830" s="42"/>
      <c r="BD3830" s="358"/>
      <c r="BH3830" s="302"/>
      <c r="BI3830" s="42"/>
    </row>
    <row r="3831" spans="52:61">
      <c r="AZ3831" s="302"/>
      <c r="BA3831" s="313"/>
      <c r="BB3831" s="167"/>
      <c r="BC3831" s="42"/>
      <c r="BD3831" s="358"/>
      <c r="BH3831" s="302"/>
      <c r="BI3831" s="42"/>
    </row>
    <row r="3832" spans="52:61">
      <c r="AZ3832" s="302"/>
      <c r="BA3832" s="313"/>
      <c r="BB3832" s="167"/>
      <c r="BC3832" s="42"/>
      <c r="BD3832" s="358"/>
      <c r="BH3832" s="302"/>
      <c r="BI3832" s="42"/>
    </row>
    <row r="3833" spans="52:61">
      <c r="AZ3833" s="302"/>
      <c r="BA3833" s="313"/>
      <c r="BB3833" s="167"/>
      <c r="BC3833" s="42"/>
      <c r="BD3833" s="358"/>
      <c r="BH3833" s="302"/>
      <c r="BI3833" s="42"/>
    </row>
    <row r="3834" spans="52:61">
      <c r="AZ3834" s="302"/>
      <c r="BA3834" s="313"/>
      <c r="BB3834" s="167"/>
      <c r="BC3834" s="42"/>
      <c r="BD3834" s="358"/>
      <c r="BH3834" s="302"/>
      <c r="BI3834" s="42"/>
    </row>
    <row r="3835" spans="52:61">
      <c r="AZ3835" s="302"/>
      <c r="BA3835" s="313"/>
      <c r="BB3835" s="167"/>
      <c r="BC3835" s="42"/>
      <c r="BD3835" s="358"/>
      <c r="BH3835" s="302"/>
      <c r="BI3835" s="42"/>
    </row>
    <row r="3836" spans="52:61">
      <c r="AZ3836" s="302"/>
      <c r="BA3836" s="313"/>
      <c r="BB3836" s="167"/>
      <c r="BC3836" s="42"/>
      <c r="BD3836" s="358"/>
      <c r="BH3836" s="302"/>
      <c r="BI3836" s="42"/>
    </row>
    <row r="3837" spans="52:61">
      <c r="AZ3837" s="302"/>
      <c r="BA3837" s="313"/>
      <c r="BB3837" s="167"/>
      <c r="BC3837" s="42"/>
      <c r="BD3837" s="358"/>
      <c r="BH3837" s="302"/>
      <c r="BI3837" s="42"/>
    </row>
    <row r="3838" spans="52:61">
      <c r="AZ3838" s="302"/>
      <c r="BA3838" s="313"/>
      <c r="BB3838" s="167"/>
      <c r="BC3838" s="42"/>
      <c r="BD3838" s="358"/>
      <c r="BH3838" s="302"/>
      <c r="BI3838" s="42"/>
    </row>
    <row r="3839" spans="52:61">
      <c r="AZ3839" s="302"/>
      <c r="BA3839" s="313"/>
      <c r="BB3839" s="167"/>
      <c r="BC3839" s="42"/>
      <c r="BD3839" s="358"/>
      <c r="BH3839" s="302"/>
      <c r="BI3839" s="42"/>
    </row>
    <row r="3840" spans="52:61">
      <c r="AZ3840" s="302"/>
      <c r="BA3840" s="313"/>
      <c r="BB3840" s="167"/>
      <c r="BC3840" s="42"/>
      <c r="BD3840" s="358"/>
      <c r="BH3840" s="302"/>
      <c r="BI3840" s="42"/>
    </row>
    <row r="3841" spans="52:61">
      <c r="AZ3841" s="302"/>
      <c r="BA3841" s="313"/>
      <c r="BB3841" s="167"/>
      <c r="BC3841" s="42"/>
      <c r="BD3841" s="358"/>
      <c r="BH3841" s="302"/>
      <c r="BI3841" s="42"/>
    </row>
    <row r="3842" spans="52:61">
      <c r="AZ3842" s="302"/>
      <c r="BA3842" s="313"/>
      <c r="BB3842" s="167"/>
      <c r="BC3842" s="42"/>
      <c r="BD3842" s="358"/>
      <c r="BH3842" s="302"/>
      <c r="BI3842" s="42"/>
    </row>
    <row r="3843" spans="52:61">
      <c r="AZ3843" s="302"/>
      <c r="BA3843" s="313"/>
      <c r="BB3843" s="167"/>
      <c r="BC3843" s="42"/>
      <c r="BD3843" s="358"/>
      <c r="BH3843" s="302"/>
      <c r="BI3843" s="42"/>
    </row>
    <row r="3844" spans="52:61">
      <c r="AZ3844" s="302"/>
      <c r="BA3844" s="313"/>
      <c r="BB3844" s="167"/>
      <c r="BC3844" s="42"/>
      <c r="BD3844" s="358"/>
      <c r="BH3844" s="302"/>
      <c r="BI3844" s="42"/>
    </row>
    <row r="3845" spans="52:61">
      <c r="AZ3845" s="302"/>
      <c r="BA3845" s="313"/>
      <c r="BB3845" s="167"/>
      <c r="BC3845" s="42"/>
      <c r="BD3845" s="358"/>
      <c r="BH3845" s="302"/>
      <c r="BI3845" s="42"/>
    </row>
    <row r="3846" spans="52:61">
      <c r="AZ3846" s="302"/>
      <c r="BA3846" s="313"/>
      <c r="BB3846" s="167"/>
      <c r="BC3846" s="42"/>
      <c r="BD3846" s="358"/>
      <c r="BH3846" s="302"/>
      <c r="BI3846" s="42"/>
    </row>
    <row r="3847" spans="52:61">
      <c r="AZ3847" s="302"/>
      <c r="BA3847" s="313"/>
      <c r="BB3847" s="167"/>
      <c r="BC3847" s="42"/>
      <c r="BD3847" s="358"/>
      <c r="BH3847" s="302"/>
      <c r="BI3847" s="42"/>
    </row>
    <row r="3848" spans="52:61">
      <c r="AZ3848" s="302"/>
      <c r="BA3848" s="313"/>
      <c r="BB3848" s="167"/>
      <c r="BC3848" s="42"/>
      <c r="BD3848" s="358"/>
      <c r="BH3848" s="302"/>
      <c r="BI3848" s="42"/>
    </row>
    <row r="3849" spans="52:61">
      <c r="AZ3849" s="302"/>
      <c r="BA3849" s="313"/>
      <c r="BB3849" s="167"/>
      <c r="BC3849" s="42"/>
      <c r="BD3849" s="358"/>
      <c r="BH3849" s="302"/>
      <c r="BI3849" s="42"/>
    </row>
    <row r="3850" spans="52:61">
      <c r="AZ3850" s="302"/>
      <c r="BA3850" s="313"/>
      <c r="BB3850" s="167"/>
      <c r="BC3850" s="42"/>
      <c r="BD3850" s="358"/>
      <c r="BH3850" s="302"/>
      <c r="BI3850" s="42"/>
    </row>
    <row r="3851" spans="52:61">
      <c r="AZ3851" s="302"/>
      <c r="BA3851" s="313"/>
      <c r="BB3851" s="167"/>
      <c r="BC3851" s="42"/>
      <c r="BD3851" s="358"/>
      <c r="BH3851" s="302"/>
      <c r="BI3851" s="42"/>
    </row>
    <row r="3852" spans="52:61">
      <c r="AZ3852" s="302"/>
      <c r="BA3852" s="313"/>
      <c r="BB3852" s="167"/>
      <c r="BC3852" s="42"/>
      <c r="BD3852" s="358"/>
      <c r="BH3852" s="302"/>
      <c r="BI3852" s="42"/>
    </row>
    <row r="3853" spans="52:61">
      <c r="AZ3853" s="302"/>
      <c r="BA3853" s="313"/>
      <c r="BB3853" s="167"/>
      <c r="BC3853" s="42"/>
      <c r="BD3853" s="358"/>
      <c r="BH3853" s="302"/>
      <c r="BI3853" s="42"/>
    </row>
    <row r="3854" spans="52:61">
      <c r="AZ3854" s="302"/>
      <c r="BA3854" s="313"/>
      <c r="BB3854" s="167"/>
      <c r="BC3854" s="42"/>
      <c r="BD3854" s="358"/>
      <c r="BH3854" s="302"/>
      <c r="BI3854" s="42"/>
    </row>
    <row r="3855" spans="52:61">
      <c r="AZ3855" s="302"/>
      <c r="BA3855" s="313"/>
      <c r="BB3855" s="167"/>
      <c r="BC3855" s="42"/>
      <c r="BD3855" s="358"/>
      <c r="BH3855" s="302"/>
      <c r="BI3855" s="42"/>
    </row>
    <row r="3856" spans="52:61">
      <c r="AZ3856" s="302"/>
      <c r="BA3856" s="313"/>
      <c r="BB3856" s="167"/>
      <c r="BC3856" s="42"/>
      <c r="BD3856" s="358"/>
      <c r="BH3856" s="302"/>
      <c r="BI3856" s="42"/>
    </row>
    <row r="3857" spans="52:61">
      <c r="AZ3857" s="302"/>
      <c r="BA3857" s="313"/>
      <c r="BB3857" s="167"/>
      <c r="BC3857" s="42"/>
      <c r="BD3857" s="358"/>
      <c r="BH3857" s="302"/>
      <c r="BI3857" s="42"/>
    </row>
    <row r="3858" spans="52:61">
      <c r="AZ3858" s="302"/>
      <c r="BA3858" s="313"/>
      <c r="BB3858" s="167"/>
      <c r="BC3858" s="42"/>
      <c r="BD3858" s="358"/>
      <c r="BH3858" s="302"/>
      <c r="BI3858" s="42"/>
    </row>
    <row r="3859" spans="52:61">
      <c r="AZ3859" s="302"/>
      <c r="BA3859" s="313"/>
      <c r="BB3859" s="167"/>
      <c r="BC3859" s="42"/>
      <c r="BD3859" s="358"/>
      <c r="BH3859" s="302"/>
      <c r="BI3859" s="42"/>
    </row>
    <row r="3860" spans="52:61">
      <c r="AZ3860" s="302"/>
      <c r="BA3860" s="313"/>
      <c r="BB3860" s="167"/>
      <c r="BC3860" s="42"/>
      <c r="BD3860" s="358"/>
      <c r="BH3860" s="302"/>
      <c r="BI3860" s="42"/>
    </row>
    <row r="3861" spans="52:61">
      <c r="AZ3861" s="302"/>
      <c r="BA3861" s="313"/>
      <c r="BB3861" s="167"/>
      <c r="BC3861" s="42"/>
      <c r="BD3861" s="358"/>
      <c r="BH3861" s="302"/>
      <c r="BI3861" s="42"/>
    </row>
    <row r="3862" spans="52:61">
      <c r="AZ3862" s="302"/>
      <c r="BA3862" s="313"/>
      <c r="BB3862" s="167"/>
      <c r="BC3862" s="42"/>
      <c r="BD3862" s="358"/>
      <c r="BH3862" s="302"/>
      <c r="BI3862" s="42"/>
    </row>
    <row r="3863" spans="52:61">
      <c r="AZ3863" s="302"/>
      <c r="BA3863" s="313"/>
      <c r="BB3863" s="167"/>
      <c r="BC3863" s="42"/>
      <c r="BD3863" s="358"/>
      <c r="BH3863" s="302"/>
      <c r="BI3863" s="42"/>
    </row>
    <row r="3864" spans="52:61">
      <c r="AZ3864" s="302"/>
      <c r="BA3864" s="313"/>
      <c r="BB3864" s="167"/>
      <c r="BC3864" s="42"/>
      <c r="BD3864" s="358"/>
      <c r="BH3864" s="302"/>
      <c r="BI3864" s="42"/>
    </row>
    <row r="3865" spans="52:61">
      <c r="AZ3865" s="302"/>
      <c r="BA3865" s="313"/>
      <c r="BB3865" s="167"/>
      <c r="BC3865" s="42"/>
      <c r="BD3865" s="358"/>
      <c r="BH3865" s="302"/>
      <c r="BI3865" s="42"/>
    </row>
    <row r="3866" spans="52:61">
      <c r="AZ3866" s="302"/>
      <c r="BA3866" s="313"/>
      <c r="BB3866" s="167"/>
      <c r="BC3866" s="42"/>
      <c r="BD3866" s="358"/>
      <c r="BH3866" s="302"/>
      <c r="BI3866" s="42"/>
    </row>
    <row r="3867" spans="52:61">
      <c r="AZ3867" s="302"/>
      <c r="BA3867" s="313"/>
      <c r="BB3867" s="167"/>
      <c r="BC3867" s="42"/>
      <c r="BD3867" s="358"/>
      <c r="BH3867" s="302"/>
      <c r="BI3867" s="42"/>
    </row>
    <row r="3868" spans="52:61">
      <c r="AZ3868" s="302"/>
      <c r="BA3868" s="313"/>
      <c r="BB3868" s="167"/>
      <c r="BC3868" s="42"/>
      <c r="BD3868" s="358"/>
      <c r="BH3868" s="302"/>
      <c r="BI3868" s="42"/>
    </row>
    <row r="3869" spans="52:61">
      <c r="AZ3869" s="302"/>
      <c r="BA3869" s="313"/>
      <c r="BB3869" s="167"/>
      <c r="BC3869" s="42"/>
      <c r="BD3869" s="358"/>
      <c r="BH3869" s="302"/>
      <c r="BI3869" s="42"/>
    </row>
    <row r="3870" spans="52:61">
      <c r="AZ3870" s="302"/>
      <c r="BA3870" s="313"/>
      <c r="BB3870" s="167"/>
      <c r="BC3870" s="42"/>
      <c r="BD3870" s="358"/>
      <c r="BH3870" s="302"/>
      <c r="BI3870" s="42"/>
    </row>
    <row r="3871" spans="52:61">
      <c r="AZ3871" s="302"/>
      <c r="BA3871" s="313"/>
      <c r="BB3871" s="167"/>
      <c r="BC3871" s="42"/>
      <c r="BD3871" s="358"/>
      <c r="BH3871" s="302"/>
      <c r="BI3871" s="42"/>
    </row>
    <row r="3872" spans="52:61">
      <c r="AZ3872" s="302"/>
      <c r="BA3872" s="313"/>
      <c r="BB3872" s="167"/>
      <c r="BC3872" s="42"/>
      <c r="BD3872" s="358"/>
      <c r="BH3872" s="302"/>
      <c r="BI3872" s="42"/>
    </row>
    <row r="3873" spans="52:61">
      <c r="AZ3873" s="302"/>
      <c r="BA3873" s="313"/>
      <c r="BB3873" s="167"/>
      <c r="BC3873" s="42"/>
      <c r="BD3873" s="358"/>
      <c r="BH3873" s="302"/>
      <c r="BI3873" s="42"/>
    </row>
    <row r="3874" spans="52:61">
      <c r="AZ3874" s="302"/>
      <c r="BA3874" s="313"/>
      <c r="BB3874" s="167"/>
      <c r="BC3874" s="42"/>
      <c r="BD3874" s="358"/>
      <c r="BH3874" s="302"/>
      <c r="BI3874" s="42"/>
    </row>
    <row r="3875" spans="52:61">
      <c r="AZ3875" s="302"/>
      <c r="BA3875" s="313"/>
      <c r="BB3875" s="167"/>
      <c r="BC3875" s="42"/>
      <c r="BD3875" s="358"/>
      <c r="BH3875" s="302"/>
      <c r="BI3875" s="42"/>
    </row>
    <row r="3876" spans="52:61">
      <c r="AZ3876" s="302"/>
      <c r="BA3876" s="313"/>
      <c r="BB3876" s="167"/>
      <c r="BC3876" s="42"/>
      <c r="BD3876" s="358"/>
      <c r="BH3876" s="302"/>
      <c r="BI3876" s="42"/>
    </row>
  </sheetData>
  <mergeCells count="1">
    <mergeCell ref="A2:B3"/>
  </mergeCells>
  <conditionalFormatting sqref="F1:F1048576 AM1:AN1048576 AT1:AU1048576 AX1:AX1048576 AZ1:AZ1048576 BB1:BB1048576 BE1:BE1048576 BH1:BH1048576">
    <cfRule type="expression" dxfId="125" priority="3">
      <formula>$C1="&lt;01"</formula>
    </cfRule>
  </conditionalFormatting>
  <conditionalFormatting sqref="F1:BI1048576">
    <cfRule type="expression" dxfId="124" priority="1">
      <formula>AND(ISNUMBER(F1),F1&lt;0)</formula>
    </cfRule>
  </conditionalFormatting>
  <conditionalFormatting sqref="O1:O1048576">
    <cfRule type="expression" dxfId="123" priority="13">
      <formula>AND($N1&lt;&gt;$O1,ISNUMBER($O1))</formula>
    </cfRule>
  </conditionalFormatting>
  <conditionalFormatting sqref="S1:AN1048576 AR1:AS1048576 BD1:BD1048576 BG1:BG1048576">
    <cfRule type="expression" dxfId="122" priority="2">
      <formula>AND(ROW($S1)&gt;14,$E1&lt;&gt;"",LEFT($B1,4)="_Mil")</formula>
    </cfRule>
  </conditionalFormatting>
  <conditionalFormatting sqref="AL1:AL1048576">
    <cfRule type="expression" dxfId="121" priority="4">
      <formula>AND(ISNUMBER($AL1),ROW($AL1)&gt;14,SUM($AL1)=SUM($AK1))</formula>
    </cfRule>
    <cfRule type="expression" dxfId="120" priority="6">
      <formula>AND(ISNUMBER($AL1),ROW($AL1)&gt;14,SUM($AL1)=SUM($AJ1))</formula>
    </cfRule>
  </conditionalFormatting>
  <conditionalFormatting sqref="AM1:AM1048576 AA1:AA1048576 AS1:AS1048576">
    <cfRule type="expression" dxfId="119" priority="14">
      <formula>AND(ISNUMBER(AA1),AA1&lt;0.9)</formula>
    </cfRule>
  </conditionalFormatting>
  <conditionalFormatting sqref="AM1:AM1048576">
    <cfRule type="expression" dxfId="118" priority="11">
      <formula>AND(ISNUMBER(AM1),AM1&gt;1)</formula>
    </cfRule>
  </conditionalFormatting>
  <conditionalFormatting sqref="AO1:AO1048576">
    <cfRule type="expression" dxfId="117" priority="9">
      <formula>AND(ROW($AO1)&gt;14,$E1&lt;&gt;"",$C1&lt;&gt;"&lt;01")</formula>
    </cfRule>
  </conditionalFormatting>
  <conditionalFormatting sqref="AS1:AU1048576 AX1:AX1048576 AZ1:AZ1048576 BB1:BB1048576 BE1:BE1048576 BH1:BH1048576 W1:W1048576 Y1:Y1048576 AA1:AB1048576 AE1:AE1048576 AG1:AH1048576">
    <cfRule type="expression" dxfId="116" priority="5">
      <formula>AND(ISNUMBER(W1),W1&gt;1)</formula>
    </cfRule>
  </conditionalFormatting>
  <conditionalFormatting sqref="AT1:AU1048576">
    <cfRule type="expression" dxfId="115" priority="10">
      <formula>AND(ISNUMBER(AT1),AT1&lt;0.98)</formula>
    </cfRule>
  </conditionalFormatting>
  <conditionalFormatting sqref="AX1:AX1048576">
    <cfRule type="expression" dxfId="114" priority="8">
      <formula>AND(ISNUMBER(AX1),AX1&lt;1)</formula>
    </cfRule>
  </conditionalFormatting>
  <conditionalFormatting sqref="AZ1:AZ1048576">
    <cfRule type="expression" dxfId="113" priority="7">
      <formula>AND(ISNUMBER(AZ1),AZ1&lt;0.7)</formula>
    </cfRule>
  </conditionalFormatting>
  <conditionalFormatting sqref="BB1:BB1048576 BE1:BE1048576 BH1:BH1048576 Y1:Y1048576 AB1:AB1048576 AE1:AE1048576 AG1:AG1048576">
    <cfRule type="expression" dxfId="112"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70" zoomScaleNormal="70" workbookViewId="0">
      <pane xSplit="4" ySplit="14" topLeftCell="S15" activePane="bottomRight" state="frozen"/>
      <selection pane="topRight"/>
      <selection pane="bottomLeft"/>
      <selection pane="bottomRight" activeCell="AM3" sqref="AM3"/>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8" customWidth="1"/>
    <col min="6" max="6" width="11.796875" style="33" customWidth="1"/>
    <col min="7" max="7" width="11.796875" style="86"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62"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43" customWidth="1"/>
    <col min="26" max="26" width="11.796875" style="36" customWidth="1"/>
    <col min="27" max="27" width="11.796875" style="19" customWidth="1"/>
    <col min="28" max="28" width="11.796875" style="33" customWidth="1"/>
    <col min="29" max="29" width="11.796875" style="14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87" t="s">
        <v>262</v>
      </c>
      <c r="B1" s="4"/>
      <c r="C1" s="1"/>
      <c r="D1" s="1"/>
      <c r="E1" s="206" t="s">
        <v>25</v>
      </c>
      <c r="F1" s="172"/>
      <c r="G1" s="220"/>
      <c r="H1" s="206" t="s">
        <v>18</v>
      </c>
      <c r="I1" s="172"/>
      <c r="J1" s="206" t="s">
        <v>16</v>
      </c>
      <c r="K1" s="178"/>
      <c r="L1" s="206" t="s">
        <v>0</v>
      </c>
      <c r="M1" s="174"/>
      <c r="N1" s="174"/>
      <c r="O1" s="172"/>
      <c r="P1" s="171"/>
      <c r="Q1" s="365"/>
      <c r="R1" s="206" t="s">
        <v>1</v>
      </c>
      <c r="S1" s="176"/>
      <c r="T1" s="176"/>
      <c r="U1" s="171"/>
      <c r="V1" s="171"/>
      <c r="W1" s="219"/>
      <c r="X1" s="172"/>
      <c r="Y1" s="205" t="s">
        <v>32</v>
      </c>
      <c r="Z1" s="170"/>
      <c r="AA1" s="176"/>
      <c r="AB1" s="172"/>
      <c r="AC1" s="205" t="s">
        <v>31</v>
      </c>
      <c r="AD1" s="172"/>
      <c r="AE1" s="206" t="s">
        <v>133</v>
      </c>
      <c r="AF1" s="171"/>
      <c r="AG1" s="175"/>
      <c r="AH1" s="175"/>
      <c r="AI1" s="172"/>
      <c r="AJ1" s="172"/>
      <c r="AK1" s="206" t="s">
        <v>132</v>
      </c>
      <c r="AL1" s="172"/>
    </row>
    <row r="2" spans="1:38" s="21" customFormat="1" ht="18">
      <c r="A2" s="13"/>
      <c r="B2" s="2"/>
      <c r="C2" s="2"/>
      <c r="D2" s="2"/>
      <c r="E2" s="254" t="s">
        <v>554</v>
      </c>
      <c r="F2" s="253" t="s">
        <v>554</v>
      </c>
      <c r="G2" s="261" t="s">
        <v>554</v>
      </c>
      <c r="H2" s="51"/>
      <c r="I2" s="253" t="s">
        <v>554</v>
      </c>
      <c r="J2" s="51"/>
      <c r="K2" s="247" t="s">
        <v>554</v>
      </c>
      <c r="L2" s="51"/>
      <c r="M2" s="46"/>
      <c r="N2" s="46"/>
      <c r="O2" s="253" t="s">
        <v>554</v>
      </c>
      <c r="P2" s="352"/>
      <c r="Q2" s="366"/>
      <c r="R2" s="51"/>
      <c r="S2" s="3"/>
      <c r="T2" s="3"/>
      <c r="U2" s="248"/>
      <c r="V2" s="248"/>
      <c r="W2" s="116"/>
      <c r="X2" s="253" t="s">
        <v>554</v>
      </c>
      <c r="Y2" s="115"/>
      <c r="Z2" s="54"/>
      <c r="AA2" s="3"/>
      <c r="AB2" s="253" t="s">
        <v>554</v>
      </c>
      <c r="AC2" s="115"/>
      <c r="AD2" s="253" t="s">
        <v>554</v>
      </c>
      <c r="AE2" s="49"/>
      <c r="AF2" s="34"/>
      <c r="AG2" s="3"/>
      <c r="AH2" s="3"/>
      <c r="AI2" s="253" t="s">
        <v>554</v>
      </c>
      <c r="AJ2" s="253" t="s">
        <v>554</v>
      </c>
      <c r="AK2" s="49"/>
      <c r="AL2" s="253" t="s">
        <v>554</v>
      </c>
    </row>
    <row r="3" spans="1:38" s="25" customFormat="1" ht="117" customHeight="1">
      <c r="A3"/>
      <c r="B3"/>
      <c r="C3"/>
      <c r="D3" s="26"/>
      <c r="E3" s="255" t="s">
        <v>795</v>
      </c>
      <c r="F3" s="246" t="s">
        <v>796</v>
      </c>
      <c r="G3" s="262" t="s">
        <v>785</v>
      </c>
      <c r="H3" s="107" t="s">
        <v>797</v>
      </c>
      <c r="I3" s="246" t="s">
        <v>748</v>
      </c>
      <c r="J3" s="100" t="s">
        <v>798</v>
      </c>
      <c r="K3" s="250" t="s">
        <v>673</v>
      </c>
      <c r="L3" s="100" t="s">
        <v>895</v>
      </c>
      <c r="M3" s="68" t="s">
        <v>799</v>
      </c>
      <c r="N3" s="192" t="s">
        <v>800</v>
      </c>
      <c r="O3" s="246" t="s">
        <v>749</v>
      </c>
      <c r="P3" s="234" t="s">
        <v>750</v>
      </c>
      <c r="Q3" s="367" t="s">
        <v>751</v>
      </c>
      <c r="R3" s="100" t="s">
        <v>801</v>
      </c>
      <c r="S3" s="215" t="s">
        <v>722</v>
      </c>
      <c r="T3" s="215" t="s">
        <v>723</v>
      </c>
      <c r="U3" s="68" t="s">
        <v>752</v>
      </c>
      <c r="V3" s="68" t="s">
        <v>725</v>
      </c>
      <c r="W3" s="217" t="s">
        <v>726</v>
      </c>
      <c r="X3" s="30" t="s">
        <v>753</v>
      </c>
      <c r="Y3" s="334" t="s">
        <v>658</v>
      </c>
      <c r="Z3" s="332" t="s">
        <v>659</v>
      </c>
      <c r="AA3" s="335" t="s">
        <v>660</v>
      </c>
      <c r="AB3" s="30" t="s">
        <v>754</v>
      </c>
      <c r="AC3" s="334" t="s">
        <v>661</v>
      </c>
      <c r="AD3" s="30" t="s">
        <v>755</v>
      </c>
      <c r="AE3" s="67" t="s">
        <v>802</v>
      </c>
      <c r="AF3" s="63" t="s">
        <v>803</v>
      </c>
      <c r="AG3" s="215" t="s">
        <v>662</v>
      </c>
      <c r="AH3" s="215" t="s">
        <v>756</v>
      </c>
      <c r="AI3" s="30" t="s">
        <v>757</v>
      </c>
      <c r="AJ3" s="246" t="s">
        <v>758</v>
      </c>
      <c r="AK3" s="67" t="s">
        <v>804</v>
      </c>
      <c r="AL3" s="246" t="s">
        <v>759</v>
      </c>
    </row>
    <row r="4" spans="1:38" s="25" customFormat="1">
      <c r="A4" s="291"/>
      <c r="B4" s="27"/>
      <c r="C4" s="27" t="s">
        <v>2</v>
      </c>
      <c r="D4" s="27"/>
      <c r="E4" s="108">
        <f>SUBTOTAL(109,E$15:INDEX(E:E,COUNTA($B:$B)+14-COUNTA($B$1:$B$14)))</f>
        <v>0</v>
      </c>
      <c r="F4" s="32">
        <f>SUBTOTAL(109,F$15:INDEX(F:F,COUNTA($B:$B)+14-COUNTA($B$1:$B$14)))</f>
        <v>0</v>
      </c>
      <c r="G4" s="85" t="str">
        <f>IF($E$4=0,"",$F$4/$E$4)</f>
        <v/>
      </c>
      <c r="H4" s="108">
        <f>SUBTOTAL(109,H$15:INDEX(H:H,COUNTA($B:$B)+14-COUNTA($B$1:$B$14)))</f>
        <v>0</v>
      </c>
      <c r="I4" s="32">
        <f>SUBTOTAL(109,I$15:INDEX(I:I,COUNTA($B:$B)+14-COUNTA($B$1:$B$14)))</f>
        <v>0</v>
      </c>
      <c r="J4" s="108">
        <f>SUBTOTAL(109,J$15:INDEX(J:J,COUNTA($B:$B)+14-COUNTA($B$1:$B$14)))</f>
        <v>0</v>
      </c>
      <c r="K4" s="32">
        <f>SUBTOTAL(109,K$15:INDEX(K:K,COUNTA($B:$B)+14-COUNTA($B$1:$B$14)))</f>
        <v>0</v>
      </c>
      <c r="L4" s="101">
        <f>SUBTOTAL(109,L$15:INDEX(L:L,COUNTA($B:$B)+14-COUNTA($B$1:$B$14)))</f>
        <v>0</v>
      </c>
      <c r="M4" s="98">
        <f>SUBTOTAL(109,M$15:INDEX(M:M,COUNTA($B:$B)+14-COUNTA($B$1:$B$14)))</f>
        <v>0</v>
      </c>
      <c r="N4" s="98">
        <f>SUBTOTAL(109,N$15:INDEX(N:N,COUNTA($B:$B)+14-COUNTA($B$1:$B$14)))</f>
        <v>0</v>
      </c>
      <c r="O4" s="32">
        <f>SUBTOTAL(109,O$15:INDEX(O:O,COUNTA($B:$B)+14-COUNTA($B$1:$B$14)))</f>
        <v>0</v>
      </c>
      <c r="P4" s="35">
        <f>SUBTOTAL(109,P$15:INDEX(P:P,COUNTA($B:$B)+14-COUNTA($B$1:$B$14)))</f>
        <v>0</v>
      </c>
      <c r="Q4" s="368" t="str">
        <f>IF(SUM($F4)=0,"",SUM($P4)/$F4)</f>
        <v/>
      </c>
      <c r="R4" s="110">
        <f>SUBTOTAL(109,R$15:INDEX(R:R,COUNTA($B:$B)+14-COUNTA($B$1:$B$14)))</f>
        <v>0</v>
      </c>
      <c r="S4" s="91"/>
      <c r="T4" s="91"/>
      <c r="U4" s="35">
        <f>SUBTOTAL(109,U$15:INDEX(U:U,COUNTA($B:$B)+14-COUNTA($B$1:$B$14)))</f>
        <v>0</v>
      </c>
      <c r="V4" s="35">
        <f>SUBTOTAL(109,V$15:INDEX(V:V,COUNTA($B:$B)+14-COUNTA($B$1:$B$14)))</f>
        <v>0</v>
      </c>
      <c r="W4" s="336" t="str">
        <f>IF($V$4=0,"",$X$4/$V$4)</f>
        <v/>
      </c>
      <c r="X4" s="32">
        <f>SUBTOTAL(109,X$15:INDEX(X:X,COUNTA($B:$B)+14-COUNTA($B$1:$B$14)))</f>
        <v>0</v>
      </c>
      <c r="Y4" s="155" t="str">
        <f>IF($V$4=0,"",($Z$4-$N$4)/$V$4)</f>
        <v/>
      </c>
      <c r="Z4" s="129">
        <f>SUBTOTAL(109,Z$15:INDEX(Z:Z,COUNTA($B:$B)+14-COUNTA($B$1:$B$14)))</f>
        <v>0</v>
      </c>
      <c r="AA4" s="91" t="str">
        <f>IF($Z$4=0,"",$AB$4/$Z$4)</f>
        <v/>
      </c>
      <c r="AB4" s="32">
        <f>SUBTOTAL(109,AB$15:INDEX(AB:AB,COUNTA($B:$B)+14-COUNTA($B$1:$B$14)))</f>
        <v>0</v>
      </c>
      <c r="AC4" s="155" t="str">
        <f>IF($AB$4=0,"",$AD$4/$AB$4)</f>
        <v/>
      </c>
      <c r="AD4" s="32">
        <f>SUBTOTAL(109,AD$15:INDEX(AD:AD,COUNTA($B:$B)+14-COUNTA($B$1:$B$14)))</f>
        <v>0</v>
      </c>
      <c r="AE4" s="50">
        <f>SUBTOTAL(109,AE$15:INDEX(AE:AE,COUNTA($B:$B)+14-COUNTA($B$1:$B$14)))</f>
        <v>0</v>
      </c>
      <c r="AF4" s="35">
        <f>SUBTOTAL(109,AF$15:INDEX(AF:AF,COUNTA($B:$B)+14-COUNTA($B$1:$B$14)))</f>
        <v>0</v>
      </c>
      <c r="AG4" s="91" t="str">
        <f>IF($AI$4=0,"",$X$4/$AI$4)</f>
        <v/>
      </c>
      <c r="AH4" s="9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55</v>
      </c>
      <c r="B5" s="28" t="s">
        <v>55</v>
      </c>
      <c r="C5" s="28" t="s">
        <v>55</v>
      </c>
      <c r="D5" s="28" t="s">
        <v>55</v>
      </c>
      <c r="E5" s="58" t="s">
        <v>63</v>
      </c>
      <c r="F5" s="33" t="s">
        <v>63</v>
      </c>
      <c r="G5" s="87" t="s">
        <v>63</v>
      </c>
      <c r="H5" s="109" t="s">
        <v>66</v>
      </c>
      <c r="I5" s="33" t="s">
        <v>66</v>
      </c>
      <c r="J5" s="109" t="s">
        <v>66</v>
      </c>
      <c r="K5" s="40" t="s">
        <v>66</v>
      </c>
      <c r="L5" s="102" t="s">
        <v>66</v>
      </c>
      <c r="M5" s="37" t="s">
        <v>66</v>
      </c>
      <c r="N5" s="37" t="s">
        <v>55</v>
      </c>
      <c r="O5" s="33" t="s">
        <v>66</v>
      </c>
      <c r="P5" s="36" t="s">
        <v>55</v>
      </c>
      <c r="Q5" s="362" t="s">
        <v>55</v>
      </c>
      <c r="R5" s="109" t="s">
        <v>66</v>
      </c>
      <c r="S5" s="93" t="s">
        <v>55</v>
      </c>
      <c r="T5" s="93" t="s">
        <v>55</v>
      </c>
      <c r="U5" s="36" t="s">
        <v>55</v>
      </c>
      <c r="V5" s="36" t="s">
        <v>55</v>
      </c>
      <c r="W5" s="135" t="s">
        <v>55</v>
      </c>
      <c r="X5" s="33" t="s">
        <v>66</v>
      </c>
      <c r="Y5" s="154" t="s">
        <v>55</v>
      </c>
      <c r="Z5" s="130" t="s">
        <v>55</v>
      </c>
      <c r="AA5" s="93" t="s">
        <v>55</v>
      </c>
      <c r="AB5" s="33" t="s">
        <v>66</v>
      </c>
      <c r="AC5" s="154" t="s">
        <v>55</v>
      </c>
      <c r="AD5" s="33" t="s">
        <v>66</v>
      </c>
      <c r="AE5" s="47" t="s">
        <v>66</v>
      </c>
      <c r="AF5" s="36" t="s">
        <v>66</v>
      </c>
      <c r="AG5" s="93" t="s">
        <v>55</v>
      </c>
      <c r="AH5" s="93" t="s">
        <v>55</v>
      </c>
      <c r="AI5" s="33" t="s">
        <v>66</v>
      </c>
      <c r="AJ5" s="33" t="s">
        <v>66</v>
      </c>
      <c r="AK5" s="47" t="s">
        <v>66</v>
      </c>
      <c r="AL5" s="33" t="s">
        <v>66</v>
      </c>
    </row>
    <row r="6" spans="1:38" s="25" customFormat="1">
      <c r="A6" s="25" t="s">
        <v>125</v>
      </c>
      <c r="B6" s="28" t="s">
        <v>125</v>
      </c>
      <c r="C6" s="28" t="s">
        <v>125</v>
      </c>
      <c r="D6" s="28" t="s">
        <v>125</v>
      </c>
      <c r="E6" s="58" t="s">
        <v>49</v>
      </c>
      <c r="F6" s="33" t="s">
        <v>49</v>
      </c>
      <c r="G6" s="87" t="s">
        <v>49</v>
      </c>
      <c r="H6" s="109" t="s">
        <v>67</v>
      </c>
      <c r="I6" s="33" t="s">
        <v>49</v>
      </c>
      <c r="J6" s="109" t="s">
        <v>67</v>
      </c>
      <c r="K6" s="40" t="s">
        <v>49</v>
      </c>
      <c r="L6" s="102" t="s">
        <v>67</v>
      </c>
      <c r="M6" s="37" t="s">
        <v>67</v>
      </c>
      <c r="N6" s="37" t="s">
        <v>69</v>
      </c>
      <c r="O6" s="33" t="s">
        <v>49</v>
      </c>
      <c r="P6" s="36" t="s">
        <v>69</v>
      </c>
      <c r="Q6" s="362" t="s">
        <v>69</v>
      </c>
      <c r="R6" s="109" t="s">
        <v>67</v>
      </c>
      <c r="S6" s="93" t="s">
        <v>69</v>
      </c>
      <c r="T6" s="93" t="s">
        <v>69</v>
      </c>
      <c r="U6" s="36" t="s">
        <v>50</v>
      </c>
      <c r="V6" s="36" t="s">
        <v>50</v>
      </c>
      <c r="W6" s="135" t="s">
        <v>69</v>
      </c>
      <c r="X6" s="33" t="s">
        <v>49</v>
      </c>
      <c r="Y6" s="154" t="s">
        <v>69</v>
      </c>
      <c r="Z6" s="130" t="s">
        <v>50</v>
      </c>
      <c r="AA6" s="93" t="s">
        <v>69</v>
      </c>
      <c r="AB6" s="33" t="s">
        <v>49</v>
      </c>
      <c r="AC6" s="154" t="s">
        <v>69</v>
      </c>
      <c r="AD6" s="33" t="s">
        <v>49</v>
      </c>
      <c r="AE6" s="47" t="s">
        <v>67</v>
      </c>
      <c r="AF6" s="36" t="s">
        <v>67</v>
      </c>
      <c r="AG6" s="93" t="s">
        <v>69</v>
      </c>
      <c r="AH6" s="93" t="s">
        <v>68</v>
      </c>
      <c r="AI6" s="33" t="s">
        <v>49</v>
      </c>
      <c r="AJ6" s="33" t="s">
        <v>49</v>
      </c>
      <c r="AK6" s="47" t="s">
        <v>67</v>
      </c>
      <c r="AL6" s="33" t="s">
        <v>49</v>
      </c>
    </row>
    <row r="7" spans="1:38" s="25" customFormat="1">
      <c r="A7" s="25" t="s">
        <v>65</v>
      </c>
      <c r="B7" s="28" t="s">
        <v>65</v>
      </c>
      <c r="C7" s="28" t="s">
        <v>65</v>
      </c>
      <c r="D7" s="28" t="s">
        <v>65</v>
      </c>
      <c r="E7" s="58" t="s">
        <v>51</v>
      </c>
      <c r="F7" s="33" t="s">
        <v>51</v>
      </c>
      <c r="G7" s="87" t="s">
        <v>52</v>
      </c>
      <c r="H7" s="109" t="s">
        <v>51</v>
      </c>
      <c r="I7" s="33" t="s">
        <v>51</v>
      </c>
      <c r="J7" s="109" t="s">
        <v>51</v>
      </c>
      <c r="K7" s="40" t="s">
        <v>51</v>
      </c>
      <c r="L7" s="102" t="s">
        <v>51</v>
      </c>
      <c r="M7" s="37" t="s">
        <v>51</v>
      </c>
      <c r="N7" s="37" t="s">
        <v>51</v>
      </c>
      <c r="O7" s="33" t="s">
        <v>51</v>
      </c>
      <c r="P7" s="36" t="s">
        <v>51</v>
      </c>
      <c r="Q7" s="362" t="s">
        <v>52</v>
      </c>
      <c r="R7" s="109" t="s">
        <v>51</v>
      </c>
      <c r="S7" s="93" t="s">
        <v>52</v>
      </c>
      <c r="T7" s="93" t="s">
        <v>52</v>
      </c>
      <c r="U7" s="36" t="s">
        <v>51</v>
      </c>
      <c r="V7" s="36" t="s">
        <v>51</v>
      </c>
      <c r="W7" s="135" t="s">
        <v>52</v>
      </c>
      <c r="X7" s="33" t="s">
        <v>51</v>
      </c>
      <c r="Y7" s="154" t="s">
        <v>52</v>
      </c>
      <c r="Z7" s="130" t="s">
        <v>51</v>
      </c>
      <c r="AA7" s="93" t="s">
        <v>52</v>
      </c>
      <c r="AB7" s="33" t="s">
        <v>51</v>
      </c>
      <c r="AC7" s="154" t="s">
        <v>52</v>
      </c>
      <c r="AD7" s="33" t="s">
        <v>51</v>
      </c>
      <c r="AE7" s="47" t="s">
        <v>51</v>
      </c>
      <c r="AF7" s="36" t="s">
        <v>51</v>
      </c>
      <c r="AG7" s="93" t="s">
        <v>52</v>
      </c>
      <c r="AH7" s="93" t="s">
        <v>52</v>
      </c>
      <c r="AI7" s="33" t="s">
        <v>51</v>
      </c>
      <c r="AJ7" s="33" t="s">
        <v>51</v>
      </c>
      <c r="AK7" s="47" t="s">
        <v>51</v>
      </c>
      <c r="AL7" s="33" t="s">
        <v>51</v>
      </c>
    </row>
    <row r="8" spans="1:38" s="25" customFormat="1">
      <c r="B8" s="28"/>
      <c r="C8" s="28"/>
      <c r="D8" s="28"/>
      <c r="E8" s="277" t="s">
        <v>105</v>
      </c>
      <c r="F8" s="260" t="s">
        <v>159</v>
      </c>
      <c r="G8" s="278" t="s">
        <v>160</v>
      </c>
      <c r="H8" s="267" t="s">
        <v>115</v>
      </c>
      <c r="I8" s="260" t="s">
        <v>115</v>
      </c>
      <c r="J8" s="267" t="s">
        <v>106</v>
      </c>
      <c r="K8" s="268" t="s">
        <v>106</v>
      </c>
      <c r="L8" s="280" t="s">
        <v>472</v>
      </c>
      <c r="M8" s="269" t="s">
        <v>139</v>
      </c>
      <c r="N8" s="99"/>
      <c r="O8" s="260" t="s">
        <v>139</v>
      </c>
      <c r="P8" s="36"/>
      <c r="Q8" s="362"/>
      <c r="R8" s="267" t="s">
        <v>113</v>
      </c>
      <c r="S8" s="158"/>
      <c r="T8" s="158"/>
      <c r="U8" s="36"/>
      <c r="V8" s="36"/>
      <c r="W8" s="337"/>
      <c r="X8" s="260" t="s">
        <v>113</v>
      </c>
      <c r="Y8" s="333"/>
      <c r="Z8" s="131"/>
      <c r="AA8" s="158"/>
      <c r="AB8" s="260" t="s">
        <v>136</v>
      </c>
      <c r="AC8" s="333"/>
      <c r="AD8" s="260" t="s">
        <v>135</v>
      </c>
      <c r="AE8" s="266" t="s">
        <v>111</v>
      </c>
      <c r="AF8" s="264" t="s">
        <v>111</v>
      </c>
      <c r="AG8" s="158"/>
      <c r="AH8" s="158"/>
      <c r="AI8" s="260" t="s">
        <v>111</v>
      </c>
      <c r="AJ8" s="260" t="s">
        <v>111</v>
      </c>
      <c r="AK8" s="270" t="s">
        <v>148</v>
      </c>
      <c r="AL8" s="260" t="s">
        <v>148</v>
      </c>
    </row>
    <row r="9" spans="1:38" s="25" customFormat="1">
      <c r="B9" s="28"/>
      <c r="C9" s="28"/>
      <c r="D9" s="28"/>
      <c r="E9" s="277"/>
      <c r="F9" s="260"/>
      <c r="G9" s="278"/>
      <c r="H9" s="267" t="s">
        <v>116</v>
      </c>
      <c r="I9" s="260" t="s">
        <v>116</v>
      </c>
      <c r="J9" s="267" t="s">
        <v>107</v>
      </c>
      <c r="K9" s="268" t="s">
        <v>107</v>
      </c>
      <c r="L9" s="280" t="s">
        <v>473</v>
      </c>
      <c r="M9" s="269" t="s">
        <v>140</v>
      </c>
      <c r="N9" s="99"/>
      <c r="O9" s="260" t="s">
        <v>140</v>
      </c>
      <c r="P9" s="36"/>
      <c r="Q9" s="362"/>
      <c r="R9" s="267" t="s">
        <v>114</v>
      </c>
      <c r="S9" s="158"/>
      <c r="T9" s="158"/>
      <c r="U9" s="36"/>
      <c r="V9" s="36"/>
      <c r="W9" s="337"/>
      <c r="X9" s="260" t="s">
        <v>114</v>
      </c>
      <c r="Y9" s="333"/>
      <c r="Z9" s="131"/>
      <c r="AA9" s="158"/>
      <c r="AB9" s="260" t="s">
        <v>137</v>
      </c>
      <c r="AC9" s="333"/>
      <c r="AD9" s="260" t="s">
        <v>134</v>
      </c>
      <c r="AE9" s="266" t="s">
        <v>112</v>
      </c>
      <c r="AF9" s="264" t="s">
        <v>112</v>
      </c>
      <c r="AG9" s="158"/>
      <c r="AH9" s="158"/>
      <c r="AI9" s="260" t="s">
        <v>112</v>
      </c>
      <c r="AJ9" s="260" t="s">
        <v>112</v>
      </c>
      <c r="AK9" s="270" t="s">
        <v>147</v>
      </c>
      <c r="AL9" s="260" t="s">
        <v>147</v>
      </c>
    </row>
    <row r="10" spans="1:38" s="25" customFormat="1">
      <c r="B10" s="28"/>
      <c r="C10" s="28"/>
      <c r="D10" s="28"/>
      <c r="E10" s="277"/>
      <c r="F10" s="260" t="s">
        <v>61</v>
      </c>
      <c r="G10" s="278" t="s">
        <v>61</v>
      </c>
      <c r="H10" s="267"/>
      <c r="I10" s="260"/>
      <c r="J10" s="267"/>
      <c r="K10" s="268"/>
      <c r="L10" s="280" t="s">
        <v>61</v>
      </c>
      <c r="M10" s="269" t="s">
        <v>61</v>
      </c>
      <c r="N10" s="99"/>
      <c r="O10" s="260" t="s">
        <v>61</v>
      </c>
      <c r="P10" s="36"/>
      <c r="Q10" s="362"/>
      <c r="R10" s="267" t="s">
        <v>61</v>
      </c>
      <c r="S10" s="158"/>
      <c r="T10" s="158"/>
      <c r="U10" s="36"/>
      <c r="V10" s="36"/>
      <c r="W10" s="337"/>
      <c r="X10" s="260" t="s">
        <v>61</v>
      </c>
      <c r="Y10" s="333"/>
      <c r="Z10" s="131"/>
      <c r="AA10" s="158"/>
      <c r="AB10" s="260" t="s">
        <v>61</v>
      </c>
      <c r="AC10" s="333"/>
      <c r="AD10" s="260" t="s">
        <v>61</v>
      </c>
      <c r="AE10" s="266" t="s">
        <v>61</v>
      </c>
      <c r="AF10" s="264" t="s">
        <v>78</v>
      </c>
      <c r="AG10" s="158"/>
      <c r="AH10" s="158"/>
      <c r="AI10" s="260" t="s">
        <v>61</v>
      </c>
      <c r="AJ10" s="260" t="s">
        <v>78</v>
      </c>
      <c r="AK10" s="270"/>
      <c r="AL10" s="260"/>
    </row>
    <row r="11" spans="1:38" s="25" customFormat="1">
      <c r="B11" s="28"/>
      <c r="C11" s="28"/>
      <c r="D11" s="28"/>
      <c r="E11" s="58"/>
      <c r="F11" s="33"/>
      <c r="G11" s="156"/>
      <c r="H11" s="109"/>
      <c r="I11" s="33"/>
      <c r="J11" s="109"/>
      <c r="K11" s="95"/>
      <c r="L11" s="103"/>
      <c r="M11" s="99"/>
      <c r="N11" s="99"/>
      <c r="O11" s="33"/>
      <c r="P11" s="36"/>
      <c r="Q11" s="362"/>
      <c r="R11" s="109"/>
      <c r="S11" s="93"/>
      <c r="T11" s="93"/>
      <c r="U11" s="36"/>
      <c r="V11" s="36"/>
      <c r="W11" s="135"/>
      <c r="X11" s="33"/>
      <c r="Y11" s="154"/>
      <c r="Z11" s="130"/>
      <c r="AA11" s="93"/>
      <c r="AB11" s="33"/>
      <c r="AC11" s="154"/>
      <c r="AD11" s="33"/>
      <c r="AE11" s="47"/>
      <c r="AF11" s="36"/>
      <c r="AG11" s="93"/>
      <c r="AH11" s="93"/>
      <c r="AI11" s="33"/>
      <c r="AJ11" s="33"/>
      <c r="AK11" s="47"/>
      <c r="AL11" s="33"/>
    </row>
    <row r="12" spans="1:38" s="25" customFormat="1">
      <c r="B12" s="28"/>
      <c r="C12" s="28"/>
      <c r="D12" s="28"/>
      <c r="E12" s="58"/>
      <c r="F12" s="33"/>
      <c r="G12" s="87"/>
      <c r="H12" s="109"/>
      <c r="I12" s="33"/>
      <c r="J12" s="109"/>
      <c r="K12" s="40"/>
      <c r="L12" s="102"/>
      <c r="M12" s="37"/>
      <c r="N12" s="37"/>
      <c r="O12" s="33"/>
      <c r="P12" s="36"/>
      <c r="Q12" s="362"/>
      <c r="R12" s="109"/>
      <c r="S12" s="93"/>
      <c r="T12" s="93"/>
      <c r="U12" s="36"/>
      <c r="V12" s="36"/>
      <c r="W12" s="135"/>
      <c r="X12" s="33"/>
      <c r="Y12" s="154"/>
      <c r="Z12" s="130"/>
      <c r="AA12" s="93"/>
      <c r="AB12" s="33"/>
      <c r="AC12" s="154"/>
      <c r="AD12" s="33"/>
      <c r="AE12" s="47"/>
      <c r="AF12" s="36"/>
      <c r="AG12" s="93"/>
      <c r="AH12" s="93"/>
      <c r="AI12" s="33"/>
      <c r="AJ12" s="33"/>
      <c r="AK12" s="47"/>
      <c r="AL12" s="33"/>
    </row>
    <row r="13" spans="1:38" s="25" customFormat="1">
      <c r="B13" s="28"/>
      <c r="C13" s="28"/>
      <c r="D13" s="28"/>
      <c r="E13" s="58" t="s">
        <v>425</v>
      </c>
      <c r="F13" s="33" t="s">
        <v>425</v>
      </c>
      <c r="G13" s="87" t="s">
        <v>425</v>
      </c>
      <c r="H13" s="109" t="s">
        <v>425</v>
      </c>
      <c r="I13" s="33" t="s">
        <v>425</v>
      </c>
      <c r="J13" s="109" t="s">
        <v>425</v>
      </c>
      <c r="K13" s="33" t="s">
        <v>425</v>
      </c>
      <c r="L13" s="102" t="s">
        <v>425</v>
      </c>
      <c r="M13" s="37" t="s">
        <v>425</v>
      </c>
      <c r="N13" s="37" t="s">
        <v>425</v>
      </c>
      <c r="O13" s="33" t="s">
        <v>425</v>
      </c>
      <c r="P13" s="36" t="s">
        <v>425</v>
      </c>
      <c r="Q13" s="362" t="s">
        <v>425</v>
      </c>
      <c r="R13" s="109" t="s">
        <v>425</v>
      </c>
      <c r="S13" s="93" t="s">
        <v>425</v>
      </c>
      <c r="T13" s="93" t="s">
        <v>425</v>
      </c>
      <c r="U13" s="36" t="s">
        <v>425</v>
      </c>
      <c r="V13" s="36" t="s">
        <v>425</v>
      </c>
      <c r="W13" s="135" t="s">
        <v>425</v>
      </c>
      <c r="X13" s="33" t="s">
        <v>425</v>
      </c>
      <c r="Y13" s="154" t="s">
        <v>425</v>
      </c>
      <c r="Z13" s="130" t="s">
        <v>425</v>
      </c>
      <c r="AA13" s="93" t="s">
        <v>425</v>
      </c>
      <c r="AB13" s="33" t="s">
        <v>425</v>
      </c>
      <c r="AC13" s="154" t="s">
        <v>425</v>
      </c>
      <c r="AD13" s="33" t="s">
        <v>425</v>
      </c>
      <c r="AE13" s="47" t="s">
        <v>425</v>
      </c>
      <c r="AF13" s="36" t="s">
        <v>425</v>
      </c>
      <c r="AG13" s="93" t="s">
        <v>425</v>
      </c>
      <c r="AH13" s="93" t="s">
        <v>425</v>
      </c>
      <c r="AI13" s="33" t="s">
        <v>425</v>
      </c>
      <c r="AJ13" s="33" t="s">
        <v>425</v>
      </c>
      <c r="AK13" s="47" t="s">
        <v>425</v>
      </c>
      <c r="AL13" s="33" t="s">
        <v>425</v>
      </c>
    </row>
    <row r="14" spans="1:38" s="25" customFormat="1">
      <c r="A14" s="286" t="s">
        <v>40</v>
      </c>
      <c r="B14" s="198" t="s">
        <v>3</v>
      </c>
      <c r="C14" s="198" t="s">
        <v>41</v>
      </c>
      <c r="D14" s="198" t="s">
        <v>43</v>
      </c>
      <c r="E14" s="228" t="s">
        <v>627</v>
      </c>
      <c r="F14" s="208" t="s">
        <v>628</v>
      </c>
      <c r="G14" s="229" t="s">
        <v>629</v>
      </c>
      <c r="H14" s="209" t="s">
        <v>247</v>
      </c>
      <c r="I14" s="208" t="s">
        <v>248</v>
      </c>
      <c r="J14" s="209" t="s">
        <v>234</v>
      </c>
      <c r="K14" s="208" t="s">
        <v>235</v>
      </c>
      <c r="L14" s="209" t="s">
        <v>356</v>
      </c>
      <c r="M14" s="185" t="s">
        <v>357</v>
      </c>
      <c r="N14" s="185" t="s">
        <v>589</v>
      </c>
      <c r="O14" s="208" t="s">
        <v>243</v>
      </c>
      <c r="P14" s="185" t="s">
        <v>639</v>
      </c>
      <c r="Q14" s="207" t="s">
        <v>640</v>
      </c>
      <c r="R14" s="209" t="s">
        <v>241</v>
      </c>
      <c r="S14" s="186" t="s">
        <v>360</v>
      </c>
      <c r="T14" s="186" t="s">
        <v>359</v>
      </c>
      <c r="U14" s="185" t="s">
        <v>358</v>
      </c>
      <c r="V14" s="185" t="s">
        <v>590</v>
      </c>
      <c r="W14" s="187" t="s">
        <v>591</v>
      </c>
      <c r="X14" s="208" t="s">
        <v>242</v>
      </c>
      <c r="Y14" s="214" t="s">
        <v>541</v>
      </c>
      <c r="Z14" s="182" t="s">
        <v>542</v>
      </c>
      <c r="AA14" s="186" t="s">
        <v>592</v>
      </c>
      <c r="AB14" s="208" t="s">
        <v>244</v>
      </c>
      <c r="AC14" s="214" t="s">
        <v>245</v>
      </c>
      <c r="AD14" s="208" t="s">
        <v>246</v>
      </c>
      <c r="AE14" s="209" t="s">
        <v>454</v>
      </c>
      <c r="AF14" s="185" t="s">
        <v>455</v>
      </c>
      <c r="AG14" s="186" t="s">
        <v>361</v>
      </c>
      <c r="AH14" s="186" t="s">
        <v>362</v>
      </c>
      <c r="AI14" s="208" t="s">
        <v>238</v>
      </c>
      <c r="AJ14" s="208" t="s">
        <v>239</v>
      </c>
      <c r="AK14" s="209" t="s">
        <v>355</v>
      </c>
      <c r="AL14" s="208" t="s">
        <v>240</v>
      </c>
    </row>
    <row r="15" spans="1:38">
      <c r="A15" s="289" t="e">
        <f>INDEX(Prioritization!$D:$D,MATCH($B15,Prioritization!$A:$A,0))</f>
        <v>#N/A</v>
      </c>
      <c r="B15" s="20"/>
      <c r="C15" s="20"/>
      <c r="D15" s="20" t="str">
        <f>B15&amp;"|"&amp;C15</f>
        <v>|</v>
      </c>
      <c r="G15" s="87"/>
      <c r="J15" s="58"/>
      <c r="K15" s="40"/>
      <c r="L15" s="52"/>
      <c r="M15" s="38"/>
      <c r="N15" s="38" t="str">
        <f>IF(MAX($L15,$M15)=0,"",MAX($L15,$M15))</f>
        <v/>
      </c>
      <c r="O15" s="33" t="str">
        <f>IF(SUM($N15)=0,"",SUM($N15))</f>
        <v/>
      </c>
      <c r="Q15" s="362" t="str">
        <f>IF(SUM($F15)=0,"",SUM($P15)/$F15)</f>
        <v/>
      </c>
      <c r="R15" s="52"/>
      <c r="S15" s="11">
        <v>0.98</v>
      </c>
      <c r="T15" s="11">
        <v>0.98</v>
      </c>
      <c r="U15" s="37" t="str">
        <f>IF(SUM($N15,$O15)=0,"",SUM($O15)-SUM($N15))</f>
        <v/>
      </c>
      <c r="V15" s="37" t="str">
        <f>IFERROR(1/(1/ROUND((SUM($O15)-(SUM($N15)*SUM($S15)))/$T15,0)),"")</f>
        <v/>
      </c>
      <c r="W15" s="118">
        <v>1</v>
      </c>
      <c r="X15" s="33" t="str">
        <f>IFERROR(1/(1/ROUND(SUM($V15)*SUM($W15),0)),"")</f>
        <v/>
      </c>
      <c r="Y15" s="325">
        <v>0.7</v>
      </c>
      <c r="Z15" s="140" t="str">
        <f>IFERROR(1/(1/ROUND($N15+(SUM($V15)*$Y15),0)),"")</f>
        <v/>
      </c>
      <c r="AA15" s="323">
        <v>0.95</v>
      </c>
      <c r="AB15" s="33" t="str">
        <f>IF(SUM($Z15)=0,"",ROUND($Z15*$AA15,0))</f>
        <v/>
      </c>
      <c r="AC15" s="32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11" priority="2">
      <formula>LEFT($B1,4)="_Mil"</formula>
    </cfRule>
  </conditionalFormatting>
  <conditionalFormatting sqref="E1:AL1048576">
    <cfRule type="expression" dxfId="110" priority="3">
      <formula>AND(ISNUMBER(E1),E1&lt;0)</formula>
    </cfRule>
  </conditionalFormatting>
  <conditionalFormatting sqref="G1:G1048576 S1:T1048576 W1:W1048576 Y1:Y1048576 AA1:AA1048576 AC1:AC1048576 AG1:AH1048576">
    <cfRule type="expression" dxfId="109" priority="4">
      <formula>AND(ISNUMBER(G1),G1&gt;1)</formula>
    </cfRule>
  </conditionalFormatting>
  <conditionalFormatting sqref="S1:S1048576">
    <cfRule type="expression" dxfId="108" priority="13">
      <formula>AND(ISNUMBER($S1),SUM($S1)&lt;98%)</formula>
    </cfRule>
  </conditionalFormatting>
  <conditionalFormatting sqref="T1:T1048576">
    <cfRule type="expression" dxfId="107" priority="19">
      <formula>AND(ISNUMBER($T1),SUM($T1)&lt;98%)</formula>
    </cfRule>
  </conditionalFormatting>
  <conditionalFormatting sqref="Y1:Y1048576">
    <cfRule type="expression" dxfId="106" priority="34">
      <formula>AND(ISNUMBER($Y1),ROUND(SUM($V1),0)&gt;0,ROUND(SUM($Y1),2)&lt;70%)</formula>
    </cfRule>
  </conditionalFormatting>
  <conditionalFormatting sqref="AG1:AG1048576 AA1:AA1048576 AC1:AC1048576">
    <cfRule type="expression" dxfId="105" priority="3836">
      <formula>AND(ISNUMBER(AA1),SUM(AA1)&lt;95%)</formula>
    </cfRule>
  </conditionalFormatting>
  <conditionalFormatting sqref="AG1:AG1048576">
    <cfRule type="expression" dxfId="104" priority="10">
      <formula>AND(ROW($AG1)&gt;14,$AI1="ENTER LINKAGE RATE")</formula>
    </cfRule>
  </conditionalFormatting>
  <conditionalFormatting sqref="AH1:AH1048576">
    <cfRule type="expression" dxfId="103"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BA16"/>
  <sheetViews>
    <sheetView zoomScale="70" zoomScaleNormal="70" workbookViewId="0">
      <pane xSplit="5" ySplit="14" topLeftCell="J15" activePane="bottomRight" state="frozen"/>
      <selection pane="topRight"/>
      <selection pane="bottomLeft"/>
      <selection pane="bottomRight" activeCell="R1" sqref="R1:T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102" customWidth="1"/>
    <col min="7" max="7" width="11.796875" style="37" customWidth="1"/>
    <col min="8" max="8" width="11.796875" style="88" customWidth="1"/>
    <col min="9" max="9" width="11.796875" style="37" customWidth="1"/>
    <col min="10" max="10" width="11.796875" style="93" customWidth="1"/>
    <col min="11" max="17" width="11.796875" style="37" customWidth="1"/>
    <col min="18" max="18" width="11.796875" style="439" customWidth="1"/>
    <col min="19" max="19" width="11.796875" style="403" customWidth="1"/>
    <col min="20" max="20" width="11.796875" style="440" customWidth="1"/>
    <col min="21" max="21" width="11.796875" style="11" customWidth="1"/>
    <col min="22" max="22" width="11.796875" style="59" customWidth="1"/>
    <col min="23" max="23" width="11.796875" style="417" customWidth="1"/>
    <col min="24" max="26" width="11.796875" style="410" customWidth="1"/>
    <col min="27" max="27" width="11.796875" style="374" customWidth="1"/>
    <col min="28" max="28" width="11.796875" style="425" customWidth="1"/>
    <col min="29" max="30" width="11.796875" style="374" customWidth="1"/>
    <col min="31" max="31" width="11.796875" style="58" customWidth="1"/>
    <col min="32" max="34" width="11.796875" style="33" customWidth="1"/>
    <col min="35" max="35" width="11.796875" style="419" customWidth="1"/>
    <col min="36" max="37" width="11.796875" style="374" customWidth="1"/>
    <col min="38" max="38" width="11.796875" style="58" customWidth="1"/>
    <col min="39" max="40" width="11.796875" style="33" customWidth="1"/>
    <col min="41" max="41" width="11.796875" style="402" customWidth="1"/>
    <col min="42" max="44" width="11.796875" style="410" customWidth="1"/>
    <col min="45" max="46" width="11.796875" style="374" customWidth="1"/>
    <col min="47" max="47" width="11.796875" style="404" customWidth="1"/>
    <col min="48" max="48" width="11.796875" style="402" customWidth="1"/>
    <col min="49" max="49" width="11.796875" style="404" customWidth="1"/>
    <col min="50" max="53" width="11.796875" style="401" customWidth="1"/>
  </cols>
  <sheetData>
    <row r="1" spans="1:53" s="24" customFormat="1" ht="31.05" customHeight="1" thickBot="1">
      <c r="A1" s="287" t="s">
        <v>42</v>
      </c>
      <c r="C1" s="1"/>
      <c r="D1" s="1"/>
      <c r="E1" s="1"/>
      <c r="F1" s="203" t="s">
        <v>633</v>
      </c>
      <c r="G1" s="174"/>
      <c r="H1" s="202"/>
      <c r="I1" s="174"/>
      <c r="J1" s="176"/>
      <c r="K1" s="174"/>
      <c r="L1" s="174"/>
      <c r="M1" s="174"/>
      <c r="N1" s="174"/>
      <c r="O1" s="174"/>
      <c r="P1" s="174"/>
      <c r="Q1" s="174"/>
      <c r="R1" s="427" t="s">
        <v>555</v>
      </c>
      <c r="S1" s="428"/>
      <c r="T1" s="429"/>
      <c r="U1" s="175"/>
      <c r="V1" s="204"/>
      <c r="W1" s="411" t="s">
        <v>557</v>
      </c>
      <c r="X1" s="383"/>
      <c r="Y1" s="383"/>
      <c r="Z1" s="383"/>
      <c r="AA1" s="370"/>
      <c r="AB1" s="370"/>
      <c r="AC1" s="370"/>
      <c r="AD1" s="370"/>
      <c r="AE1" s="206" t="s">
        <v>630</v>
      </c>
      <c r="AF1" s="172"/>
      <c r="AG1" s="172"/>
      <c r="AH1" s="172"/>
      <c r="AI1" s="411" t="s">
        <v>558</v>
      </c>
      <c r="AJ1" s="412"/>
      <c r="AK1" s="413"/>
      <c r="AL1" s="203" t="s">
        <v>631</v>
      </c>
      <c r="AM1" s="170"/>
      <c r="AN1" s="178"/>
      <c r="AO1" s="382" t="s">
        <v>556</v>
      </c>
      <c r="AP1" s="383"/>
      <c r="AQ1" s="383"/>
      <c r="AR1" s="383"/>
      <c r="AS1" s="370"/>
      <c r="AT1" s="370"/>
      <c r="AU1" s="370"/>
      <c r="AV1" s="382" t="s">
        <v>337</v>
      </c>
      <c r="AW1" s="370"/>
      <c r="AX1" s="384"/>
      <c r="AY1" s="384"/>
      <c r="AZ1" s="384"/>
      <c r="BA1" s="384"/>
    </row>
    <row r="2" spans="1:53" s="21" customFormat="1" ht="19.05" customHeight="1">
      <c r="A2" s="381" t="s">
        <v>519</v>
      </c>
      <c r="B2" s="378"/>
      <c r="D2" s="2"/>
      <c r="E2" s="2"/>
      <c r="F2" s="51"/>
      <c r="G2" s="46"/>
      <c r="H2" s="84"/>
      <c r="I2" s="46"/>
      <c r="J2" s="3"/>
      <c r="K2" s="46"/>
      <c r="L2" s="46"/>
      <c r="M2" s="46"/>
      <c r="N2" s="46"/>
      <c r="O2" s="46"/>
      <c r="P2" s="46"/>
      <c r="Q2" s="46"/>
      <c r="R2" s="430"/>
      <c r="S2" s="431"/>
      <c r="T2" s="432" t="s">
        <v>554</v>
      </c>
      <c r="U2" s="3"/>
      <c r="V2" s="252" t="s">
        <v>554</v>
      </c>
      <c r="W2" s="414"/>
      <c r="X2" s="386"/>
      <c r="Y2" s="386"/>
      <c r="Z2" s="386"/>
      <c r="AA2" s="371" t="s">
        <v>554</v>
      </c>
      <c r="AB2" s="371" t="s">
        <v>554</v>
      </c>
      <c r="AC2" s="371" t="s">
        <v>554</v>
      </c>
      <c r="AD2" s="371" t="s">
        <v>554</v>
      </c>
      <c r="AE2" s="254" t="s">
        <v>554</v>
      </c>
      <c r="AF2" s="253" t="s">
        <v>554</v>
      </c>
      <c r="AG2" s="253" t="s">
        <v>554</v>
      </c>
      <c r="AH2" s="253" t="s">
        <v>554</v>
      </c>
      <c r="AI2" s="414"/>
      <c r="AJ2" s="371" t="s">
        <v>554</v>
      </c>
      <c r="AK2" s="371" t="s">
        <v>554</v>
      </c>
      <c r="AL2" s="254" t="s">
        <v>554</v>
      </c>
      <c r="AM2" s="253" t="s">
        <v>554</v>
      </c>
      <c r="AN2" s="253" t="s">
        <v>554</v>
      </c>
      <c r="AO2" s="385"/>
      <c r="AP2" s="386"/>
      <c r="AQ2" s="386"/>
      <c r="AR2" s="386"/>
      <c r="AS2" s="371" t="s">
        <v>554</v>
      </c>
      <c r="AT2" s="371" t="s">
        <v>554</v>
      </c>
      <c r="AU2" s="387"/>
      <c r="AV2" s="385"/>
      <c r="AW2" s="388"/>
      <c r="AX2" s="389"/>
      <c r="AY2" s="389"/>
      <c r="AZ2" s="389"/>
      <c r="BA2" s="389"/>
    </row>
    <row r="3" spans="1:53" ht="117" customHeight="1" thickBot="1">
      <c r="A3" s="379"/>
      <c r="B3" s="380"/>
      <c r="D3" s="17"/>
      <c r="E3" s="17"/>
      <c r="F3" s="121" t="s">
        <v>783</v>
      </c>
      <c r="G3" s="122" t="s">
        <v>784</v>
      </c>
      <c r="H3" s="123" t="s">
        <v>785</v>
      </c>
      <c r="I3" s="122" t="s">
        <v>786</v>
      </c>
      <c r="J3" s="124" t="s">
        <v>787</v>
      </c>
      <c r="K3" s="192" t="s">
        <v>788</v>
      </c>
      <c r="L3" s="192" t="s">
        <v>789</v>
      </c>
      <c r="M3" s="192" t="s">
        <v>790</v>
      </c>
      <c r="N3" s="192" t="s">
        <v>791</v>
      </c>
      <c r="O3" s="192" t="s">
        <v>792</v>
      </c>
      <c r="P3" s="192" t="s">
        <v>793</v>
      </c>
      <c r="Q3" s="192" t="s">
        <v>794</v>
      </c>
      <c r="R3" s="433" t="s">
        <v>683</v>
      </c>
      <c r="S3" s="434" t="s">
        <v>142</v>
      </c>
      <c r="T3" s="435" t="s">
        <v>760</v>
      </c>
      <c r="U3" s="215" t="s">
        <v>761</v>
      </c>
      <c r="V3" s="251" t="s">
        <v>762</v>
      </c>
      <c r="W3" s="420" t="s">
        <v>896</v>
      </c>
      <c r="X3" s="421" t="s">
        <v>763</v>
      </c>
      <c r="Y3" s="421" t="s">
        <v>897</v>
      </c>
      <c r="Z3" s="421" t="s">
        <v>764</v>
      </c>
      <c r="AA3" s="422" t="s">
        <v>668</v>
      </c>
      <c r="AB3" s="372" t="s">
        <v>665</v>
      </c>
      <c r="AC3" s="372" t="s">
        <v>666</v>
      </c>
      <c r="AD3" s="372" t="s">
        <v>667</v>
      </c>
      <c r="AE3" s="255" t="s">
        <v>765</v>
      </c>
      <c r="AF3" s="246" t="s">
        <v>766</v>
      </c>
      <c r="AG3" s="246" t="s">
        <v>767</v>
      </c>
      <c r="AH3" s="246" t="s">
        <v>768</v>
      </c>
      <c r="AI3" s="415" t="s">
        <v>662</v>
      </c>
      <c r="AJ3" s="372" t="s">
        <v>669</v>
      </c>
      <c r="AK3" s="372" t="s">
        <v>670</v>
      </c>
      <c r="AL3" s="255" t="s">
        <v>769</v>
      </c>
      <c r="AM3" s="246" t="s">
        <v>770</v>
      </c>
      <c r="AN3" s="246" t="s">
        <v>771</v>
      </c>
      <c r="AO3" s="390" t="s">
        <v>772</v>
      </c>
      <c r="AP3" s="391" t="s">
        <v>898</v>
      </c>
      <c r="AQ3" s="391" t="s">
        <v>773</v>
      </c>
      <c r="AR3" s="391" t="s">
        <v>662</v>
      </c>
      <c r="AS3" s="372" t="s">
        <v>774</v>
      </c>
      <c r="AT3" s="372" t="s">
        <v>775</v>
      </c>
      <c r="AU3" s="392" t="s">
        <v>776</v>
      </c>
      <c r="AV3" s="393" t="s">
        <v>777</v>
      </c>
      <c r="AW3" s="394" t="s">
        <v>778</v>
      </c>
      <c r="AX3" s="394" t="s">
        <v>779</v>
      </c>
      <c r="AY3" s="394" t="s">
        <v>780</v>
      </c>
      <c r="AZ3" s="394" t="s">
        <v>781</v>
      </c>
      <c r="BA3" s="392" t="s">
        <v>782</v>
      </c>
    </row>
    <row r="4" spans="1:53">
      <c r="B4" s="15"/>
      <c r="C4" s="15"/>
      <c r="D4" s="15" t="s">
        <v>2</v>
      </c>
      <c r="E4" s="15"/>
      <c r="F4" s="60">
        <f>SUBTOTAL(109,F$15:INDEX(F:F,COUNTA($B:$B)+14-COUNTA($B$1:$B$14)))</f>
        <v>0</v>
      </c>
      <c r="G4" s="44">
        <f>SUBTOTAL(109,G$15:INDEX(G:G,COUNTA($B:$B)+14-COUNTA($B$1:$B$14)))</f>
        <v>0</v>
      </c>
      <c r="H4" s="73" t="str">
        <f>IF($F$4=0,"",$G4/$F4)</f>
        <v/>
      </c>
      <c r="I4" s="44">
        <f>SUBTOTAL(109,I$15:INDEX(I:I,COUNTA($B:$B)+14-COUNTA($B$1:$B$14)))</f>
        <v>0</v>
      </c>
      <c r="J4" s="145"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395">
        <f>SUBTOTAL(109,R$15:INDEX(R:R,COUNTA($B:$B)+14-COUNTA($B$1:$B$14)))</f>
        <v>0</v>
      </c>
      <c r="S4" s="436" t="str">
        <f>IF(SUM($R$4)=0,"",$T$4/$R$4-1)</f>
        <v/>
      </c>
      <c r="T4" s="437">
        <f>SUBTOTAL(109,T$15:INDEX(T:T,COUNTA($B:$B)+14-COUNTA($B$1:$B$14)))</f>
        <v>0</v>
      </c>
      <c r="U4" s="18" t="str">
        <f>IF($V$4=0,"",$T$4/$V$4)</f>
        <v/>
      </c>
      <c r="V4" s="66">
        <f>SUBTOTAL(109,V$15:INDEX(V:V,COUNTA($B:$B)+14-COUNTA($B$1:$B$14)))</f>
        <v>0</v>
      </c>
      <c r="W4" s="416"/>
      <c r="X4" s="423" t="str">
        <f>IF($AA$4=0,"",$AB$4/$AA$4)</f>
        <v/>
      </c>
      <c r="Y4" s="423"/>
      <c r="Z4" s="423" t="str">
        <f>IF($AA$4=0,"",$AC$4/($AA$4-$AB$4))</f>
        <v/>
      </c>
      <c r="AA4" s="398">
        <f>SUBTOTAL(109,AA$15:INDEX(AA:AA,COUNTA($B:$B)+14-COUNTA($B$1:$B$14)))</f>
        <v>0</v>
      </c>
      <c r="AB4" s="424">
        <f>IF(COUNTIF(AB$15:INDEX($AB:$AB,COUNTA($B:$B)+14-COUNTA($B$1:$B$14)),"&lt;0")&gt;0,"RESOLVE NEGATIVES",SUBTOTAL(109,AB$15:INDEX(AB:AB,COUNTA($B:$B)+14-COUNTA($B$1:$B$14))))</f>
        <v>0</v>
      </c>
      <c r="AC4" s="398">
        <f>SUBTOTAL(109,AC$15:INDEX(AC:AC,COUNTA($B:$B)+14-COUNTA($B$1:$B$14)))</f>
        <v>0</v>
      </c>
      <c r="AD4" s="398">
        <f>SUBTOTAL(109,AD$15:INDEX(AD:AD,COUNTA($B:$B)+14-COUNTA($B$1:$B$14)))</f>
        <v>0</v>
      </c>
      <c r="AE4" s="133">
        <f>SUBTOTAL(109,AE$15:INDEX(AE:AE,COUNTA($B:$B)+14-COUNTA($B$1:$B$14)))</f>
        <v>0</v>
      </c>
      <c r="AF4" s="41">
        <f>SUBTOTAL(109,AF$15:INDEX(AF:AF,COUNTA($B:$B)+14-COUNTA($B$1:$B$14)))</f>
        <v>0</v>
      </c>
      <c r="AG4" s="41">
        <f>SUBTOTAL(109,AG$15:INDEX(AG:AG,COUNTA($B:$B)+14-COUNTA($B$1:$B$14)))</f>
        <v>0</v>
      </c>
      <c r="AH4" s="41">
        <f>SUBTOTAL(109,AH$15:INDEX(AH:AH,COUNTA($B:$B)+14-COUNTA($B$1:$B$14)))</f>
        <v>0</v>
      </c>
      <c r="AI4" s="416" t="str">
        <f>IF($AC$4=0,"",$AK$4/$AC$4)</f>
        <v/>
      </c>
      <c r="AJ4" s="397">
        <f>SUBTOTAL(109,AJ$15:INDEX(AJ:AJ,COUNTA($B:$B)+14-COUNTA($B$1:$B$14)))</f>
        <v>0</v>
      </c>
      <c r="AK4" s="398">
        <f>SUBTOTAL(109,AK$15:INDEX(AK:AK,COUNTA($B:$B)+14-COUNTA($B$1:$B$14)))</f>
        <v>0</v>
      </c>
      <c r="AL4" s="133">
        <f>SUBTOTAL(109,AL$15:INDEX(AL:AL,COUNTA($B:$B)+14-COUNTA($B$1:$B$14)))</f>
        <v>0</v>
      </c>
      <c r="AM4" s="61">
        <f>SUBTOTAL(109,AM$15:INDEX(AM:AM,COUNTA($B:$B)+14-COUNTA($B$1:$B$14)))</f>
        <v>0</v>
      </c>
      <c r="AN4" s="41">
        <f>SUBTOTAL(109,AN$15:INDEX(AN:AN,COUNTA($B:$B)+14-COUNTA($B$1:$B$14)))</f>
        <v>0</v>
      </c>
      <c r="AO4" s="395">
        <f>SUBTOTAL(109,AO$15:INDEX(AO:AO,COUNTA($B:$B)+14-COUNTA($B$1:$B$14)))</f>
        <v>0</v>
      </c>
      <c r="AP4" s="396"/>
      <c r="AQ4" s="396" t="str">
        <f>IF($AO$4=0,"",$AS$4/$AO$4)</f>
        <v/>
      </c>
      <c r="AR4" s="396" t="str">
        <f>IF($AS$4=0,"",$AU$4/$AS$4)</f>
        <v/>
      </c>
      <c r="AS4" s="397">
        <f>SUBTOTAL(109,AS$15:INDEX(AS:AS,COUNTA($B:$B)+14-COUNTA($B$1:$B$14)))</f>
        <v>0</v>
      </c>
      <c r="AT4" s="398">
        <f>SUBTOTAL(109,AT$15:INDEX(AT:AT,COUNTA($B:$B)+14-COUNTA($B$1:$B$14)))</f>
        <v>0</v>
      </c>
      <c r="AU4" s="399">
        <f>SUBTOTAL(109,AU$15:INDEX(AU:AU,COUNTA($B:$B)+14-COUNTA($B$1:$B$14)))</f>
        <v>0</v>
      </c>
      <c r="AV4" s="395">
        <f>SUBTOTAL(109,AV$15:INDEX(AV:AV,COUNTA($B:$B)+14-COUNTA($B$1:$B$14)))</f>
        <v>0</v>
      </c>
      <c r="AW4" s="400">
        <f>SUBTOTAL(109,AW$15:INDEX(AW:AW,COUNTA($B:$B)+14-COUNTA($B$1:$B$14)))</f>
        <v>0</v>
      </c>
      <c r="AX4" s="401">
        <f>SUBTOTAL(109,AX$15:INDEX(AX:AX,COUNTA($B:$B)+14-COUNTA($B$1:$B$14)))</f>
        <v>0</v>
      </c>
      <c r="AY4" s="401">
        <f>SUBTOTAL(109,AY$15:INDEX(AY:AY,COUNTA($B:$B)+14-COUNTA($B$1:$B$14)))</f>
        <v>0</v>
      </c>
      <c r="AZ4" s="401">
        <f>SUBTOTAL(109,AZ$15:INDEX(AZ:AZ,COUNTA($B:$B)+14-COUNTA($B$1:$B$14)))</f>
        <v>0</v>
      </c>
      <c r="BA4" s="401">
        <f>SUBTOTAL(109,BA$15:INDEX(BA:BA,COUNTA($B:$B)+14-COUNTA($B$1:$B$14)))</f>
        <v>0</v>
      </c>
    </row>
    <row r="5" spans="1:53">
      <c r="A5" t="s">
        <v>55</v>
      </c>
      <c r="B5" s="5" t="s">
        <v>55</v>
      </c>
      <c r="C5" s="5" t="s">
        <v>55</v>
      </c>
      <c r="D5" s="5" t="s">
        <v>55</v>
      </c>
      <c r="E5" s="5" t="s">
        <v>55</v>
      </c>
      <c r="F5" s="47" t="s">
        <v>55</v>
      </c>
      <c r="G5" s="36" t="s">
        <v>55</v>
      </c>
      <c r="H5" s="77" t="s">
        <v>55</v>
      </c>
      <c r="I5" s="36" t="s">
        <v>55</v>
      </c>
      <c r="J5" s="11" t="s">
        <v>55</v>
      </c>
      <c r="K5" s="36" t="s">
        <v>64</v>
      </c>
      <c r="L5" s="36" t="s">
        <v>64</v>
      </c>
      <c r="M5" s="36" t="s">
        <v>64</v>
      </c>
      <c r="N5" s="36" t="s">
        <v>64</v>
      </c>
      <c r="O5" s="36" t="s">
        <v>64</v>
      </c>
      <c r="P5" s="36" t="s">
        <v>64</v>
      </c>
      <c r="Q5" s="36" t="s">
        <v>64</v>
      </c>
      <c r="R5" s="402" t="s">
        <v>66</v>
      </c>
      <c r="S5" s="403" t="s">
        <v>55</v>
      </c>
      <c r="T5" s="374" t="s">
        <v>66</v>
      </c>
      <c r="U5" s="11" t="s">
        <v>55</v>
      </c>
      <c r="V5" s="33" t="s">
        <v>64</v>
      </c>
      <c r="W5" s="417" t="s">
        <v>55</v>
      </c>
      <c r="X5" s="410" t="s">
        <v>55</v>
      </c>
      <c r="Y5" s="410" t="s">
        <v>55</v>
      </c>
      <c r="Z5" s="410" t="s">
        <v>55</v>
      </c>
      <c r="AA5" s="374" t="s">
        <v>55</v>
      </c>
      <c r="AB5" s="425" t="s">
        <v>66</v>
      </c>
      <c r="AC5" s="374" t="s">
        <v>66</v>
      </c>
      <c r="AD5" s="374" t="s">
        <v>66</v>
      </c>
      <c r="AE5" s="58" t="s">
        <v>55</v>
      </c>
      <c r="AF5" s="33" t="s">
        <v>64</v>
      </c>
      <c r="AG5" s="33" t="s">
        <v>64</v>
      </c>
      <c r="AH5" s="33" t="s">
        <v>64</v>
      </c>
      <c r="AI5" s="417" t="s">
        <v>55</v>
      </c>
      <c r="AJ5" s="374" t="s">
        <v>66</v>
      </c>
      <c r="AK5" s="374" t="s">
        <v>66</v>
      </c>
      <c r="AL5" s="58" t="s">
        <v>64</v>
      </c>
      <c r="AM5" s="33" t="s">
        <v>64</v>
      </c>
      <c r="AN5" s="33" t="s">
        <v>64</v>
      </c>
      <c r="AO5" s="402" t="s">
        <v>55</v>
      </c>
      <c r="AP5" s="403" t="s">
        <v>55</v>
      </c>
      <c r="AQ5" s="403" t="s">
        <v>55</v>
      </c>
      <c r="AR5" s="403" t="s">
        <v>55</v>
      </c>
      <c r="AS5" s="374" t="s">
        <v>66</v>
      </c>
      <c r="AT5" s="374" t="s">
        <v>66</v>
      </c>
      <c r="AU5" s="404" t="s">
        <v>55</v>
      </c>
      <c r="AV5" s="402" t="s">
        <v>55</v>
      </c>
      <c r="AW5" s="404" t="s">
        <v>55</v>
      </c>
      <c r="AX5" s="401" t="s">
        <v>55</v>
      </c>
      <c r="AY5" s="401" t="s">
        <v>55</v>
      </c>
      <c r="AZ5" s="401" t="s">
        <v>55</v>
      </c>
      <c r="BA5" s="401" t="s">
        <v>55</v>
      </c>
    </row>
    <row r="6" spans="1:53">
      <c r="A6" t="s">
        <v>125</v>
      </c>
      <c r="B6" s="5" t="s">
        <v>125</v>
      </c>
      <c r="C6" s="5" t="s">
        <v>125</v>
      </c>
      <c r="D6" s="5" t="s">
        <v>125</v>
      </c>
      <c r="E6" s="5" t="s">
        <v>125</v>
      </c>
      <c r="F6" s="47" t="s">
        <v>50</v>
      </c>
      <c r="G6" s="36" t="s">
        <v>50</v>
      </c>
      <c r="H6" s="77" t="s">
        <v>50</v>
      </c>
      <c r="I6" s="36" t="s">
        <v>50</v>
      </c>
      <c r="J6" s="11" t="s">
        <v>50</v>
      </c>
      <c r="K6" s="36" t="s">
        <v>49</v>
      </c>
      <c r="L6" s="36" t="s">
        <v>49</v>
      </c>
      <c r="M6" s="36" t="s">
        <v>49</v>
      </c>
      <c r="N6" s="36" t="s">
        <v>49</v>
      </c>
      <c r="O6" s="36" t="s">
        <v>49</v>
      </c>
      <c r="P6" s="36" t="s">
        <v>49</v>
      </c>
      <c r="Q6" s="36" t="s">
        <v>49</v>
      </c>
      <c r="R6" s="402" t="s">
        <v>67</v>
      </c>
      <c r="S6" s="403" t="s">
        <v>69</v>
      </c>
      <c r="T6" s="374" t="s">
        <v>49</v>
      </c>
      <c r="U6" s="11" t="s">
        <v>69</v>
      </c>
      <c r="V6" s="33" t="s">
        <v>49</v>
      </c>
      <c r="W6" s="417" t="s">
        <v>68</v>
      </c>
      <c r="X6" s="410" t="s">
        <v>69</v>
      </c>
      <c r="Y6" s="410" t="s">
        <v>68</v>
      </c>
      <c r="Z6" s="410" t="s">
        <v>69</v>
      </c>
      <c r="AA6" s="374" t="s">
        <v>50</v>
      </c>
      <c r="AB6" s="425" t="s">
        <v>49</v>
      </c>
      <c r="AC6" s="374" t="s">
        <v>49</v>
      </c>
      <c r="AD6" s="374" t="s">
        <v>49</v>
      </c>
      <c r="AE6" s="58" t="s">
        <v>69</v>
      </c>
      <c r="AF6" s="33" t="s">
        <v>49</v>
      </c>
      <c r="AG6" s="33" t="s">
        <v>49</v>
      </c>
      <c r="AH6" s="33" t="s">
        <v>49</v>
      </c>
      <c r="AI6" s="417" t="s">
        <v>50</v>
      </c>
      <c r="AJ6" s="374" t="s">
        <v>49</v>
      </c>
      <c r="AK6" s="374" t="s">
        <v>49</v>
      </c>
      <c r="AL6" s="58" t="s">
        <v>49</v>
      </c>
      <c r="AM6" s="33" t="s">
        <v>49</v>
      </c>
      <c r="AN6" s="33" t="s">
        <v>49</v>
      </c>
      <c r="AO6" s="402" t="s">
        <v>69</v>
      </c>
      <c r="AP6" s="403" t="s">
        <v>68</v>
      </c>
      <c r="AQ6" s="403" t="s">
        <v>69</v>
      </c>
      <c r="AR6" s="403" t="s">
        <v>50</v>
      </c>
      <c r="AS6" s="374" t="s">
        <v>49</v>
      </c>
      <c r="AT6" s="374" t="s">
        <v>49</v>
      </c>
      <c r="AU6" s="404" t="s">
        <v>50</v>
      </c>
      <c r="AV6" s="402" t="s">
        <v>50</v>
      </c>
      <c r="AW6" s="404" t="s">
        <v>50</v>
      </c>
      <c r="AX6" s="401" t="s">
        <v>50</v>
      </c>
      <c r="AY6" s="401" t="s">
        <v>50</v>
      </c>
      <c r="AZ6" s="401" t="s">
        <v>50</v>
      </c>
      <c r="BA6" s="401" t="s">
        <v>50</v>
      </c>
    </row>
    <row r="7" spans="1:53">
      <c r="A7" t="s">
        <v>65</v>
      </c>
      <c r="B7" s="5" t="s">
        <v>65</v>
      </c>
      <c r="C7" s="5" t="s">
        <v>65</v>
      </c>
      <c r="D7" s="5" t="s">
        <v>65</v>
      </c>
      <c r="E7" s="5" t="s">
        <v>65</v>
      </c>
      <c r="F7" s="47" t="s">
        <v>51</v>
      </c>
      <c r="G7" s="36" t="s">
        <v>51</v>
      </c>
      <c r="H7" s="77" t="s">
        <v>52</v>
      </c>
      <c r="I7" s="36" t="s">
        <v>51</v>
      </c>
      <c r="J7" s="11" t="s">
        <v>52</v>
      </c>
      <c r="K7" s="36" t="s">
        <v>51</v>
      </c>
      <c r="L7" s="36" t="s">
        <v>51</v>
      </c>
      <c r="M7" s="36" t="s">
        <v>51</v>
      </c>
      <c r="N7" s="36" t="s">
        <v>51</v>
      </c>
      <c r="O7" s="36" t="s">
        <v>51</v>
      </c>
      <c r="P7" s="36" t="s">
        <v>51</v>
      </c>
      <c r="Q7" s="36" t="s">
        <v>51</v>
      </c>
      <c r="R7" s="402" t="s">
        <v>51</v>
      </c>
      <c r="S7" s="403" t="s">
        <v>52</v>
      </c>
      <c r="T7" s="374" t="s">
        <v>51</v>
      </c>
      <c r="U7" s="11" t="s">
        <v>52</v>
      </c>
      <c r="V7" s="33" t="s">
        <v>51</v>
      </c>
      <c r="W7" s="417" t="s">
        <v>52</v>
      </c>
      <c r="X7" s="410" t="s">
        <v>52</v>
      </c>
      <c r="Y7" s="410" t="s">
        <v>52</v>
      </c>
      <c r="Z7" s="410" t="s">
        <v>52</v>
      </c>
      <c r="AA7" s="374" t="s">
        <v>51</v>
      </c>
      <c r="AB7" s="425" t="s">
        <v>51</v>
      </c>
      <c r="AC7" s="374" t="s">
        <v>51</v>
      </c>
      <c r="AD7" s="374" t="s">
        <v>51</v>
      </c>
      <c r="AE7" s="58" t="s">
        <v>51</v>
      </c>
      <c r="AF7" s="33" t="s">
        <v>51</v>
      </c>
      <c r="AG7" s="33" t="s">
        <v>51</v>
      </c>
      <c r="AH7" s="33" t="s">
        <v>51</v>
      </c>
      <c r="AI7" s="417" t="s">
        <v>52</v>
      </c>
      <c r="AJ7" s="374" t="s">
        <v>51</v>
      </c>
      <c r="AK7" s="374" t="s">
        <v>51</v>
      </c>
      <c r="AL7" s="58" t="s">
        <v>51</v>
      </c>
      <c r="AM7" s="33" t="s">
        <v>51</v>
      </c>
      <c r="AN7" s="33" t="s">
        <v>51</v>
      </c>
      <c r="AO7" s="402" t="s">
        <v>51</v>
      </c>
      <c r="AP7" s="403" t="s">
        <v>52</v>
      </c>
      <c r="AQ7" s="403" t="s">
        <v>52</v>
      </c>
      <c r="AR7" s="403" t="s">
        <v>52</v>
      </c>
      <c r="AS7" s="374" t="s">
        <v>51</v>
      </c>
      <c r="AT7" s="374" t="s">
        <v>51</v>
      </c>
      <c r="AU7" s="404" t="s">
        <v>51</v>
      </c>
      <c r="AV7" s="402" t="s">
        <v>51</v>
      </c>
      <c r="AW7" s="404" t="s">
        <v>51</v>
      </c>
      <c r="AX7" s="401" t="s">
        <v>51</v>
      </c>
      <c r="AY7" s="401" t="s">
        <v>51</v>
      </c>
      <c r="AZ7" s="401" t="s">
        <v>51</v>
      </c>
      <c r="BA7" s="401" t="s">
        <v>51</v>
      </c>
    </row>
    <row r="8" spans="1:53">
      <c r="F8" s="47"/>
      <c r="G8" s="36"/>
      <c r="H8" s="77"/>
      <c r="I8" s="36"/>
      <c r="J8" s="11"/>
      <c r="K8" s="264" t="s">
        <v>477</v>
      </c>
      <c r="L8" s="264" t="s">
        <v>478</v>
      </c>
      <c r="M8" s="264" t="s">
        <v>478</v>
      </c>
      <c r="N8" s="264" t="s">
        <v>478</v>
      </c>
      <c r="O8" s="264" t="s">
        <v>479</v>
      </c>
      <c r="P8" s="264" t="s">
        <v>480</v>
      </c>
      <c r="Q8" s="264" t="s">
        <v>480</v>
      </c>
      <c r="R8" s="402" t="s">
        <v>70</v>
      </c>
      <c r="T8" s="374" t="s">
        <v>70</v>
      </c>
      <c r="U8" s="138"/>
      <c r="V8" s="260" t="s">
        <v>477</v>
      </c>
      <c r="AB8" s="425" t="s">
        <v>72</v>
      </c>
      <c r="AC8" s="374" t="s">
        <v>72</v>
      </c>
      <c r="AD8" s="374" t="s">
        <v>72</v>
      </c>
      <c r="AF8" s="260" t="s">
        <v>478</v>
      </c>
      <c r="AG8" s="260" t="s">
        <v>478</v>
      </c>
      <c r="AH8" s="260" t="s">
        <v>478</v>
      </c>
      <c r="AI8" s="417"/>
      <c r="AJ8" s="374" t="s">
        <v>74</v>
      </c>
      <c r="AK8" s="374" t="s">
        <v>74</v>
      </c>
      <c r="AL8" s="277" t="s">
        <v>479</v>
      </c>
      <c r="AM8" s="260" t="s">
        <v>480</v>
      </c>
      <c r="AN8" s="260" t="s">
        <v>480</v>
      </c>
      <c r="AP8" s="403"/>
      <c r="AQ8" s="403"/>
      <c r="AR8" s="403"/>
      <c r="AS8" s="374" t="s">
        <v>474</v>
      </c>
      <c r="AT8" s="374" t="s">
        <v>474</v>
      </c>
    </row>
    <row r="9" spans="1:53">
      <c r="F9" s="47"/>
      <c r="G9" s="36"/>
      <c r="H9" s="77"/>
      <c r="I9" s="36"/>
      <c r="J9" s="11"/>
      <c r="K9" s="264"/>
      <c r="L9" s="264"/>
      <c r="M9" s="264"/>
      <c r="N9" s="264"/>
      <c r="O9" s="264"/>
      <c r="P9" s="264"/>
      <c r="Q9" s="264"/>
      <c r="R9" s="402" t="s">
        <v>71</v>
      </c>
      <c r="T9" s="374" t="s">
        <v>71</v>
      </c>
      <c r="U9" s="138"/>
      <c r="V9" s="260"/>
      <c r="AB9" s="425" t="s">
        <v>73</v>
      </c>
      <c r="AC9" s="374" t="s">
        <v>73</v>
      </c>
      <c r="AD9" s="374" t="s">
        <v>73</v>
      </c>
      <c r="AF9" s="260"/>
      <c r="AG9" s="260"/>
      <c r="AH9" s="260"/>
      <c r="AI9" s="417"/>
      <c r="AJ9" s="374" t="s">
        <v>75</v>
      </c>
      <c r="AK9" s="374" t="s">
        <v>75</v>
      </c>
      <c r="AL9" s="277"/>
      <c r="AM9" s="260"/>
      <c r="AN9" s="260"/>
      <c r="AP9" s="403"/>
      <c r="AQ9" s="403"/>
      <c r="AR9" s="403"/>
      <c r="AS9" s="374" t="s">
        <v>475</v>
      </c>
      <c r="AT9" s="374" t="s">
        <v>475</v>
      </c>
    </row>
    <row r="10" spans="1:53">
      <c r="F10" s="47"/>
      <c r="G10" s="36"/>
      <c r="H10" s="77"/>
      <c r="I10" s="36"/>
      <c r="J10" s="11"/>
      <c r="K10" s="264"/>
      <c r="L10" s="264" t="s">
        <v>58</v>
      </c>
      <c r="M10" s="264" t="s">
        <v>59</v>
      </c>
      <c r="N10" s="264" t="s">
        <v>60</v>
      </c>
      <c r="O10" s="264" t="s">
        <v>61</v>
      </c>
      <c r="P10" s="264" t="s">
        <v>77</v>
      </c>
      <c r="Q10" s="264" t="s">
        <v>76</v>
      </c>
      <c r="R10" s="402"/>
      <c r="T10" s="374"/>
      <c r="U10" s="138"/>
      <c r="V10" s="260"/>
      <c r="AB10" s="425" t="s">
        <v>58</v>
      </c>
      <c r="AC10" s="374" t="s">
        <v>59</v>
      </c>
      <c r="AD10" s="374" t="s">
        <v>60</v>
      </c>
      <c r="AF10" s="260" t="s">
        <v>58</v>
      </c>
      <c r="AG10" s="260" t="s">
        <v>59</v>
      </c>
      <c r="AH10" s="260" t="s">
        <v>60</v>
      </c>
      <c r="AI10" s="417"/>
      <c r="AJ10" s="374" t="s">
        <v>77</v>
      </c>
      <c r="AK10" s="374" t="s">
        <v>76</v>
      </c>
      <c r="AL10" s="277" t="s">
        <v>61</v>
      </c>
      <c r="AM10" s="260" t="s">
        <v>77</v>
      </c>
      <c r="AN10" s="260" t="s">
        <v>76</v>
      </c>
      <c r="AP10" s="403"/>
      <c r="AQ10" s="403"/>
      <c r="AR10" s="403"/>
      <c r="AS10" s="374" t="s">
        <v>61</v>
      </c>
      <c r="AT10" s="374" t="s">
        <v>78</v>
      </c>
    </row>
    <row r="11" spans="1:53">
      <c r="F11" s="47" t="s">
        <v>596</v>
      </c>
      <c r="G11" s="36" t="s">
        <v>596</v>
      </c>
      <c r="H11" s="77" t="s">
        <v>596</v>
      </c>
      <c r="I11" s="36" t="s">
        <v>596</v>
      </c>
      <c r="J11" s="11" t="s">
        <v>596</v>
      </c>
      <c r="K11" s="36" t="s">
        <v>596</v>
      </c>
      <c r="L11" s="36" t="s">
        <v>596</v>
      </c>
      <c r="M11" s="36" t="s">
        <v>596</v>
      </c>
      <c r="N11" s="36" t="s">
        <v>596</v>
      </c>
      <c r="O11" s="36" t="s">
        <v>596</v>
      </c>
      <c r="P11" s="36" t="s">
        <v>596</v>
      </c>
      <c r="Q11" s="36" t="s">
        <v>596</v>
      </c>
      <c r="R11" s="402" t="s">
        <v>596</v>
      </c>
      <c r="S11" s="403" t="s">
        <v>596</v>
      </c>
      <c r="T11" s="374" t="s">
        <v>596</v>
      </c>
      <c r="U11" s="11" t="s">
        <v>596</v>
      </c>
      <c r="V11" s="33" t="s">
        <v>596</v>
      </c>
      <c r="W11" s="417" t="s">
        <v>596</v>
      </c>
      <c r="X11" s="410" t="s">
        <v>596</v>
      </c>
      <c r="Y11" s="410" t="s">
        <v>596</v>
      </c>
      <c r="Z11" s="410" t="s">
        <v>596</v>
      </c>
      <c r="AA11" s="374" t="s">
        <v>596</v>
      </c>
      <c r="AB11" s="425" t="s">
        <v>596</v>
      </c>
      <c r="AC11" s="374" t="s">
        <v>596</v>
      </c>
      <c r="AD11" s="374" t="s">
        <v>596</v>
      </c>
      <c r="AE11" s="58" t="s">
        <v>596</v>
      </c>
      <c r="AF11" s="33" t="s">
        <v>596</v>
      </c>
      <c r="AG11" s="33" t="s">
        <v>596</v>
      </c>
      <c r="AH11" s="33" t="s">
        <v>596</v>
      </c>
      <c r="AI11" s="417" t="s">
        <v>596</v>
      </c>
      <c r="AJ11" s="374" t="s">
        <v>596</v>
      </c>
      <c r="AK11" s="374" t="s">
        <v>596</v>
      </c>
      <c r="AL11" s="58" t="s">
        <v>596</v>
      </c>
      <c r="AM11" s="33" t="s">
        <v>596</v>
      </c>
      <c r="AN11" s="33" t="s">
        <v>596</v>
      </c>
      <c r="AO11" s="402" t="s">
        <v>596</v>
      </c>
      <c r="AP11" s="403" t="s">
        <v>596</v>
      </c>
      <c r="AQ11" s="403" t="s">
        <v>596</v>
      </c>
      <c r="AR11" s="403" t="s">
        <v>596</v>
      </c>
      <c r="AS11" s="374" t="s">
        <v>596</v>
      </c>
      <c r="AT11" s="374" t="s">
        <v>596</v>
      </c>
      <c r="AU11" s="404" t="s">
        <v>596</v>
      </c>
      <c r="AV11" s="402" t="s">
        <v>596</v>
      </c>
      <c r="AW11" s="404" t="s">
        <v>596</v>
      </c>
      <c r="AX11" s="401" t="s">
        <v>596</v>
      </c>
      <c r="AY11" s="401" t="s">
        <v>596</v>
      </c>
      <c r="AZ11" s="401" t="s">
        <v>596</v>
      </c>
      <c r="BA11" s="401" t="s">
        <v>596</v>
      </c>
    </row>
    <row r="12" spans="1:53">
      <c r="F12" s="47" t="s">
        <v>419</v>
      </c>
      <c r="G12" s="36" t="s">
        <v>419</v>
      </c>
      <c r="H12" s="77" t="s">
        <v>419</v>
      </c>
      <c r="I12" s="36" t="s">
        <v>419</v>
      </c>
      <c r="J12" s="11" t="s">
        <v>419</v>
      </c>
      <c r="K12" s="36" t="s">
        <v>419</v>
      </c>
      <c r="L12" s="36" t="s">
        <v>419</v>
      </c>
      <c r="M12" s="36" t="s">
        <v>419</v>
      </c>
      <c r="N12" s="36" t="s">
        <v>419</v>
      </c>
      <c r="O12" s="36" t="s">
        <v>419</v>
      </c>
      <c r="P12" s="36" t="s">
        <v>419</v>
      </c>
      <c r="Q12" s="36" t="s">
        <v>419</v>
      </c>
      <c r="R12" s="402" t="s">
        <v>419</v>
      </c>
      <c r="S12" s="403" t="s">
        <v>419</v>
      </c>
      <c r="T12" s="374" t="s">
        <v>419</v>
      </c>
      <c r="U12" s="11" t="s">
        <v>419</v>
      </c>
      <c r="V12" s="33" t="s">
        <v>419</v>
      </c>
      <c r="W12" s="417" t="s">
        <v>419</v>
      </c>
      <c r="X12" s="410" t="s">
        <v>419</v>
      </c>
      <c r="Y12" s="410" t="s">
        <v>419</v>
      </c>
      <c r="Z12" s="410" t="s">
        <v>419</v>
      </c>
      <c r="AA12" s="374" t="s">
        <v>419</v>
      </c>
      <c r="AB12" s="425" t="s">
        <v>419</v>
      </c>
      <c r="AC12" s="374" t="s">
        <v>419</v>
      </c>
      <c r="AD12" s="374" t="s">
        <v>419</v>
      </c>
      <c r="AE12" s="58" t="s">
        <v>419</v>
      </c>
      <c r="AF12" s="33" t="s">
        <v>419</v>
      </c>
      <c r="AG12" s="33" t="s">
        <v>419</v>
      </c>
      <c r="AH12" s="33" t="s">
        <v>419</v>
      </c>
      <c r="AI12" s="417" t="s">
        <v>419</v>
      </c>
      <c r="AJ12" s="374" t="s">
        <v>419</v>
      </c>
      <c r="AK12" s="374" t="s">
        <v>419</v>
      </c>
      <c r="AL12" s="58" t="s">
        <v>419</v>
      </c>
      <c r="AM12" s="33" t="s">
        <v>419</v>
      </c>
      <c r="AN12" s="33" t="s">
        <v>419</v>
      </c>
      <c r="AO12" s="402" t="s">
        <v>419</v>
      </c>
      <c r="AP12" s="403" t="s">
        <v>419</v>
      </c>
      <c r="AQ12" s="403" t="s">
        <v>419</v>
      </c>
      <c r="AR12" s="403" t="s">
        <v>419</v>
      </c>
      <c r="AS12" s="374" t="s">
        <v>419</v>
      </c>
      <c r="AT12" s="374" t="s">
        <v>419</v>
      </c>
      <c r="AU12" s="404" t="s">
        <v>419</v>
      </c>
      <c r="AV12" s="402" t="s">
        <v>419</v>
      </c>
      <c r="AW12" s="404" t="s">
        <v>419</v>
      </c>
      <c r="AX12" s="401" t="s">
        <v>419</v>
      </c>
      <c r="AY12" s="401" t="s">
        <v>419</v>
      </c>
      <c r="AZ12" s="401" t="s">
        <v>419</v>
      </c>
      <c r="BA12" s="401" t="s">
        <v>419</v>
      </c>
    </row>
    <row r="13" spans="1:53">
      <c r="F13" s="47"/>
      <c r="G13" s="36"/>
      <c r="H13" s="77"/>
      <c r="I13" s="36"/>
      <c r="J13" s="11"/>
      <c r="K13" s="36"/>
      <c r="L13" s="36"/>
      <c r="M13" s="36"/>
      <c r="N13" s="36"/>
      <c r="O13" s="36"/>
      <c r="P13" s="36"/>
      <c r="Q13" s="36"/>
      <c r="R13" s="402"/>
      <c r="T13" s="374"/>
      <c r="V13" s="33"/>
      <c r="AI13" s="417"/>
      <c r="AP13" s="403"/>
      <c r="AQ13" s="403"/>
      <c r="AR13" s="403"/>
    </row>
    <row r="14" spans="1:53">
      <c r="A14" s="286" t="s">
        <v>40</v>
      </c>
      <c r="B14" s="198" t="s">
        <v>3</v>
      </c>
      <c r="C14" s="198" t="s">
        <v>22</v>
      </c>
      <c r="D14" s="198" t="s">
        <v>4</v>
      </c>
      <c r="E14" s="198" t="s">
        <v>43</v>
      </c>
      <c r="F14" s="209" t="s">
        <v>171</v>
      </c>
      <c r="G14" s="185" t="s">
        <v>172</v>
      </c>
      <c r="H14" s="207" t="s">
        <v>174</v>
      </c>
      <c r="I14" s="185" t="s">
        <v>175</v>
      </c>
      <c r="J14" s="186" t="s">
        <v>534</v>
      </c>
      <c r="K14" s="185" t="s">
        <v>176</v>
      </c>
      <c r="L14" s="185" t="s">
        <v>692</v>
      </c>
      <c r="M14" s="185" t="s">
        <v>177</v>
      </c>
      <c r="N14" s="185" t="s">
        <v>178</v>
      </c>
      <c r="O14" s="185" t="s">
        <v>179</v>
      </c>
      <c r="P14" s="185" t="s">
        <v>180</v>
      </c>
      <c r="Q14" s="185" t="s">
        <v>181</v>
      </c>
      <c r="R14" s="438" t="s">
        <v>186</v>
      </c>
      <c r="S14" s="426" t="s">
        <v>284</v>
      </c>
      <c r="T14" s="408" t="s">
        <v>187</v>
      </c>
      <c r="U14" s="210" t="s">
        <v>457</v>
      </c>
      <c r="V14" s="211" t="s">
        <v>456</v>
      </c>
      <c r="W14" s="418" t="s">
        <v>694</v>
      </c>
      <c r="X14" s="426" t="s">
        <v>695</v>
      </c>
      <c r="Y14" s="406" t="s">
        <v>349</v>
      </c>
      <c r="Z14" s="426" t="s">
        <v>285</v>
      </c>
      <c r="AA14" s="407" t="s">
        <v>460</v>
      </c>
      <c r="AB14" s="408" t="s">
        <v>693</v>
      </c>
      <c r="AC14" s="407" t="s">
        <v>204</v>
      </c>
      <c r="AD14" s="408" t="s">
        <v>205</v>
      </c>
      <c r="AE14" s="213" t="s">
        <v>461</v>
      </c>
      <c r="AF14" s="211" t="s">
        <v>696</v>
      </c>
      <c r="AG14" s="211" t="s">
        <v>458</v>
      </c>
      <c r="AH14" s="211" t="s">
        <v>459</v>
      </c>
      <c r="AI14" s="418" t="s">
        <v>300</v>
      </c>
      <c r="AJ14" s="408" t="s">
        <v>188</v>
      </c>
      <c r="AK14" s="408" t="s">
        <v>466</v>
      </c>
      <c r="AL14" s="213" t="s">
        <v>462</v>
      </c>
      <c r="AM14" s="211" t="s">
        <v>463</v>
      </c>
      <c r="AN14" s="211" t="s">
        <v>464</v>
      </c>
      <c r="AO14" s="405" t="s">
        <v>286</v>
      </c>
      <c r="AP14" s="406" t="s">
        <v>568</v>
      </c>
      <c r="AQ14" s="406" t="s">
        <v>287</v>
      </c>
      <c r="AR14" s="406" t="s">
        <v>288</v>
      </c>
      <c r="AS14" s="407" t="s">
        <v>206</v>
      </c>
      <c r="AT14" s="407" t="s">
        <v>207</v>
      </c>
      <c r="AU14" s="408" t="s">
        <v>289</v>
      </c>
      <c r="AV14" s="405" t="s">
        <v>290</v>
      </c>
      <c r="AW14" s="408" t="s">
        <v>291</v>
      </c>
      <c r="AX14" s="409" t="s">
        <v>559</v>
      </c>
      <c r="AY14" s="409" t="s">
        <v>560</v>
      </c>
      <c r="AZ14" s="409" t="s">
        <v>562</v>
      </c>
      <c r="BA14" s="409" t="s">
        <v>561</v>
      </c>
    </row>
    <row r="15" spans="1:53">
      <c r="A15" t="e">
        <f>INDEX(Prioritization!$D:$D,MATCH($B15,Prioritization!$A:$A,0))</f>
        <v>#N/A</v>
      </c>
      <c r="E15" s="5" t="str">
        <f>B15&amp;"|"&amp;C15&amp;"|"&amp;D15</f>
        <v>||</v>
      </c>
      <c r="F15" s="52" t="str">
        <f>IF(LEFT($B15,4)="_Mil","",INDEX(Cascade!$T:$T,MATCH($E15,Cascade!$E:$E,0)))</f>
        <v/>
      </c>
      <c r="G15" s="38" t="str">
        <f>IF(LEFT($B15,4)="_Mil","",INDEX(Cascade!$U:$U,MATCH($E15,Cascade!$E:$E,0)))</f>
        <v/>
      </c>
      <c r="H15" s="77"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403">
        <v>0</v>
      </c>
      <c r="T15" s="440" t="str">
        <f>IF(SUM($R15)=0,"",ROUND($R15*(1+$S15),0))</f>
        <v/>
      </c>
      <c r="U15" s="11" t="str">
        <f>IF(LEFT($B15,4)="_Mil","",IF(SUM($K15)=0,IF(SUM($R15)=0,"",1),MIN($R15/$K15,1)))</f>
        <v/>
      </c>
      <c r="V15" s="59" t="str">
        <f>IF(OR(SUM($T15)=0,LEFT($B15,4)="_Mil"),"",ROUND($T15/$U15,0))</f>
        <v/>
      </c>
      <c r="X15" s="410" t="str">
        <f>IF(SUM($K15,$W15)=0,"",MAX(IFERROR(SUM($L15)/$K15,0),SUM($W15)))</f>
        <v/>
      </c>
      <c r="Z15" s="410" t="str">
        <f>IF(SUM($K15,$Y15)=0,"",MIN(SUM($Y15),IFERROR(SUM($M15)/(SUM($K15)-SUM($L15)),1)))</f>
        <v/>
      </c>
      <c r="AA15" s="374" t="str">
        <f>$T15</f>
        <v/>
      </c>
      <c r="AB15" s="374" t="str">
        <f>IF(SUM($AA15)=0,"",IF(AND(SUM($AA15)&gt;0,$X15=""),"ENTER KNOWN POSITIVITY RATE",ROUND($AA15*$X15,0)))</f>
        <v/>
      </c>
      <c r="AC15" s="374" t="str">
        <f>IF(SUM($AA15)=0,"",IF(AND((SUM($AA15)-SUM($AB15))&gt;0,$Z15=""),"ENTER YIELD RATE",ROUND(($AA15-SUM($AB15))*$Z15,0)))</f>
        <v/>
      </c>
      <c r="AD15" s="374" t="str">
        <f>IF(SUM($AA15)=0,"",$AA15-SUM($AB15)-SUM($AC15))</f>
        <v/>
      </c>
      <c r="AE15" s="58" t="str">
        <f>$V15</f>
        <v/>
      </c>
      <c r="AF15" s="33" t="str">
        <f>IF(SUM($AE15)=0,"",ROUND($AE15*SUM($X15),0))</f>
        <v/>
      </c>
      <c r="AG15" s="33" t="str">
        <f>IF(SUM($AE15)=0,"",ROUND(($AE15-SUM($AF15))*SUM($Z15),0))</f>
        <v/>
      </c>
      <c r="AH15" s="33" t="str">
        <f>IF(SUM($AE15)=0,"",$AE15-SUM($AF15)-SUM($AG15))</f>
        <v/>
      </c>
      <c r="AI15" s="417" t="str">
        <f>IF(SUM($AC15)=0,"",INDEX(Cascade!$BH:$BH,MATCH($E15,Cascade!$E:$E,0)))</f>
        <v/>
      </c>
      <c r="AJ15" s="374" t="str">
        <f>$AB15</f>
        <v/>
      </c>
      <c r="AK15" s="374" t="str">
        <f>IF(SUM($AC15)=0,"",IF(AND($AI15="",SUM($AC15)&gt;0),"&lt;- Enter Linkage Rate",ROUND($AC15*$AI15,0)))</f>
        <v/>
      </c>
      <c r="AL15" s="58" t="str">
        <f>IF(SUM($AF15,$AG15)=0,"",SUM($AF15,$AG15))</f>
        <v/>
      </c>
      <c r="AM15" s="33" t="str">
        <f>$AF15</f>
        <v/>
      </c>
      <c r="AN15" s="33" t="str">
        <f>IF(SUM($AG15)=0,"",ROUND($AG15*SUM($AI15),0))</f>
        <v/>
      </c>
      <c r="AO15" s="402" t="str">
        <f>IFERROR(1/(1/MAX(SUM($T15)-SUM($AB15,$AC15),$AD15)),"")</f>
        <v/>
      </c>
      <c r="AP15" s="403"/>
      <c r="AQ15" s="403" t="str">
        <f>IF($AP15="","",$AP15)</f>
        <v/>
      </c>
      <c r="AR15" s="403" t="str">
        <f>IF(SUM($AO15)=0,"",INDEX(Cascade!$BH:$BH,MATCH($E15,Cascade!$E:$E,0)))</f>
        <v/>
      </c>
      <c r="AS15" s="374" t="str">
        <f>IF(SUM($AO15)=0,"",IF(AND(SUM($AO15)&gt;0,$AQ15=""),"ENTER YIELD RATE",ROUND($AO15*$AQ15,0)))</f>
        <v/>
      </c>
      <c r="AT15" s="374" t="str">
        <f>IF(SUM($AO15)=0,"",ROUND($AO15-SUM($AS15),0))</f>
        <v/>
      </c>
      <c r="AU15" s="404" t="str">
        <f>IF(SUM($AS15)=0,"",ROUND($AS15*$AR15,0))</f>
        <v/>
      </c>
      <c r="AV15" s="402" t="str">
        <f>IFERROR(1/(1/SUM($AC15,$AB15,$AS15)),"")</f>
        <v/>
      </c>
      <c r="AW15" s="404" t="str">
        <f>IFERROR(1/(1/INDEX(Cascade!$BI:$BI,MATCH($E15,Cascade!$E:$E,0))),"")</f>
        <v/>
      </c>
      <c r="AX15" s="401" t="str">
        <f>IF(SUM($AC15)=0,"",$AC15)</f>
        <v/>
      </c>
      <c r="AY15" s="401" t="str">
        <f>IF(SUM($AS15)=0,"",$AS15)</f>
        <v/>
      </c>
      <c r="AZ15" s="401" t="str">
        <f>IFERROR(1/(1/INDEX(#REF!,MATCH($E15,#REF!,0))),"")</f>
        <v/>
      </c>
      <c r="BA15" s="401" t="str">
        <f>IFERROR(1/(1/(SUM($AW15)-SUM($AX15:$AZ15))),"")</f>
        <v/>
      </c>
    </row>
    <row r="16" spans="1:53">
      <c r="AB16" s="374"/>
    </row>
  </sheetData>
  <mergeCells count="1">
    <mergeCell ref="A2:B3"/>
  </mergeCells>
  <phoneticPr fontId="18" type="noConversion"/>
  <conditionalFormatting sqref="F1:Q1048576 U1:V1048576 AE1:AH1048576 AL1:AN1048576">
    <cfRule type="expression" dxfId="102" priority="1">
      <formula>AND(ROW(F1)&gt;14,LEFT($B1,4)="_Mil")</formula>
    </cfRule>
  </conditionalFormatting>
  <conditionalFormatting sqref="F1:R1048576 T1:BA1048576">
    <cfRule type="expression" dxfId="101" priority="2">
      <formula>AND(ISNUMBER(F1),F1&lt;0)</formula>
    </cfRule>
  </conditionalFormatting>
  <conditionalFormatting sqref="J1:J1048576">
    <cfRule type="expression" dxfId="100" priority="14">
      <formula>AND(ISNUMBER(J1),J1&gt;1)</formula>
    </cfRule>
  </conditionalFormatting>
  <conditionalFormatting sqref="S1:S1048576">
    <cfRule type="expression" dxfId="99" priority="49">
      <formula>AND(ISNUMBER($S1),ROUND($S1,2)&lt;0)</formula>
    </cfRule>
  </conditionalFormatting>
  <conditionalFormatting sqref="X1:X1048576">
    <cfRule type="expression" dxfId="98" priority="4">
      <formula>$AB1="ENTER KNOWN POSITIVITY RATE"</formula>
    </cfRule>
    <cfRule type="expression" dxfId="97" priority="1283">
      <formula>AND(ISNUMBER(X1),ROUND(X1,2)&gt;=0.75)</formula>
    </cfRule>
  </conditionalFormatting>
  <conditionalFormatting sqref="Z1:Z1048576">
    <cfRule type="expression" dxfId="96" priority="5">
      <formula>$AC1="ENTER YIELD RATE"</formula>
    </cfRule>
  </conditionalFormatting>
  <conditionalFormatting sqref="AI1:AI1048576 AR1:AR1048576">
    <cfRule type="expression" dxfId="95" priority="47">
      <formula>AND(ISNUMBER(AI1),ROUND(AI1,2)&lt;0.95)</formula>
    </cfRule>
  </conditionalFormatting>
  <conditionalFormatting sqref="AP1:AR1048576 W1:Z1048576 H1:H1048576 U1:U1048576 AI1:AI1048576">
    <cfRule type="expression" dxfId="94" priority="7">
      <formula>AND(ISNUMBER(H1),H1&gt;1)</formula>
    </cfRule>
  </conditionalFormatting>
  <conditionalFormatting sqref="AQ1:AQ1048576 Z1:Z1048576">
    <cfRule type="expression" dxfId="93" priority="24">
      <formula>AND(ISNUMBER(Z1),Z1&gt;10%)</formula>
    </cfRule>
  </conditionalFormatting>
  <conditionalFormatting sqref="AQ1:AQ1048576">
    <cfRule type="expression" dxfId="92"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FF0000"/>
  </sheetPr>
  <dimension ref="A1:V15"/>
  <sheetViews>
    <sheetView zoomScaleNormal="100" workbookViewId="0">
      <pane xSplit="2" ySplit="14" topLeftCell="C15" activePane="bottomRight" state="frozen"/>
      <selection pane="topRight"/>
      <selection pane="bottomLeft"/>
      <selection pane="bottomRight" activeCell="V3" sqref="V3"/>
    </sheetView>
  </sheetViews>
  <sheetFormatPr defaultColWidth="11.19921875" defaultRowHeight="15.6"/>
  <cols>
    <col min="1" max="1" width="16.19921875" customWidth="1"/>
    <col min="2" max="2" width="30.796875" customWidth="1"/>
    <col min="3" max="3" width="11.796875" style="47" customWidth="1"/>
    <col min="4" max="5" width="11.796875" style="19" customWidth="1"/>
    <col min="6" max="7" width="11.796875" style="33" customWidth="1"/>
    <col min="8" max="8" width="11.796875" style="143" customWidth="1"/>
    <col min="9" max="11" width="11.796875" style="19" customWidth="1"/>
    <col min="12" max="12" width="11.796875" style="33" customWidth="1"/>
    <col min="13" max="13" width="11.796875" style="19" customWidth="1"/>
    <col min="14" max="14" width="11.796875" style="33" customWidth="1"/>
    <col min="15" max="15" width="11.796875" style="19" customWidth="1"/>
    <col min="16" max="16" width="11.796875" style="33" customWidth="1"/>
    <col min="17" max="17" width="11.796875" style="19" customWidth="1"/>
    <col min="18" max="18" width="11.796875" style="36" customWidth="1"/>
    <col min="19" max="19" width="11.796875" style="19" customWidth="1"/>
    <col min="20" max="20" width="11.796875" style="33" customWidth="1"/>
    <col min="21" max="21" width="11.796875" style="19" customWidth="1"/>
    <col min="22" max="22" width="11.796875" style="33" customWidth="1"/>
  </cols>
  <sheetData>
    <row r="1" spans="1:22" s="22" customFormat="1" ht="31.05" customHeight="1">
      <c r="A1" s="287" t="s">
        <v>21</v>
      </c>
      <c r="B1" s="4"/>
      <c r="C1" s="206" t="s">
        <v>30</v>
      </c>
      <c r="D1" s="175"/>
      <c r="E1" s="219"/>
      <c r="F1" s="172"/>
      <c r="G1" s="172"/>
      <c r="H1" s="205" t="s">
        <v>39</v>
      </c>
      <c r="I1" s="177"/>
      <c r="J1" s="177"/>
      <c r="K1" s="175"/>
      <c r="L1" s="178"/>
      <c r="M1" s="175"/>
      <c r="N1" s="178"/>
      <c r="O1" s="175"/>
      <c r="P1" s="178"/>
      <c r="Q1" s="175"/>
      <c r="R1" s="174"/>
      <c r="S1" s="175"/>
      <c r="T1" s="178"/>
      <c r="U1" s="175"/>
      <c r="V1" s="178"/>
    </row>
    <row r="2" spans="1:22" s="3" customFormat="1" ht="18">
      <c r="A2" s="71"/>
      <c r="B2" s="14"/>
      <c r="C2" s="51"/>
      <c r="F2" s="247" t="s">
        <v>554</v>
      </c>
      <c r="G2" s="247" t="s">
        <v>554</v>
      </c>
      <c r="H2" s="115"/>
      <c r="I2" s="116"/>
      <c r="J2" s="116"/>
      <c r="L2" s="247" t="s">
        <v>554</v>
      </c>
      <c r="N2" s="247" t="s">
        <v>554</v>
      </c>
      <c r="P2" s="247" t="s">
        <v>554</v>
      </c>
      <c r="R2" s="248"/>
      <c r="T2" s="247" t="s">
        <v>554</v>
      </c>
      <c r="V2" s="247" t="s">
        <v>554</v>
      </c>
    </row>
    <row r="3" spans="1:22" ht="117" customHeight="1">
      <c r="A3" s="284"/>
      <c r="B3" s="17"/>
      <c r="C3" s="121" t="s">
        <v>805</v>
      </c>
      <c r="D3" s="215" t="s">
        <v>806</v>
      </c>
      <c r="E3" s="215" t="s">
        <v>807</v>
      </c>
      <c r="F3" s="30" t="s">
        <v>808</v>
      </c>
      <c r="G3" s="30" t="s">
        <v>809</v>
      </c>
      <c r="H3" s="150" t="s">
        <v>899</v>
      </c>
      <c r="I3" s="151" t="s">
        <v>900</v>
      </c>
      <c r="J3" s="218" t="s">
        <v>810</v>
      </c>
      <c r="K3" s="237" t="s">
        <v>811</v>
      </c>
      <c r="L3" s="122" t="s">
        <v>812</v>
      </c>
      <c r="M3" s="237" t="s">
        <v>662</v>
      </c>
      <c r="N3" s="122" t="s">
        <v>813</v>
      </c>
      <c r="O3" s="237" t="s">
        <v>814</v>
      </c>
      <c r="P3" s="122" t="s">
        <v>815</v>
      </c>
      <c r="Q3" s="218" t="s">
        <v>816</v>
      </c>
      <c r="R3" s="125" t="s">
        <v>817</v>
      </c>
      <c r="S3" s="218" t="s">
        <v>818</v>
      </c>
      <c r="T3" s="122" t="s">
        <v>819</v>
      </c>
      <c r="U3" s="218" t="s">
        <v>820</v>
      </c>
      <c r="V3" s="122" t="s">
        <v>821</v>
      </c>
    </row>
    <row r="4" spans="1:22">
      <c r="A4" s="285"/>
      <c r="B4" s="15" t="s">
        <v>2</v>
      </c>
      <c r="C4" s="57">
        <f>SUBTOTAL(109,C$15:INDEX(C:C,COUNTA($B:$B)+14-COUNTA($B$1:$B$14)))</f>
        <v>0</v>
      </c>
      <c r="D4" s="18" t="str">
        <f>IF(SUM($C4)=0,"",SUM($F4)/$C4)</f>
        <v/>
      </c>
      <c r="E4" s="18" t="str">
        <f>IF(SUM($C4)=0,"",SUM($F4,$G4)/$C4)</f>
        <v/>
      </c>
      <c r="F4" s="32">
        <f>SUBTOTAL(109,F$15:INDEX(F:F,COUNTA($B:$B)+14-COUNTA($B$1:$B$14)))</f>
        <v>0</v>
      </c>
      <c r="G4" s="32">
        <f>SUBTOTAL(109,G$15:INDEX(G:G,COUNTA($B:$B)+14-COUNTA($B$1:$B$14)))</f>
        <v>0</v>
      </c>
      <c r="H4" s="75"/>
      <c r="I4" s="117"/>
      <c r="J4" s="117"/>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98">
        <f>SUBTOTAL(109,R$15:INDEX(R:R,COUNTA($B:$B)+14-COUNTA($B$1:$B$14)))</f>
        <v>0</v>
      </c>
      <c r="S4" s="18" t="str">
        <f>IF(SUM($R4)=0,"",SUM($T4)/$R4)</f>
        <v/>
      </c>
      <c r="T4" s="32">
        <f>SUBTOTAL(109,T$15:INDEX(T:T,COUNTA($B:$B)+14-COUNTA($B$1:$B$14)))</f>
        <v>0</v>
      </c>
      <c r="U4" s="18" t="str">
        <f>IF(SUM($T4)=0,"",SUM($V4)/$T4)</f>
        <v/>
      </c>
      <c r="V4" s="32">
        <f>SUBTOTAL(109,V$15:INDEX(V:V,COUNTA($B:$B)+14-COUNTA($B$1:$B$14)))</f>
        <v>0</v>
      </c>
    </row>
    <row r="5" spans="1:22">
      <c r="A5" t="s">
        <v>55</v>
      </c>
      <c r="B5" s="5" t="s">
        <v>55</v>
      </c>
      <c r="C5" s="47" t="s">
        <v>55</v>
      </c>
      <c r="D5" s="19" t="s">
        <v>55</v>
      </c>
      <c r="E5" s="19" t="s">
        <v>55</v>
      </c>
      <c r="F5" s="33" t="s">
        <v>66</v>
      </c>
      <c r="G5" s="33" t="s">
        <v>66</v>
      </c>
      <c r="H5" s="76" t="s">
        <v>55</v>
      </c>
      <c r="I5" s="118" t="s">
        <v>55</v>
      </c>
      <c r="J5" s="118" t="s">
        <v>55</v>
      </c>
      <c r="K5" s="11" t="s">
        <v>55</v>
      </c>
      <c r="L5" s="33" t="s">
        <v>55</v>
      </c>
      <c r="M5" s="11" t="s">
        <v>55</v>
      </c>
      <c r="N5" s="33" t="s">
        <v>55</v>
      </c>
      <c r="O5" s="11" t="s">
        <v>55</v>
      </c>
      <c r="P5" s="33" t="s">
        <v>55</v>
      </c>
      <c r="Q5" s="136" t="s">
        <v>55</v>
      </c>
      <c r="R5" s="249" t="s">
        <v>55</v>
      </c>
      <c r="S5" s="136" t="s">
        <v>55</v>
      </c>
      <c r="T5" s="33" t="s">
        <v>55</v>
      </c>
      <c r="U5" s="136" t="s">
        <v>55</v>
      </c>
      <c r="V5" s="33" t="s">
        <v>55</v>
      </c>
    </row>
    <row r="6" spans="1:22">
      <c r="A6" t="s">
        <v>125</v>
      </c>
      <c r="B6" s="5" t="s">
        <v>125</v>
      </c>
      <c r="C6" s="47" t="s">
        <v>50</v>
      </c>
      <c r="D6" s="19" t="s">
        <v>69</v>
      </c>
      <c r="E6" s="19" t="s">
        <v>69</v>
      </c>
      <c r="F6" s="33" t="s">
        <v>49</v>
      </c>
      <c r="G6" s="33" t="s">
        <v>49</v>
      </c>
      <c r="H6" s="76" t="s">
        <v>68</v>
      </c>
      <c r="I6" s="118" t="s">
        <v>68</v>
      </c>
      <c r="J6" s="118" t="s">
        <v>69</v>
      </c>
      <c r="K6" s="11" t="s">
        <v>69</v>
      </c>
      <c r="L6" s="33" t="s">
        <v>50</v>
      </c>
      <c r="M6" s="11" t="s">
        <v>69</v>
      </c>
      <c r="N6" s="33" t="s">
        <v>50</v>
      </c>
      <c r="O6" s="11" t="s">
        <v>69</v>
      </c>
      <c r="P6" s="33" t="s">
        <v>50</v>
      </c>
      <c r="Q6" s="136" t="s">
        <v>69</v>
      </c>
      <c r="R6" s="249" t="s">
        <v>50</v>
      </c>
      <c r="S6" s="136" t="s">
        <v>69</v>
      </c>
      <c r="T6" s="33" t="s">
        <v>50</v>
      </c>
      <c r="U6" s="136" t="s">
        <v>69</v>
      </c>
      <c r="V6" s="33" t="s">
        <v>50</v>
      </c>
    </row>
    <row r="7" spans="1:22">
      <c r="A7" t="s">
        <v>65</v>
      </c>
      <c r="B7" s="5" t="s">
        <v>65</v>
      </c>
      <c r="C7" s="47" t="s">
        <v>51</v>
      </c>
      <c r="D7" s="19" t="s">
        <v>52</v>
      </c>
      <c r="E7" s="19" t="s">
        <v>52</v>
      </c>
      <c r="F7" s="33" t="s">
        <v>51</v>
      </c>
      <c r="G7" s="33" t="s">
        <v>51</v>
      </c>
      <c r="H7" s="76" t="s">
        <v>52</v>
      </c>
      <c r="I7" s="118" t="s">
        <v>52</v>
      </c>
      <c r="J7" s="118" t="s">
        <v>52</v>
      </c>
      <c r="K7" s="11" t="s">
        <v>52</v>
      </c>
      <c r="L7" s="33" t="s">
        <v>51</v>
      </c>
      <c r="M7" s="11" t="s">
        <v>52</v>
      </c>
      <c r="N7" s="33" t="s">
        <v>51</v>
      </c>
      <c r="O7" s="11" t="s">
        <v>52</v>
      </c>
      <c r="P7" s="33" t="s">
        <v>51</v>
      </c>
      <c r="Q7" s="136" t="s">
        <v>52</v>
      </c>
      <c r="R7" s="249" t="s">
        <v>51</v>
      </c>
      <c r="S7" s="136" t="s">
        <v>52</v>
      </c>
      <c r="T7" s="33" t="s">
        <v>51</v>
      </c>
      <c r="U7" s="136" t="s">
        <v>52</v>
      </c>
      <c r="V7" s="33" t="s">
        <v>51</v>
      </c>
    </row>
    <row r="8" spans="1:22">
      <c r="B8" s="5"/>
      <c r="F8" s="260" t="s">
        <v>698</v>
      </c>
      <c r="G8" s="260" t="s">
        <v>698</v>
      </c>
      <c r="H8" s="137"/>
      <c r="I8" s="258"/>
      <c r="J8" s="258"/>
      <c r="K8" s="138"/>
      <c r="M8" s="138"/>
      <c r="O8" s="138"/>
      <c r="Q8" s="138"/>
      <c r="R8" s="99"/>
      <c r="S8" s="138"/>
      <c r="U8" s="138"/>
    </row>
    <row r="9" spans="1:22">
      <c r="B9" s="5"/>
      <c r="F9" s="260" t="s">
        <v>701</v>
      </c>
      <c r="G9" s="260" t="s">
        <v>701</v>
      </c>
      <c r="H9" s="137"/>
      <c r="I9" s="258"/>
      <c r="J9" s="258"/>
      <c r="K9" s="138"/>
      <c r="M9" s="138"/>
      <c r="O9" s="138"/>
      <c r="Q9" s="138"/>
      <c r="R9" s="99"/>
      <c r="S9" s="138"/>
      <c r="U9" s="138"/>
    </row>
    <row r="10" spans="1:22">
      <c r="B10" s="5"/>
      <c r="F10" s="260" t="s">
        <v>699</v>
      </c>
      <c r="G10" s="260" t="s">
        <v>700</v>
      </c>
      <c r="H10" s="137"/>
      <c r="I10" s="258"/>
      <c r="J10" s="258"/>
      <c r="K10" s="138"/>
      <c r="M10" s="138"/>
      <c r="O10" s="138"/>
      <c r="Q10" s="138"/>
      <c r="R10" s="99"/>
      <c r="S10" s="138"/>
      <c r="U10" s="138"/>
    </row>
    <row r="11" spans="1:22">
      <c r="B11" s="5"/>
      <c r="H11" s="76"/>
      <c r="I11" s="118"/>
      <c r="J11" s="118"/>
      <c r="K11" s="11"/>
      <c r="M11" s="11"/>
      <c r="O11" s="11"/>
      <c r="Q11" s="11"/>
      <c r="R11" s="37"/>
      <c r="S11" s="11"/>
      <c r="U11" s="11"/>
    </row>
    <row r="12" spans="1:22">
      <c r="B12" s="5"/>
      <c r="H12" s="76"/>
      <c r="I12" s="118"/>
      <c r="J12" s="118"/>
      <c r="K12" s="11"/>
      <c r="M12" s="11"/>
      <c r="O12" s="11"/>
      <c r="Q12" s="11"/>
      <c r="R12" s="37"/>
      <c r="S12" s="11"/>
      <c r="U12" s="11"/>
    </row>
    <row r="13" spans="1:22">
      <c r="B13" s="5"/>
      <c r="H13" s="76"/>
      <c r="I13" s="118"/>
      <c r="J13" s="118"/>
      <c r="K13" s="11"/>
      <c r="M13" s="11"/>
      <c r="O13" s="11"/>
      <c r="Q13" s="11"/>
      <c r="R13" s="37"/>
      <c r="S13" s="11"/>
      <c r="U13" s="11"/>
    </row>
    <row r="14" spans="1:22">
      <c r="A14" s="286" t="s">
        <v>40</v>
      </c>
      <c r="B14" s="198" t="s">
        <v>3</v>
      </c>
      <c r="C14" s="209" t="s">
        <v>292</v>
      </c>
      <c r="D14" s="186" t="s">
        <v>293</v>
      </c>
      <c r="E14" s="186" t="s">
        <v>294</v>
      </c>
      <c r="F14" s="208" t="s">
        <v>189</v>
      </c>
      <c r="G14" s="208" t="s">
        <v>190</v>
      </c>
      <c r="H14" s="214" t="s">
        <v>439</v>
      </c>
      <c r="I14" s="187" t="s">
        <v>440</v>
      </c>
      <c r="J14" s="187" t="s">
        <v>295</v>
      </c>
      <c r="K14" s="186" t="s">
        <v>296</v>
      </c>
      <c r="L14" s="208" t="s">
        <v>298</v>
      </c>
      <c r="M14" s="186" t="s">
        <v>297</v>
      </c>
      <c r="N14" s="227" t="s">
        <v>299</v>
      </c>
      <c r="O14" s="186" t="s">
        <v>498</v>
      </c>
      <c r="P14" s="227" t="s">
        <v>495</v>
      </c>
      <c r="Q14" s="186" t="s">
        <v>499</v>
      </c>
      <c r="R14" s="185" t="s">
        <v>514</v>
      </c>
      <c r="S14" s="186" t="s">
        <v>612</v>
      </c>
      <c r="T14" s="227" t="s">
        <v>497</v>
      </c>
      <c r="U14" s="186" t="s">
        <v>613</v>
      </c>
      <c r="V14" s="227" t="s">
        <v>496</v>
      </c>
    </row>
    <row r="15" spans="1:22">
      <c r="A15" s="289" t="e">
        <f>INDEX(Prioritization!$D:$D,MATCH($B15,Prioritization!$A:$A,0))</f>
        <v>#N/A</v>
      </c>
      <c r="B15" s="20"/>
      <c r="C15" s="52">
        <f>SUMIF(PMTCT!$B:$B,$B15,PMTCT!$AV:$AV)</f>
        <v>0</v>
      </c>
      <c r="D15" s="11">
        <v>0.95</v>
      </c>
      <c r="E15" s="11">
        <v>1</v>
      </c>
      <c r="F15" s="33">
        <f>ROUND(SUM($C15)*$D15,0)</f>
        <v>0</v>
      </c>
      <c r="G15" s="33">
        <f>ROUND(SUM($C15)*$E15,0)-SUM($F15)</f>
        <v>0</v>
      </c>
      <c r="H15" s="76"/>
      <c r="I15" s="118"/>
      <c r="J15" s="118"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91" priority="1">
      <formula>AND(ISNUMBER(C1),C1&lt;0)</formula>
    </cfRule>
  </conditionalFormatting>
  <conditionalFormatting sqref="D1:D1048576 M1:M1048576 S1:S1048576 U1:U1048576">
    <cfRule type="expression" dxfId="90" priority="1268">
      <formula>AND(ISNUMBER(D1),ROUND(D1,2)&lt;0.95)</formula>
    </cfRule>
  </conditionalFormatting>
  <conditionalFormatting sqref="D1:E1048576 H1:K1048576 M1:M1048576 O1:O1048576 Q1:Q1048576 S1:S1048576 U1:U1048576">
    <cfRule type="expression" dxfId="89" priority="3">
      <formula>AND(ISNUMBER(D1),D1&gt;1)</formula>
    </cfRule>
  </conditionalFormatting>
  <conditionalFormatting sqref="D1:E1048576">
    <cfRule type="expression" dxfId="88" priority="4">
      <formula>AND(ISNUMBER($D1),ROUND($E1,2)&lt;ROUND($D1,2))</formula>
    </cfRule>
  </conditionalFormatting>
  <conditionalFormatting sqref="E1:E1048576">
    <cfRule type="expression" dxfId="87" priority="2152">
      <formula>AND(ISNUMBER(E1),E1&lt;1)</formula>
    </cfRule>
  </conditionalFormatting>
  <conditionalFormatting sqref="J1:J1048576">
    <cfRule type="expression" dxfId="86" priority="14">
      <formula>AND(SUM(F1)&gt;0,ROW(J1)&gt;14,SUM(J1)=0)</formula>
    </cfRule>
  </conditionalFormatting>
  <conditionalFormatting sqref="K1:K1048576">
    <cfRule type="expression" dxfId="85" priority="6">
      <formula>AND(SUM(G1)&gt;0,ROW(K1)&gt;14,SUM(K1)=0)</formula>
    </cfRule>
  </conditionalFormatting>
  <conditionalFormatting sqref="O1:O1048576">
    <cfRule type="expression" dxfId="84" priority="24">
      <formula>AND(ISNUMBER(O1),ROUND(O1,2)&lt;98%)</formula>
    </cfRule>
  </conditionalFormatting>
  <conditionalFormatting sqref="Q1:Q1048576">
    <cfRule type="expression" dxfId="83"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AF15"/>
  <sheetViews>
    <sheetView zoomScale="70" zoomScaleNormal="70" workbookViewId="0">
      <pane xSplit="5" ySplit="14" topLeftCell="F15" activePane="bottomRight" state="frozen"/>
      <selection pane="topRight"/>
      <selection pane="bottomLeft"/>
      <selection pane="bottomRight" activeCell="AA1" sqref="AA1:AB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8" customWidth="1"/>
    <col min="7" max="7" width="11.796875" style="33" customWidth="1"/>
    <col min="8" max="8" width="11.796875" style="146" customWidth="1"/>
    <col min="9" max="9" width="11.796875" style="33" customWidth="1"/>
    <col min="10" max="10" width="11.796875" style="14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54" customWidth="1"/>
    <col min="20" max="24" width="11.796875" style="93" customWidth="1"/>
    <col min="25" max="26" width="11.796875" style="33" customWidth="1"/>
    <col min="27" max="28" width="11.796875" style="374" customWidth="1"/>
    <col min="29" max="29" width="11.796875" style="447" customWidth="1"/>
    <col min="30" max="31" width="11.796875" style="401" customWidth="1"/>
    <col min="32" max="32" width="11.796875" style="448" customWidth="1"/>
  </cols>
  <sheetData>
    <row r="1" spans="1:32" s="22" customFormat="1" ht="31.05" customHeight="1" thickBot="1">
      <c r="A1" s="287" t="s">
        <v>6</v>
      </c>
      <c r="B1" s="4"/>
      <c r="C1" s="1"/>
      <c r="D1" s="1"/>
      <c r="E1" s="1"/>
      <c r="F1" s="206" t="s">
        <v>26</v>
      </c>
      <c r="G1" s="172"/>
      <c r="H1" s="177"/>
      <c r="I1" s="172"/>
      <c r="J1" s="177"/>
      <c r="K1" s="172"/>
      <c r="L1" s="171"/>
      <c r="M1" s="172"/>
      <c r="N1" s="172"/>
      <c r="O1" s="175"/>
      <c r="P1" s="175"/>
      <c r="Q1" s="178"/>
      <c r="R1" s="178"/>
      <c r="S1" s="205" t="s">
        <v>15</v>
      </c>
      <c r="T1" s="176"/>
      <c r="U1" s="176"/>
      <c r="V1" s="176"/>
      <c r="W1" s="176"/>
      <c r="X1" s="176"/>
      <c r="Y1" s="172"/>
      <c r="Z1" s="172"/>
      <c r="AA1" s="370"/>
      <c r="AB1" s="370"/>
      <c r="AC1" s="441" t="s">
        <v>337</v>
      </c>
      <c r="AD1" s="442"/>
      <c r="AE1" s="442"/>
      <c r="AF1" s="442"/>
    </row>
    <row r="2" spans="1:32" s="21" customFormat="1" ht="19.05" customHeight="1">
      <c r="A2" s="381" t="s">
        <v>468</v>
      </c>
      <c r="B2" s="378"/>
      <c r="C2" s="2"/>
      <c r="D2" s="2"/>
      <c r="E2" s="2"/>
      <c r="F2" s="49"/>
      <c r="G2" s="34"/>
      <c r="H2" s="116"/>
      <c r="I2" s="34"/>
      <c r="J2" s="116"/>
      <c r="K2" s="34"/>
      <c r="L2" s="34"/>
      <c r="M2" s="253" t="s">
        <v>554</v>
      </c>
      <c r="N2" s="253" t="s">
        <v>554</v>
      </c>
      <c r="O2" s="3"/>
      <c r="P2" s="3"/>
      <c r="Q2" s="247" t="s">
        <v>554</v>
      </c>
      <c r="R2" s="247" t="s">
        <v>554</v>
      </c>
      <c r="S2" s="115"/>
      <c r="T2" s="3"/>
      <c r="U2" s="3"/>
      <c r="V2" s="3"/>
      <c r="W2" s="3"/>
      <c r="X2" s="3"/>
      <c r="Y2" s="253" t="s">
        <v>554</v>
      </c>
      <c r="Z2" s="253" t="s">
        <v>554</v>
      </c>
      <c r="AA2" s="371" t="s">
        <v>554</v>
      </c>
      <c r="AB2" s="371" t="s">
        <v>554</v>
      </c>
      <c r="AC2" s="443"/>
      <c r="AD2" s="389"/>
      <c r="AE2" s="389"/>
      <c r="AF2" s="389"/>
    </row>
    <row r="3" spans="1:32" ht="117" customHeight="1" thickBot="1">
      <c r="A3" s="379"/>
      <c r="B3" s="380"/>
      <c r="C3" s="17"/>
      <c r="D3" s="17"/>
      <c r="E3" s="17"/>
      <c r="F3" s="121" t="s">
        <v>831</v>
      </c>
      <c r="G3" s="122" t="s">
        <v>784</v>
      </c>
      <c r="H3" s="124" t="s">
        <v>785</v>
      </c>
      <c r="I3" s="122" t="s">
        <v>786</v>
      </c>
      <c r="J3" s="124" t="s">
        <v>787</v>
      </c>
      <c r="K3" s="63" t="s">
        <v>902</v>
      </c>
      <c r="L3" s="63" t="s">
        <v>832</v>
      </c>
      <c r="M3" s="246" t="s">
        <v>833</v>
      </c>
      <c r="N3" s="246" t="s">
        <v>834</v>
      </c>
      <c r="O3" s="141" t="s">
        <v>835</v>
      </c>
      <c r="P3" s="215" t="s">
        <v>824</v>
      </c>
      <c r="Q3" s="250" t="s">
        <v>825</v>
      </c>
      <c r="R3" s="250" t="s">
        <v>826</v>
      </c>
      <c r="S3" s="236" t="s">
        <v>827</v>
      </c>
      <c r="T3" s="193" t="s">
        <v>563</v>
      </c>
      <c r="U3" s="141" t="s">
        <v>903</v>
      </c>
      <c r="V3" s="193" t="s">
        <v>828</v>
      </c>
      <c r="W3" s="141" t="s">
        <v>901</v>
      </c>
      <c r="X3" s="193" t="s">
        <v>822</v>
      </c>
      <c r="Y3" s="246" t="s">
        <v>127</v>
      </c>
      <c r="Z3" s="30" t="s">
        <v>549</v>
      </c>
      <c r="AA3" s="372" t="s">
        <v>550</v>
      </c>
      <c r="AB3" s="372" t="s">
        <v>551</v>
      </c>
      <c r="AC3" s="444" t="s">
        <v>778</v>
      </c>
      <c r="AD3" s="394" t="s">
        <v>823</v>
      </c>
      <c r="AE3" s="394" t="s">
        <v>829</v>
      </c>
      <c r="AF3" s="392" t="s">
        <v>830</v>
      </c>
    </row>
    <row r="4" spans="1:32">
      <c r="A4" s="285"/>
      <c r="B4" s="15"/>
      <c r="C4" s="15"/>
      <c r="D4" s="15" t="s">
        <v>2</v>
      </c>
      <c r="E4" s="15"/>
      <c r="F4" s="50">
        <f>SUBTOTAL(109,F$15:INDEX(F:F,COUNTA($B:$B)+14-COUNTA($B$1:$B$14)))</f>
        <v>0</v>
      </c>
      <c r="G4" s="44">
        <f>SUBTOTAL(109,G$15:INDEX(G:G,COUNTA($B:$B)+14-COUNTA($B$1:$B$14)))</f>
        <v>0</v>
      </c>
      <c r="H4" s="145" t="str">
        <f>IF(SUM($F$4)=0,"",SUM($G$4)/$F$4)</f>
        <v/>
      </c>
      <c r="I4" s="44">
        <f>SUBTOTAL(109,I$15:INDEX(I:I,COUNTA($B:$B)+14-COUNTA($B$1:$B$14)))</f>
        <v>0</v>
      </c>
      <c r="J4" s="14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55" t="str">
        <f>IF($R$4=0,"",$Y$4/$R$4)</f>
        <v/>
      </c>
      <c r="T4" s="91"/>
      <c r="U4" s="91"/>
      <c r="V4" s="91" t="str">
        <f>IF($Y$4=0,"",$Z$4/$Y$4)</f>
        <v/>
      </c>
      <c r="W4" s="91"/>
      <c r="X4" s="91" t="str">
        <f>IF(SUM($Y$4,$Z$4)=0,"",SUM($AA4)/(SUM($Y$4)-SUM($Z$4)))</f>
        <v/>
      </c>
      <c r="Y4" s="32">
        <f>SUBTOTAL(109,Y$15:INDEX(Y:Y,COUNTA($B:$B)+14-COUNTA($B$1:$B$14)))</f>
        <v>0</v>
      </c>
      <c r="Z4" s="32">
        <f>SUBTOTAL(109,Z$15:INDEX(Z:Z,COUNTA($B:$B)+14-COUNTA($B$1:$B$14)))</f>
        <v>0</v>
      </c>
      <c r="AA4" s="373">
        <f>SUBTOTAL(109,AA$15:INDEX(AA:AA,COUNTA($B:$B)+14-COUNTA($B$1:$B$14)))</f>
        <v>0</v>
      </c>
      <c r="AB4" s="373">
        <f>SUBTOTAL(109,AB$15:INDEX(AB:AB,COUNTA($B:$B)+14-COUNTA($B$1:$B$14)))</f>
        <v>0</v>
      </c>
      <c r="AC4" s="445">
        <f>SUBTOTAL(109,AC$15:INDEX(AC:AC,COUNTA($B:$B)+14-COUNTA($B$1:$B$14)))</f>
        <v>0</v>
      </c>
      <c r="AD4" s="446">
        <f>SUBTOTAL(109,AD$15:INDEX(AD:AD,COUNTA($B:$B)+14-COUNTA($B$1:$B$14)))</f>
        <v>0</v>
      </c>
      <c r="AE4" s="446">
        <f>SUBTOTAL(109,AE$15:INDEX(AE:AE,COUNTA($B:$B)+14-COUNTA($B$1:$B$14)))</f>
        <v>0</v>
      </c>
      <c r="AF4" s="446">
        <f>SUBTOTAL(109,AF$15:INDEX(AF:AF,COUNTA($B:$B)+14-COUNTA($B$1:$B$14)))</f>
        <v>0</v>
      </c>
    </row>
    <row r="5" spans="1:32">
      <c r="A5" t="s">
        <v>55</v>
      </c>
      <c r="B5" s="5" t="s">
        <v>55</v>
      </c>
      <c r="C5" s="5" t="s">
        <v>55</v>
      </c>
      <c r="D5" s="5" t="s">
        <v>55</v>
      </c>
      <c r="E5" s="5" t="s">
        <v>55</v>
      </c>
      <c r="F5" s="47" t="s">
        <v>55</v>
      </c>
      <c r="G5" s="36" t="s">
        <v>55</v>
      </c>
      <c r="H5" s="11" t="s">
        <v>55</v>
      </c>
      <c r="I5" s="36" t="s">
        <v>55</v>
      </c>
      <c r="J5" s="11" t="s">
        <v>55</v>
      </c>
      <c r="K5" s="36" t="s">
        <v>66</v>
      </c>
      <c r="L5" s="36" t="s">
        <v>66</v>
      </c>
      <c r="M5" s="33" t="s">
        <v>64</v>
      </c>
      <c r="N5" s="33" t="s">
        <v>64</v>
      </c>
      <c r="O5" s="11" t="s">
        <v>55</v>
      </c>
      <c r="P5" s="11" t="s">
        <v>55</v>
      </c>
      <c r="Q5" s="40" t="s">
        <v>64</v>
      </c>
      <c r="R5" s="40" t="s">
        <v>64</v>
      </c>
      <c r="S5" s="154" t="s">
        <v>55</v>
      </c>
      <c r="T5" s="93" t="s">
        <v>55</v>
      </c>
      <c r="U5" s="93" t="s">
        <v>55</v>
      </c>
      <c r="V5" s="93" t="s">
        <v>55</v>
      </c>
      <c r="W5" s="93" t="s">
        <v>55</v>
      </c>
      <c r="X5" s="93" t="s">
        <v>55</v>
      </c>
      <c r="Y5" s="33" t="s">
        <v>55</v>
      </c>
      <c r="Z5" s="33" t="s">
        <v>66</v>
      </c>
      <c r="AA5" s="374" t="s">
        <v>66</v>
      </c>
      <c r="AB5" s="374" t="s">
        <v>66</v>
      </c>
      <c r="AC5" s="447" t="s">
        <v>55</v>
      </c>
      <c r="AD5" s="401" t="s">
        <v>55</v>
      </c>
      <c r="AE5" s="401" t="s">
        <v>55</v>
      </c>
      <c r="AF5" s="448" t="s">
        <v>55</v>
      </c>
    </row>
    <row r="6" spans="1:32">
      <c r="A6" t="s">
        <v>125</v>
      </c>
      <c r="B6" s="5" t="s">
        <v>125</v>
      </c>
      <c r="C6" s="5" t="s">
        <v>125</v>
      </c>
      <c r="D6" s="5" t="s">
        <v>125</v>
      </c>
      <c r="E6" s="5" t="s">
        <v>125</v>
      </c>
      <c r="F6" s="47" t="s">
        <v>50</v>
      </c>
      <c r="G6" s="36" t="s">
        <v>50</v>
      </c>
      <c r="H6" s="11" t="s">
        <v>50</v>
      </c>
      <c r="I6" s="36" t="s">
        <v>50</v>
      </c>
      <c r="J6" s="11" t="s">
        <v>50</v>
      </c>
      <c r="K6" s="36" t="s">
        <v>67</v>
      </c>
      <c r="L6" s="36" t="s">
        <v>67</v>
      </c>
      <c r="M6" s="33" t="s">
        <v>49</v>
      </c>
      <c r="N6" s="33" t="s">
        <v>49</v>
      </c>
      <c r="O6" s="11" t="s">
        <v>50</v>
      </c>
      <c r="P6" s="11" t="s">
        <v>69</v>
      </c>
      <c r="Q6" s="40" t="s">
        <v>49</v>
      </c>
      <c r="R6" s="40" t="s">
        <v>49</v>
      </c>
      <c r="S6" s="154" t="s">
        <v>69</v>
      </c>
      <c r="T6" s="93" t="s">
        <v>69</v>
      </c>
      <c r="U6" s="93" t="s">
        <v>68</v>
      </c>
      <c r="V6" s="93" t="s">
        <v>69</v>
      </c>
      <c r="W6" s="93" t="s">
        <v>68</v>
      </c>
      <c r="X6" s="93" t="s">
        <v>69</v>
      </c>
      <c r="Y6" s="33" t="s">
        <v>69</v>
      </c>
      <c r="Z6" s="33" t="s">
        <v>49</v>
      </c>
      <c r="AA6" s="374" t="s">
        <v>49</v>
      </c>
      <c r="AB6" s="374" t="s">
        <v>49</v>
      </c>
      <c r="AC6" s="447" t="s">
        <v>50</v>
      </c>
      <c r="AD6" s="401" t="s">
        <v>50</v>
      </c>
      <c r="AE6" s="401" t="s">
        <v>50</v>
      </c>
      <c r="AF6" s="448" t="s">
        <v>50</v>
      </c>
    </row>
    <row r="7" spans="1:32">
      <c r="A7" t="s">
        <v>65</v>
      </c>
      <c r="B7" s="5" t="s">
        <v>65</v>
      </c>
      <c r="C7" s="5" t="s">
        <v>65</v>
      </c>
      <c r="D7" s="5" t="s">
        <v>65</v>
      </c>
      <c r="E7" s="5" t="s">
        <v>65</v>
      </c>
      <c r="F7" s="47" t="s">
        <v>51</v>
      </c>
      <c r="G7" s="36" t="s">
        <v>51</v>
      </c>
      <c r="H7" s="11" t="s">
        <v>52</v>
      </c>
      <c r="I7" s="36" t="s">
        <v>51</v>
      </c>
      <c r="J7" s="11" t="s">
        <v>52</v>
      </c>
      <c r="K7" s="36" t="s">
        <v>51</v>
      </c>
      <c r="L7" s="36" t="s">
        <v>51</v>
      </c>
      <c r="M7" s="33" t="s">
        <v>51</v>
      </c>
      <c r="N7" s="33" t="s">
        <v>51</v>
      </c>
      <c r="O7" s="11" t="s">
        <v>52</v>
      </c>
      <c r="P7" s="11" t="s">
        <v>52</v>
      </c>
      <c r="Q7" s="40" t="s">
        <v>51</v>
      </c>
      <c r="R7" s="40" t="s">
        <v>51</v>
      </c>
      <c r="S7" s="154" t="s">
        <v>52</v>
      </c>
      <c r="T7" s="93" t="s">
        <v>52</v>
      </c>
      <c r="U7" s="93" t="s">
        <v>52</v>
      </c>
      <c r="V7" s="93" t="s">
        <v>52</v>
      </c>
      <c r="W7" s="93" t="s">
        <v>52</v>
      </c>
      <c r="X7" s="93" t="s">
        <v>52</v>
      </c>
      <c r="Y7" s="33" t="s">
        <v>51</v>
      </c>
      <c r="Z7" s="33" t="s">
        <v>51</v>
      </c>
      <c r="AA7" s="374" t="s">
        <v>51</v>
      </c>
      <c r="AB7" s="374" t="s">
        <v>51</v>
      </c>
      <c r="AC7" s="447" t="s">
        <v>51</v>
      </c>
      <c r="AD7" s="401" t="s">
        <v>51</v>
      </c>
      <c r="AE7" s="401" t="s">
        <v>51</v>
      </c>
      <c r="AF7" s="448" t="s">
        <v>51</v>
      </c>
    </row>
    <row r="8" spans="1:32">
      <c r="F8" s="47"/>
      <c r="G8" s="36"/>
      <c r="H8" s="11"/>
      <c r="I8" s="36"/>
      <c r="J8" s="11"/>
      <c r="K8" s="264" t="s">
        <v>346</v>
      </c>
      <c r="L8" s="264" t="s">
        <v>81</v>
      </c>
      <c r="M8" s="260" t="s">
        <v>79</v>
      </c>
      <c r="N8" s="260" t="s">
        <v>80</v>
      </c>
      <c r="O8" s="138"/>
      <c r="P8" s="138"/>
      <c r="Q8" s="268" t="s">
        <v>80</v>
      </c>
      <c r="R8" s="268" t="s">
        <v>79</v>
      </c>
      <c r="Z8" s="260" t="s">
        <v>81</v>
      </c>
      <c r="AA8" s="374" t="s">
        <v>81</v>
      </c>
      <c r="AB8" s="374" t="s">
        <v>81</v>
      </c>
    </row>
    <row r="9" spans="1:32">
      <c r="F9" s="47"/>
      <c r="G9" s="36"/>
      <c r="H9" s="11"/>
      <c r="I9" s="36"/>
      <c r="J9" s="11"/>
      <c r="K9" s="264" t="s">
        <v>347</v>
      </c>
      <c r="L9" s="264" t="s">
        <v>82</v>
      </c>
      <c r="M9" s="260"/>
      <c r="N9" s="260"/>
      <c r="O9" s="138"/>
      <c r="P9" s="138"/>
      <c r="Q9" s="268"/>
      <c r="R9" s="268"/>
      <c r="Z9" s="260" t="s">
        <v>82</v>
      </c>
      <c r="AA9" s="374" t="s">
        <v>82</v>
      </c>
      <c r="AB9" s="374" t="s">
        <v>82</v>
      </c>
    </row>
    <row r="10" spans="1:32">
      <c r="F10" s="47"/>
      <c r="G10" s="36"/>
      <c r="H10" s="11"/>
      <c r="I10" s="36"/>
      <c r="J10" s="11"/>
      <c r="K10" s="264"/>
      <c r="L10" s="264"/>
      <c r="M10" s="260"/>
      <c r="N10" s="260"/>
      <c r="O10" s="138"/>
      <c r="P10" s="138"/>
      <c r="Q10" s="268"/>
      <c r="R10" s="268"/>
      <c r="Z10" s="260" t="s">
        <v>83</v>
      </c>
      <c r="AA10" s="374" t="s">
        <v>61</v>
      </c>
      <c r="AB10" s="374" t="s">
        <v>78</v>
      </c>
    </row>
    <row r="11" spans="1:32">
      <c r="F11" s="47" t="s">
        <v>595</v>
      </c>
      <c r="G11" s="36" t="s">
        <v>595</v>
      </c>
      <c r="H11" s="11" t="s">
        <v>595</v>
      </c>
      <c r="I11" s="36" t="s">
        <v>595</v>
      </c>
      <c r="J11" s="11" t="s">
        <v>595</v>
      </c>
      <c r="K11" s="36" t="s">
        <v>595</v>
      </c>
      <c r="L11" s="36" t="s">
        <v>595</v>
      </c>
      <c r="M11" s="33" t="s">
        <v>595</v>
      </c>
      <c r="N11" s="33" t="s">
        <v>595</v>
      </c>
      <c r="O11" s="11" t="s">
        <v>595</v>
      </c>
      <c r="P11" s="19" t="s">
        <v>595</v>
      </c>
      <c r="Q11" s="40" t="s">
        <v>595</v>
      </c>
      <c r="R11" s="40" t="s">
        <v>595</v>
      </c>
      <c r="S11" s="154" t="s">
        <v>595</v>
      </c>
      <c r="T11" s="93" t="s">
        <v>595</v>
      </c>
      <c r="U11" s="93" t="s">
        <v>595</v>
      </c>
      <c r="V11" s="93" t="s">
        <v>595</v>
      </c>
      <c r="W11" s="93" t="s">
        <v>595</v>
      </c>
      <c r="X11" s="93" t="s">
        <v>595</v>
      </c>
      <c r="Y11" s="33" t="s">
        <v>595</v>
      </c>
      <c r="Z11" s="33" t="s">
        <v>595</v>
      </c>
      <c r="AA11" s="374" t="s">
        <v>595</v>
      </c>
      <c r="AB11" s="374" t="s">
        <v>595</v>
      </c>
      <c r="AC11" s="447" t="s">
        <v>595</v>
      </c>
      <c r="AD11" s="401" t="s">
        <v>595</v>
      </c>
      <c r="AE11" s="401" t="s">
        <v>595</v>
      </c>
      <c r="AF11" s="448" t="s">
        <v>595</v>
      </c>
    </row>
    <row r="12" spans="1:32">
      <c r="F12" s="47" t="s">
        <v>420</v>
      </c>
      <c r="G12" s="36" t="s">
        <v>420</v>
      </c>
      <c r="H12" s="11" t="s">
        <v>420</v>
      </c>
      <c r="I12" s="36" t="s">
        <v>420</v>
      </c>
      <c r="J12" s="11" t="s">
        <v>420</v>
      </c>
      <c r="K12" s="36" t="s">
        <v>420</v>
      </c>
      <c r="L12" s="36" t="s">
        <v>420</v>
      </c>
      <c r="M12" s="33" t="s">
        <v>420</v>
      </c>
      <c r="N12" s="33" t="s">
        <v>420</v>
      </c>
      <c r="O12" s="11" t="s">
        <v>420</v>
      </c>
      <c r="P12" s="11" t="s">
        <v>420</v>
      </c>
      <c r="Q12" s="40" t="s">
        <v>420</v>
      </c>
      <c r="R12" s="40" t="s">
        <v>420</v>
      </c>
      <c r="S12" s="154" t="s">
        <v>420</v>
      </c>
      <c r="T12" s="93" t="s">
        <v>420</v>
      </c>
      <c r="U12" s="93" t="s">
        <v>420</v>
      </c>
      <c r="V12" s="93" t="s">
        <v>420</v>
      </c>
      <c r="W12" s="93" t="s">
        <v>420</v>
      </c>
      <c r="X12" s="93" t="s">
        <v>420</v>
      </c>
      <c r="Y12" s="33" t="s">
        <v>420</v>
      </c>
      <c r="Z12" s="33" t="s">
        <v>420</v>
      </c>
      <c r="AA12" s="374" t="s">
        <v>420</v>
      </c>
      <c r="AB12" s="374" t="s">
        <v>420</v>
      </c>
      <c r="AC12" s="447" t="s">
        <v>420</v>
      </c>
      <c r="AD12" s="401" t="s">
        <v>420</v>
      </c>
      <c r="AE12" s="401" t="s">
        <v>420</v>
      </c>
      <c r="AF12" s="448" t="s">
        <v>420</v>
      </c>
    </row>
    <row r="13" spans="1:32">
      <c r="F13" s="47"/>
      <c r="G13" s="36"/>
      <c r="H13" s="11"/>
      <c r="I13" s="36"/>
      <c r="J13" s="11"/>
      <c r="K13" s="36"/>
    </row>
    <row r="14" spans="1:32">
      <c r="A14" s="286" t="s">
        <v>40</v>
      </c>
      <c r="B14" s="198" t="s">
        <v>3</v>
      </c>
      <c r="C14" s="198" t="s">
        <v>22</v>
      </c>
      <c r="D14" s="198" t="s">
        <v>4</v>
      </c>
      <c r="E14" s="198" t="s">
        <v>43</v>
      </c>
      <c r="F14" s="209" t="s">
        <v>171</v>
      </c>
      <c r="G14" s="185" t="s">
        <v>172</v>
      </c>
      <c r="H14" s="186" t="s">
        <v>174</v>
      </c>
      <c r="I14" s="185" t="s">
        <v>175</v>
      </c>
      <c r="J14" s="186" t="s">
        <v>534</v>
      </c>
      <c r="K14" s="182" t="s">
        <v>426</v>
      </c>
      <c r="L14" s="185" t="s">
        <v>427</v>
      </c>
      <c r="M14" s="188" t="s">
        <v>192</v>
      </c>
      <c r="N14" s="188" t="s">
        <v>193</v>
      </c>
      <c r="O14" s="186" t="s">
        <v>306</v>
      </c>
      <c r="P14" s="186" t="s">
        <v>305</v>
      </c>
      <c r="Q14" s="208" t="s">
        <v>195</v>
      </c>
      <c r="R14" s="208" t="s">
        <v>194</v>
      </c>
      <c r="S14" s="214" t="s">
        <v>304</v>
      </c>
      <c r="T14" s="186" t="s">
        <v>450</v>
      </c>
      <c r="U14" s="186" t="s">
        <v>437</v>
      </c>
      <c r="V14" s="186" t="s">
        <v>301</v>
      </c>
      <c r="W14" s="186" t="s">
        <v>438</v>
      </c>
      <c r="X14" s="186" t="s">
        <v>303</v>
      </c>
      <c r="Y14" s="208" t="s">
        <v>302</v>
      </c>
      <c r="Z14" s="208" t="s">
        <v>191</v>
      </c>
      <c r="AA14" s="375" t="s">
        <v>552</v>
      </c>
      <c r="AB14" s="375" t="s">
        <v>553</v>
      </c>
      <c r="AC14" s="449" t="s">
        <v>291</v>
      </c>
      <c r="AD14" s="409" t="s">
        <v>564</v>
      </c>
      <c r="AE14" s="409" t="s">
        <v>562</v>
      </c>
      <c r="AF14" s="409" t="s">
        <v>561</v>
      </c>
    </row>
    <row r="15" spans="1:32">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6"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74" t="str">
        <f>IF(SUM($Y15)=0,"",IF(AND(($Y15-SUM($Z15))&gt;0,$X15=""),"ENTER YIELD RATE",ROUND(($Y15-SUM($Z15))*SUM($X15),0)))</f>
        <v/>
      </c>
      <c r="AB15" s="374" t="str">
        <f>IF(SUM($Y15)=0,"",$Y15-SUM($Z15)-SUM($AA15))</f>
        <v/>
      </c>
      <c r="AC15" s="447" t="str">
        <f>IFERROR(1/(1/INDEX(Cascade!$BI:$BI,MATCH($E15,Cascade!$E:$E,0))),"")</f>
        <v/>
      </c>
      <c r="AD15" s="401" t="str">
        <f>IF(SUM($AA15)=0,"",$AA15)</f>
        <v/>
      </c>
      <c r="AE15" s="401" t="str">
        <f>IFERROR(1/(1/INDEX(#REF!,MATCH($E15,#REF!,0))),"")</f>
        <v/>
      </c>
      <c r="AF15" s="401" t="str">
        <f>IFERROR(1/(1/(SUM($AC15)-SUM($AD15:$AE15))),"")</f>
        <v/>
      </c>
    </row>
  </sheetData>
  <mergeCells count="1">
    <mergeCell ref="A2:B3"/>
  </mergeCells>
  <conditionalFormatting sqref="F1:J1048576 M1:S1048576">
    <cfRule type="expression" dxfId="82" priority="1">
      <formula>LEFT($B1,4)="_Mil"</formula>
    </cfRule>
  </conditionalFormatting>
  <conditionalFormatting sqref="F1:S1048576 U1:AF1048576">
    <cfRule type="expression" dxfId="81" priority="7">
      <formula>AND(ISNUMBER(F1),F1&lt;0)</formula>
    </cfRule>
  </conditionalFormatting>
  <conditionalFormatting sqref="H1:H1048576 O1:P1048576 S1:S1048576 U1:X1048576">
    <cfRule type="expression" dxfId="80" priority="8">
      <formula>AND(ISNUMBER(H1),H1&gt;1)</formula>
    </cfRule>
  </conditionalFormatting>
  <conditionalFormatting sqref="M1:N1048576">
    <cfRule type="expression" dxfId="79" priority="3765">
      <formula>AND(ISNUMBER($M1),ISNUMBER($N1),$N1&lt;$M1)</formula>
    </cfRule>
  </conditionalFormatting>
  <conditionalFormatting sqref="P1:P1048576">
    <cfRule type="expression" dxfId="78" priority="3764">
      <formula>AND(ISNUMBER($P1),$P1&lt;0.8)</formula>
    </cfRule>
  </conditionalFormatting>
  <conditionalFormatting sqref="Q1:Q1048576">
    <cfRule type="expression" dxfId="77" priority="29">
      <formula>AND(ISNUMBER($Q1),$Q1&lt;$N1)</formula>
    </cfRule>
  </conditionalFormatting>
  <conditionalFormatting sqref="S1:S1048576">
    <cfRule type="expression" dxfId="76" priority="3">
      <formula>AND(SUM($R1)&lt;&gt;0,$S1="",LEFT($B1,4)&lt;&gt;"_Mil")</formula>
    </cfRule>
  </conditionalFormatting>
  <conditionalFormatting sqref="T1:T1048576">
    <cfRule type="expression" dxfId="75" priority="4">
      <formula>AND(ROW($T1)&gt;14,$E1&lt;&gt;"",LEFT($B1,4)&lt;&gt;"_Mil")</formula>
    </cfRule>
  </conditionalFormatting>
  <conditionalFormatting sqref="V1:V1048576">
    <cfRule type="expression" dxfId="74" priority="9">
      <formula>AND(ROW($V1)&gt;14,$Z1="ENTER INDETERMINATE RATE")</formula>
    </cfRule>
  </conditionalFormatting>
  <conditionalFormatting sqref="X1:X1048576">
    <cfRule type="expression" dxfId="73" priority="13">
      <formula>AND(ROW($X1)&gt;14,$AA1="ENTER YIELD RATE")</formula>
    </cfRule>
    <cfRule type="expression" dxfId="72" priority="19">
      <formula>AND(ROW($X1)&gt;14,ROUND(SUM($X1),2)&gt;0.01)</formula>
    </cfRule>
  </conditionalFormatting>
  <conditionalFormatting sqref="AC1:AF1048576">
    <cfRule type="expression" dxfId="71"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87" t="s">
        <v>10</v>
      </c>
      <c r="B1" s="4"/>
      <c r="C1" s="1"/>
      <c r="D1" s="1"/>
      <c r="E1" s="1"/>
      <c r="F1" s="206" t="s">
        <v>18</v>
      </c>
      <c r="G1" s="172"/>
      <c r="H1" s="172"/>
      <c r="I1" s="172"/>
      <c r="J1" s="172"/>
      <c r="K1" s="172"/>
      <c r="L1" s="172"/>
    </row>
    <row r="2" spans="1:12" s="21" customFormat="1" ht="18">
      <c r="A2" s="13"/>
      <c r="B2" s="2"/>
      <c r="C2" s="2"/>
      <c r="D2" s="2"/>
      <c r="E2" s="2"/>
      <c r="F2" s="49"/>
      <c r="G2" s="34"/>
      <c r="H2" s="34"/>
      <c r="I2" s="34"/>
      <c r="J2" s="34"/>
      <c r="K2" s="34"/>
      <c r="L2" s="253" t="s">
        <v>554</v>
      </c>
    </row>
    <row r="3" spans="1:12" ht="117" customHeight="1">
      <c r="A3" s="284"/>
      <c r="B3" s="17"/>
      <c r="C3" s="17"/>
      <c r="D3" s="17"/>
      <c r="E3" s="17"/>
      <c r="F3" s="121" t="s">
        <v>784</v>
      </c>
      <c r="G3" s="122" t="s">
        <v>836</v>
      </c>
      <c r="H3" s="122" t="s">
        <v>679</v>
      </c>
      <c r="I3" s="122" t="s">
        <v>680</v>
      </c>
      <c r="J3" s="63" t="s">
        <v>904</v>
      </c>
      <c r="K3" s="63" t="s">
        <v>837</v>
      </c>
      <c r="L3" s="246" t="s">
        <v>671</v>
      </c>
    </row>
    <row r="4" spans="1:12">
      <c r="A4" s="28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55</v>
      </c>
      <c r="B5" s="5" t="s">
        <v>55</v>
      </c>
      <c r="C5" s="5" t="s">
        <v>55</v>
      </c>
      <c r="D5" s="5" t="s">
        <v>55</v>
      </c>
      <c r="E5" s="5" t="s">
        <v>55</v>
      </c>
      <c r="F5" s="47" t="s">
        <v>55</v>
      </c>
      <c r="G5" s="36" t="s">
        <v>55</v>
      </c>
      <c r="H5" s="36" t="s">
        <v>55</v>
      </c>
      <c r="I5" s="36" t="s">
        <v>55</v>
      </c>
      <c r="J5" s="36" t="s">
        <v>66</v>
      </c>
      <c r="K5" s="36" t="s">
        <v>66</v>
      </c>
      <c r="L5" s="33" t="s">
        <v>66</v>
      </c>
    </row>
    <row r="6" spans="1:12">
      <c r="A6" t="s">
        <v>125</v>
      </c>
      <c r="B6" s="5" t="s">
        <v>125</v>
      </c>
      <c r="C6" s="5" t="s">
        <v>125</v>
      </c>
      <c r="D6" s="5" t="s">
        <v>125</v>
      </c>
      <c r="E6" s="5" t="s">
        <v>125</v>
      </c>
      <c r="F6" s="47" t="s">
        <v>50</v>
      </c>
      <c r="G6" s="36" t="s">
        <v>50</v>
      </c>
      <c r="H6" s="36" t="s">
        <v>50</v>
      </c>
      <c r="I6" s="36" t="s">
        <v>50</v>
      </c>
      <c r="J6" s="36" t="s">
        <v>67</v>
      </c>
      <c r="K6" s="36" t="s">
        <v>67</v>
      </c>
      <c r="L6" s="33" t="s">
        <v>49</v>
      </c>
    </row>
    <row r="7" spans="1:12">
      <c r="A7" t="s">
        <v>65</v>
      </c>
      <c r="B7" s="5" t="s">
        <v>65</v>
      </c>
      <c r="C7" s="5" t="s">
        <v>65</v>
      </c>
      <c r="D7" s="5" t="s">
        <v>65</v>
      </c>
      <c r="E7" s="5" t="s">
        <v>65</v>
      </c>
      <c r="F7" s="47" t="s">
        <v>51</v>
      </c>
      <c r="G7" s="36" t="s">
        <v>51</v>
      </c>
      <c r="H7" s="36" t="s">
        <v>51</v>
      </c>
      <c r="I7" s="36" t="s">
        <v>51</v>
      </c>
      <c r="J7" s="36" t="s">
        <v>51</v>
      </c>
      <c r="K7" s="36" t="s">
        <v>51</v>
      </c>
      <c r="L7" s="33" t="s">
        <v>51</v>
      </c>
    </row>
    <row r="8" spans="1:12">
      <c r="J8" s="273" t="s">
        <v>344</v>
      </c>
      <c r="K8" s="264" t="s">
        <v>119</v>
      </c>
      <c r="L8" s="260" t="s">
        <v>119</v>
      </c>
    </row>
    <row r="9" spans="1:12">
      <c r="J9" s="273" t="s">
        <v>345</v>
      </c>
      <c r="K9" s="264" t="s">
        <v>120</v>
      </c>
      <c r="L9" s="260" t="s">
        <v>120</v>
      </c>
    </row>
    <row r="10" spans="1:12">
      <c r="J10" s="264"/>
      <c r="K10" s="264"/>
      <c r="L10" s="260"/>
    </row>
    <row r="11" spans="1:12">
      <c r="F11" s="47" t="s">
        <v>595</v>
      </c>
      <c r="G11" s="36" t="s">
        <v>595</v>
      </c>
      <c r="H11" s="36" t="s">
        <v>622</v>
      </c>
      <c r="I11" s="36" t="s">
        <v>622</v>
      </c>
      <c r="J11" s="36" t="s">
        <v>595</v>
      </c>
      <c r="K11" s="36" t="s">
        <v>595</v>
      </c>
      <c r="L11" s="33" t="s">
        <v>595</v>
      </c>
    </row>
    <row r="12" spans="1:12">
      <c r="F12" s="47" t="s">
        <v>126</v>
      </c>
      <c r="G12" s="36" t="s">
        <v>126</v>
      </c>
      <c r="H12" s="36" t="s">
        <v>419</v>
      </c>
      <c r="I12" s="36" t="s">
        <v>419</v>
      </c>
      <c r="J12" s="36" t="s">
        <v>126</v>
      </c>
      <c r="K12" s="36" t="s">
        <v>126</v>
      </c>
      <c r="L12" s="33" t="s">
        <v>126</v>
      </c>
    </row>
    <row r="14" spans="1:12">
      <c r="A14" s="288" t="s">
        <v>40</v>
      </c>
      <c r="B14" s="181" t="s">
        <v>3</v>
      </c>
      <c r="C14" s="181" t="s">
        <v>22</v>
      </c>
      <c r="D14" s="181" t="s">
        <v>4</v>
      </c>
      <c r="E14" s="181" t="s">
        <v>43</v>
      </c>
      <c r="F14" s="209" t="s">
        <v>172</v>
      </c>
      <c r="G14" s="185" t="s">
        <v>312</v>
      </c>
      <c r="H14" s="185" t="s">
        <v>278</v>
      </c>
      <c r="I14" s="185" t="s">
        <v>279</v>
      </c>
      <c r="J14" s="185" t="s">
        <v>338</v>
      </c>
      <c r="K14" s="185" t="s">
        <v>254</v>
      </c>
      <c r="L14" s="208" t="s">
        <v>255</v>
      </c>
    </row>
    <row r="15" spans="1:12">
      <c r="A15" t="e">
        <f>INDEX(Prioritization!$D:$D,MATCH($B15,Prioritization!$A:$A,0))</f>
        <v>#N/A</v>
      </c>
      <c r="E15" s="5" t="str">
        <f>B15&amp;"|"&amp;C15&amp;"|"&amp;D15</f>
        <v>||</v>
      </c>
      <c r="F15" s="47" t="str">
        <f>IF(LEFT($B15,4)="_Mil","",INDEX(Cascade!$U:$U,MATCH($E15,Cascade!$E:$E,0)))</f>
        <v/>
      </c>
      <c r="G15" s="36" t="str">
        <f>IFERROR(1/(1/INDEX(HTS!$AS:$AS,MATCH($E15,HTS!$E:$E,0))),"")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0" priority="2">
      <formula>AND(ROW(F1)&gt;14,LEFT(B1,4)="_Mil")</formula>
    </cfRule>
  </conditionalFormatting>
  <conditionalFormatting sqref="F1:L1048576">
    <cfRule type="expression" dxfId="69" priority="5">
      <formula>AND(ISNUMBER(F1),F1&lt;0)</formula>
    </cfRule>
  </conditionalFormatting>
  <conditionalFormatting sqref="H1:I1048576">
    <cfRule type="expression" dxfId="68" priority="3">
      <formula>AND(ROW(H1)&gt;14,$E1&lt;&gt;"",$D1&lt;&gt;"Female")</formula>
    </cfRule>
    <cfRule type="expression" dxfId="6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X15"/>
  <sheetViews>
    <sheetView zoomScaleNormal="100" workbookViewId="0">
      <pane xSplit="5" ySplit="14" topLeftCell="F15" activePane="bottomRight" state="frozen"/>
      <selection pane="topRight"/>
      <selection pane="bottomLeft"/>
      <selection pane="bottomRight" activeCell="AR15" sqref="AR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style="143" customWidth="1"/>
    <col min="7" max="12" width="11.796875" style="36" customWidth="1"/>
    <col min="13" max="13" width="11.796875" style="143" customWidth="1"/>
    <col min="14" max="22" width="11.796875" style="19" customWidth="1"/>
    <col min="23" max="23" width="11.796875" style="143" customWidth="1"/>
    <col min="24" max="25" width="11.796875" style="33" customWidth="1"/>
    <col min="26" max="26" width="11.796875" style="143" customWidth="1"/>
    <col min="27" max="28" width="11.796875" style="33" customWidth="1"/>
    <col min="29" max="29" width="11.796875" style="143" customWidth="1"/>
    <col min="30" max="31" width="11.796875" style="33" customWidth="1"/>
    <col min="32" max="32" width="11.796875" style="143" customWidth="1"/>
    <col min="33" max="34" width="11.796875" style="33" customWidth="1"/>
    <col min="35" max="35" width="11.796875" style="143" customWidth="1"/>
    <col min="36" max="37" width="11.796875" style="33" customWidth="1"/>
    <col min="38" max="38" width="11.796875" style="47" customWidth="1"/>
    <col min="39" max="39" width="11.796875" style="33" customWidth="1"/>
    <col min="40" max="44" width="11.796875" style="36" customWidth="1"/>
    <col min="45" max="46" width="11.796875" style="33" customWidth="1"/>
    <col min="47" max="47" width="11.796875" style="19" customWidth="1"/>
    <col min="48" max="48" width="11.796875" style="47" customWidth="1"/>
    <col min="49" max="49" width="11.796875" style="19" customWidth="1"/>
    <col min="50" max="50" width="11.796875" style="33" customWidth="1"/>
  </cols>
  <sheetData>
    <row r="1" spans="1:50" s="22" customFormat="1" ht="31.05" customHeight="1" thickBot="1">
      <c r="A1" s="287" t="s">
        <v>7</v>
      </c>
      <c r="B1" s="4"/>
      <c r="C1" s="1"/>
      <c r="D1" s="1"/>
      <c r="E1" s="1"/>
      <c r="F1" s="205" t="s">
        <v>348</v>
      </c>
      <c r="G1" s="172"/>
      <c r="H1" s="172"/>
      <c r="I1" s="172"/>
      <c r="J1" s="172"/>
      <c r="K1" s="172"/>
      <c r="L1" s="172"/>
      <c r="M1" s="205" t="s">
        <v>37</v>
      </c>
      <c r="N1" s="177"/>
      <c r="O1" s="177"/>
      <c r="P1" s="177"/>
      <c r="Q1" s="175"/>
      <c r="R1" s="175"/>
      <c r="S1" s="175"/>
      <c r="T1" s="175"/>
      <c r="U1" s="175"/>
      <c r="V1" s="175"/>
      <c r="W1" s="205" t="s">
        <v>575</v>
      </c>
      <c r="X1" s="172"/>
      <c r="Y1" s="172"/>
      <c r="Z1" s="205" t="s">
        <v>521</v>
      </c>
      <c r="AA1" s="172"/>
      <c r="AB1" s="172"/>
      <c r="AC1" s="205" t="s">
        <v>522</v>
      </c>
      <c r="AD1" s="172"/>
      <c r="AE1" s="172"/>
      <c r="AF1" s="205" t="s">
        <v>38</v>
      </c>
      <c r="AG1" s="172"/>
      <c r="AH1" s="172"/>
      <c r="AI1" s="205" t="s">
        <v>576</v>
      </c>
      <c r="AJ1" s="172"/>
      <c r="AK1" s="172"/>
      <c r="AL1" s="203" t="s">
        <v>138</v>
      </c>
      <c r="AM1" s="170"/>
      <c r="AN1" s="170"/>
      <c r="AO1" s="170"/>
      <c r="AP1" s="170"/>
      <c r="AQ1" s="170"/>
      <c r="AR1" s="170"/>
      <c r="AS1" s="170"/>
      <c r="AT1" s="170"/>
      <c r="AU1" s="176"/>
      <c r="AV1" s="203" t="s">
        <v>33</v>
      </c>
      <c r="AW1" s="175"/>
      <c r="AX1" s="172"/>
    </row>
    <row r="2" spans="1:50" s="21" customFormat="1" ht="19.05" customHeight="1">
      <c r="A2" s="381" t="s">
        <v>470</v>
      </c>
      <c r="B2" s="378"/>
      <c r="C2" s="2"/>
      <c r="D2" s="2"/>
      <c r="E2" s="2"/>
      <c r="F2" s="115"/>
      <c r="G2" s="34"/>
      <c r="H2" s="34"/>
      <c r="I2" s="34"/>
      <c r="J2" s="34"/>
      <c r="K2" s="34"/>
      <c r="L2" s="34"/>
      <c r="M2" s="115"/>
      <c r="N2" s="116"/>
      <c r="O2" s="116"/>
      <c r="P2" s="116"/>
      <c r="Q2" s="116"/>
      <c r="R2" s="116"/>
      <c r="S2" s="3"/>
      <c r="T2" s="3"/>
      <c r="U2" s="3"/>
      <c r="V2" s="3"/>
      <c r="W2" s="115"/>
      <c r="X2" s="253" t="s">
        <v>554</v>
      </c>
      <c r="Y2" s="253" t="s">
        <v>554</v>
      </c>
      <c r="Z2" s="115"/>
      <c r="AA2" s="253" t="s">
        <v>554</v>
      </c>
      <c r="AB2" s="253" t="s">
        <v>554</v>
      </c>
      <c r="AC2" s="115"/>
      <c r="AD2" s="253" t="s">
        <v>554</v>
      </c>
      <c r="AE2" s="253" t="s">
        <v>554</v>
      </c>
      <c r="AF2" s="115"/>
      <c r="AG2" s="253" t="s">
        <v>554</v>
      </c>
      <c r="AH2" s="253" t="s">
        <v>554</v>
      </c>
      <c r="AI2" s="115"/>
      <c r="AJ2" s="253" t="s">
        <v>554</v>
      </c>
      <c r="AK2" s="253" t="s">
        <v>554</v>
      </c>
      <c r="AL2" s="51"/>
      <c r="AM2" s="132"/>
      <c r="AN2" s="54"/>
      <c r="AO2" s="54"/>
      <c r="AP2" s="54"/>
      <c r="AQ2" s="54"/>
      <c r="AR2" s="54"/>
      <c r="AS2" s="132"/>
      <c r="AT2" s="132"/>
      <c r="AU2" s="3"/>
      <c r="AV2" s="49"/>
      <c r="AW2" s="3"/>
      <c r="AX2" s="253" t="s">
        <v>554</v>
      </c>
    </row>
    <row r="3" spans="1:50" ht="117" customHeight="1" thickBot="1">
      <c r="A3" s="379"/>
      <c r="B3" s="380"/>
      <c r="C3" s="17"/>
      <c r="D3" s="17"/>
      <c r="E3" s="17"/>
      <c r="F3" s="127" t="s">
        <v>787</v>
      </c>
      <c r="G3" s="125" t="s">
        <v>778</v>
      </c>
      <c r="H3" s="125" t="s">
        <v>838</v>
      </c>
      <c r="I3" s="125" t="s">
        <v>839</v>
      </c>
      <c r="J3" s="125" t="s">
        <v>840</v>
      </c>
      <c r="K3" s="125" t="s">
        <v>841</v>
      </c>
      <c r="L3" s="63" t="s">
        <v>842</v>
      </c>
      <c r="M3" s="127" t="s">
        <v>452</v>
      </c>
      <c r="N3" s="126" t="s">
        <v>544</v>
      </c>
      <c r="O3" s="126" t="s">
        <v>451</v>
      </c>
      <c r="P3" s="126" t="s">
        <v>571</v>
      </c>
      <c r="Q3" s="235" t="s">
        <v>572</v>
      </c>
      <c r="R3" s="235" t="s">
        <v>545</v>
      </c>
      <c r="S3" s="235" t="s">
        <v>546</v>
      </c>
      <c r="T3" s="235" t="s">
        <v>547</v>
      </c>
      <c r="U3" s="235" t="s">
        <v>548</v>
      </c>
      <c r="V3" s="147" t="s">
        <v>47</v>
      </c>
      <c r="W3" s="216" t="s">
        <v>34</v>
      </c>
      <c r="X3" s="31" t="s">
        <v>35</v>
      </c>
      <c r="Y3" s="246" t="s">
        <v>36</v>
      </c>
      <c r="Z3" s="216" t="s">
        <v>34</v>
      </c>
      <c r="AA3" s="31" t="s">
        <v>35</v>
      </c>
      <c r="AB3" s="246" t="s">
        <v>36</v>
      </c>
      <c r="AC3" s="216" t="s">
        <v>34</v>
      </c>
      <c r="AD3" s="31" t="s">
        <v>35</v>
      </c>
      <c r="AE3" s="246" t="s">
        <v>36</v>
      </c>
      <c r="AF3" s="216" t="s">
        <v>34</v>
      </c>
      <c r="AG3" s="31" t="s">
        <v>35</v>
      </c>
      <c r="AH3" s="246" t="s">
        <v>36</v>
      </c>
      <c r="AI3" s="216" t="s">
        <v>34</v>
      </c>
      <c r="AJ3" s="31" t="s">
        <v>35</v>
      </c>
      <c r="AK3" s="246" t="s">
        <v>36</v>
      </c>
      <c r="AL3" s="121" t="s">
        <v>843</v>
      </c>
      <c r="AM3" s="120" t="s">
        <v>844</v>
      </c>
      <c r="AN3" s="55" t="s">
        <v>144</v>
      </c>
      <c r="AO3" s="125" t="s">
        <v>845</v>
      </c>
      <c r="AP3" s="125" t="s">
        <v>846</v>
      </c>
      <c r="AQ3" s="125" t="s">
        <v>847</v>
      </c>
      <c r="AR3" s="125" t="s">
        <v>848</v>
      </c>
      <c r="AS3" s="120" t="s">
        <v>849</v>
      </c>
      <c r="AT3" s="120" t="s">
        <v>850</v>
      </c>
      <c r="AU3" s="147" t="s">
        <v>851</v>
      </c>
      <c r="AV3" s="67" t="s">
        <v>852</v>
      </c>
      <c r="AW3" s="215" t="s">
        <v>143</v>
      </c>
      <c r="AX3" s="246" t="s">
        <v>664</v>
      </c>
    </row>
    <row r="4" spans="1:50">
      <c r="A4" s="285"/>
      <c r="B4" s="15"/>
      <c r="C4" s="15"/>
      <c r="D4" s="15" t="s">
        <v>2</v>
      </c>
      <c r="E4" s="15"/>
      <c r="F4" s="75"/>
      <c r="G4" s="35">
        <f>SUBTOTAL(109,G$15:INDEX(G:G,COUNTA($B:$B)+14-COUNTA($B$1:$B$14)))</f>
        <v>0</v>
      </c>
      <c r="H4" s="35">
        <f>SUBTOTAL(109,H$15:INDEX(H:H,COUNTA($B:$B)+14-COUNTA($B$1:$B$14)))</f>
        <v>0</v>
      </c>
      <c r="I4" s="35">
        <f>SUBTOTAL(109,I$15:INDEX(I:I,COUNTA($B:$B)+14-COUNTA($B$1:$B$14)))</f>
        <v>0</v>
      </c>
      <c r="J4" s="35" t="e">
        <f>SUBTOTAL(109,J$15:INDEX(J:J,COUNTA($B:$B)+14-COUNTA($B$1:$B$14)))</f>
        <v>#REF!</v>
      </c>
      <c r="K4" s="35">
        <f>SUBTOTAL(109,K$15:INDEX(K:K,COUNTA($B:$B)+14-COUNTA($B$1:$B$14)))</f>
        <v>0</v>
      </c>
      <c r="L4" s="35" t="e">
        <f>SUBTOTAL(109,L$15:INDEX(L:L,COUNTA($B:$B)+14-COUNTA($B$1:$B$14)))</f>
        <v>#REF!</v>
      </c>
      <c r="M4" s="75" t="str">
        <f>IF(OR(SUM($G$4)=0,SUM($H$4)=0),"",SUM($H$4)/SUM($G$4))</f>
        <v/>
      </c>
      <c r="N4" s="117" t="str">
        <f>IF(OR(SUM($G$4)=0,SUM($I$4)=0),"",SUM($I$4)/SUM($G$4))</f>
        <v/>
      </c>
      <c r="O4" s="117" t="e">
        <f>IF(OR(SUM($G$4)=0,SUM($J$4)=0),"",SUM($J$4)/SUM($G$4))</f>
        <v>#REF!</v>
      </c>
      <c r="P4" s="117"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t="e">
        <f>SUM($M4:$U4)</f>
        <v>#REF!</v>
      </c>
      <c r="W4" s="75" t="str">
        <f>IF(SUM(X4:Y4)=0,"",X4/(SUM(X4:Y4)))</f>
        <v/>
      </c>
      <c r="X4" s="32">
        <f>SUBTOTAL(109,X$15:INDEX(X:X,COUNTA($B:$B)+14-COUNTA($B$1:$B$14)))</f>
        <v>0</v>
      </c>
      <c r="Y4" s="32">
        <f>SUBTOTAL(109,Y$15:INDEX(Y:Y,COUNTA($B:$B)+14-COUNTA($B$1:$B$14)))</f>
        <v>0</v>
      </c>
      <c r="Z4" s="75" t="str">
        <f>IF(SUM(AA4:AB4)=0,"",AA4/(SUM(AA4:AB4)))</f>
        <v/>
      </c>
      <c r="AA4" s="32">
        <f>SUBTOTAL(109,AA$15:INDEX(AA:AA,COUNTA($B:$B)+14-COUNTA($B$1:$B$14)))</f>
        <v>0</v>
      </c>
      <c r="AB4" s="32">
        <f>SUBTOTAL(109,AB$15:INDEX(AB:AB,COUNTA($B:$B)+14-COUNTA($B$1:$B$14)))</f>
        <v>0</v>
      </c>
      <c r="AC4" s="75" t="str">
        <f>IF(SUM(AD4:AE4)=0,"",AD4/(SUM(AD4:AE4)))</f>
        <v/>
      </c>
      <c r="AD4" s="32">
        <f>SUBTOTAL(109,AD$15:INDEX(AD:AD,COUNTA($B:$B)+14-COUNTA($B$1:$B$14)))</f>
        <v>0</v>
      </c>
      <c r="AE4" s="32">
        <f>SUBTOTAL(109,AE$15:INDEX(AE:AE,COUNTA($B:$B)+14-COUNTA($B$1:$B$14)))</f>
        <v>0</v>
      </c>
      <c r="AF4" s="75" t="str">
        <f>IF(SUM(AG4:AH4)=0,"",AG4/(SUM(AG4:AH4)))</f>
        <v/>
      </c>
      <c r="AG4" s="32">
        <f>SUBTOTAL(109,AG$15:INDEX(AG:AG,COUNTA($B:$B)+14-COUNTA($B$1:$B$14)))</f>
        <v>0</v>
      </c>
      <c r="AH4" s="32">
        <f>SUBTOTAL(109,AH$15:INDEX(AH:AH,COUNTA($B:$B)+14-COUNTA($B$1:$B$14)))</f>
        <v>0</v>
      </c>
      <c r="AI4" s="75" t="str">
        <f>IF(SUM(AJ4:AK4)=0,"",AJ4/(SUM(AJ4:AK4)))</f>
        <v/>
      </c>
      <c r="AJ4" s="32">
        <f>SUBTOTAL(109,AJ$15:INDEX(AJ:AJ,COUNTA($B:$B)+14-COUNTA($B$1:$B$14)))</f>
        <v>0</v>
      </c>
      <c r="AK4" s="32">
        <f>SUBTOTAL(109,AK$15:INDEX(AK:AK,COUNTA($B:$B)+14-COUNTA($B$1:$B$14)))</f>
        <v>0</v>
      </c>
      <c r="AL4" s="50">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t="e">
        <f>SUBTOTAL(109,AQ$15:INDEX(AQ:AQ,COUNTA($B:$B)+14-COUNTA($B$1:$B$14)))</f>
        <v>#REF!</v>
      </c>
      <c r="AR4" s="35">
        <f>SUBTOTAL(109,AR$15:INDEX(AR:AR,COUNTA($B:$B)+14-COUNTA($B$1:$B$14)))</f>
        <v>0</v>
      </c>
      <c r="AS4" s="32">
        <f>SUBTOTAL(109,AS$15:INDEX(AS:AS,COUNTA($B:$B)+14-COUNTA($B$1:$B$14)))</f>
        <v>0</v>
      </c>
      <c r="AT4" s="32">
        <f>SUBTOTAL(109,AT$15:INDEX(AT:AT,COUNTA($B:$B)+14-COUNTA($B$1:$B$14)))</f>
        <v>0</v>
      </c>
      <c r="AU4" s="18" t="str">
        <f>IF($AT$4=0,"",$AM$4/$AT$4)</f>
        <v/>
      </c>
      <c r="AV4" s="50">
        <f>SUBTOTAL(109,AV$15:INDEX(AV:AV,COUNTA($B:$B)+14-COUNTA($B$1:$B$14)))</f>
        <v>0</v>
      </c>
      <c r="AW4" s="18" t="str">
        <f>IF($AV$4=0,"",$AX$4/$AV$4-1)</f>
        <v/>
      </c>
      <c r="AX4" s="32">
        <f>SUBTOTAL(109,AX$15:INDEX(AX:AX,COUNTA($B:$B)+14-COUNTA($B$1:$B$14)))</f>
        <v>0</v>
      </c>
    </row>
    <row r="5" spans="1:50">
      <c r="A5" t="s">
        <v>55</v>
      </c>
      <c r="B5" s="5" t="s">
        <v>55</v>
      </c>
      <c r="C5" s="5" t="s">
        <v>55</v>
      </c>
      <c r="D5" s="5" t="s">
        <v>55</v>
      </c>
      <c r="E5" s="5" t="s">
        <v>55</v>
      </c>
      <c r="F5" s="76" t="s">
        <v>55</v>
      </c>
      <c r="G5" s="36" t="s">
        <v>55</v>
      </c>
      <c r="H5" s="36" t="s">
        <v>55</v>
      </c>
      <c r="I5" s="36" t="s">
        <v>55</v>
      </c>
      <c r="J5" s="36" t="s">
        <v>55</v>
      </c>
      <c r="K5" s="36" t="s">
        <v>55</v>
      </c>
      <c r="L5" s="36" t="s">
        <v>55</v>
      </c>
      <c r="M5" s="76" t="s">
        <v>55</v>
      </c>
      <c r="N5" s="11" t="s">
        <v>55</v>
      </c>
      <c r="O5" s="11" t="s">
        <v>55</v>
      </c>
      <c r="P5" s="11" t="s">
        <v>55</v>
      </c>
      <c r="Q5" s="11" t="s">
        <v>55</v>
      </c>
      <c r="R5" s="11" t="s">
        <v>55</v>
      </c>
      <c r="S5" s="11" t="s">
        <v>55</v>
      </c>
      <c r="T5" s="11" t="s">
        <v>55</v>
      </c>
      <c r="U5" s="11" t="s">
        <v>55</v>
      </c>
      <c r="V5" s="11" t="s">
        <v>55</v>
      </c>
      <c r="W5" s="76" t="s">
        <v>55</v>
      </c>
      <c r="X5" s="33" t="s">
        <v>66</v>
      </c>
      <c r="Y5" s="33" t="s">
        <v>66</v>
      </c>
      <c r="Z5" s="76" t="s">
        <v>55</v>
      </c>
      <c r="AA5" s="33" t="s">
        <v>66</v>
      </c>
      <c r="AB5" s="33" t="s">
        <v>66</v>
      </c>
      <c r="AC5" s="76" t="s">
        <v>55</v>
      </c>
      <c r="AD5" s="33" t="s">
        <v>66</v>
      </c>
      <c r="AE5" s="33" t="s">
        <v>66</v>
      </c>
      <c r="AF5" s="76" t="s">
        <v>55</v>
      </c>
      <c r="AG5" s="33" t="s">
        <v>66</v>
      </c>
      <c r="AH5" s="33" t="s">
        <v>66</v>
      </c>
      <c r="AI5" s="76" t="s">
        <v>55</v>
      </c>
      <c r="AJ5" s="33" t="s">
        <v>66</v>
      </c>
      <c r="AK5" s="33" t="s">
        <v>66</v>
      </c>
      <c r="AL5" s="47" t="s">
        <v>55</v>
      </c>
      <c r="AM5" s="33" t="s">
        <v>55</v>
      </c>
      <c r="AN5" s="36" t="s">
        <v>55</v>
      </c>
      <c r="AO5" s="36" t="s">
        <v>55</v>
      </c>
      <c r="AP5" s="36" t="s">
        <v>55</v>
      </c>
      <c r="AQ5" s="36" t="s">
        <v>55</v>
      </c>
      <c r="AR5" s="36" t="s">
        <v>55</v>
      </c>
      <c r="AS5" s="33" t="s">
        <v>55</v>
      </c>
      <c r="AT5" s="33" t="s">
        <v>55</v>
      </c>
      <c r="AU5" s="11" t="s">
        <v>55</v>
      </c>
      <c r="AV5" s="47" t="s">
        <v>66</v>
      </c>
      <c r="AW5" s="11" t="s">
        <v>55</v>
      </c>
      <c r="AX5" s="33" t="s">
        <v>66</v>
      </c>
    </row>
    <row r="6" spans="1:50">
      <c r="A6" t="s">
        <v>125</v>
      </c>
      <c r="B6" s="5" t="s">
        <v>125</v>
      </c>
      <c r="C6" s="5" t="s">
        <v>125</v>
      </c>
      <c r="D6" s="5" t="s">
        <v>125</v>
      </c>
      <c r="E6" s="5" t="s">
        <v>125</v>
      </c>
      <c r="F6" s="76" t="s">
        <v>50</v>
      </c>
      <c r="G6" s="36" t="s">
        <v>50</v>
      </c>
      <c r="H6" s="36" t="s">
        <v>50</v>
      </c>
      <c r="I6" s="36" t="s">
        <v>50</v>
      </c>
      <c r="J6" s="36" t="s">
        <v>50</v>
      </c>
      <c r="K6" s="36" t="s">
        <v>50</v>
      </c>
      <c r="L6" s="36" t="s">
        <v>50</v>
      </c>
      <c r="M6" s="76" t="s">
        <v>50</v>
      </c>
      <c r="N6" s="11" t="s">
        <v>50</v>
      </c>
      <c r="O6" s="11" t="s">
        <v>50</v>
      </c>
      <c r="P6" s="11" t="s">
        <v>50</v>
      </c>
      <c r="Q6" s="11" t="s">
        <v>68</v>
      </c>
      <c r="R6" s="11" t="s">
        <v>68</v>
      </c>
      <c r="S6" s="11" t="s">
        <v>68</v>
      </c>
      <c r="T6" s="11" t="s">
        <v>68</v>
      </c>
      <c r="U6" s="11" t="s">
        <v>68</v>
      </c>
      <c r="V6" s="11" t="s">
        <v>50</v>
      </c>
      <c r="W6" s="76" t="s">
        <v>68</v>
      </c>
      <c r="X6" s="33" t="s">
        <v>49</v>
      </c>
      <c r="Y6" s="33" t="s">
        <v>49</v>
      </c>
      <c r="Z6" s="76" t="s">
        <v>68</v>
      </c>
      <c r="AA6" s="33" t="s">
        <v>49</v>
      </c>
      <c r="AB6" s="33" t="s">
        <v>49</v>
      </c>
      <c r="AC6" s="76" t="s">
        <v>68</v>
      </c>
      <c r="AD6" s="33" t="s">
        <v>49</v>
      </c>
      <c r="AE6" s="33" t="s">
        <v>49</v>
      </c>
      <c r="AF6" s="76" t="s">
        <v>68</v>
      </c>
      <c r="AG6" s="33" t="s">
        <v>49</v>
      </c>
      <c r="AH6" s="33" t="s">
        <v>49</v>
      </c>
      <c r="AI6" s="76" t="s">
        <v>68</v>
      </c>
      <c r="AJ6" s="33" t="s">
        <v>49</v>
      </c>
      <c r="AK6" s="33" t="s">
        <v>49</v>
      </c>
      <c r="AL6" s="47" t="s">
        <v>50</v>
      </c>
      <c r="AM6" s="33" t="s">
        <v>50</v>
      </c>
      <c r="AN6" s="36" t="s">
        <v>50</v>
      </c>
      <c r="AO6" s="36" t="s">
        <v>50</v>
      </c>
      <c r="AP6" s="36" t="s">
        <v>50</v>
      </c>
      <c r="AQ6" s="36" t="s">
        <v>50</v>
      </c>
      <c r="AR6" s="36" t="s">
        <v>50</v>
      </c>
      <c r="AS6" s="33" t="s">
        <v>50</v>
      </c>
      <c r="AT6" s="33" t="s">
        <v>50</v>
      </c>
      <c r="AU6" s="11" t="s">
        <v>50</v>
      </c>
      <c r="AV6" s="47" t="s">
        <v>67</v>
      </c>
      <c r="AW6" s="11" t="s">
        <v>69</v>
      </c>
      <c r="AX6" s="33" t="s">
        <v>49</v>
      </c>
    </row>
    <row r="7" spans="1:50">
      <c r="A7" t="s">
        <v>65</v>
      </c>
      <c r="B7" s="5" t="s">
        <v>65</v>
      </c>
      <c r="C7" s="5" t="s">
        <v>65</v>
      </c>
      <c r="D7" s="5" t="s">
        <v>65</v>
      </c>
      <c r="E7" s="5" t="s">
        <v>65</v>
      </c>
      <c r="F7" s="76" t="s">
        <v>52</v>
      </c>
      <c r="G7" s="36" t="s">
        <v>51</v>
      </c>
      <c r="H7" s="36" t="s">
        <v>51</v>
      </c>
      <c r="I7" s="36" t="s">
        <v>51</v>
      </c>
      <c r="J7" s="36" t="s">
        <v>51</v>
      </c>
      <c r="K7" s="36" t="s">
        <v>51</v>
      </c>
      <c r="L7" s="36" t="s">
        <v>51</v>
      </c>
      <c r="M7" s="76" t="s">
        <v>52</v>
      </c>
      <c r="N7" s="11" t="s">
        <v>52</v>
      </c>
      <c r="O7" s="11" t="s">
        <v>52</v>
      </c>
      <c r="P7" s="11" t="s">
        <v>52</v>
      </c>
      <c r="Q7" s="11" t="s">
        <v>52</v>
      </c>
      <c r="R7" s="11" t="s">
        <v>52</v>
      </c>
      <c r="S7" s="11" t="s">
        <v>52</v>
      </c>
      <c r="T7" s="11" t="s">
        <v>52</v>
      </c>
      <c r="U7" s="11" t="s">
        <v>52</v>
      </c>
      <c r="V7" s="11" t="s">
        <v>52</v>
      </c>
      <c r="W7" s="76" t="s">
        <v>52</v>
      </c>
      <c r="X7" s="33" t="s">
        <v>51</v>
      </c>
      <c r="Y7" s="33" t="s">
        <v>51</v>
      </c>
      <c r="Z7" s="76" t="s">
        <v>52</v>
      </c>
      <c r="AA7" s="33" t="s">
        <v>51</v>
      </c>
      <c r="AB7" s="33" t="s">
        <v>51</v>
      </c>
      <c r="AC7" s="76" t="s">
        <v>52</v>
      </c>
      <c r="AD7" s="33" t="s">
        <v>51</v>
      </c>
      <c r="AE7" s="33" t="s">
        <v>51</v>
      </c>
      <c r="AF7" s="76" t="s">
        <v>52</v>
      </c>
      <c r="AG7" s="33" t="s">
        <v>51</v>
      </c>
      <c r="AH7" s="33" t="s">
        <v>51</v>
      </c>
      <c r="AI7" s="76" t="s">
        <v>52</v>
      </c>
      <c r="AJ7" s="33" t="s">
        <v>51</v>
      </c>
      <c r="AK7" s="33" t="s">
        <v>51</v>
      </c>
      <c r="AL7" s="47" t="s">
        <v>51</v>
      </c>
      <c r="AM7" s="33" t="s">
        <v>51</v>
      </c>
      <c r="AN7" s="36" t="s">
        <v>51</v>
      </c>
      <c r="AO7" s="36" t="s">
        <v>51</v>
      </c>
      <c r="AP7" s="36" t="s">
        <v>51</v>
      </c>
      <c r="AQ7" s="36" t="s">
        <v>51</v>
      </c>
      <c r="AR7" s="36" t="s">
        <v>51</v>
      </c>
      <c r="AS7" s="33" t="s">
        <v>51</v>
      </c>
      <c r="AT7" s="33" t="s">
        <v>51</v>
      </c>
      <c r="AU7" s="11" t="s">
        <v>52</v>
      </c>
      <c r="AV7" s="47" t="s">
        <v>51</v>
      </c>
      <c r="AW7" s="11" t="s">
        <v>52</v>
      </c>
      <c r="AX7" s="33" t="s">
        <v>51</v>
      </c>
    </row>
    <row r="8" spans="1:50">
      <c r="B8" s="5"/>
      <c r="C8" s="5"/>
      <c r="D8" s="5"/>
      <c r="E8" s="5"/>
      <c r="F8" s="76"/>
      <c r="M8" s="76"/>
      <c r="N8" s="11"/>
      <c r="O8" s="11"/>
      <c r="P8" s="11"/>
      <c r="Q8" s="138"/>
      <c r="R8" s="138"/>
      <c r="S8" s="138"/>
      <c r="T8" s="138"/>
      <c r="U8" s="138"/>
      <c r="V8" s="138"/>
      <c r="W8" s="137"/>
      <c r="X8" s="260" t="s">
        <v>600</v>
      </c>
      <c r="Y8" s="260" t="s">
        <v>600</v>
      </c>
      <c r="Z8" s="137"/>
      <c r="AA8" s="260" t="s">
        <v>601</v>
      </c>
      <c r="AB8" s="260" t="s">
        <v>601</v>
      </c>
      <c r="AC8" s="137"/>
      <c r="AD8" s="260" t="s">
        <v>602</v>
      </c>
      <c r="AE8" s="260" t="s">
        <v>602</v>
      </c>
      <c r="AF8" s="137"/>
      <c r="AG8" s="260" t="s">
        <v>93</v>
      </c>
      <c r="AH8" s="260" t="s">
        <v>93</v>
      </c>
      <c r="AI8" s="137"/>
      <c r="AJ8" s="260" t="s">
        <v>603</v>
      </c>
      <c r="AK8" s="260" t="s">
        <v>603</v>
      </c>
      <c r="AU8" s="11"/>
      <c r="AV8" s="271" t="s">
        <v>145</v>
      </c>
      <c r="AW8" s="138"/>
      <c r="AX8" s="260" t="s">
        <v>145</v>
      </c>
    </row>
    <row r="9" spans="1:50">
      <c r="B9" s="5"/>
      <c r="C9" s="5"/>
      <c r="D9" s="5"/>
      <c r="E9" s="5"/>
      <c r="F9" s="76"/>
      <c r="M9" s="76"/>
      <c r="N9" s="11"/>
      <c r="O9" s="11"/>
      <c r="P9" s="11"/>
      <c r="Q9" s="138"/>
      <c r="R9" s="138"/>
      <c r="S9" s="138"/>
      <c r="T9" s="138"/>
      <c r="U9" s="138"/>
      <c r="V9" s="138"/>
      <c r="W9" s="137"/>
      <c r="X9" s="260" t="s">
        <v>604</v>
      </c>
      <c r="Y9" s="260" t="s">
        <v>604</v>
      </c>
      <c r="Z9" s="137"/>
      <c r="AA9" s="260" t="s">
        <v>605</v>
      </c>
      <c r="AB9" s="260" t="s">
        <v>605</v>
      </c>
      <c r="AC9" s="137"/>
      <c r="AD9" s="260" t="s">
        <v>606</v>
      </c>
      <c r="AE9" s="260" t="s">
        <v>606</v>
      </c>
      <c r="AF9" s="137"/>
      <c r="AG9" s="260" t="s">
        <v>94</v>
      </c>
      <c r="AH9" s="260" t="s">
        <v>94</v>
      </c>
      <c r="AI9" s="137"/>
      <c r="AJ9" s="260" t="s">
        <v>607</v>
      </c>
      <c r="AK9" s="260" t="s">
        <v>607</v>
      </c>
      <c r="AU9" s="11"/>
      <c r="AV9" s="271" t="s">
        <v>146</v>
      </c>
      <c r="AW9" s="138"/>
      <c r="AX9" s="260" t="s">
        <v>146</v>
      </c>
    </row>
    <row r="10" spans="1:50">
      <c r="B10" s="5"/>
      <c r="C10" s="5"/>
      <c r="D10" s="5"/>
      <c r="E10" s="5"/>
      <c r="F10" s="76"/>
      <c r="M10" s="76"/>
      <c r="N10" s="11"/>
      <c r="O10" s="11"/>
      <c r="P10" s="11"/>
      <c r="Q10" s="138"/>
      <c r="R10" s="138"/>
      <c r="S10" s="138"/>
      <c r="T10" s="138"/>
      <c r="U10" s="138"/>
      <c r="V10" s="138"/>
      <c r="W10" s="137"/>
      <c r="X10" s="260" t="s">
        <v>59</v>
      </c>
      <c r="Y10" s="260" t="s">
        <v>60</v>
      </c>
      <c r="Z10" s="137"/>
      <c r="AA10" s="260" t="s">
        <v>61</v>
      </c>
      <c r="AB10" s="260" t="s">
        <v>78</v>
      </c>
      <c r="AC10" s="137"/>
      <c r="AD10" s="260" t="s">
        <v>61</v>
      </c>
      <c r="AE10" s="260" t="s">
        <v>78</v>
      </c>
      <c r="AF10" s="137"/>
      <c r="AG10" s="260" t="s">
        <v>61</v>
      </c>
      <c r="AH10" s="260" t="s">
        <v>78</v>
      </c>
      <c r="AI10" s="137"/>
      <c r="AJ10" s="260" t="s">
        <v>61</v>
      </c>
      <c r="AK10" s="260" t="s">
        <v>78</v>
      </c>
      <c r="AU10" s="11"/>
      <c r="AV10" s="266"/>
      <c r="AW10" s="138"/>
      <c r="AX10" s="260"/>
    </row>
    <row r="11" spans="1:50">
      <c r="B11" s="5"/>
      <c r="C11" s="5"/>
      <c r="D11" s="5"/>
      <c r="E11" s="5"/>
      <c r="F11" s="76" t="s">
        <v>597</v>
      </c>
      <c r="G11" s="36" t="s">
        <v>597</v>
      </c>
      <c r="H11" s="36" t="s">
        <v>596</v>
      </c>
      <c r="I11" s="36" t="s">
        <v>596</v>
      </c>
      <c r="J11" s="36" t="s">
        <v>597</v>
      </c>
      <c r="K11" s="36" t="s">
        <v>595</v>
      </c>
      <c r="L11" s="36" t="s">
        <v>597</v>
      </c>
      <c r="M11" s="76" t="s">
        <v>596</v>
      </c>
      <c r="N11" s="11" t="s">
        <v>596</v>
      </c>
      <c r="O11" s="11" t="s">
        <v>597</v>
      </c>
      <c r="P11" s="11" t="s">
        <v>595</v>
      </c>
      <c r="Q11" s="11" t="s">
        <v>597</v>
      </c>
      <c r="R11" s="11" t="s">
        <v>597</v>
      </c>
      <c r="S11" s="11" t="s">
        <v>597</v>
      </c>
      <c r="T11" s="11" t="s">
        <v>597</v>
      </c>
      <c r="U11" s="11" t="s">
        <v>597</v>
      </c>
      <c r="V11" s="11" t="s">
        <v>597</v>
      </c>
      <c r="W11" s="76" t="s">
        <v>597</v>
      </c>
      <c r="X11" s="33" t="s">
        <v>597</v>
      </c>
      <c r="Y11" s="33" t="s">
        <v>597</v>
      </c>
      <c r="Z11" s="76" t="s">
        <v>597</v>
      </c>
      <c r="AA11" s="53" t="s">
        <v>597</v>
      </c>
      <c r="AB11" s="53" t="s">
        <v>597</v>
      </c>
      <c r="AC11" s="76" t="s">
        <v>597</v>
      </c>
      <c r="AD11" s="53" t="s">
        <v>597</v>
      </c>
      <c r="AE11" s="53" t="s">
        <v>597</v>
      </c>
      <c r="AF11" s="76" t="s">
        <v>597</v>
      </c>
      <c r="AG11" s="33" t="s">
        <v>597</v>
      </c>
      <c r="AH11" s="33" t="s">
        <v>597</v>
      </c>
      <c r="AI11" s="76" t="s">
        <v>597</v>
      </c>
      <c r="AJ11" s="33" t="s">
        <v>597</v>
      </c>
      <c r="AK11" s="33" t="s">
        <v>597</v>
      </c>
      <c r="AL11" s="47" t="s">
        <v>597</v>
      </c>
      <c r="AM11" s="33" t="s">
        <v>597</v>
      </c>
      <c r="AN11" s="36" t="s">
        <v>597</v>
      </c>
      <c r="AO11" s="36" t="s">
        <v>596</v>
      </c>
      <c r="AP11" s="36" t="s">
        <v>596</v>
      </c>
      <c r="AQ11" s="36" t="s">
        <v>597</v>
      </c>
      <c r="AR11" s="36" t="s">
        <v>595</v>
      </c>
      <c r="AS11" s="33" t="s">
        <v>597</v>
      </c>
      <c r="AT11" s="33" t="s">
        <v>597</v>
      </c>
      <c r="AU11" s="11" t="s">
        <v>597</v>
      </c>
      <c r="AV11" s="47" t="s">
        <v>596</v>
      </c>
      <c r="AW11" s="11" t="s">
        <v>596</v>
      </c>
      <c r="AX11" s="33" t="s">
        <v>596</v>
      </c>
    </row>
    <row r="12" spans="1:50">
      <c r="B12" s="5"/>
      <c r="C12" s="5"/>
      <c r="D12" s="5"/>
      <c r="E12" s="5"/>
      <c r="F12" s="76" t="s">
        <v>126</v>
      </c>
      <c r="G12" s="36" t="s">
        <v>126</v>
      </c>
      <c r="H12" s="36" t="s">
        <v>419</v>
      </c>
      <c r="I12" s="36" t="s">
        <v>419</v>
      </c>
      <c r="J12" s="36" t="s">
        <v>126</v>
      </c>
      <c r="K12" s="36" t="s">
        <v>420</v>
      </c>
      <c r="L12" s="36" t="s">
        <v>126</v>
      </c>
      <c r="M12" s="76" t="s">
        <v>419</v>
      </c>
      <c r="N12" s="11" t="s">
        <v>419</v>
      </c>
      <c r="O12" s="11" t="s">
        <v>126</v>
      </c>
      <c r="P12" s="11" t="s">
        <v>420</v>
      </c>
      <c r="Q12" s="11" t="s">
        <v>126</v>
      </c>
      <c r="R12" s="11" t="s">
        <v>126</v>
      </c>
      <c r="S12" s="11" t="s">
        <v>126</v>
      </c>
      <c r="T12" s="11" t="s">
        <v>126</v>
      </c>
      <c r="U12" s="11" t="s">
        <v>126</v>
      </c>
      <c r="V12" s="11" t="s">
        <v>126</v>
      </c>
      <c r="W12" s="76" t="s">
        <v>126</v>
      </c>
      <c r="X12" s="33" t="s">
        <v>126</v>
      </c>
      <c r="Y12" s="33" t="s">
        <v>126</v>
      </c>
      <c r="Z12" s="76" t="s">
        <v>126</v>
      </c>
      <c r="AA12" s="33" t="s">
        <v>126</v>
      </c>
      <c r="AB12" s="33" t="s">
        <v>126</v>
      </c>
      <c r="AC12" s="76" t="s">
        <v>126</v>
      </c>
      <c r="AD12" s="33" t="s">
        <v>126</v>
      </c>
      <c r="AE12" s="33" t="s">
        <v>126</v>
      </c>
      <c r="AF12" s="76" t="s">
        <v>126</v>
      </c>
      <c r="AG12" s="33" t="s">
        <v>126</v>
      </c>
      <c r="AH12" s="33" t="s">
        <v>126</v>
      </c>
      <c r="AI12" s="76" t="s">
        <v>126</v>
      </c>
      <c r="AJ12" s="33" t="s">
        <v>126</v>
      </c>
      <c r="AK12" s="33" t="s">
        <v>126</v>
      </c>
      <c r="AL12" s="47" t="s">
        <v>126</v>
      </c>
      <c r="AM12" s="33" t="s">
        <v>126</v>
      </c>
      <c r="AN12" s="36" t="s">
        <v>126</v>
      </c>
      <c r="AO12" s="36" t="s">
        <v>419</v>
      </c>
      <c r="AP12" s="36" t="s">
        <v>419</v>
      </c>
      <c r="AQ12" s="36" t="s">
        <v>126</v>
      </c>
      <c r="AR12" s="36" t="s">
        <v>420</v>
      </c>
      <c r="AS12" s="33" t="s">
        <v>126</v>
      </c>
      <c r="AT12" s="33" t="s">
        <v>126</v>
      </c>
      <c r="AU12" s="11" t="s">
        <v>126</v>
      </c>
      <c r="AV12" s="47" t="s">
        <v>126</v>
      </c>
      <c r="AW12" s="11" t="s">
        <v>126</v>
      </c>
      <c r="AX12" s="33" t="s">
        <v>126</v>
      </c>
    </row>
    <row r="13" spans="1:50">
      <c r="B13" s="5"/>
      <c r="C13" s="5"/>
      <c r="D13" s="5"/>
      <c r="E13" s="5"/>
      <c r="F13" s="76"/>
      <c r="M13" s="76"/>
      <c r="N13" s="11"/>
      <c r="O13" s="11"/>
      <c r="P13" s="11"/>
      <c r="Q13" s="11"/>
      <c r="R13" s="11"/>
      <c r="S13" s="11"/>
      <c r="T13" s="11"/>
      <c r="U13" s="11"/>
      <c r="V13" s="11"/>
      <c r="W13" s="76"/>
      <c r="Z13" s="76"/>
      <c r="AC13" s="76"/>
      <c r="AF13" s="76"/>
      <c r="AI13" s="76"/>
      <c r="AU13" s="11"/>
      <c r="AW13" s="11"/>
    </row>
    <row r="14" spans="1:50">
      <c r="A14" s="286" t="s">
        <v>40</v>
      </c>
      <c r="B14" s="198" t="s">
        <v>3</v>
      </c>
      <c r="C14" s="181" t="s">
        <v>22</v>
      </c>
      <c r="D14" s="181" t="s">
        <v>4</v>
      </c>
      <c r="E14" s="181" t="s">
        <v>43</v>
      </c>
      <c r="F14" s="214" t="s">
        <v>534</v>
      </c>
      <c r="G14" s="182" t="s">
        <v>291</v>
      </c>
      <c r="H14" s="182" t="s">
        <v>204</v>
      </c>
      <c r="I14" s="182" t="s">
        <v>206</v>
      </c>
      <c r="J14" s="182" t="s">
        <v>202</v>
      </c>
      <c r="K14" s="182" t="s">
        <v>552</v>
      </c>
      <c r="L14" s="182" t="s">
        <v>333</v>
      </c>
      <c r="M14" s="214" t="s">
        <v>197</v>
      </c>
      <c r="N14" s="186" t="s">
        <v>198</v>
      </c>
      <c r="O14" s="186" t="s">
        <v>196</v>
      </c>
      <c r="P14" s="186" t="s">
        <v>573</v>
      </c>
      <c r="Q14" s="186" t="s">
        <v>593</v>
      </c>
      <c r="R14" s="186" t="s">
        <v>569</v>
      </c>
      <c r="S14" s="186" t="s">
        <v>570</v>
      </c>
      <c r="T14" s="186" t="s">
        <v>199</v>
      </c>
      <c r="U14" s="186" t="s">
        <v>200</v>
      </c>
      <c r="V14" s="186" t="s">
        <v>201</v>
      </c>
      <c r="W14" s="214" t="s">
        <v>577</v>
      </c>
      <c r="X14" s="208" t="s">
        <v>578</v>
      </c>
      <c r="Y14" s="208" t="s">
        <v>579</v>
      </c>
      <c r="Z14" s="214" t="s">
        <v>580</v>
      </c>
      <c r="AA14" s="208" t="s">
        <v>581</v>
      </c>
      <c r="AB14" s="208" t="s">
        <v>582</v>
      </c>
      <c r="AC14" s="214" t="s">
        <v>584</v>
      </c>
      <c r="AD14" s="208" t="s">
        <v>585</v>
      </c>
      <c r="AE14" s="208" t="s">
        <v>586</v>
      </c>
      <c r="AF14" s="214" t="s">
        <v>208</v>
      </c>
      <c r="AG14" s="208" t="s">
        <v>209</v>
      </c>
      <c r="AH14" s="208" t="s">
        <v>210</v>
      </c>
      <c r="AI14" s="214" t="s">
        <v>583</v>
      </c>
      <c r="AJ14" s="208" t="s">
        <v>587</v>
      </c>
      <c r="AK14" s="208" t="s">
        <v>588</v>
      </c>
      <c r="AL14" s="209" t="s">
        <v>211</v>
      </c>
      <c r="AM14" s="208" t="s">
        <v>212</v>
      </c>
      <c r="AN14" s="185" t="s">
        <v>213</v>
      </c>
      <c r="AO14" s="185" t="s">
        <v>205</v>
      </c>
      <c r="AP14" s="185" t="s">
        <v>207</v>
      </c>
      <c r="AQ14" s="185" t="s">
        <v>203</v>
      </c>
      <c r="AR14" s="185" t="s">
        <v>553</v>
      </c>
      <c r="AS14" s="208" t="s">
        <v>214</v>
      </c>
      <c r="AT14" s="208" t="s">
        <v>215</v>
      </c>
      <c r="AU14" s="186" t="s">
        <v>216</v>
      </c>
      <c r="AV14" s="209" t="s">
        <v>428</v>
      </c>
      <c r="AW14" s="186" t="s">
        <v>217</v>
      </c>
      <c r="AX14" s="208" t="s">
        <v>218</v>
      </c>
    </row>
    <row r="15" spans="1:50">
      <c r="A15" t="e">
        <f>INDEX(Prioritization!$D:$D,MATCH($B15,Prioritization!$A:$A,0))</f>
        <v>#N/A</v>
      </c>
      <c r="B15" s="5"/>
      <c r="C15" s="5"/>
      <c r="D15" s="5"/>
      <c r="E15" t="str">
        <f>$B15&amp;"|"&amp;$C15&amp;"|"&amp;$D15</f>
        <v>||</v>
      </c>
      <c r="F15" s="76" t="str">
        <f>IF(LEFT($B15,4)="_Mil","",INDEX(Cascade!$AA:$AA,MATCH($E15,Cascade!$E:$E,0)))</f>
        <v/>
      </c>
      <c r="G15" s="56">
        <f>INDEX(Cascade!$BI:$BI,MATCH($E15,Cascade!$E:$E,0))</f>
        <v>0</v>
      </c>
      <c r="H15" s="56" t="str">
        <f>IF(OR($C15="01-09",$D15="Male"),"",INDEX(PMTCT!$AC:$AC,MATCH($E15,PMTCT!$E:$E,0)))</f>
        <v/>
      </c>
      <c r="I15" s="56" t="str">
        <f>IF(OR($C15="01-09",$D15="Male"),"",INDEX(PMTCT!$AS:$AS,MATCH($E15,PMTCT!$E:$E,0)))</f>
        <v/>
      </c>
      <c r="J15" s="56" t="e">
        <f>INDEX(#REF!,MATCH($E15,#REF!,0))</f>
        <v>#REF!</v>
      </c>
      <c r="K15" s="56" t="str">
        <f>IF(OR($C15="01-09",$C15="10-14",$D15="Female"),"",INDEX(VMMC!$AA:$AA,MATCH($E15,VMMC!$E:$E,0)))</f>
        <v/>
      </c>
      <c r="L15" s="56" t="e">
        <f>SUM($G15)-SUM($H15:$K15)</f>
        <v>#REF!</v>
      </c>
      <c r="M15" s="76" t="str">
        <f>IF(OR($C15="01-09",$D15="Male",AND(SUM($G15)=0,SUM($H15)=0)),"",SUM($H15)/SUM($G15))</f>
        <v/>
      </c>
      <c r="N15" s="118" t="str">
        <f>IF(OR($C15="01-09",$D15="Male",AND(SUM($G15)=0,SUM($I15)=0)),"",SUM($I15)/SUM($G15))</f>
        <v/>
      </c>
      <c r="O15" s="118" t="e">
        <f>IF(AND(SUM($G15)=0,SUM($J15)=0),"",SUM($J15)/SUM($G15))</f>
        <v>#REF!</v>
      </c>
      <c r="P15" s="118" t="str">
        <f>IF(OR($C15="01-09",$C15="10-14",$D15="Female",AND(SUM($G15)=0,SUM($K15)=0)),"",SUM($K15)/SUM($G15))</f>
        <v/>
      </c>
      <c r="Q15" s="11"/>
      <c r="R15" s="11"/>
      <c r="S15" s="11"/>
      <c r="T15" s="11"/>
      <c r="U15" s="11"/>
      <c r="V15" s="11" t="str">
        <f>IF(SUM($G15)=0,"",SUM($M15:$U15))</f>
        <v/>
      </c>
      <c r="W15" s="76"/>
      <c r="X15" s="33" t="str">
        <f>IF(OR(SUM($G15)=0,SUM($Q15)=0),"",ROUND(SUM($G15)*SUM($Q15),0))</f>
        <v/>
      </c>
      <c r="Y15" s="33" t="str">
        <f>IF(SUM($X15)=0,"",IF(SUM($W15)=0,"ENTER YIELD",ROUND($X15/$W15,0)-$X15))</f>
        <v/>
      </c>
      <c r="Z15" s="76"/>
      <c r="AA15" s="33" t="str">
        <f>IF(OR(SUM($G15)=0,SUM($R15)=0),"",ROUND(SUM($G15)*SUM($R15),0))</f>
        <v/>
      </c>
      <c r="AB15" s="33" t="str">
        <f>IF(SUM($AA15)=0,"",IF(SUM($Z15)=0,"ENTER YIELD",ROUND($AA15/$Z15,0)-$AA15))</f>
        <v/>
      </c>
      <c r="AC15" s="76"/>
      <c r="AD15" s="33" t="str">
        <f>IF(OR(SUM($G15)=0,SUM($S15)=0),"",ROUND(SUM($G15)*SUM($S15),0))</f>
        <v/>
      </c>
      <c r="AE15" s="33" t="str">
        <f>IF(SUM($AD15)=0,"",IF(SUM($AC15)=0,"ENTER YIELD",ROUND($AD15/$AC15,0)-$AD15))</f>
        <v/>
      </c>
      <c r="AF15" s="76"/>
      <c r="AG15" s="33" t="str">
        <f>IF(OR(SUM($G15)=0,SUM($T15)=0),"",ROUND(SUM($G15)*SUM($T15),0))</f>
        <v/>
      </c>
      <c r="AH15" s="33" t="str">
        <f>IF(SUM($AG15)=0,"",IF(SUM($AF15)=0,"ENTER YIELD",ROUND($AG15/$AF15,0)-$AG15))</f>
        <v/>
      </c>
      <c r="AI15" s="76"/>
      <c r="AJ15" s="33" t="str">
        <f>IF(OR(SUM($G15)=0,SUM($U15)=0),"",ROUND(SUM($G15)*SUM($U15),0))</f>
        <v/>
      </c>
      <c r="AK15" s="33" t="str">
        <f>IF(SUM($AJ15)=0,"",IF(SUM($AI15)=0,"ENTER YIELD",ROUND($AJ15/$AI15,0)-$AJ15))</f>
        <v/>
      </c>
      <c r="AL15" s="52" t="str">
        <f>IF(SUM($G15)=0,"",$G15)</f>
        <v/>
      </c>
      <c r="AM15" s="97" t="str">
        <f>IFERROR(1/(1/SUM($H15:$K15,$X15,$AA15,$AD15,$AG15,$AJ15)),"")</f>
        <v/>
      </c>
      <c r="AN15" s="56" t="str">
        <f>IF(AND(SUM($AM15)=0,SUM($AL15)=0),"",$AM15-$AL15)</f>
        <v/>
      </c>
      <c r="AO15" s="56" t="str">
        <f>IF(OR($C15="01-09",$D15="Male"),"",INDEX(PMTCT!$AD:$AD,MATCH($E15,PMTCT!$E:$E,0)))</f>
        <v/>
      </c>
      <c r="AP15" s="56" t="str">
        <f>IF(OR($C15="01-09",$D15="Male"),"",INDEX(PMTCT!$AT:$AT,MATCH($E15,PMTCT!$E:$E,0)))</f>
        <v/>
      </c>
      <c r="AQ15" s="56" t="e">
        <f>INDEX(#REF!,MATCH($E15,#REF!,0))</f>
        <v>#REF!</v>
      </c>
      <c r="AR15" s="56" t="str">
        <f>IF(OR($C15="01-09",$C15="10-14",$D15="Female"),"",INDEX(VMMC!$AB:$AB,MATCH($E15,VMMC!$E:$E,0)))</f>
        <v/>
      </c>
      <c r="AS15" s="97" t="str">
        <f>IFERROR(1/(1/SUM($Y15,$AB15,$AE15,$AH15,$AK15,$AO15:$AR15)),"")</f>
        <v/>
      </c>
      <c r="AT15" s="97" t="str">
        <f>IFERROR(1/(1/SUM($AS15,$AM15)),"")</f>
        <v/>
      </c>
      <c r="AU15" s="11" t="str">
        <f>IF(AND(SUM($AM15)=0,SUM($AT15)=0),"",$AM15/$AT15)</f>
        <v/>
      </c>
      <c r="AW15" s="11" t="str">
        <f>IF(OR($C15="01-09",SUM($AV15)=0),"",0%)</f>
        <v/>
      </c>
      <c r="AX15" s="33" t="str">
        <f>IF(OR($C15="01-09",SUM($AV15)=0),"",ROUND($AV15*(1+$AW15),0))</f>
        <v/>
      </c>
    </row>
  </sheetData>
  <mergeCells count="1">
    <mergeCell ref="A2:B3"/>
  </mergeCells>
  <conditionalFormatting sqref="F1:F1048576">
    <cfRule type="expression" dxfId="66" priority="23">
      <formula>LEFT($B1,4)="_Mil"</formula>
    </cfRule>
  </conditionalFormatting>
  <conditionalFormatting sqref="F1:AV1048576 AX1:AX1048576">
    <cfRule type="expression" dxfId="65" priority="26">
      <formula>AND(ISNUMBER(F1),F1&lt;0)</formula>
    </cfRule>
  </conditionalFormatting>
  <conditionalFormatting sqref="H1:I1048576 M1:N1048576 AO1:AP1048576">
    <cfRule type="expression" dxfId="64" priority="1">
      <formula>OR($D1="Male",$C1="01-09")</formula>
    </cfRule>
  </conditionalFormatting>
  <conditionalFormatting sqref="K1:K1048576 P1:P1048576 AR1:AR1048576">
    <cfRule type="expression" dxfId="63" priority="2">
      <formula>OR($D1="Female",$C1="01-09",$C1="10-14")</formula>
    </cfRule>
  </conditionalFormatting>
  <conditionalFormatting sqref="M1:V1048576">
    <cfRule type="expression" dxfId="62" priority="218">
      <formula>AND(OR(ISNUMBER($V1),ROW($V1)&gt;14),IF(SUM($G1)=0,SUM($V1)&lt;&gt;0,ROUND($V1,2)&lt;1))</formula>
    </cfRule>
  </conditionalFormatting>
  <conditionalFormatting sqref="M1:W1048576 Z1:Z1048576 AC1:AC1048576 AF1:AF1048576 AI1:AI1048576 AU1:AU1048576">
    <cfRule type="expression" dxfId="61" priority="47">
      <formula>AND(ISNUMBER(M1),M1&gt;1)</formula>
    </cfRule>
  </conditionalFormatting>
  <conditionalFormatting sqref="Y1:Y1048576 AB1:AB1048576 AE1:AE1048576 AH1:AH1048576 AK1:AK1048576">
    <cfRule type="containsText" dxfId="60" priority="46" operator="containsText" text="ENTER YIELD">
      <formula>NOT(ISERROR(SEARCH("ENTER YIELD",Y1)))</formula>
    </cfRule>
  </conditionalFormatting>
  <conditionalFormatting sqref="AN1:AN1048576">
    <cfRule type="expression" dxfId="59" priority="55">
      <formula>AND(ISNUMBER($AN1),ROUND(SUM($AN1),0)&lt;&gt;0)</formula>
    </cfRule>
  </conditionalFormatting>
  <conditionalFormatting sqref="AV1:AX1048576">
    <cfRule type="expression" dxfId="58"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tabSelected="1" zoomScale="80" zoomScaleNormal="80" workbookViewId="0">
      <pane xSplit="5" ySplit="14" topLeftCell="F17"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87" t="s">
        <v>5</v>
      </c>
      <c r="B1" s="4"/>
      <c r="C1" s="1"/>
      <c r="D1" s="1"/>
      <c r="E1" s="1"/>
      <c r="F1" s="203" t="s">
        <v>12</v>
      </c>
      <c r="G1" s="178"/>
      <c r="H1" s="178"/>
      <c r="I1" s="178"/>
      <c r="J1" s="175"/>
      <c r="K1" s="175"/>
      <c r="L1" s="175"/>
      <c r="M1" s="172"/>
    </row>
    <row r="2" spans="1:13" s="21" customFormat="1" ht="19.05" customHeight="1">
      <c r="A2" s="381" t="s">
        <v>467</v>
      </c>
      <c r="B2" s="378"/>
      <c r="C2" s="2"/>
      <c r="D2" s="2"/>
      <c r="E2" s="2"/>
      <c r="F2" s="51"/>
      <c r="G2" s="46"/>
      <c r="H2" s="46"/>
      <c r="I2" s="46"/>
      <c r="J2" s="3"/>
      <c r="K2" s="3"/>
      <c r="L2" s="3"/>
      <c r="M2" s="253" t="s">
        <v>554</v>
      </c>
    </row>
    <row r="3" spans="1:13" ht="117" customHeight="1" thickBot="1">
      <c r="A3" s="379"/>
      <c r="B3" s="380"/>
      <c r="C3" s="17"/>
      <c r="D3" s="17"/>
      <c r="E3" s="17"/>
      <c r="F3" s="67" t="s">
        <v>905</v>
      </c>
      <c r="G3" s="63" t="s">
        <v>855</v>
      </c>
      <c r="H3" s="122" t="s">
        <v>856</v>
      </c>
      <c r="I3" s="122" t="s">
        <v>725</v>
      </c>
      <c r="J3" s="157" t="s">
        <v>906</v>
      </c>
      <c r="K3" s="215" t="s">
        <v>853</v>
      </c>
      <c r="L3" s="215" t="s">
        <v>854</v>
      </c>
      <c r="M3" s="30" t="s">
        <v>674</v>
      </c>
    </row>
    <row r="4" spans="1:13">
      <c r="A4" s="28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55</v>
      </c>
      <c r="B5" s="5" t="s">
        <v>55</v>
      </c>
      <c r="C5" s="5" t="s">
        <v>55</v>
      </c>
      <c r="D5" s="5" t="s">
        <v>55</v>
      </c>
      <c r="E5" s="5" t="s">
        <v>55</v>
      </c>
      <c r="F5" s="52" t="s">
        <v>66</v>
      </c>
      <c r="G5" s="38" t="s">
        <v>66</v>
      </c>
      <c r="H5" s="38" t="s">
        <v>55</v>
      </c>
      <c r="I5" s="38" t="s">
        <v>55</v>
      </c>
      <c r="J5" s="11" t="s">
        <v>55</v>
      </c>
      <c r="K5" s="11" t="s">
        <v>55</v>
      </c>
      <c r="L5" s="11" t="s">
        <v>55</v>
      </c>
      <c r="M5" s="33" t="s">
        <v>66</v>
      </c>
    </row>
    <row r="6" spans="1:13">
      <c r="A6" t="s">
        <v>125</v>
      </c>
      <c r="B6" s="5" t="s">
        <v>125</v>
      </c>
      <c r="C6" s="5" t="s">
        <v>125</v>
      </c>
      <c r="D6" s="5" t="s">
        <v>125</v>
      </c>
      <c r="E6" s="5" t="s">
        <v>125</v>
      </c>
      <c r="F6" s="52" t="s">
        <v>67</v>
      </c>
      <c r="G6" s="38" t="s">
        <v>67</v>
      </c>
      <c r="H6" s="38" t="s">
        <v>50</v>
      </c>
      <c r="I6" s="38" t="s">
        <v>50</v>
      </c>
      <c r="J6" s="11" t="s">
        <v>68</v>
      </c>
      <c r="K6" s="11" t="s">
        <v>69</v>
      </c>
      <c r="L6" s="11" t="s">
        <v>69</v>
      </c>
      <c r="M6" s="33" t="s">
        <v>49</v>
      </c>
    </row>
    <row r="7" spans="1:13">
      <c r="A7" t="s">
        <v>65</v>
      </c>
      <c r="B7" s="5" t="s">
        <v>65</v>
      </c>
      <c r="C7" s="5" t="s">
        <v>65</v>
      </c>
      <c r="D7" s="5" t="s">
        <v>65</v>
      </c>
      <c r="E7" s="5" t="s">
        <v>65</v>
      </c>
      <c r="F7" s="52" t="s">
        <v>51</v>
      </c>
      <c r="G7" s="38" t="s">
        <v>51</v>
      </c>
      <c r="H7" s="38" t="s">
        <v>51</v>
      </c>
      <c r="I7" s="38" t="s">
        <v>51</v>
      </c>
      <c r="J7" s="11" t="s">
        <v>52</v>
      </c>
      <c r="K7" s="11" t="s">
        <v>52</v>
      </c>
      <c r="L7" s="11" t="s">
        <v>52</v>
      </c>
      <c r="M7" s="33" t="s">
        <v>51</v>
      </c>
    </row>
    <row r="8" spans="1:13">
      <c r="F8" s="265" t="s">
        <v>263</v>
      </c>
      <c r="G8" s="264" t="s">
        <v>91</v>
      </c>
      <c r="H8" s="257"/>
      <c r="I8" s="257"/>
      <c r="J8" s="138"/>
      <c r="K8" s="138"/>
      <c r="L8" s="138"/>
      <c r="M8" s="260" t="s">
        <v>91</v>
      </c>
    </row>
    <row r="9" spans="1:13">
      <c r="F9" s="265" t="s">
        <v>264</v>
      </c>
      <c r="G9" s="264" t="s">
        <v>92</v>
      </c>
      <c r="H9" s="257"/>
      <c r="I9" s="257"/>
      <c r="J9" s="138"/>
      <c r="K9" s="138"/>
      <c r="L9" s="138"/>
      <c r="M9" s="260" t="s">
        <v>92</v>
      </c>
    </row>
    <row r="10" spans="1:13">
      <c r="F10" s="266" t="s">
        <v>61</v>
      </c>
      <c r="G10" s="264" t="s">
        <v>61</v>
      </c>
      <c r="H10" s="257"/>
      <c r="I10" s="257"/>
      <c r="J10" s="138"/>
      <c r="K10" s="138"/>
      <c r="L10" s="138"/>
      <c r="M10" s="260" t="s">
        <v>61</v>
      </c>
    </row>
    <row r="11" spans="1:13">
      <c r="F11" s="52" t="s">
        <v>594</v>
      </c>
      <c r="G11" s="38" t="s">
        <v>594</v>
      </c>
      <c r="H11" s="38" t="s">
        <v>594</v>
      </c>
      <c r="I11" s="38" t="s">
        <v>594</v>
      </c>
      <c r="J11" s="11" t="s">
        <v>594</v>
      </c>
      <c r="K11" s="11" t="s">
        <v>594</v>
      </c>
      <c r="L11" s="11" t="s">
        <v>594</v>
      </c>
      <c r="M11" s="33" t="s">
        <v>594</v>
      </c>
    </row>
    <row r="12" spans="1:13">
      <c r="F12" s="52" t="s">
        <v>419</v>
      </c>
      <c r="G12" s="38" t="s">
        <v>419</v>
      </c>
      <c r="H12" s="38" t="s">
        <v>419</v>
      </c>
      <c r="I12" s="38" t="s">
        <v>419</v>
      </c>
      <c r="J12" s="11" t="s">
        <v>419</v>
      </c>
      <c r="K12" s="11" t="s">
        <v>419</v>
      </c>
      <c r="L12" s="11" t="s">
        <v>419</v>
      </c>
      <c r="M12" s="33" t="s">
        <v>419</v>
      </c>
    </row>
    <row r="14" spans="1:13">
      <c r="A14" s="286" t="s">
        <v>40</v>
      </c>
      <c r="B14" s="198" t="s">
        <v>3</v>
      </c>
      <c r="C14" s="198" t="s">
        <v>22</v>
      </c>
      <c r="D14" s="198" t="s">
        <v>4</v>
      </c>
      <c r="E14" s="198" t="s">
        <v>43</v>
      </c>
      <c r="F14" s="209" t="s">
        <v>307</v>
      </c>
      <c r="G14" s="185" t="s">
        <v>308</v>
      </c>
      <c r="H14" s="185" t="s">
        <v>183</v>
      </c>
      <c r="I14" s="185" t="s">
        <v>539</v>
      </c>
      <c r="J14" s="186" t="s">
        <v>309</v>
      </c>
      <c r="K14" s="186" t="s">
        <v>566</v>
      </c>
      <c r="L14" s="186" t="s">
        <v>567</v>
      </c>
      <c r="M14" s="208" t="s">
        <v>219</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7" priority="1">
      <formula>AND(ISNUMBER(F1),F1&lt;0)</formula>
    </cfRule>
  </conditionalFormatting>
  <conditionalFormatting sqref="J1:L1048576">
    <cfRule type="expression" dxfId="56" priority="2">
      <formula>AND(ISNUMBER(J1),J1&gt;1)</formula>
    </cfRule>
  </conditionalFormatting>
  <conditionalFormatting sqref="K1:K1048576">
    <cfRule type="expression" dxfId="55" priority="3">
      <formula>AND(ISNUMBER($K1),$K1&lt;33%)</formula>
    </cfRule>
  </conditionalFormatting>
  <conditionalFormatting sqref="L1:L1048576">
    <cfRule type="expression" dxfId="54"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15" sqref="P15:X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36" customWidth="1"/>
    <col min="8" max="11" width="11.796875" style="11" customWidth="1"/>
    <col min="12" max="15" width="11.796875" style="33" customWidth="1"/>
    <col min="16" max="16" width="11.796875" style="47" customWidth="1"/>
    <col min="17" max="18" width="11.796875" style="36" customWidth="1"/>
    <col min="19" max="19" width="11.796875" style="56" customWidth="1"/>
    <col min="20" max="20" width="11.796875" style="118" customWidth="1"/>
    <col min="21" max="21" width="11.796875" style="11" customWidth="1"/>
    <col min="22" max="22" width="11.796875" style="118" customWidth="1"/>
    <col min="23" max="24" width="11.796875" style="33" customWidth="1"/>
    <col min="25" max="25" width="11.796875" style="76" customWidth="1"/>
    <col min="26" max="27" width="11.796875" style="33" customWidth="1"/>
    <col min="28" max="29" width="11.796875" style="11" customWidth="1"/>
  </cols>
  <sheetData>
    <row r="1" spans="1:29" s="22" customFormat="1" ht="31.05" customHeight="1">
      <c r="A1" s="287" t="s">
        <v>48</v>
      </c>
      <c r="B1" s="4"/>
      <c r="C1" s="1"/>
      <c r="D1" s="1"/>
      <c r="E1" s="1"/>
      <c r="F1" s="206" t="s">
        <v>13</v>
      </c>
      <c r="G1" s="172"/>
      <c r="H1" s="175"/>
      <c r="I1" s="175"/>
      <c r="J1" s="175"/>
      <c r="K1" s="175"/>
      <c r="L1" s="172"/>
      <c r="M1" s="172"/>
      <c r="N1" s="172"/>
      <c r="O1" s="172"/>
      <c r="P1" s="206" t="s">
        <v>14</v>
      </c>
      <c r="Q1" s="178"/>
      <c r="R1" s="170"/>
      <c r="S1" s="170"/>
      <c r="T1" s="177"/>
      <c r="U1" s="175"/>
      <c r="V1" s="177"/>
      <c r="W1" s="172"/>
      <c r="X1" s="172"/>
      <c r="Y1" s="205" t="s">
        <v>24</v>
      </c>
      <c r="Z1" s="172"/>
      <c r="AA1" s="172"/>
      <c r="AB1" s="176"/>
      <c r="AC1" s="176"/>
    </row>
    <row r="2" spans="1:29" s="21" customFormat="1" ht="18">
      <c r="A2" s="13"/>
      <c r="B2" s="2"/>
      <c r="C2" s="2"/>
      <c r="D2" s="2"/>
      <c r="E2" s="2"/>
      <c r="F2" s="49"/>
      <c r="G2" s="34"/>
      <c r="H2" s="3"/>
      <c r="I2" s="3"/>
      <c r="J2" s="3"/>
      <c r="K2" s="3"/>
      <c r="L2" s="253" t="s">
        <v>554</v>
      </c>
      <c r="M2" s="253" t="s">
        <v>554</v>
      </c>
      <c r="N2" s="253" t="s">
        <v>554</v>
      </c>
      <c r="O2" s="253" t="s">
        <v>554</v>
      </c>
      <c r="P2" s="49"/>
      <c r="Q2" s="46"/>
      <c r="R2" s="54"/>
      <c r="S2" s="54"/>
      <c r="T2" s="116"/>
      <c r="U2" s="3"/>
      <c r="V2" s="116"/>
      <c r="W2" s="253" t="s">
        <v>554</v>
      </c>
      <c r="X2" s="253" t="s">
        <v>554</v>
      </c>
      <c r="Y2" s="115"/>
      <c r="Z2" s="253" t="s">
        <v>554</v>
      </c>
      <c r="AA2" s="253" t="s">
        <v>554</v>
      </c>
      <c r="AB2" s="3"/>
      <c r="AC2" s="3"/>
    </row>
    <row r="3" spans="1:29" ht="117" customHeight="1">
      <c r="A3" s="284"/>
      <c r="B3" s="17"/>
      <c r="C3" s="17"/>
      <c r="D3" s="17"/>
      <c r="E3" s="17"/>
      <c r="F3" s="121" t="s">
        <v>856</v>
      </c>
      <c r="G3" s="125" t="s">
        <v>857</v>
      </c>
      <c r="H3" s="215" t="s">
        <v>858</v>
      </c>
      <c r="I3" s="215" t="s">
        <v>859</v>
      </c>
      <c r="J3" s="215" t="s">
        <v>860</v>
      </c>
      <c r="K3" s="215" t="s">
        <v>861</v>
      </c>
      <c r="L3" s="30" t="s">
        <v>862</v>
      </c>
      <c r="M3" s="30" t="s">
        <v>863</v>
      </c>
      <c r="N3" s="30" t="s">
        <v>864</v>
      </c>
      <c r="O3" s="30" t="s">
        <v>865</v>
      </c>
      <c r="P3" s="67" t="s">
        <v>914</v>
      </c>
      <c r="Q3" s="68" t="s">
        <v>873</v>
      </c>
      <c r="R3" s="55" t="s">
        <v>874</v>
      </c>
      <c r="S3" s="342" t="s">
        <v>866</v>
      </c>
      <c r="T3" s="217" t="s">
        <v>867</v>
      </c>
      <c r="U3" s="215" t="s">
        <v>868</v>
      </c>
      <c r="V3" s="217" t="s">
        <v>869</v>
      </c>
      <c r="W3" s="30" t="s">
        <v>669</v>
      </c>
      <c r="X3" s="30" t="s">
        <v>670</v>
      </c>
      <c r="Y3" s="216" t="s">
        <v>870</v>
      </c>
      <c r="Z3" s="30" t="s">
        <v>669</v>
      </c>
      <c r="AA3" s="30" t="s">
        <v>670</v>
      </c>
      <c r="AB3" s="147" t="s">
        <v>871</v>
      </c>
      <c r="AC3" s="147" t="s">
        <v>872</v>
      </c>
    </row>
    <row r="4" spans="1:29">
      <c r="A4" s="285"/>
      <c r="B4" s="15"/>
      <c r="C4" s="15"/>
      <c r="D4" s="15" t="s">
        <v>2</v>
      </c>
      <c r="E4" s="15"/>
      <c r="F4" s="50">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0">
        <f>SUBTOTAL(109,P$15:INDEX(P:P,COUNTA($B:$B)+14-COUNTA($B$1:$B$14)))</f>
        <v>0</v>
      </c>
      <c r="Q4" s="35">
        <f>SUBTOTAL(109,Q$15:INDEX(Q:Q,COUNTA($B:$B)+14-COUNTA($B$1:$B$14)))</f>
        <v>0</v>
      </c>
      <c r="R4" s="35">
        <f>SUBTOTAL(109,R$15:INDEX(R:R,COUNTA($B:$B)+14-COUNTA($B$1:$B$14)))</f>
        <v>0</v>
      </c>
      <c r="S4" s="142">
        <f>SUBTOTAL(109,S$15:INDEX(S:S,COUNTA($B:$B)+14-COUNTA($B$1:$B$14)))</f>
        <v>0</v>
      </c>
      <c r="T4" s="118" t="str">
        <f>IF(SUM($F4)=0,"",MIN($S4/$F4,1))</f>
        <v/>
      </c>
      <c r="U4" s="18" t="str">
        <f>IF(SUM($M$4)*SUM($T$4)=0,"",SUM($W$4)/(SUM($M$4)*SUM($T$4)))</f>
        <v/>
      </c>
      <c r="V4" s="117" t="str">
        <f>IF(SUM($O$4)=0,"",$X$4/$O$4)</f>
        <v/>
      </c>
      <c r="W4" s="32">
        <f>SUBTOTAL(109,W$15:INDEX(W:W,COUNTA($B:$B)+14-COUNTA($B$1:$B$14)))</f>
        <v>0</v>
      </c>
      <c r="X4" s="32">
        <f>SUBTOTAL(109,X$15:INDEX(X:X,COUNTA($B:$B)+14-COUNTA($B$1:$B$14)))</f>
        <v>0</v>
      </c>
      <c r="Y4" s="75" t="str">
        <f>IF(SUM($X$4,$W$4)=0,"",SUM($AA$4,$Z$4)/SUM($X$4,$W$4))</f>
        <v/>
      </c>
      <c r="Z4" s="32">
        <f>SUBTOTAL(109,Z$15:INDEX(Z:Z,COUNTA($B:$B)+14-COUNTA($B$1:$B$14)))</f>
        <v>0</v>
      </c>
      <c r="AA4" s="32">
        <f>SUBTOTAL(109,AA$15:INDEX(AA:AA,COUNTA($B:$B)+14-COUNTA($B$1:$B$14)))</f>
        <v>0</v>
      </c>
      <c r="AB4" s="18" t="str">
        <f>IF(SUM($Q4)=0,"",(SUM($Z4)-$Q4)/$Q4)</f>
        <v/>
      </c>
      <c r="AC4" s="18" t="str">
        <f>IF(SUM($R4)=0,"",(SUM($AA4)-$R4)/$R4)</f>
        <v/>
      </c>
    </row>
    <row r="5" spans="1:29">
      <c r="A5" t="s">
        <v>55</v>
      </c>
      <c r="B5" s="5" t="s">
        <v>55</v>
      </c>
      <c r="C5" s="5" t="s">
        <v>55</v>
      </c>
      <c r="D5" s="5" t="s">
        <v>55</v>
      </c>
      <c r="E5" s="5" t="s">
        <v>55</v>
      </c>
      <c r="F5" s="47" t="s">
        <v>55</v>
      </c>
      <c r="G5" s="36" t="s">
        <v>55</v>
      </c>
      <c r="H5" s="11" t="s">
        <v>55</v>
      </c>
      <c r="I5" s="11" t="s">
        <v>55</v>
      </c>
      <c r="J5" s="11" t="s">
        <v>55</v>
      </c>
      <c r="K5" s="11" t="s">
        <v>55</v>
      </c>
      <c r="L5" s="33" t="s">
        <v>66</v>
      </c>
      <c r="M5" s="33" t="s">
        <v>66</v>
      </c>
      <c r="N5" s="33" t="s">
        <v>66</v>
      </c>
      <c r="O5" s="33" t="s">
        <v>66</v>
      </c>
      <c r="P5" s="47" t="s">
        <v>55</v>
      </c>
      <c r="Q5" s="36" t="s">
        <v>66</v>
      </c>
      <c r="R5" s="36" t="s">
        <v>66</v>
      </c>
      <c r="S5" s="56" t="s">
        <v>55</v>
      </c>
      <c r="T5" s="118" t="s">
        <v>55</v>
      </c>
      <c r="U5" s="11" t="s">
        <v>55</v>
      </c>
      <c r="V5" s="118" t="s">
        <v>55</v>
      </c>
      <c r="W5" s="33" t="s">
        <v>66</v>
      </c>
      <c r="X5" s="33" t="s">
        <v>66</v>
      </c>
      <c r="Y5" s="76" t="s">
        <v>55</v>
      </c>
      <c r="Z5" s="33" t="s">
        <v>66</v>
      </c>
      <c r="AA5" s="33" t="s">
        <v>66</v>
      </c>
      <c r="AB5" s="11" t="s">
        <v>55</v>
      </c>
      <c r="AC5" s="11" t="s">
        <v>55</v>
      </c>
    </row>
    <row r="6" spans="1:29">
      <c r="A6" t="s">
        <v>125</v>
      </c>
      <c r="B6" s="5" t="s">
        <v>125</v>
      </c>
      <c r="C6" s="5" t="s">
        <v>125</v>
      </c>
      <c r="D6" s="5" t="s">
        <v>125</v>
      </c>
      <c r="E6" s="5" t="s">
        <v>125</v>
      </c>
      <c r="F6" s="47" t="s">
        <v>50</v>
      </c>
      <c r="G6" s="36" t="s">
        <v>50</v>
      </c>
      <c r="H6" s="11" t="s">
        <v>69</v>
      </c>
      <c r="I6" s="11" t="s">
        <v>69</v>
      </c>
      <c r="J6" s="11" t="s">
        <v>68</v>
      </c>
      <c r="K6" s="11" t="s">
        <v>68</v>
      </c>
      <c r="L6" s="33" t="s">
        <v>49</v>
      </c>
      <c r="M6" s="33" t="s">
        <v>49</v>
      </c>
      <c r="N6" s="33" t="s">
        <v>49</v>
      </c>
      <c r="O6" s="33" t="s">
        <v>49</v>
      </c>
      <c r="P6" s="47" t="s">
        <v>68</v>
      </c>
      <c r="Q6" s="36" t="s">
        <v>67</v>
      </c>
      <c r="R6" s="36" t="s">
        <v>67</v>
      </c>
      <c r="S6" s="56" t="s">
        <v>69</v>
      </c>
      <c r="T6" s="118" t="s">
        <v>69</v>
      </c>
      <c r="U6" s="11" t="s">
        <v>69</v>
      </c>
      <c r="V6" s="118" t="s">
        <v>69</v>
      </c>
      <c r="W6" s="33" t="s">
        <v>49</v>
      </c>
      <c r="X6" s="33" t="s">
        <v>49</v>
      </c>
      <c r="Y6" s="76" t="s">
        <v>69</v>
      </c>
      <c r="Z6" s="33" t="s">
        <v>49</v>
      </c>
      <c r="AA6" s="33" t="s">
        <v>49</v>
      </c>
      <c r="AB6" s="11" t="s">
        <v>50</v>
      </c>
      <c r="AC6" s="11" t="s">
        <v>50</v>
      </c>
    </row>
    <row r="7" spans="1:29">
      <c r="A7" t="s">
        <v>65</v>
      </c>
      <c r="B7" s="5" t="s">
        <v>65</v>
      </c>
      <c r="C7" s="5" t="s">
        <v>65</v>
      </c>
      <c r="D7" s="5" t="s">
        <v>65</v>
      </c>
      <c r="E7" s="5" t="s">
        <v>65</v>
      </c>
      <c r="F7" s="47" t="s">
        <v>51</v>
      </c>
      <c r="G7" s="36" t="s">
        <v>51</v>
      </c>
      <c r="H7" s="11" t="s">
        <v>52</v>
      </c>
      <c r="I7" s="11" t="s">
        <v>52</v>
      </c>
      <c r="J7" s="11" t="s">
        <v>52</v>
      </c>
      <c r="K7" s="11" t="s">
        <v>52</v>
      </c>
      <c r="L7" s="33" t="s">
        <v>51</v>
      </c>
      <c r="M7" s="33" t="s">
        <v>51</v>
      </c>
      <c r="N7" s="33" t="s">
        <v>51</v>
      </c>
      <c r="O7" s="33" t="s">
        <v>51</v>
      </c>
      <c r="P7" s="47" t="s">
        <v>51</v>
      </c>
      <c r="Q7" s="36" t="s">
        <v>51</v>
      </c>
      <c r="R7" s="36" t="s">
        <v>51</v>
      </c>
      <c r="S7" s="56" t="s">
        <v>51</v>
      </c>
      <c r="T7" s="118" t="s">
        <v>52</v>
      </c>
      <c r="U7" s="11" t="s">
        <v>52</v>
      </c>
      <c r="V7" s="118" t="s">
        <v>52</v>
      </c>
      <c r="W7" s="33" t="s">
        <v>51</v>
      </c>
      <c r="X7" s="33" t="s">
        <v>51</v>
      </c>
      <c r="Y7" s="76" t="s">
        <v>52</v>
      </c>
      <c r="Z7" s="33" t="s">
        <v>51</v>
      </c>
      <c r="AA7" s="33" t="s">
        <v>51</v>
      </c>
      <c r="AB7" s="11" t="s">
        <v>52</v>
      </c>
      <c r="AC7" s="11" t="s">
        <v>52</v>
      </c>
    </row>
    <row r="8" spans="1:29">
      <c r="L8" s="260" t="s">
        <v>95</v>
      </c>
      <c r="M8" s="260" t="s">
        <v>95</v>
      </c>
      <c r="N8" s="260" t="s">
        <v>95</v>
      </c>
      <c r="O8" s="260" t="s">
        <v>95</v>
      </c>
      <c r="Q8" s="264" t="s">
        <v>130</v>
      </c>
      <c r="R8" s="264" t="s">
        <v>130</v>
      </c>
      <c r="S8" s="259"/>
      <c r="T8" s="258"/>
      <c r="U8" s="138"/>
      <c r="V8" s="258"/>
      <c r="W8" s="260" t="s">
        <v>129</v>
      </c>
      <c r="X8" s="260" t="s">
        <v>129</v>
      </c>
      <c r="Y8" s="137"/>
      <c r="Z8" s="260" t="s">
        <v>130</v>
      </c>
      <c r="AA8" s="260" t="s">
        <v>130</v>
      </c>
      <c r="AB8" s="138"/>
      <c r="AC8" s="138"/>
    </row>
    <row r="9" spans="1:29">
      <c r="L9" s="260" t="s">
        <v>96</v>
      </c>
      <c r="M9" s="260" t="s">
        <v>96</v>
      </c>
      <c r="N9" s="260" t="s">
        <v>96</v>
      </c>
      <c r="O9" s="260" t="s">
        <v>96</v>
      </c>
      <c r="Q9" s="264" t="s">
        <v>131</v>
      </c>
      <c r="R9" s="264" t="s">
        <v>131</v>
      </c>
      <c r="S9" s="259"/>
      <c r="T9" s="258"/>
      <c r="U9" s="138"/>
      <c r="V9" s="258"/>
      <c r="W9" s="260" t="s">
        <v>128</v>
      </c>
      <c r="X9" s="260" t="s">
        <v>128</v>
      </c>
      <c r="Y9" s="137"/>
      <c r="Z9" s="260" t="s">
        <v>131</v>
      </c>
      <c r="AA9" s="260" t="s">
        <v>131</v>
      </c>
      <c r="AB9" s="138"/>
      <c r="AC9" s="138"/>
    </row>
    <row r="10" spans="1:29">
      <c r="L10" s="260" t="s">
        <v>99</v>
      </c>
      <c r="M10" s="260" t="s">
        <v>100</v>
      </c>
      <c r="N10" s="260" t="s">
        <v>97</v>
      </c>
      <c r="O10" s="260" t="s">
        <v>98</v>
      </c>
      <c r="Q10" s="264" t="s">
        <v>77</v>
      </c>
      <c r="R10" s="264" t="s">
        <v>76</v>
      </c>
      <c r="S10" s="259"/>
      <c r="T10" s="258"/>
      <c r="U10" s="138"/>
      <c r="V10" s="258"/>
      <c r="W10" s="260" t="s">
        <v>77</v>
      </c>
      <c r="X10" s="260" t="s">
        <v>76</v>
      </c>
      <c r="Y10" s="137"/>
      <c r="Z10" s="260" t="s">
        <v>77</v>
      </c>
      <c r="AA10" s="260" t="s">
        <v>76</v>
      </c>
      <c r="AB10" s="138"/>
      <c r="AC10" s="138"/>
    </row>
    <row r="11" spans="1:29">
      <c r="F11" s="47" t="s">
        <v>421</v>
      </c>
      <c r="G11" s="36" t="s">
        <v>421</v>
      </c>
      <c r="H11" s="11" t="s">
        <v>421</v>
      </c>
      <c r="I11" s="11" t="s">
        <v>421</v>
      </c>
      <c r="J11" s="11" t="s">
        <v>421</v>
      </c>
      <c r="K11" s="11" t="s">
        <v>421</v>
      </c>
      <c r="L11" s="33" t="s">
        <v>421</v>
      </c>
      <c r="M11" s="33" t="s">
        <v>421</v>
      </c>
      <c r="N11" s="33" t="s">
        <v>421</v>
      </c>
      <c r="O11" s="33" t="s">
        <v>421</v>
      </c>
      <c r="P11" s="47" t="s">
        <v>421</v>
      </c>
      <c r="Q11" s="36" t="s">
        <v>421</v>
      </c>
      <c r="R11" s="36" t="s">
        <v>421</v>
      </c>
      <c r="S11" s="56" t="s">
        <v>421</v>
      </c>
      <c r="T11" s="118" t="s">
        <v>421</v>
      </c>
      <c r="U11" s="11" t="s">
        <v>421</v>
      </c>
      <c r="V11" s="118" t="s">
        <v>421</v>
      </c>
      <c r="W11" s="33" t="s">
        <v>421</v>
      </c>
      <c r="X11" s="33" t="s">
        <v>421</v>
      </c>
      <c r="Y11" s="76" t="s">
        <v>421</v>
      </c>
      <c r="Z11" s="33" t="s">
        <v>421</v>
      </c>
      <c r="AA11" s="33" t="s">
        <v>421</v>
      </c>
      <c r="AB11" s="11" t="s">
        <v>421</v>
      </c>
      <c r="AC11" s="11" t="s">
        <v>421</v>
      </c>
    </row>
    <row r="12" spans="1:29">
      <c r="F12" s="47" t="s">
        <v>126</v>
      </c>
      <c r="G12" s="36" t="s">
        <v>126</v>
      </c>
      <c r="H12" s="11" t="s">
        <v>126</v>
      </c>
      <c r="I12" s="11" t="s">
        <v>126</v>
      </c>
      <c r="J12" s="11" t="s">
        <v>126</v>
      </c>
      <c r="K12" s="11" t="s">
        <v>126</v>
      </c>
      <c r="L12" s="33" t="s">
        <v>126</v>
      </c>
      <c r="M12" s="33" t="s">
        <v>126</v>
      </c>
      <c r="N12" s="33" t="s">
        <v>126</v>
      </c>
      <c r="O12" s="33" t="s">
        <v>126</v>
      </c>
      <c r="P12" s="47" t="s">
        <v>126</v>
      </c>
      <c r="Q12" s="36" t="s">
        <v>126</v>
      </c>
      <c r="R12" s="36" t="s">
        <v>126</v>
      </c>
      <c r="S12" s="56" t="s">
        <v>126</v>
      </c>
      <c r="T12" s="118" t="s">
        <v>126</v>
      </c>
      <c r="U12" s="11" t="s">
        <v>126</v>
      </c>
      <c r="V12" s="118" t="s">
        <v>126</v>
      </c>
      <c r="W12" s="33" t="s">
        <v>126</v>
      </c>
      <c r="X12" s="33" t="s">
        <v>126</v>
      </c>
      <c r="Y12" s="76" t="s">
        <v>126</v>
      </c>
      <c r="Z12" s="33" t="s">
        <v>126</v>
      </c>
      <c r="AA12" s="33" t="s">
        <v>126</v>
      </c>
      <c r="AB12" s="11" t="s">
        <v>126</v>
      </c>
      <c r="AC12" s="11" t="s">
        <v>126</v>
      </c>
    </row>
    <row r="14" spans="1:29">
      <c r="A14" s="286" t="s">
        <v>40</v>
      </c>
      <c r="B14" s="198" t="s">
        <v>3</v>
      </c>
      <c r="C14" s="181" t="s">
        <v>22</v>
      </c>
      <c r="D14" s="181" t="s">
        <v>4</v>
      </c>
      <c r="E14" s="181" t="s">
        <v>43</v>
      </c>
      <c r="F14" s="209" t="s">
        <v>183</v>
      </c>
      <c r="G14" s="182" t="s">
        <v>185</v>
      </c>
      <c r="H14" s="186" t="s">
        <v>501</v>
      </c>
      <c r="I14" s="186" t="s">
        <v>500</v>
      </c>
      <c r="J14" s="186" t="s">
        <v>221</v>
      </c>
      <c r="K14" s="186" t="s">
        <v>220</v>
      </c>
      <c r="L14" s="208" t="s">
        <v>224</v>
      </c>
      <c r="M14" s="208" t="s">
        <v>225</v>
      </c>
      <c r="N14" s="208" t="s">
        <v>222</v>
      </c>
      <c r="O14" s="208" t="s">
        <v>223</v>
      </c>
      <c r="P14" s="209" t="s">
        <v>515</v>
      </c>
      <c r="Q14" s="185" t="s">
        <v>231</v>
      </c>
      <c r="R14" s="182" t="s">
        <v>230</v>
      </c>
      <c r="S14" s="182" t="s">
        <v>614</v>
      </c>
      <c r="T14" s="187" t="s">
        <v>615</v>
      </c>
      <c r="U14" s="186" t="s">
        <v>227</v>
      </c>
      <c r="V14" s="187" t="s">
        <v>226</v>
      </c>
      <c r="W14" s="208" t="s">
        <v>229</v>
      </c>
      <c r="X14" s="208" t="s">
        <v>228</v>
      </c>
      <c r="Y14" s="214" t="s">
        <v>616</v>
      </c>
      <c r="Z14" s="208" t="s">
        <v>233</v>
      </c>
      <c r="AA14" s="208" t="s">
        <v>232</v>
      </c>
      <c r="AB14" s="186" t="s">
        <v>618</v>
      </c>
      <c r="AC14" s="186" t="s">
        <v>617</v>
      </c>
    </row>
    <row r="15" spans="1:29">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6" t="str">
        <f>IFERROR(1/(1/SUM($P15,$R15,$Q15)),"")</f>
        <v/>
      </c>
      <c r="T15" s="118" t="str">
        <f>IF(SUM($F15)=0,"",MAX(($F15-$S15)/$F15,0))</f>
        <v/>
      </c>
      <c r="U15" s="11">
        <v>1</v>
      </c>
      <c r="V15" s="118">
        <v>1</v>
      </c>
      <c r="W15" s="33" t="str">
        <f>IF(SUM($M15)=0,"",IF($T15="","ENTER ELIGIBILITY RATE",IF($U15 = "","ENTER INITIATION RATE",ROUND($M15*$T15*$U15,0))))</f>
        <v/>
      </c>
      <c r="X15" s="33" t="str">
        <f>IF(SUM($O15)=0,"",IF($V15="","ENTER INITIATION RATE",ROUND($O15*$V15,0)))</f>
        <v/>
      </c>
      <c r="Y15" s="76">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3" priority="2">
      <formula>AND(ISNUMBER(F1),F1&lt;0)</formula>
    </cfRule>
  </conditionalFormatting>
  <conditionalFormatting sqref="H1:H1048576 J1:J1048576">
    <cfRule type="expression" dxfId="52" priority="5">
      <formula>AND(SUM($F1)&gt;0,H1="",ROW(H1)&gt;14)</formula>
    </cfRule>
  </conditionalFormatting>
  <conditionalFormatting sqref="H1:K1048576 T1:V1048576 Y1:Y1048576">
    <cfRule type="expression" dxfId="51" priority="4">
      <formula>AND(ISNUMBER(H1),H1&gt;1)</formula>
    </cfRule>
  </conditionalFormatting>
  <conditionalFormatting sqref="I1:I1048576 K1:K1048576">
    <cfRule type="expression" dxfId="50" priority="8">
      <formula>AND(SUM($G1)&lt;&gt;0,I1="",ROW(I1)&gt;14)</formula>
    </cfRule>
  </conditionalFormatting>
  <conditionalFormatting sqref="T1:T1048576">
    <cfRule type="expression" dxfId="49" priority="3285">
      <formula>W1="ENTER ELIGIBILITY RATE"</formula>
    </cfRule>
  </conditionalFormatting>
  <conditionalFormatting sqref="U1:V1048576 H1:I1048576">
    <cfRule type="expression" dxfId="48" priority="3849">
      <formula>AND(ISNUMBER(H1),ROUND(SUM(H1),2)&lt;100%)</formula>
    </cfRule>
  </conditionalFormatting>
  <conditionalFormatting sqref="U1:V1048576">
    <cfRule type="expression" dxfId="47" priority="2167">
      <formula>W1="ENTER INITIATION RATE"</formula>
    </cfRule>
  </conditionalFormatting>
  <conditionalFormatting sqref="Y1:Y1048576">
    <cfRule type="expression" dxfId="46" priority="1">
      <formula>OR(Z1="ENTER COMPLETION RATE",AA1="ENTER COMPLETION RATE")</formula>
    </cfRule>
    <cfRule type="expression" dxfId="45"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FF0000"/>
  </sheetPr>
  <dimension ref="A1:H15"/>
  <sheetViews>
    <sheetView workbookViewId="0">
      <pane xSplit="5" ySplit="14" topLeftCell="F15" activePane="bottomRight" state="frozen"/>
      <selection pane="topRight"/>
      <selection pane="bottomLeft"/>
      <selection pane="bottomRight" activeCell="H1" sqref="H1:H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8" width="11.796875" style="374" customWidth="1"/>
  </cols>
  <sheetData>
    <row r="1" spans="1:8" s="22" customFormat="1" ht="31.05" customHeight="1">
      <c r="A1" s="287" t="s">
        <v>9</v>
      </c>
      <c r="B1" s="4"/>
      <c r="C1" s="1"/>
      <c r="D1" s="1"/>
      <c r="E1" s="1"/>
      <c r="F1" s="206" t="s">
        <v>28</v>
      </c>
      <c r="G1" s="175"/>
      <c r="H1" s="370"/>
    </row>
    <row r="2" spans="1:8" s="21" customFormat="1" ht="18">
      <c r="A2" s="13"/>
      <c r="B2" s="2"/>
      <c r="C2" s="2"/>
      <c r="D2" s="2"/>
      <c r="E2" s="2"/>
      <c r="F2" s="49"/>
      <c r="G2" s="3"/>
      <c r="H2" s="371" t="s">
        <v>554</v>
      </c>
    </row>
    <row r="3" spans="1:8" ht="117" customHeight="1">
      <c r="A3" s="284"/>
      <c r="B3" s="17"/>
      <c r="C3" s="17"/>
      <c r="D3" s="17"/>
      <c r="E3" s="17"/>
      <c r="F3" s="67" t="s">
        <v>623</v>
      </c>
      <c r="G3" s="215" t="s">
        <v>141</v>
      </c>
      <c r="H3" s="372" t="s">
        <v>672</v>
      </c>
    </row>
    <row r="4" spans="1:8">
      <c r="A4" s="285"/>
      <c r="B4" s="15"/>
      <c r="C4" s="15"/>
      <c r="D4" s="15" t="s">
        <v>2</v>
      </c>
      <c r="E4" s="15"/>
      <c r="F4" s="50">
        <f>SUBTOTAL(109,F$15:INDEX(F:F,COUNTA($B:$B)+14-COUNTA($B$1:$B$14)))</f>
        <v>0</v>
      </c>
      <c r="G4" s="18" t="str">
        <f>IF($F$4=0,"",$H$4/$F$4-1)</f>
        <v/>
      </c>
      <c r="H4" s="373">
        <f>SUBTOTAL(109,H$15:INDEX(H:H,COUNTA($B:$B)+14-COUNTA($B$1:$B$14)))</f>
        <v>0</v>
      </c>
    </row>
    <row r="5" spans="1:8">
      <c r="A5" t="s">
        <v>55</v>
      </c>
      <c r="B5" s="5" t="s">
        <v>55</v>
      </c>
      <c r="C5" s="5" t="s">
        <v>55</v>
      </c>
      <c r="D5" s="5" t="s">
        <v>55</v>
      </c>
      <c r="E5" s="5" t="s">
        <v>55</v>
      </c>
      <c r="F5" s="47" t="s">
        <v>66</v>
      </c>
      <c r="G5" s="11" t="s">
        <v>55</v>
      </c>
      <c r="H5" s="374" t="s">
        <v>66</v>
      </c>
    </row>
    <row r="6" spans="1:8">
      <c r="A6" t="s">
        <v>125</v>
      </c>
      <c r="B6" s="5" t="s">
        <v>125</v>
      </c>
      <c r="C6" s="5" t="s">
        <v>125</v>
      </c>
      <c r="D6" s="5" t="s">
        <v>125</v>
      </c>
      <c r="E6" s="5" t="s">
        <v>125</v>
      </c>
      <c r="F6" s="47" t="s">
        <v>67</v>
      </c>
      <c r="G6" s="11" t="s">
        <v>69</v>
      </c>
      <c r="H6" s="374" t="s">
        <v>49</v>
      </c>
    </row>
    <row r="7" spans="1:8">
      <c r="A7" t="s">
        <v>65</v>
      </c>
      <c r="B7" s="5" t="s">
        <v>65</v>
      </c>
      <c r="C7" s="5" t="s">
        <v>65</v>
      </c>
      <c r="D7" s="5" t="s">
        <v>65</v>
      </c>
      <c r="E7" s="5" t="s">
        <v>65</v>
      </c>
      <c r="F7" s="47" t="s">
        <v>51</v>
      </c>
      <c r="G7" s="11" t="s">
        <v>52</v>
      </c>
      <c r="H7" s="374" t="s">
        <v>51</v>
      </c>
    </row>
    <row r="8" spans="1:8">
      <c r="F8" s="266" t="s">
        <v>117</v>
      </c>
      <c r="G8" s="138"/>
      <c r="H8" s="374" t="s">
        <v>117</v>
      </c>
    </row>
    <row r="9" spans="1:8">
      <c r="F9" s="266" t="s">
        <v>118</v>
      </c>
      <c r="G9" s="138"/>
      <c r="H9" s="374" t="s">
        <v>118</v>
      </c>
    </row>
    <row r="10" spans="1:8">
      <c r="F10" s="266"/>
      <c r="G10" s="138"/>
    </row>
    <row r="11" spans="1:8">
      <c r="F11" s="47" t="s">
        <v>596</v>
      </c>
      <c r="G11" s="19" t="s">
        <v>596</v>
      </c>
      <c r="H11" s="374" t="s">
        <v>596</v>
      </c>
    </row>
    <row r="12" spans="1:8">
      <c r="F12" s="47" t="s">
        <v>126</v>
      </c>
      <c r="G12" s="11" t="s">
        <v>126</v>
      </c>
      <c r="H12" s="374" t="s">
        <v>126</v>
      </c>
    </row>
    <row r="14" spans="1:8">
      <c r="A14" s="288" t="s">
        <v>40</v>
      </c>
      <c r="B14" s="181" t="s">
        <v>3</v>
      </c>
      <c r="C14" s="181" t="s">
        <v>22</v>
      </c>
      <c r="D14" s="181" t="s">
        <v>4</v>
      </c>
      <c r="E14" s="181" t="s">
        <v>43</v>
      </c>
      <c r="F14" s="209" t="s">
        <v>249</v>
      </c>
      <c r="G14" s="186" t="s">
        <v>311</v>
      </c>
      <c r="H14" s="375" t="s">
        <v>250</v>
      </c>
    </row>
    <row r="15" spans="1:8">
      <c r="A15" t="e">
        <f>INDEX(Prioritization!$D:$D,MATCH($B15,Prioritization!$A:$A,0))</f>
        <v>#N/A</v>
      </c>
      <c r="E15" s="5" t="str">
        <f>B15&amp;"|"&amp;C15&amp;"|"&amp;D15</f>
        <v>||</v>
      </c>
      <c r="G15" s="11" t="str">
        <f>IF(SUM($F15)=0,"",0%)</f>
        <v/>
      </c>
      <c r="H15" s="374" t="str">
        <f>IF(SUM($F15)=0,"",ROUND($F15*(1+$G15),0))</f>
        <v/>
      </c>
    </row>
  </sheetData>
  <conditionalFormatting sqref="F1:F1048576 H1:H1048576">
    <cfRule type="expression" dxfId="44" priority="2">
      <formula>AND(ISNUMBER(D1),F1&lt;0)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 min="19" max="19" width="11.796875" style="19" customWidth="1"/>
    <col min="20" max="20" width="11.796875" style="36" customWidth="1"/>
  </cols>
  <sheetData>
    <row r="1" spans="1:20" s="22" customFormat="1" ht="31.05" customHeight="1">
      <c r="A1" s="287" t="s">
        <v>8</v>
      </c>
      <c r="B1" s="4"/>
      <c r="C1" s="1"/>
      <c r="D1" s="1"/>
      <c r="E1" s="283"/>
      <c r="F1" s="338" t="s">
        <v>27</v>
      </c>
      <c r="G1" s="221"/>
      <c r="H1" s="172"/>
      <c r="I1" s="175"/>
      <c r="J1" s="175"/>
      <c r="K1" s="175"/>
      <c r="L1" s="175"/>
      <c r="M1" s="175"/>
      <c r="N1" s="172"/>
      <c r="O1" s="172"/>
      <c r="P1" s="172"/>
      <c r="Q1" s="172"/>
      <c r="R1" s="172"/>
      <c r="S1" s="205" t="s">
        <v>29</v>
      </c>
      <c r="T1" s="172"/>
    </row>
    <row r="2" spans="1:20" s="21" customFormat="1" ht="18">
      <c r="A2" s="13"/>
      <c r="B2" s="2"/>
      <c r="C2" s="2"/>
      <c r="D2" s="2"/>
      <c r="E2" s="13"/>
      <c r="F2" s="339"/>
      <c r="G2" s="79"/>
      <c r="H2" s="34"/>
      <c r="I2" s="3"/>
      <c r="J2" s="3"/>
      <c r="K2" s="3"/>
      <c r="L2" s="3"/>
      <c r="M2" s="3"/>
      <c r="N2" s="29"/>
      <c r="O2" s="253" t="s">
        <v>554</v>
      </c>
      <c r="P2" s="253" t="s">
        <v>554</v>
      </c>
      <c r="Q2" s="253" t="s">
        <v>554</v>
      </c>
      <c r="R2" s="253" t="s">
        <v>554</v>
      </c>
      <c r="S2" s="115"/>
      <c r="T2" s="253" t="s">
        <v>554</v>
      </c>
    </row>
    <row r="3" spans="1:20" ht="117" customHeight="1">
      <c r="A3" s="284"/>
      <c r="B3" s="17"/>
      <c r="C3" s="17"/>
      <c r="D3" s="17"/>
      <c r="E3" s="284"/>
      <c r="F3" s="340" t="s">
        <v>277</v>
      </c>
      <c r="G3" s="63" t="s">
        <v>907</v>
      </c>
      <c r="H3" s="63" t="s">
        <v>883</v>
      </c>
      <c r="I3" s="215" t="s">
        <v>875</v>
      </c>
      <c r="J3" s="215" t="s">
        <v>876</v>
      </c>
      <c r="K3" s="215" t="s">
        <v>877</v>
      </c>
      <c r="L3" s="147" t="s">
        <v>878</v>
      </c>
      <c r="M3" s="215" t="s">
        <v>879</v>
      </c>
      <c r="N3" s="246" t="s">
        <v>880</v>
      </c>
      <c r="O3" s="246" t="s">
        <v>675</v>
      </c>
      <c r="P3" s="246" t="s">
        <v>676</v>
      </c>
      <c r="Q3" s="246" t="s">
        <v>677</v>
      </c>
      <c r="R3" s="246" t="s">
        <v>678</v>
      </c>
      <c r="S3" s="216" t="s">
        <v>881</v>
      </c>
      <c r="T3" s="30" t="s">
        <v>882</v>
      </c>
    </row>
    <row r="4" spans="1:20">
      <c r="A4" s="285"/>
      <c r="B4" s="15"/>
      <c r="C4" s="15"/>
      <c r="D4" s="15" t="s">
        <v>2</v>
      </c>
      <c r="E4" s="285"/>
      <c r="F4" s="81"/>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75" t="str">
        <f>IF(SUM($Q$4,$R$4)=0,"",$T$4/SUM($Q$4,$R$4))</f>
        <v/>
      </c>
      <c r="T4" s="32">
        <f>SUBTOTAL(109,T$15:INDEX(T:T,COUNTA($B:$B)+14-COUNTA($B$1:$B$14)))</f>
        <v>0</v>
      </c>
    </row>
    <row r="5" spans="1:20">
      <c r="A5" t="s">
        <v>55</v>
      </c>
      <c r="B5" s="5" t="s">
        <v>55</v>
      </c>
      <c r="C5" s="5" t="s">
        <v>55</v>
      </c>
      <c r="D5" s="5" t="s">
        <v>55</v>
      </c>
      <c r="E5" t="s">
        <v>55</v>
      </c>
      <c r="F5" s="23" t="s">
        <v>55</v>
      </c>
      <c r="G5" s="94" t="s">
        <v>66</v>
      </c>
      <c r="H5" s="94" t="s">
        <v>66</v>
      </c>
      <c r="I5" s="11" t="s">
        <v>55</v>
      </c>
      <c r="J5" s="11" t="s">
        <v>55</v>
      </c>
      <c r="K5" s="11" t="s">
        <v>55</v>
      </c>
      <c r="L5" s="11" t="s">
        <v>55</v>
      </c>
      <c r="M5" s="11" t="s">
        <v>55</v>
      </c>
      <c r="N5" s="33" t="s">
        <v>55</v>
      </c>
      <c r="O5" s="33" t="s">
        <v>66</v>
      </c>
      <c r="P5" s="33" t="s">
        <v>66</v>
      </c>
      <c r="Q5" s="33" t="s">
        <v>66</v>
      </c>
      <c r="R5" s="33" t="s">
        <v>66</v>
      </c>
      <c r="S5" s="76" t="s">
        <v>55</v>
      </c>
      <c r="T5" s="33" t="s">
        <v>66</v>
      </c>
    </row>
    <row r="6" spans="1:20">
      <c r="A6" t="s">
        <v>125</v>
      </c>
      <c r="B6" s="5" t="s">
        <v>125</v>
      </c>
      <c r="C6" s="5" t="s">
        <v>125</v>
      </c>
      <c r="D6" s="5" t="s">
        <v>125</v>
      </c>
      <c r="E6" t="s">
        <v>125</v>
      </c>
      <c r="F6" s="23" t="s">
        <v>68</v>
      </c>
      <c r="G6" s="94" t="s">
        <v>67</v>
      </c>
      <c r="H6" s="94" t="s">
        <v>67</v>
      </c>
      <c r="I6" s="11" t="s">
        <v>69</v>
      </c>
      <c r="J6" s="11" t="s">
        <v>69</v>
      </c>
      <c r="K6" s="11" t="s">
        <v>69</v>
      </c>
      <c r="L6" s="11" t="s">
        <v>69</v>
      </c>
      <c r="M6" s="11" t="s">
        <v>69</v>
      </c>
      <c r="N6" s="33" t="s">
        <v>69</v>
      </c>
      <c r="O6" s="33" t="s">
        <v>49</v>
      </c>
      <c r="P6" s="33" t="s">
        <v>49</v>
      </c>
      <c r="Q6" s="33" t="s">
        <v>49</v>
      </c>
      <c r="R6" s="33" t="s">
        <v>49</v>
      </c>
      <c r="S6" s="76" t="s">
        <v>69</v>
      </c>
      <c r="T6" s="33" t="s">
        <v>49</v>
      </c>
    </row>
    <row r="7" spans="1:20">
      <c r="A7" t="s">
        <v>65</v>
      </c>
      <c r="B7" s="5" t="s">
        <v>65</v>
      </c>
      <c r="C7" s="5" t="s">
        <v>65</v>
      </c>
      <c r="D7" s="5" t="s">
        <v>65</v>
      </c>
      <c r="E7" t="s">
        <v>65</v>
      </c>
      <c r="F7" s="23" t="s">
        <v>65</v>
      </c>
      <c r="G7" s="94" t="s">
        <v>51</v>
      </c>
      <c r="H7" s="36" t="s">
        <v>51</v>
      </c>
      <c r="I7" s="11" t="s">
        <v>52</v>
      </c>
      <c r="J7" s="11" t="s">
        <v>52</v>
      </c>
      <c r="K7" s="11" t="s">
        <v>52</v>
      </c>
      <c r="L7" s="11" t="s">
        <v>52</v>
      </c>
      <c r="M7" s="11" t="s">
        <v>52</v>
      </c>
      <c r="N7" s="33" t="s">
        <v>51</v>
      </c>
      <c r="O7" s="33" t="s">
        <v>51</v>
      </c>
      <c r="P7" s="33" t="s">
        <v>51</v>
      </c>
      <c r="Q7" s="33" t="s">
        <v>51</v>
      </c>
      <c r="R7" s="33" t="s">
        <v>51</v>
      </c>
      <c r="S7" s="76" t="s">
        <v>52</v>
      </c>
      <c r="T7" s="33" t="s">
        <v>51</v>
      </c>
    </row>
    <row r="8" spans="1:20">
      <c r="B8" s="5"/>
      <c r="C8" s="5"/>
      <c r="D8" s="5"/>
      <c r="F8" s="81"/>
      <c r="G8" s="281" t="s">
        <v>610</v>
      </c>
      <c r="H8" s="273" t="s">
        <v>433</v>
      </c>
      <c r="I8" s="138"/>
      <c r="J8" s="138"/>
      <c r="K8" s="138"/>
      <c r="L8" s="138"/>
      <c r="M8" s="138"/>
      <c r="N8" s="33"/>
      <c r="O8" s="272" t="s">
        <v>431</v>
      </c>
      <c r="P8" s="272" t="s">
        <v>429</v>
      </c>
      <c r="Q8" s="260" t="s">
        <v>433</v>
      </c>
      <c r="R8" s="260" t="s">
        <v>433</v>
      </c>
      <c r="S8" s="137"/>
      <c r="T8" s="260" t="s">
        <v>103</v>
      </c>
    </row>
    <row r="9" spans="1:20">
      <c r="B9" s="5"/>
      <c r="C9" s="5"/>
      <c r="D9" s="5"/>
      <c r="F9" s="81"/>
      <c r="G9" s="281" t="s">
        <v>611</v>
      </c>
      <c r="H9" s="273" t="s">
        <v>434</v>
      </c>
      <c r="I9" s="138"/>
      <c r="J9" s="138"/>
      <c r="K9" s="138"/>
      <c r="L9" s="138"/>
      <c r="M9" s="138"/>
      <c r="N9" s="33"/>
      <c r="O9" s="272" t="s">
        <v>432</v>
      </c>
      <c r="P9" s="272" t="s">
        <v>430</v>
      </c>
      <c r="Q9" s="260" t="s">
        <v>434</v>
      </c>
      <c r="R9" s="260" t="s">
        <v>434</v>
      </c>
      <c r="S9" s="137"/>
      <c r="T9" s="260" t="s">
        <v>104</v>
      </c>
    </row>
    <row r="10" spans="1:20">
      <c r="B10" s="5"/>
      <c r="C10" s="5"/>
      <c r="D10" s="5"/>
      <c r="F10" s="81"/>
      <c r="G10" s="282"/>
      <c r="H10" s="264"/>
      <c r="I10" s="138"/>
      <c r="J10" s="138"/>
      <c r="K10" s="138"/>
      <c r="L10" s="138"/>
      <c r="M10" s="138"/>
      <c r="N10" s="33"/>
      <c r="O10" s="260"/>
      <c r="P10" s="260"/>
      <c r="Q10" s="260" t="s">
        <v>102</v>
      </c>
      <c r="R10" s="260" t="s">
        <v>101</v>
      </c>
      <c r="S10" s="137"/>
      <c r="T10" s="260"/>
    </row>
    <row r="11" spans="1:20">
      <c r="B11" s="5"/>
      <c r="C11" s="5"/>
      <c r="D11" s="5"/>
      <c r="F11" s="81"/>
      <c r="G11" s="94" t="s">
        <v>422</v>
      </c>
      <c r="H11" s="36" t="s">
        <v>422</v>
      </c>
      <c r="I11" s="19" t="s">
        <v>422</v>
      </c>
      <c r="J11" s="19" t="s">
        <v>423</v>
      </c>
      <c r="K11" s="19" t="s">
        <v>424</v>
      </c>
      <c r="L11" s="19" t="s">
        <v>422</v>
      </c>
      <c r="M11" s="11" t="s">
        <v>422</v>
      </c>
      <c r="N11" s="33" t="s">
        <v>422</v>
      </c>
      <c r="O11" s="33" t="s">
        <v>423</v>
      </c>
      <c r="P11" s="33" t="s">
        <v>424</v>
      </c>
      <c r="Q11" s="33" t="s">
        <v>422</v>
      </c>
      <c r="R11" s="33" t="s">
        <v>422</v>
      </c>
      <c r="S11" s="76" t="s">
        <v>697</v>
      </c>
      <c r="T11" s="33" t="s">
        <v>697</v>
      </c>
    </row>
    <row r="12" spans="1:20">
      <c r="B12" s="5"/>
      <c r="C12" s="5"/>
      <c r="D12" s="5"/>
      <c r="F12" s="81"/>
      <c r="G12" s="94" t="s">
        <v>126</v>
      </c>
      <c r="H12" s="36" t="s">
        <v>126</v>
      </c>
      <c r="I12" s="19" t="s">
        <v>126</v>
      </c>
      <c r="J12" s="19" t="s">
        <v>419</v>
      </c>
      <c r="K12" s="19" t="s">
        <v>126</v>
      </c>
      <c r="L12" s="19" t="s">
        <v>126</v>
      </c>
      <c r="M12" s="11" t="s">
        <v>126</v>
      </c>
      <c r="N12" s="33" t="s">
        <v>126</v>
      </c>
      <c r="O12" s="33" t="s">
        <v>419</v>
      </c>
      <c r="P12" s="33" t="s">
        <v>126</v>
      </c>
      <c r="Q12" s="33" t="s">
        <v>126</v>
      </c>
      <c r="R12" s="33" t="s">
        <v>126</v>
      </c>
      <c r="S12" s="76" t="s">
        <v>126</v>
      </c>
      <c r="T12" s="33" t="s">
        <v>126</v>
      </c>
    </row>
    <row r="13" spans="1:20">
      <c r="B13" s="5"/>
      <c r="C13" s="5"/>
      <c r="D13" s="5"/>
      <c r="F13" s="81"/>
      <c r="G13" s="94"/>
      <c r="I13" s="11"/>
      <c r="J13" s="11"/>
      <c r="K13" s="11"/>
      <c r="L13" s="11"/>
      <c r="M13" s="11"/>
      <c r="N13" s="33"/>
      <c r="O13" s="33"/>
      <c r="P13" s="33"/>
      <c r="Q13" s="33"/>
      <c r="R13" s="33"/>
      <c r="S13" s="76"/>
      <c r="T13" s="33"/>
    </row>
    <row r="14" spans="1:20">
      <c r="A14" s="286" t="s">
        <v>40</v>
      </c>
      <c r="B14" s="198" t="s">
        <v>3</v>
      </c>
      <c r="C14" s="198" t="s">
        <v>22</v>
      </c>
      <c r="D14" s="198" t="s">
        <v>4</v>
      </c>
      <c r="E14" s="286" t="s">
        <v>43</v>
      </c>
      <c r="F14" s="341" t="s">
        <v>315</v>
      </c>
      <c r="G14" s="230" t="s">
        <v>336</v>
      </c>
      <c r="H14" s="185" t="s">
        <v>251</v>
      </c>
      <c r="I14" s="186" t="s">
        <v>318</v>
      </c>
      <c r="J14" s="186" t="s">
        <v>319</v>
      </c>
      <c r="K14" s="186" t="s">
        <v>321</v>
      </c>
      <c r="L14" s="186" t="s">
        <v>320</v>
      </c>
      <c r="M14" s="186" t="s">
        <v>322</v>
      </c>
      <c r="N14" s="208" t="s">
        <v>324</v>
      </c>
      <c r="O14" s="208" t="s">
        <v>276</v>
      </c>
      <c r="P14" s="208" t="s">
        <v>325</v>
      </c>
      <c r="Q14" s="208" t="s">
        <v>323</v>
      </c>
      <c r="R14" s="208" t="s">
        <v>252</v>
      </c>
      <c r="S14" s="214" t="s">
        <v>326</v>
      </c>
      <c r="T14" s="208" t="s">
        <v>253</v>
      </c>
    </row>
    <row r="15" spans="1:20">
      <c r="A15" t="e">
        <f>INDEX(Prioritization!$D:$D,MATCH($B15,Prioritization!$A:$A,0))</f>
        <v>#N/A</v>
      </c>
      <c r="B15" s="5"/>
      <c r="C15" s="5"/>
      <c r="D15" s="5"/>
      <c r="E15" t="str">
        <f>$B15&amp;"|"&amp;$C15&amp;"|"&amp;$D15</f>
        <v>||</v>
      </c>
      <c r="F15" s="81"/>
      <c r="G15" s="78"/>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76" t="str">
        <f>IF(OR($C15="18+",$C15="18-20",SUM($Q15,$R15)=0),"",100%)</f>
        <v/>
      </c>
      <c r="T15" s="40" t="str">
        <f>IF(OR($C15="18+",SUM($Q15,$R15)=0),"",ROUND(SUM($Q15,$R15)*$S15,0))</f>
        <v/>
      </c>
    </row>
  </sheetData>
  <conditionalFormatting sqref="F1:H1048576 J1:T1048576">
    <cfRule type="expression" dxfId="43" priority="1">
      <formula>AND(ISNUMBER(F1),F1&lt;0)</formula>
    </cfRule>
  </conditionalFormatting>
  <conditionalFormatting sqref="J1:J1048576 O1:O1048576">
    <cfRule type="expression" dxfId="42" priority="3854">
      <formula>AND($B1&lt;&gt;"",ROW(J1)&gt;14,NOT(AND($D1="Female",$F1="Y",OR($C1="10-14",$C1="15-17"))))</formula>
    </cfRule>
  </conditionalFormatting>
  <conditionalFormatting sqref="J1:M1048576 S1:S1048576">
    <cfRule type="expression" dxfId="41" priority="2">
      <formula>AND(ISNUMBER(J1),OR(ROUND(SUM(J1),2)&lt;0,ROUND(SUM(J1),2)&gt;1))</formula>
    </cfRule>
  </conditionalFormatting>
  <conditionalFormatting sqref="K1:K1048576 P1:P1048576">
    <cfRule type="expression" dxfId="40" priority="17">
      <formula>AND($E1&lt;&gt;"",ROW(K1)&gt;14,NOT(OR($C1="05-09",$C1="10-14")))</formula>
    </cfRule>
  </conditionalFormatting>
  <conditionalFormatting sqref="M1:M1048576">
    <cfRule type="expression" dxfId="39" priority="24">
      <formula>AND(ISNUMBER($M1),ROUND(SUM($M1),2)&lt;20%)</formula>
    </cfRule>
  </conditionalFormatting>
  <conditionalFormatting sqref="S1:S1048576">
    <cfRule type="expression" dxfId="38" priority="25">
      <formula>AND(ISNUMBER($S1),SUM($Q1,$R1)&gt;0,ROUND(SUM($S1),2)&lt;1)</formula>
    </cfRule>
  </conditionalFormatting>
  <conditionalFormatting sqref="S1:T1048576">
    <cfRule type="expression" dxfId="37" priority="26">
      <formula>OR($C1="18+")</formula>
    </cfRule>
  </conditionalFormatting>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defaultColWidth="11.19921875" defaultRowHeight="15.6"/>
  <cols>
    <col min="1" max="1" width="16.19921875" customWidth="1"/>
    <col min="2" max="2" width="41.296875" style="5" customWidth="1"/>
    <col min="3" max="3" width="11.796875" style="47" customWidth="1"/>
    <col min="4" max="4" width="11.796875" style="36" customWidth="1"/>
    <col min="5" max="6" width="11.796875" style="11" customWidth="1"/>
    <col min="7" max="8" width="11.796875" style="33" customWidth="1"/>
  </cols>
  <sheetData>
    <row r="1" spans="1:8" s="12" customFormat="1" ht="31.05" customHeight="1">
      <c r="A1" s="12" t="s">
        <v>11</v>
      </c>
      <c r="B1" s="16"/>
      <c r="C1" s="222" t="s">
        <v>19</v>
      </c>
      <c r="D1" s="221"/>
      <c r="E1" s="223"/>
      <c r="F1" s="223"/>
      <c r="G1" s="221"/>
      <c r="H1" s="221"/>
    </row>
    <row r="2" spans="1:8" s="13" customFormat="1" ht="18">
      <c r="B2" s="2"/>
      <c r="C2" s="49"/>
      <c r="D2" s="34"/>
      <c r="E2" s="3"/>
      <c r="F2" s="3"/>
      <c r="G2" s="253" t="s">
        <v>554</v>
      </c>
      <c r="H2" s="253" t="s">
        <v>554</v>
      </c>
    </row>
    <row r="3" spans="1:8" ht="117" customHeight="1">
      <c r="C3" s="67" t="s">
        <v>884</v>
      </c>
      <c r="D3" s="63" t="s">
        <v>885</v>
      </c>
      <c r="E3" s="215" t="s">
        <v>502</v>
      </c>
      <c r="F3" s="215" t="s">
        <v>503</v>
      </c>
      <c r="G3" s="30" t="s">
        <v>681</v>
      </c>
      <c r="H3" s="30" t="s">
        <v>682</v>
      </c>
    </row>
    <row r="4" spans="1:8">
      <c r="A4" s="28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85" t="s">
        <v>55</v>
      </c>
      <c r="B5" s="15" t="s">
        <v>55</v>
      </c>
      <c r="C5" s="47" t="s">
        <v>66</v>
      </c>
      <c r="D5" s="36" t="s">
        <v>66</v>
      </c>
      <c r="E5" s="11" t="s">
        <v>55</v>
      </c>
      <c r="F5" s="11" t="s">
        <v>55</v>
      </c>
      <c r="G5" s="33" t="s">
        <v>66</v>
      </c>
      <c r="H5" s="33" t="s">
        <v>66</v>
      </c>
    </row>
    <row r="6" spans="1:8">
      <c r="A6" s="285" t="s">
        <v>125</v>
      </c>
      <c r="B6" s="15" t="s">
        <v>125</v>
      </c>
      <c r="C6" s="47" t="s">
        <v>67</v>
      </c>
      <c r="D6" s="36" t="s">
        <v>67</v>
      </c>
      <c r="E6" s="11" t="s">
        <v>69</v>
      </c>
      <c r="F6" s="11" t="s">
        <v>69</v>
      </c>
      <c r="G6" s="33" t="s">
        <v>49</v>
      </c>
      <c r="H6" s="33" t="s">
        <v>49</v>
      </c>
    </row>
    <row r="7" spans="1:8">
      <c r="A7" s="285" t="s">
        <v>65</v>
      </c>
      <c r="B7" s="15" t="s">
        <v>65</v>
      </c>
      <c r="C7" s="47" t="s">
        <v>51</v>
      </c>
      <c r="D7" s="36" t="s">
        <v>51</v>
      </c>
      <c r="E7" s="11" t="s">
        <v>52</v>
      </c>
      <c r="F7" s="11" t="s">
        <v>52</v>
      </c>
      <c r="G7" s="33" t="s">
        <v>51</v>
      </c>
      <c r="H7" s="33" t="s">
        <v>51</v>
      </c>
    </row>
    <row r="8" spans="1:8">
      <c r="A8" s="285"/>
      <c r="B8" s="15"/>
      <c r="C8" s="266" t="s">
        <v>121</v>
      </c>
      <c r="D8" s="264" t="s">
        <v>121</v>
      </c>
      <c r="E8" s="138"/>
      <c r="F8" s="138"/>
      <c r="G8" s="260" t="s">
        <v>121</v>
      </c>
      <c r="H8" s="260" t="s">
        <v>121</v>
      </c>
    </row>
    <row r="9" spans="1:8">
      <c r="A9" s="285"/>
      <c r="B9" s="15"/>
      <c r="C9" s="266" t="s">
        <v>122</v>
      </c>
      <c r="D9" s="264" t="s">
        <v>122</v>
      </c>
      <c r="E9" s="138"/>
      <c r="F9" s="138"/>
      <c r="G9" s="260" t="s">
        <v>122</v>
      </c>
      <c r="H9" s="260" t="s">
        <v>122</v>
      </c>
    </row>
    <row r="10" spans="1:8">
      <c r="A10" s="285"/>
      <c r="B10" s="15"/>
      <c r="C10" s="266" t="s">
        <v>123</v>
      </c>
      <c r="D10" s="264" t="s">
        <v>124</v>
      </c>
      <c r="E10" s="138"/>
      <c r="F10" s="138"/>
      <c r="G10" s="260" t="s">
        <v>123</v>
      </c>
      <c r="H10" s="260" t="s">
        <v>124</v>
      </c>
    </row>
    <row r="11" spans="1:8">
      <c r="A11" s="285"/>
      <c r="B11" s="15"/>
    </row>
    <row r="12" spans="1:8">
      <c r="A12" s="285"/>
      <c r="B12" s="15"/>
    </row>
    <row r="13" spans="1:8">
      <c r="A13" s="285"/>
      <c r="B13" s="15"/>
    </row>
    <row r="14" spans="1:8">
      <c r="A14" s="286" t="s">
        <v>40</v>
      </c>
      <c r="B14" s="198" t="s">
        <v>3</v>
      </c>
      <c r="C14" s="209" t="s">
        <v>256</v>
      </c>
      <c r="D14" s="211" t="s">
        <v>257</v>
      </c>
      <c r="E14" s="210" t="s">
        <v>313</v>
      </c>
      <c r="F14" s="210" t="s">
        <v>314</v>
      </c>
      <c r="G14" s="212" t="s">
        <v>258</v>
      </c>
      <c r="H14" s="212" t="s">
        <v>259</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6" priority="2">
      <formula>AND(ISNUMBER(C1),C1&lt;0)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93" customWidth="1"/>
    <col min="20" max="21" width="12.69921875" style="33" customWidth="1"/>
  </cols>
  <sheetData>
    <row r="1" spans="1:21" s="22" customFormat="1" ht="31.05" customHeight="1" thickBot="1">
      <c r="A1" s="287" t="s">
        <v>265</v>
      </c>
      <c r="B1" s="4"/>
      <c r="C1" s="1"/>
      <c r="D1" s="1"/>
      <c r="E1" s="1"/>
      <c r="F1" s="172" t="s">
        <v>266</v>
      </c>
      <c r="G1" s="171"/>
      <c r="H1" s="179"/>
      <c r="I1" s="171"/>
      <c r="J1" s="172"/>
      <c r="K1" s="171"/>
      <c r="L1" s="171"/>
      <c r="M1" s="171"/>
      <c r="N1" s="171"/>
      <c r="O1" s="171"/>
      <c r="P1" s="171"/>
      <c r="Q1" s="176"/>
      <c r="R1" s="176"/>
      <c r="S1" s="176"/>
      <c r="T1" s="172"/>
      <c r="U1" s="172"/>
    </row>
    <row r="2" spans="1:21" s="21" customFormat="1" ht="18">
      <c r="A2" s="381" t="s">
        <v>504</v>
      </c>
      <c r="B2" s="378"/>
      <c r="C2" s="2"/>
      <c r="D2" s="2"/>
      <c r="E2" s="2"/>
      <c r="F2" s="34"/>
      <c r="G2" s="34"/>
      <c r="H2" s="343"/>
      <c r="I2" s="34"/>
      <c r="J2" s="253"/>
      <c r="K2" s="34"/>
      <c r="L2" s="34"/>
      <c r="M2" s="34"/>
      <c r="N2" s="34"/>
      <c r="O2" s="34"/>
      <c r="P2" s="34"/>
      <c r="Q2" s="3"/>
      <c r="R2" s="3"/>
      <c r="S2" s="3"/>
      <c r="T2" s="253" t="s">
        <v>554</v>
      </c>
      <c r="U2" s="253" t="s">
        <v>554</v>
      </c>
    </row>
    <row r="3" spans="1:21" ht="117" customHeight="1" thickBot="1">
      <c r="A3" s="379"/>
      <c r="B3" s="380"/>
      <c r="C3" s="17"/>
      <c r="D3" s="17"/>
      <c r="E3" s="17"/>
      <c r="F3" s="359" t="s">
        <v>892</v>
      </c>
      <c r="G3" s="359" t="s">
        <v>893</v>
      </c>
      <c r="H3" s="360" t="s">
        <v>886</v>
      </c>
      <c r="I3" s="234" t="s">
        <v>887</v>
      </c>
      <c r="J3" s="63" t="s">
        <v>894</v>
      </c>
      <c r="K3" s="234" t="s">
        <v>888</v>
      </c>
      <c r="L3" s="63" t="s">
        <v>908</v>
      </c>
      <c r="M3" s="63" t="s">
        <v>909</v>
      </c>
      <c r="N3" s="63" t="s">
        <v>910</v>
      </c>
      <c r="O3" s="63" t="s">
        <v>911</v>
      </c>
      <c r="P3" s="63" t="s">
        <v>912</v>
      </c>
      <c r="Q3" s="141" t="s">
        <v>913</v>
      </c>
      <c r="R3" s="193" t="s">
        <v>649</v>
      </c>
      <c r="S3" s="193" t="s">
        <v>889</v>
      </c>
      <c r="T3" s="246" t="s">
        <v>890</v>
      </c>
      <c r="U3" s="246" t="s">
        <v>891</v>
      </c>
    </row>
    <row r="4" spans="1:21">
      <c r="A4" s="285"/>
      <c r="B4" s="15"/>
      <c r="C4" s="15"/>
      <c r="D4" s="15" t="s">
        <v>2</v>
      </c>
      <c r="E4" s="15"/>
      <c r="F4" s="35">
        <f>SUBTOTAL(109,F$15:INDEX(F:F,COUNTA($B:$B)+14-COUNTA($B$1:$B$14)))</f>
        <v>0</v>
      </c>
      <c r="G4" s="35">
        <f>SUBTOTAL(109,G$15:INDEX(G:G,COUNTA($B:$B)+14-COUNTA($B$1:$B$14)))</f>
        <v>0</v>
      </c>
      <c r="H4" s="168"/>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1" t="str">
        <f>IF($P$4=0,"",SUM($N$4,$O$4)/$P$4)</f>
        <v/>
      </c>
      <c r="R4" s="91" t="str">
        <f>IF($P$4=0,"",$T$4/$P$4-1)</f>
        <v/>
      </c>
      <c r="S4" s="91" t="str">
        <f>IF($T$4=0,"",$U$4/$T$4)</f>
        <v/>
      </c>
      <c r="T4" s="32">
        <f>SUBTOTAL(109,T$15:INDEX(T:T,COUNTA($B:$B)+14-COUNTA($B$1:$B$14)))</f>
        <v>0</v>
      </c>
      <c r="U4" s="32">
        <f>SUBTOTAL(109,U$15:INDEX(U:U,COUNTA($B:$B)+14-COUNTA($B$1:$B$14)))</f>
        <v>0</v>
      </c>
    </row>
    <row r="5" spans="1:21">
      <c r="A5" t="s">
        <v>55</v>
      </c>
      <c r="B5" s="5" t="s">
        <v>55</v>
      </c>
      <c r="C5" s="5" t="s">
        <v>55</v>
      </c>
      <c r="D5" s="5" t="s">
        <v>55</v>
      </c>
      <c r="E5" s="5" t="s">
        <v>55</v>
      </c>
      <c r="F5" s="36" t="s">
        <v>55</v>
      </c>
      <c r="G5" s="36" t="s">
        <v>55</v>
      </c>
      <c r="H5" s="19" t="s">
        <v>55</v>
      </c>
      <c r="I5" s="36" t="s">
        <v>55</v>
      </c>
      <c r="J5" s="36" t="s">
        <v>66</v>
      </c>
      <c r="K5" s="36" t="s">
        <v>55</v>
      </c>
      <c r="L5" s="36" t="s">
        <v>66</v>
      </c>
      <c r="M5" s="36" t="s">
        <v>66</v>
      </c>
      <c r="N5" s="36" t="s">
        <v>66</v>
      </c>
      <c r="O5" s="36" t="s">
        <v>66</v>
      </c>
      <c r="P5" s="36" t="s">
        <v>55</v>
      </c>
      <c r="Q5" s="93" t="s">
        <v>55</v>
      </c>
      <c r="R5" s="93" t="s">
        <v>55</v>
      </c>
      <c r="S5" s="93" t="s">
        <v>55</v>
      </c>
      <c r="T5" s="33" t="s">
        <v>66</v>
      </c>
      <c r="U5" s="33" t="s">
        <v>66</v>
      </c>
    </row>
    <row r="6" spans="1:21">
      <c r="A6" t="s">
        <v>125</v>
      </c>
      <c r="B6" s="5" t="s">
        <v>125</v>
      </c>
      <c r="C6" s="5" t="s">
        <v>125</v>
      </c>
      <c r="D6" s="5" t="s">
        <v>125</v>
      </c>
      <c r="E6" s="5" t="s">
        <v>125</v>
      </c>
      <c r="F6" s="36" t="s">
        <v>69</v>
      </c>
      <c r="G6" s="36" t="s">
        <v>69</v>
      </c>
      <c r="H6" s="19" t="s">
        <v>69</v>
      </c>
      <c r="I6" s="36" t="s">
        <v>69</v>
      </c>
      <c r="J6" s="36" t="s">
        <v>67</v>
      </c>
      <c r="K6" s="36" t="s">
        <v>69</v>
      </c>
      <c r="L6" s="36" t="s">
        <v>67</v>
      </c>
      <c r="M6" s="36" t="s">
        <v>67</v>
      </c>
      <c r="N6" s="36" t="s">
        <v>67</v>
      </c>
      <c r="O6" s="36" t="s">
        <v>67</v>
      </c>
      <c r="P6" s="36" t="s">
        <v>50</v>
      </c>
      <c r="Q6" s="93" t="s">
        <v>50</v>
      </c>
      <c r="R6" s="93" t="s">
        <v>69</v>
      </c>
      <c r="S6" s="93" t="s">
        <v>69</v>
      </c>
      <c r="T6" s="33" t="s">
        <v>49</v>
      </c>
      <c r="U6" s="33" t="s">
        <v>49</v>
      </c>
    </row>
    <row r="7" spans="1:21">
      <c r="A7" t="s">
        <v>65</v>
      </c>
      <c r="B7" s="5" t="s">
        <v>65</v>
      </c>
      <c r="C7" s="5" t="s">
        <v>65</v>
      </c>
      <c r="D7" s="5" t="s">
        <v>65</v>
      </c>
      <c r="E7" s="5" t="s">
        <v>65</v>
      </c>
      <c r="F7" s="36" t="s">
        <v>51</v>
      </c>
      <c r="G7" s="36" t="s">
        <v>51</v>
      </c>
      <c r="H7" s="19" t="s">
        <v>52</v>
      </c>
      <c r="I7" s="36" t="s">
        <v>51</v>
      </c>
      <c r="J7" s="36" t="s">
        <v>51</v>
      </c>
      <c r="K7" s="36" t="s">
        <v>51</v>
      </c>
      <c r="L7" s="36" t="s">
        <v>51</v>
      </c>
      <c r="M7" s="36" t="s">
        <v>51</v>
      </c>
      <c r="N7" s="36" t="s">
        <v>51</v>
      </c>
      <c r="O7" s="36" t="s">
        <v>51</v>
      </c>
      <c r="P7" s="36" t="s">
        <v>51</v>
      </c>
      <c r="Q7" s="93" t="s">
        <v>52</v>
      </c>
      <c r="R7" s="93" t="s">
        <v>52</v>
      </c>
      <c r="S7" s="93" t="s">
        <v>52</v>
      </c>
      <c r="T7" s="33" t="s">
        <v>51</v>
      </c>
      <c r="U7" s="33" t="s">
        <v>51</v>
      </c>
    </row>
    <row r="8" spans="1:21">
      <c r="J8" s="264" t="s">
        <v>435</v>
      </c>
      <c r="L8" s="264" t="s">
        <v>271</v>
      </c>
      <c r="M8" s="264" t="s">
        <v>270</v>
      </c>
      <c r="N8" s="264" t="s">
        <v>269</v>
      </c>
      <c r="O8" s="264" t="s">
        <v>268</v>
      </c>
      <c r="Q8" s="158"/>
      <c r="R8" s="158"/>
      <c r="S8" s="158"/>
      <c r="T8" s="260" t="s">
        <v>435</v>
      </c>
      <c r="U8" s="260" t="s">
        <v>436</v>
      </c>
    </row>
    <row r="9" spans="1:21">
      <c r="J9" s="264"/>
      <c r="L9" s="273"/>
      <c r="M9" s="273"/>
      <c r="N9" s="273"/>
      <c r="O9" s="273"/>
      <c r="P9" s="96"/>
      <c r="Q9" s="361"/>
      <c r="R9" s="158"/>
      <c r="S9" s="158"/>
      <c r="T9" s="260"/>
      <c r="U9" s="260"/>
    </row>
    <row r="10" spans="1:21">
      <c r="J10" s="264" t="s">
        <v>442</v>
      </c>
      <c r="L10" s="264" t="s">
        <v>507</v>
      </c>
      <c r="M10" s="264" t="s">
        <v>505</v>
      </c>
      <c r="N10" s="264" t="s">
        <v>508</v>
      </c>
      <c r="O10" s="264" t="s">
        <v>506</v>
      </c>
      <c r="Q10" s="158"/>
      <c r="R10" s="158"/>
      <c r="S10" s="158"/>
      <c r="T10" s="260" t="s">
        <v>442</v>
      </c>
      <c r="U10" s="260" t="s">
        <v>443</v>
      </c>
    </row>
    <row r="11" spans="1:21">
      <c r="F11" s="36" t="s">
        <v>267</v>
      </c>
      <c r="G11" s="36" t="s">
        <v>267</v>
      </c>
      <c r="H11" s="19" t="s">
        <v>267</v>
      </c>
      <c r="I11" s="36" t="s">
        <v>267</v>
      </c>
      <c r="J11" s="36" t="s">
        <v>267</v>
      </c>
      <c r="K11" s="36" t="s">
        <v>267</v>
      </c>
      <c r="L11" s="36" t="s">
        <v>267</v>
      </c>
      <c r="M11" s="36" t="s">
        <v>267</v>
      </c>
      <c r="N11" s="36" t="s">
        <v>267</v>
      </c>
      <c r="O11" s="36" t="s">
        <v>267</v>
      </c>
      <c r="P11" s="36" t="s">
        <v>267</v>
      </c>
      <c r="Q11" s="93" t="s">
        <v>267</v>
      </c>
      <c r="R11" s="19" t="s">
        <v>267</v>
      </c>
      <c r="S11" s="19" t="s">
        <v>267</v>
      </c>
      <c r="T11" s="33" t="s">
        <v>267</v>
      </c>
      <c r="U11" s="33" t="s">
        <v>267</v>
      </c>
    </row>
    <row r="12" spans="1:21">
      <c r="F12" s="36" t="s">
        <v>419</v>
      </c>
      <c r="G12" s="36" t="s">
        <v>419</v>
      </c>
      <c r="H12" s="19" t="s">
        <v>419</v>
      </c>
      <c r="I12" s="36" t="s">
        <v>419</v>
      </c>
      <c r="J12" s="36" t="s">
        <v>419</v>
      </c>
      <c r="K12" s="36" t="s">
        <v>419</v>
      </c>
      <c r="L12" s="36" t="s">
        <v>419</v>
      </c>
      <c r="M12" s="36" t="s">
        <v>419</v>
      </c>
      <c r="N12" s="36" t="s">
        <v>419</v>
      </c>
      <c r="O12" s="36" t="s">
        <v>419</v>
      </c>
      <c r="P12" s="36" t="s">
        <v>419</v>
      </c>
      <c r="Q12" s="93" t="s">
        <v>419</v>
      </c>
      <c r="R12" s="19" t="s">
        <v>419</v>
      </c>
      <c r="S12" s="19" t="s">
        <v>419</v>
      </c>
      <c r="T12" s="33" t="s">
        <v>419</v>
      </c>
      <c r="U12" s="33" t="s">
        <v>419</v>
      </c>
    </row>
    <row r="14" spans="1:21">
      <c r="A14" s="288" t="s">
        <v>40</v>
      </c>
      <c r="B14" s="181" t="s">
        <v>3</v>
      </c>
      <c r="C14" s="181" t="s">
        <v>22</v>
      </c>
      <c r="D14" s="181" t="s">
        <v>4</v>
      </c>
      <c r="E14" s="181" t="s">
        <v>43</v>
      </c>
      <c r="F14" s="185" t="s">
        <v>171</v>
      </c>
      <c r="G14" s="185" t="s">
        <v>316</v>
      </c>
      <c r="H14" s="186" t="s">
        <v>644</v>
      </c>
      <c r="I14" s="185" t="s">
        <v>645</v>
      </c>
      <c r="J14" s="208" t="s">
        <v>642</v>
      </c>
      <c r="K14" s="185" t="s">
        <v>646</v>
      </c>
      <c r="L14" s="185" t="s">
        <v>272</v>
      </c>
      <c r="M14" s="185" t="s">
        <v>273</v>
      </c>
      <c r="N14" s="185" t="s">
        <v>274</v>
      </c>
      <c r="O14" s="185" t="s">
        <v>275</v>
      </c>
      <c r="P14" s="185" t="s">
        <v>448</v>
      </c>
      <c r="Q14" s="186" t="s">
        <v>447</v>
      </c>
      <c r="R14" s="186" t="s">
        <v>449</v>
      </c>
      <c r="S14" s="186" t="s">
        <v>317</v>
      </c>
      <c r="T14" s="208" t="s">
        <v>278</v>
      </c>
      <c r="U14" s="208" t="s">
        <v>279</v>
      </c>
    </row>
    <row r="15" spans="1:21">
      <c r="A15" t="e">
        <f>INDEX(Prioritization!$D:$D,MATCH($B15,Prioritization!$A:$A,0))</f>
        <v>#N/A</v>
      </c>
      <c r="E15" s="5" t="str">
        <f>B15&amp;"|"&amp;C15&amp;"|"&amp;D15</f>
        <v>||</v>
      </c>
      <c r="K15" s="36" t="str">
        <f>IF(SUM($I15)=0,"Add to column I",ROUND($I15-$J15,0))</f>
        <v>Add to column I</v>
      </c>
      <c r="P15" s="36" t="str">
        <f>IF(SUM($L15:$O15)=0,"",SUM($L15:$O15))</f>
        <v/>
      </c>
      <c r="Q15" s="93" t="str">
        <f>IF(SUM($P15)=0,"",SUM($N15,$O15)/SUM($P15))</f>
        <v/>
      </c>
      <c r="R15" s="93">
        <v>0</v>
      </c>
      <c r="S15" s="93">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5" priority="23">
      <formula>AND(ISNUMBER(F1),F1&lt;0)</formula>
    </cfRule>
  </conditionalFormatting>
  <conditionalFormatting sqref="Q1:S1048576">
    <cfRule type="expression" dxfId="34" priority="24">
      <formula>AND(ISNUMBER(Q1),Q1&gt;1)</formula>
    </cfRule>
  </conditionalFormatting>
  <conditionalFormatting sqref="S1:S1048576">
    <cfRule type="expression" dxfId="33" priority="3881">
      <formula>AND(ROUND(SUM($S1),2)&lt;60%,SUM($T1)&gt;0)</formula>
    </cfRule>
  </conditionalFormatting>
  <conditionalFormatting sqref="T1:T1048576">
    <cfRule type="expression" dxfId="32" priority="35">
      <formula>AND(ISNUMBER(T1),SUM($T1)&gt;SUM($K1))</formula>
    </cfRule>
  </conditionalFormatting>
  <conditionalFormatting sqref="T1:U1048576">
    <cfRule type="expression" dxfId="31" priority="1">
      <formula>AND(ISNUMBER(T1),SUM($U1)&gt;SUM($T1))</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J1" sqref="J1:K1048576"/>
    </sheetView>
  </sheetViews>
  <sheetFormatPr defaultColWidth="11.19921875" defaultRowHeight="15.6"/>
  <cols>
    <col min="1" max="1" width="16.19921875" customWidth="1"/>
    <col min="2" max="2" width="30.796875" customWidth="1"/>
    <col min="3" max="3" width="7.796875" customWidth="1"/>
    <col min="4" max="4" width="7.796875" hidden="1" customWidth="1"/>
    <col min="5" max="5" width="12.296875" style="47" customWidth="1"/>
    <col min="6" max="6" width="11.796875" style="36" customWidth="1"/>
    <col min="7" max="9" width="11.796875" style="19" customWidth="1"/>
    <col min="10" max="11" width="11.796875" style="374" customWidth="1"/>
  </cols>
  <sheetData>
    <row r="1" spans="1:11" ht="31.05" customHeight="1">
      <c r="A1" s="287" t="s">
        <v>17</v>
      </c>
      <c r="B1" s="4"/>
      <c r="C1" s="1"/>
      <c r="D1" s="1"/>
      <c r="E1" s="206" t="s">
        <v>17</v>
      </c>
      <c r="F1" s="172"/>
      <c r="G1" s="219"/>
      <c r="H1" s="175"/>
      <c r="I1" s="175"/>
      <c r="J1" s="370"/>
      <c r="K1" s="370"/>
    </row>
    <row r="2" spans="1:11" ht="18">
      <c r="A2" s="13"/>
      <c r="B2" s="2"/>
      <c r="C2" s="2"/>
      <c r="D2" s="2"/>
      <c r="E2" s="51"/>
      <c r="F2" s="46"/>
      <c r="G2" s="3"/>
      <c r="H2" s="3"/>
      <c r="I2" s="3"/>
      <c r="J2" s="371" t="s">
        <v>554</v>
      </c>
      <c r="K2" s="371" t="s">
        <v>554</v>
      </c>
    </row>
    <row r="3" spans="1:11" ht="117" customHeight="1">
      <c r="D3" s="26"/>
      <c r="E3" s="233" t="s">
        <v>686</v>
      </c>
      <c r="F3" s="70" t="s">
        <v>687</v>
      </c>
      <c r="G3" s="89" t="s">
        <v>688</v>
      </c>
      <c r="H3" s="193" t="s">
        <v>684</v>
      </c>
      <c r="I3" s="193" t="s">
        <v>574</v>
      </c>
      <c r="J3" s="372" t="s">
        <v>624</v>
      </c>
      <c r="K3" s="372" t="s">
        <v>685</v>
      </c>
    </row>
    <row r="4" spans="1:11">
      <c r="A4" s="291"/>
      <c r="B4" s="27"/>
      <c r="C4" s="27" t="s">
        <v>2</v>
      </c>
      <c r="D4" s="27"/>
      <c r="E4" s="50">
        <f>SUBTOTAL(109,E$15:INDEX(E:E,COUNTA($B:$B)+14-COUNTA($B$1:$B$14)))</f>
        <v>0</v>
      </c>
      <c r="F4" s="64">
        <f>SUBTOTAL(109,F$15:INDEX(F:F,COUNTA($B:$B)+14-COUNTA($B$1:$B$14)))</f>
        <v>0</v>
      </c>
      <c r="G4" s="90" t="str">
        <f>IF($E$4=0,"",$F$4/$E$4)</f>
        <v/>
      </c>
      <c r="H4" s="91" t="str">
        <f>IF($K$4=0,"",$J$4/$K$4)</f>
        <v/>
      </c>
      <c r="I4" s="91" t="str">
        <f>IF($F$4=0,"",$J$4/$F$4-1)</f>
        <v/>
      </c>
      <c r="J4" s="373">
        <f>SUBTOTAL(109,J$15:INDEX(J:J,COUNTA($B:$B)+14-COUNTA($B$1:$B$14)))</f>
        <v>0</v>
      </c>
      <c r="K4" s="373">
        <f>SUBTOTAL(109,K$15:INDEX(K:K,COUNTA($B:$B)+14-COUNTA($B$1:$B$14)))</f>
        <v>0</v>
      </c>
    </row>
    <row r="5" spans="1:11">
      <c r="A5" s="25" t="s">
        <v>55</v>
      </c>
      <c r="B5" s="28" t="s">
        <v>55</v>
      </c>
      <c r="C5" s="28" t="s">
        <v>55</v>
      </c>
      <c r="D5" s="28" t="s">
        <v>55</v>
      </c>
      <c r="E5" s="47" t="s">
        <v>64</v>
      </c>
      <c r="F5" s="65" t="s">
        <v>66</v>
      </c>
      <c r="G5" s="92" t="s">
        <v>55</v>
      </c>
      <c r="H5" s="93" t="s">
        <v>55</v>
      </c>
      <c r="I5" s="93" t="s">
        <v>55</v>
      </c>
      <c r="J5" s="374" t="s">
        <v>66</v>
      </c>
      <c r="K5" s="374" t="s">
        <v>64</v>
      </c>
    </row>
    <row r="6" spans="1:11">
      <c r="A6" s="25" t="s">
        <v>125</v>
      </c>
      <c r="B6" s="28" t="s">
        <v>125</v>
      </c>
      <c r="C6" s="28" t="s">
        <v>125</v>
      </c>
      <c r="D6" s="28" t="s">
        <v>125</v>
      </c>
      <c r="E6" s="47" t="s">
        <v>49</v>
      </c>
      <c r="F6" s="65" t="s">
        <v>67</v>
      </c>
      <c r="G6" s="92" t="s">
        <v>50</v>
      </c>
      <c r="H6" s="93" t="s">
        <v>69</v>
      </c>
      <c r="I6" s="93" t="s">
        <v>69</v>
      </c>
      <c r="J6" s="374" t="s">
        <v>49</v>
      </c>
      <c r="K6" s="374" t="s">
        <v>49</v>
      </c>
    </row>
    <row r="7" spans="1:11">
      <c r="A7" s="25" t="s">
        <v>65</v>
      </c>
      <c r="B7" s="28" t="s">
        <v>65</v>
      </c>
      <c r="C7" s="28" t="s">
        <v>65</v>
      </c>
      <c r="D7" s="28" t="s">
        <v>65</v>
      </c>
      <c r="E7" s="47" t="s">
        <v>51</v>
      </c>
      <c r="F7" s="65" t="s">
        <v>51</v>
      </c>
      <c r="G7" s="92" t="s">
        <v>52</v>
      </c>
      <c r="H7" s="93" t="s">
        <v>52</v>
      </c>
      <c r="I7" s="93" t="s">
        <v>52</v>
      </c>
      <c r="J7" s="374" t="s">
        <v>51</v>
      </c>
      <c r="K7" s="374" t="s">
        <v>51</v>
      </c>
    </row>
    <row r="8" spans="1:11">
      <c r="A8" s="25"/>
      <c r="B8" s="28"/>
      <c r="C8" s="28"/>
      <c r="D8" s="28"/>
      <c r="E8" s="266" t="s">
        <v>108</v>
      </c>
      <c r="F8" s="274" t="s">
        <v>109</v>
      </c>
      <c r="G8" s="92"/>
      <c r="H8" s="158"/>
      <c r="I8" s="158"/>
      <c r="J8" s="374" t="s">
        <v>109</v>
      </c>
      <c r="K8" s="374" t="s">
        <v>108</v>
      </c>
    </row>
    <row r="9" spans="1:11">
      <c r="A9" s="25"/>
      <c r="B9" s="28"/>
      <c r="C9" s="28"/>
      <c r="D9" s="28"/>
      <c r="E9" s="266"/>
      <c r="F9" s="274" t="s">
        <v>110</v>
      </c>
      <c r="G9" s="92"/>
      <c r="H9" s="158"/>
      <c r="I9" s="158"/>
      <c r="J9" s="374" t="s">
        <v>110</v>
      </c>
    </row>
    <row r="10" spans="1:11">
      <c r="A10" s="25"/>
      <c r="B10" s="28"/>
      <c r="C10" s="28"/>
      <c r="D10" s="28"/>
      <c r="E10" s="266"/>
      <c r="F10" s="274"/>
      <c r="G10" s="92"/>
      <c r="H10" s="158"/>
      <c r="I10" s="158"/>
    </row>
    <row r="11" spans="1:11">
      <c r="A11" s="25"/>
      <c r="B11" s="28"/>
      <c r="C11" s="28"/>
      <c r="D11" s="28"/>
      <c r="F11" s="65"/>
      <c r="G11" s="92"/>
      <c r="H11" s="93"/>
      <c r="I11" s="93"/>
    </row>
    <row r="12" spans="1:11">
      <c r="A12" s="25"/>
      <c r="B12" s="28"/>
      <c r="C12" s="28"/>
      <c r="D12" s="28"/>
      <c r="E12" s="47" t="s">
        <v>126</v>
      </c>
      <c r="F12" s="65" t="s">
        <v>126</v>
      </c>
      <c r="G12" s="92" t="s">
        <v>126</v>
      </c>
      <c r="H12" s="93" t="s">
        <v>126</v>
      </c>
      <c r="I12" s="93" t="s">
        <v>126</v>
      </c>
      <c r="J12" s="374" t="s">
        <v>126</v>
      </c>
      <c r="K12" s="374" t="s">
        <v>126</v>
      </c>
    </row>
    <row r="13" spans="1:11">
      <c r="A13" s="25"/>
      <c r="B13" s="28"/>
      <c r="C13" s="28"/>
      <c r="D13" s="28"/>
      <c r="F13" s="65"/>
      <c r="G13" s="92"/>
      <c r="H13" s="93"/>
      <c r="I13" s="93"/>
    </row>
    <row r="14" spans="1:11">
      <c r="A14" s="286" t="s">
        <v>40</v>
      </c>
      <c r="B14" s="198" t="s">
        <v>3</v>
      </c>
      <c r="C14" s="198" t="s">
        <v>4</v>
      </c>
      <c r="D14" s="198" t="s">
        <v>43</v>
      </c>
      <c r="E14" s="209" t="s">
        <v>310</v>
      </c>
      <c r="F14" s="185" t="s">
        <v>236</v>
      </c>
      <c r="G14" s="186" t="s">
        <v>329</v>
      </c>
      <c r="H14" s="186" t="s">
        <v>334</v>
      </c>
      <c r="I14" s="186" t="s">
        <v>335</v>
      </c>
      <c r="J14" s="375" t="s">
        <v>237</v>
      </c>
      <c r="K14" s="375" t="s">
        <v>330</v>
      </c>
    </row>
    <row r="15" spans="1:11">
      <c r="A15" s="289" t="e">
        <f>INDEX(Prioritization!$D:$D,MATCH($B15,Prioritization!$A:$A,0))</f>
        <v>#N/A</v>
      </c>
      <c r="B15" s="20"/>
      <c r="C15" s="20"/>
      <c r="D15" s="20" t="str">
        <f>B15&amp;"|"&amp;C15</f>
        <v>|</v>
      </c>
      <c r="E15" s="52"/>
      <c r="G15" s="19" t="str">
        <f>IF(SUM($E15,$F15)=0,"",SUM($F15)/IF(SUM($E15)=0,SUM($F15),$E15))</f>
        <v/>
      </c>
      <c r="H15" s="11" t="str">
        <f>IF(SUM($G15)=0,"",$G15)</f>
        <v/>
      </c>
      <c r="I15" s="11" t="str">
        <f>IF(SUM($F15)=0,"",0%)</f>
        <v/>
      </c>
      <c r="J15" s="374" t="str">
        <f>IF(SUM($F15)=0,"",ROUND($F15*(1+SUM($I15)),0))</f>
        <v/>
      </c>
      <c r="K15" s="374" t="str">
        <f>IF(SUM($J15)=0,IF(SUM($E15)=0,"",$E15),ROUND($J15/IF(OR(SUM($H15)=0,$H15&gt;1),1,$H15),0))</f>
        <v/>
      </c>
    </row>
  </sheetData>
  <conditionalFormatting sqref="E1:E1048576 G1:H1048576 K1:K1048576">
    <cfRule type="expression" dxfId="30" priority="1">
      <formula>LEFT($B1,4)="_Mil"</formula>
    </cfRule>
  </conditionalFormatting>
  <conditionalFormatting sqref="E1:H1048576 J1:K1048576">
    <cfRule type="expression" dxfId="29" priority="2">
      <formula>AND(ISNUMBER(E1),E1&lt;0)</formula>
    </cfRule>
  </conditionalFormatting>
  <conditionalFormatting sqref="G1:H1048576">
    <cfRule type="expression" dxfId="28" priority="3">
      <formula>AND(ISNUMBER(G1),G1&gt;1)</formula>
    </cfRule>
  </conditionalFormatting>
  <conditionalFormatting sqref="H1:H1048576">
    <cfRule type="expression" dxfId="27" priority="7">
      <formula>AND(ISNUMBER(H1),H1&lt;&gt;G1)</formula>
    </cfRule>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102" customWidth="1"/>
    <col min="4" max="4" width="11.796875" style="130" customWidth="1"/>
    <col min="5" max="5" width="11.796875" style="113" customWidth="1"/>
    <col min="6" max="6" width="11.796875" style="106" customWidth="1"/>
    <col min="7" max="10" width="11.796875" style="33" customWidth="1"/>
    <col min="11" max="11" width="11.796875" style="102" customWidth="1"/>
    <col min="12" max="12" width="11.796875" style="113" customWidth="1"/>
    <col min="13" max="13" width="11.796875" style="106" customWidth="1"/>
    <col min="14" max="17" width="11.796875" style="33" customWidth="1"/>
    <col min="18" max="18" width="11.796875" style="102" customWidth="1"/>
    <col min="19" max="19" width="11.796875" style="113" customWidth="1"/>
    <col min="20" max="20" width="11.796875" style="106" customWidth="1"/>
    <col min="21" max="24" width="11.796875" style="33" customWidth="1"/>
    <col min="25" max="25" width="11.796875" style="102" customWidth="1"/>
    <col min="26" max="26" width="11.796875" style="113" customWidth="1"/>
    <col min="27" max="27" width="11.796875" style="106" customWidth="1"/>
    <col min="28" max="31" width="11.796875" style="33" customWidth="1"/>
    <col min="32" max="32" width="11.796875" style="102" customWidth="1"/>
    <col min="33" max="33" width="11.796875" style="113" customWidth="1"/>
    <col min="34" max="34" width="11.796875" style="106" customWidth="1"/>
    <col min="35" max="38" width="11.796875" style="33" customWidth="1"/>
    <col min="39" max="39" width="11.796875" style="102" customWidth="1"/>
    <col min="40" max="40" width="11.796875" style="113" customWidth="1"/>
    <col min="41" max="41" width="11.796875" style="106" customWidth="1"/>
    <col min="42" max="45" width="11.796875" style="33" customWidth="1"/>
    <col min="46" max="46" width="11.796875" style="102" customWidth="1"/>
    <col min="47" max="47" width="11.796875" style="113" customWidth="1"/>
    <col min="48" max="48" width="11.796875" style="106" customWidth="1"/>
    <col min="49" max="52" width="11.796875" style="33" customWidth="1"/>
    <col min="53" max="53" width="11.796875" style="102" customWidth="1"/>
    <col min="54" max="54" width="11.796875" style="113" customWidth="1"/>
    <col min="55" max="55" width="11.796875" style="106" customWidth="1"/>
    <col min="56" max="59" width="11.796875" style="33" customWidth="1"/>
    <col min="60" max="16384" width="10.796875" style="25"/>
  </cols>
  <sheetData>
    <row r="1" spans="1:59" s="22" customFormat="1" ht="31.05" customHeight="1" thickBot="1">
      <c r="A1" s="287" t="s">
        <v>481</v>
      </c>
      <c r="B1" s="4"/>
      <c r="C1" s="206" t="s">
        <v>18</v>
      </c>
      <c r="D1" s="172"/>
      <c r="E1" s="224"/>
      <c r="F1" s="225"/>
      <c r="G1" s="172"/>
      <c r="H1" s="172"/>
      <c r="I1" s="172"/>
      <c r="J1" s="172"/>
      <c r="K1" s="206" t="s">
        <v>0</v>
      </c>
      <c r="L1" s="224"/>
      <c r="M1" s="225"/>
      <c r="N1" s="172"/>
      <c r="O1" s="172"/>
      <c r="P1" s="172"/>
      <c r="Q1" s="172"/>
      <c r="R1" s="206" t="s">
        <v>1</v>
      </c>
      <c r="S1" s="224"/>
      <c r="T1" s="225"/>
      <c r="U1" s="172"/>
      <c r="V1" s="172"/>
      <c r="W1" s="172"/>
      <c r="X1" s="172"/>
      <c r="Y1" s="206" t="s">
        <v>32</v>
      </c>
      <c r="Z1" s="224"/>
      <c r="AA1" s="225"/>
      <c r="AB1" s="172"/>
      <c r="AC1" s="172"/>
      <c r="AD1" s="172"/>
      <c r="AE1" s="172"/>
      <c r="AF1" s="206" t="s">
        <v>31</v>
      </c>
      <c r="AG1" s="224"/>
      <c r="AH1" s="225"/>
      <c r="AI1" s="172"/>
      <c r="AJ1" s="172"/>
      <c r="AK1" s="172"/>
      <c r="AL1" s="172"/>
      <c r="AM1" s="206" t="s">
        <v>351</v>
      </c>
      <c r="AN1" s="224"/>
      <c r="AO1" s="225"/>
      <c r="AP1" s="172"/>
      <c r="AQ1" s="172"/>
      <c r="AR1" s="172"/>
      <c r="AS1" s="172"/>
      <c r="AT1" s="206" t="s">
        <v>352</v>
      </c>
      <c r="AU1" s="224"/>
      <c r="AV1" s="225"/>
      <c r="AW1" s="172"/>
      <c r="AX1" s="172"/>
      <c r="AY1" s="172"/>
      <c r="AZ1" s="172"/>
      <c r="BA1" s="206" t="s">
        <v>132</v>
      </c>
      <c r="BB1" s="224"/>
      <c r="BC1" s="225"/>
      <c r="BD1" s="172"/>
      <c r="BE1" s="172"/>
      <c r="BF1" s="172"/>
      <c r="BG1" s="172"/>
    </row>
    <row r="2" spans="1:59" s="21" customFormat="1" ht="18">
      <c r="A2" s="381" t="s">
        <v>516</v>
      </c>
      <c r="B2" s="378"/>
      <c r="C2" s="51" t="s">
        <v>444</v>
      </c>
      <c r="D2" s="54"/>
      <c r="E2" s="111"/>
      <c r="F2" s="104" t="s">
        <v>350</v>
      </c>
      <c r="G2" s="29"/>
      <c r="H2" s="29"/>
      <c r="I2" s="119"/>
      <c r="J2" s="29"/>
      <c r="K2" s="51" t="s">
        <v>444</v>
      </c>
      <c r="L2" s="111"/>
      <c r="M2" s="104" t="s">
        <v>350</v>
      </c>
      <c r="N2" s="29"/>
      <c r="O2" s="29"/>
      <c r="P2" s="119"/>
      <c r="Q2" s="29"/>
      <c r="R2" s="51" t="s">
        <v>444</v>
      </c>
      <c r="S2" s="111"/>
      <c r="T2" s="104" t="s">
        <v>350</v>
      </c>
      <c r="U2" s="29"/>
      <c r="V2" s="29"/>
      <c r="W2" s="119"/>
      <c r="X2" s="29"/>
      <c r="Y2" s="51" t="s">
        <v>444</v>
      </c>
      <c r="Z2" s="111"/>
      <c r="AA2" s="104" t="s">
        <v>350</v>
      </c>
      <c r="AB2" s="29"/>
      <c r="AC2" s="29"/>
      <c r="AD2" s="119"/>
      <c r="AE2" s="29"/>
      <c r="AF2" s="51" t="s">
        <v>444</v>
      </c>
      <c r="AG2" s="111"/>
      <c r="AH2" s="104" t="s">
        <v>350</v>
      </c>
      <c r="AI2" s="29"/>
      <c r="AJ2" s="29"/>
      <c r="AK2" s="119"/>
      <c r="AL2" s="29"/>
      <c r="AM2" s="51" t="s">
        <v>444</v>
      </c>
      <c r="AN2" s="111"/>
      <c r="AO2" s="104" t="s">
        <v>350</v>
      </c>
      <c r="AP2" s="29"/>
      <c r="AQ2" s="29"/>
      <c r="AR2" s="119"/>
      <c r="AS2" s="29"/>
      <c r="AT2" s="51" t="s">
        <v>444</v>
      </c>
      <c r="AU2" s="111"/>
      <c r="AV2" s="104" t="s">
        <v>350</v>
      </c>
      <c r="AW2" s="29"/>
      <c r="AX2" s="29"/>
      <c r="AY2" s="119"/>
      <c r="AZ2" s="29"/>
      <c r="BA2" s="51" t="s">
        <v>444</v>
      </c>
      <c r="BB2" s="111"/>
      <c r="BC2" s="104" t="s">
        <v>350</v>
      </c>
      <c r="BD2" s="29"/>
      <c r="BE2" s="29"/>
      <c r="BF2" s="119"/>
      <c r="BG2" s="29"/>
    </row>
    <row r="3" spans="1:59" ht="117" customHeight="1" thickBot="1">
      <c r="A3" s="379"/>
      <c r="B3" s="380"/>
      <c r="C3" s="121" t="s">
        <v>689</v>
      </c>
      <c r="D3" s="125" t="s">
        <v>690</v>
      </c>
      <c r="E3" s="128" t="s">
        <v>691</v>
      </c>
      <c r="F3" s="162" t="s">
        <v>339</v>
      </c>
      <c r="G3" s="152" t="s">
        <v>340</v>
      </c>
      <c r="H3" s="152" t="s">
        <v>343</v>
      </c>
      <c r="I3" s="31" t="s">
        <v>341</v>
      </c>
      <c r="J3" s="31" t="s">
        <v>342</v>
      </c>
      <c r="K3" s="121" t="s">
        <v>689</v>
      </c>
      <c r="L3" s="128" t="s">
        <v>691</v>
      </c>
      <c r="M3" s="162" t="s">
        <v>339</v>
      </c>
      <c r="N3" s="152" t="s">
        <v>340</v>
      </c>
      <c r="O3" s="152" t="s">
        <v>343</v>
      </c>
      <c r="P3" s="31" t="s">
        <v>341</v>
      </c>
      <c r="Q3" s="31" t="s">
        <v>342</v>
      </c>
      <c r="R3" s="121" t="s">
        <v>689</v>
      </c>
      <c r="S3" s="128" t="s">
        <v>691</v>
      </c>
      <c r="T3" s="162" t="s">
        <v>339</v>
      </c>
      <c r="U3" s="152" t="s">
        <v>340</v>
      </c>
      <c r="V3" s="152" t="s">
        <v>343</v>
      </c>
      <c r="W3" s="31" t="s">
        <v>341</v>
      </c>
      <c r="X3" s="31" t="s">
        <v>342</v>
      </c>
      <c r="Y3" s="121" t="s">
        <v>689</v>
      </c>
      <c r="Z3" s="128" t="s">
        <v>691</v>
      </c>
      <c r="AA3" s="162" t="s">
        <v>339</v>
      </c>
      <c r="AB3" s="152" t="s">
        <v>340</v>
      </c>
      <c r="AC3" s="152" t="s">
        <v>343</v>
      </c>
      <c r="AD3" s="31" t="s">
        <v>341</v>
      </c>
      <c r="AE3" s="31" t="s">
        <v>342</v>
      </c>
      <c r="AF3" s="121" t="s">
        <v>689</v>
      </c>
      <c r="AG3" s="128" t="s">
        <v>691</v>
      </c>
      <c r="AH3" s="162" t="s">
        <v>339</v>
      </c>
      <c r="AI3" s="152" t="s">
        <v>340</v>
      </c>
      <c r="AJ3" s="152" t="s">
        <v>343</v>
      </c>
      <c r="AK3" s="31" t="s">
        <v>341</v>
      </c>
      <c r="AL3" s="31" t="s">
        <v>342</v>
      </c>
      <c r="AM3" s="121" t="s">
        <v>689</v>
      </c>
      <c r="AN3" s="128" t="s">
        <v>691</v>
      </c>
      <c r="AO3" s="162" t="s">
        <v>339</v>
      </c>
      <c r="AP3" s="152" t="s">
        <v>340</v>
      </c>
      <c r="AQ3" s="152" t="s">
        <v>343</v>
      </c>
      <c r="AR3" s="31" t="s">
        <v>341</v>
      </c>
      <c r="AS3" s="31" t="s">
        <v>342</v>
      </c>
      <c r="AT3" s="121" t="s">
        <v>689</v>
      </c>
      <c r="AU3" s="128" t="s">
        <v>691</v>
      </c>
      <c r="AV3" s="162" t="s">
        <v>339</v>
      </c>
      <c r="AW3" s="152" t="s">
        <v>340</v>
      </c>
      <c r="AX3" s="152" t="s">
        <v>343</v>
      </c>
      <c r="AY3" s="31" t="s">
        <v>341</v>
      </c>
      <c r="AZ3" s="31" t="s">
        <v>342</v>
      </c>
      <c r="BA3" s="121" t="s">
        <v>689</v>
      </c>
      <c r="BB3" s="128" t="s">
        <v>691</v>
      </c>
      <c r="BC3" s="162" t="s">
        <v>339</v>
      </c>
      <c r="BD3" s="152" t="s">
        <v>340</v>
      </c>
      <c r="BE3" s="152" t="s">
        <v>343</v>
      </c>
      <c r="BF3" s="31" t="s">
        <v>341</v>
      </c>
      <c r="BG3" s="31" t="s">
        <v>342</v>
      </c>
    </row>
    <row r="4" spans="1:59">
      <c r="A4" s="291"/>
      <c r="B4" s="27" t="s">
        <v>2</v>
      </c>
      <c r="C4" s="101">
        <f>SUBTOTAL(109,C$15:INDEX(C:C,COUNTA($B:$B)+14-COUNTA($B$1:$B$14)))</f>
        <v>0</v>
      </c>
      <c r="D4" s="129">
        <f>SUBTOTAL(109,D$15:INDEX(D:D,COUNTA($B:$B)+14-COUNTA($B$1:$B$14)))</f>
        <v>0</v>
      </c>
      <c r="E4" s="112">
        <f>SUBTOTAL(109,E$15:INDEX(E:E,COUNTA($B:$B)+14-COUNTA($B$1:$B$14)))</f>
        <v>0</v>
      </c>
      <c r="F4" s="105">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1">
        <f>SUBTOTAL(109,K$15:INDEX(K:K,COUNTA($B:$B)+14-COUNTA($B$1:$B$14)))</f>
        <v>0</v>
      </c>
      <c r="L4" s="112">
        <f>SUBTOTAL(109,L$15:INDEX(L:L,COUNTA($B:$B)+14-COUNTA($B$1:$B$14)))</f>
        <v>0</v>
      </c>
      <c r="M4" s="105">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101">
        <f>SUBTOTAL(109,R$15:INDEX(R:R,COUNTA($B:$B)+14-COUNTA($B$1:$B$14)))</f>
        <v>0</v>
      </c>
      <c r="S4" s="112">
        <f>SUBTOTAL(109,S$15:INDEX(S:S,COUNTA($B:$B)+14-COUNTA($B$1:$B$14)))</f>
        <v>0</v>
      </c>
      <c r="T4" s="105">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101">
        <f>SUBTOTAL(109,Y$15:INDEX(Y:Y,COUNTA($B:$B)+14-COUNTA($B$1:$B$14)))</f>
        <v>0</v>
      </c>
      <c r="Z4" s="112">
        <f>SUBTOTAL(109,Z$15:INDEX(Z:Z,COUNTA($B:$B)+14-COUNTA($B$1:$B$14)))</f>
        <v>0</v>
      </c>
      <c r="AA4" s="105">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101">
        <f>SUBTOTAL(109,AF$15:INDEX(AF:AF,COUNTA($B:$B)+14-COUNTA($B$1:$B$14)))</f>
        <v>0</v>
      </c>
      <c r="AG4" s="112">
        <f>SUBTOTAL(109,AG$15:INDEX(AG:AG,COUNTA($B:$B)+14-COUNTA($B$1:$B$14)))</f>
        <v>0</v>
      </c>
      <c r="AH4" s="105">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101">
        <f>SUBTOTAL(109,AM$15:INDEX(AM:AM,COUNTA($B:$B)+14-COUNTA($B$1:$B$14)))</f>
        <v>0</v>
      </c>
      <c r="AN4" s="112">
        <f>SUBTOTAL(109,AN$15:INDEX(AN:AN,COUNTA($B:$B)+14-COUNTA($B$1:$B$14)))</f>
        <v>0</v>
      </c>
      <c r="AO4" s="105">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101">
        <f>SUBTOTAL(109,AT$15:INDEX(AT:AT,COUNTA($B:$B)+14-COUNTA($B$1:$B$14)))</f>
        <v>0</v>
      </c>
      <c r="AU4" s="112">
        <f>SUBTOTAL(109,AU$15:INDEX(AU:AU,COUNTA($B:$B)+14-COUNTA($B$1:$B$14)))</f>
        <v>0</v>
      </c>
      <c r="AV4" s="105">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101">
        <f>SUBTOTAL(109,BA$15:INDEX(BA:BA,COUNTA($B:$B)+14-COUNTA($B$1:$B$14)))</f>
        <v>0</v>
      </c>
      <c r="BB4" s="112">
        <f>SUBTOTAL(109,BB$15:INDEX(BB:BB,COUNTA($B:$B)+14-COUNTA($B$1:$B$14)))</f>
        <v>0</v>
      </c>
      <c r="BC4" s="105">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55</v>
      </c>
      <c r="B5" s="28" t="s">
        <v>55</v>
      </c>
      <c r="C5" s="102" t="s">
        <v>55</v>
      </c>
      <c r="D5" s="130" t="s">
        <v>55</v>
      </c>
      <c r="E5" s="113" t="s">
        <v>55</v>
      </c>
      <c r="F5" s="106" t="s">
        <v>55</v>
      </c>
      <c r="G5" s="33" t="s">
        <v>55</v>
      </c>
      <c r="H5" s="33" t="s">
        <v>55</v>
      </c>
      <c r="I5" s="33" t="s">
        <v>55</v>
      </c>
      <c r="J5" s="33" t="s">
        <v>55</v>
      </c>
      <c r="K5" s="102" t="s">
        <v>55</v>
      </c>
      <c r="L5" s="113" t="s">
        <v>55</v>
      </c>
      <c r="M5" s="106" t="s">
        <v>55</v>
      </c>
      <c r="N5" s="33" t="s">
        <v>55</v>
      </c>
      <c r="O5" s="33" t="s">
        <v>55</v>
      </c>
      <c r="P5" s="33" t="s">
        <v>55</v>
      </c>
      <c r="Q5" s="33" t="s">
        <v>55</v>
      </c>
      <c r="R5" s="102" t="s">
        <v>55</v>
      </c>
      <c r="S5" s="113" t="s">
        <v>55</v>
      </c>
      <c r="T5" s="106" t="s">
        <v>55</v>
      </c>
      <c r="U5" s="33" t="s">
        <v>55</v>
      </c>
      <c r="V5" s="33" t="s">
        <v>55</v>
      </c>
      <c r="W5" s="33" t="s">
        <v>55</v>
      </c>
      <c r="X5" s="33" t="s">
        <v>55</v>
      </c>
      <c r="Y5" s="102" t="s">
        <v>55</v>
      </c>
      <c r="Z5" s="113" t="s">
        <v>55</v>
      </c>
      <c r="AA5" s="106" t="s">
        <v>55</v>
      </c>
      <c r="AB5" s="33" t="s">
        <v>55</v>
      </c>
      <c r="AC5" s="33" t="s">
        <v>55</v>
      </c>
      <c r="AD5" s="33" t="s">
        <v>55</v>
      </c>
      <c r="AE5" s="33" t="s">
        <v>55</v>
      </c>
      <c r="AF5" s="102" t="s">
        <v>55</v>
      </c>
      <c r="AG5" s="113" t="s">
        <v>55</v>
      </c>
      <c r="AH5" s="106" t="s">
        <v>55</v>
      </c>
      <c r="AI5" s="33" t="s">
        <v>55</v>
      </c>
      <c r="AJ5" s="33" t="s">
        <v>55</v>
      </c>
      <c r="AK5" s="33" t="s">
        <v>55</v>
      </c>
      <c r="AL5" s="33" t="s">
        <v>55</v>
      </c>
      <c r="AM5" s="102" t="s">
        <v>55</v>
      </c>
      <c r="AN5" s="113" t="s">
        <v>55</v>
      </c>
      <c r="AO5" s="106" t="s">
        <v>55</v>
      </c>
      <c r="AP5" s="33" t="s">
        <v>55</v>
      </c>
      <c r="AQ5" s="33" t="s">
        <v>55</v>
      </c>
      <c r="AR5" s="33" t="s">
        <v>55</v>
      </c>
      <c r="AS5" s="33" t="s">
        <v>55</v>
      </c>
      <c r="AT5" s="102" t="s">
        <v>55</v>
      </c>
      <c r="AU5" s="113" t="s">
        <v>55</v>
      </c>
      <c r="AV5" s="106" t="s">
        <v>55</v>
      </c>
      <c r="AW5" s="33" t="s">
        <v>55</v>
      </c>
      <c r="AX5" s="33" t="s">
        <v>55</v>
      </c>
      <c r="AY5" s="33" t="s">
        <v>55</v>
      </c>
      <c r="AZ5" s="33" t="s">
        <v>55</v>
      </c>
      <c r="BA5" s="102" t="s">
        <v>55</v>
      </c>
      <c r="BB5" s="113" t="s">
        <v>55</v>
      </c>
      <c r="BC5" s="106" t="s">
        <v>55</v>
      </c>
      <c r="BD5" s="33" t="s">
        <v>55</v>
      </c>
      <c r="BE5" s="33" t="s">
        <v>55</v>
      </c>
      <c r="BF5" s="33" t="s">
        <v>55</v>
      </c>
      <c r="BG5" s="33" t="s">
        <v>55</v>
      </c>
    </row>
    <row r="6" spans="1:59">
      <c r="A6" s="25" t="s">
        <v>125</v>
      </c>
      <c r="B6" s="28" t="s">
        <v>125</v>
      </c>
      <c r="C6" s="102" t="s">
        <v>50</v>
      </c>
      <c r="D6" s="130" t="s">
        <v>50</v>
      </c>
      <c r="E6" s="113" t="s">
        <v>50</v>
      </c>
      <c r="F6" s="106" t="s">
        <v>50</v>
      </c>
      <c r="G6" s="33" t="s">
        <v>50</v>
      </c>
      <c r="H6" s="33" t="s">
        <v>50</v>
      </c>
      <c r="I6" s="33" t="s">
        <v>50</v>
      </c>
      <c r="J6" s="33" t="s">
        <v>50</v>
      </c>
      <c r="K6" s="102" t="s">
        <v>50</v>
      </c>
      <c r="L6" s="113" t="s">
        <v>50</v>
      </c>
      <c r="M6" s="106" t="s">
        <v>50</v>
      </c>
      <c r="N6" s="33" t="s">
        <v>50</v>
      </c>
      <c r="O6" s="33" t="s">
        <v>50</v>
      </c>
      <c r="P6" s="33" t="s">
        <v>50</v>
      </c>
      <c r="Q6" s="33" t="s">
        <v>50</v>
      </c>
      <c r="R6" s="102" t="s">
        <v>50</v>
      </c>
      <c r="S6" s="113" t="s">
        <v>50</v>
      </c>
      <c r="T6" s="106" t="s">
        <v>50</v>
      </c>
      <c r="U6" s="33" t="s">
        <v>50</v>
      </c>
      <c r="V6" s="33" t="s">
        <v>50</v>
      </c>
      <c r="W6" s="33" t="s">
        <v>50</v>
      </c>
      <c r="X6" s="33" t="s">
        <v>50</v>
      </c>
      <c r="Y6" s="102" t="s">
        <v>50</v>
      </c>
      <c r="Z6" s="113" t="s">
        <v>50</v>
      </c>
      <c r="AA6" s="106" t="s">
        <v>50</v>
      </c>
      <c r="AB6" s="33" t="s">
        <v>50</v>
      </c>
      <c r="AC6" s="33" t="s">
        <v>50</v>
      </c>
      <c r="AD6" s="33" t="s">
        <v>50</v>
      </c>
      <c r="AE6" s="33" t="s">
        <v>50</v>
      </c>
      <c r="AF6" s="102" t="s">
        <v>50</v>
      </c>
      <c r="AG6" s="113" t="s">
        <v>50</v>
      </c>
      <c r="AH6" s="106" t="s">
        <v>50</v>
      </c>
      <c r="AI6" s="33" t="s">
        <v>50</v>
      </c>
      <c r="AJ6" s="33" t="s">
        <v>50</v>
      </c>
      <c r="AK6" s="33" t="s">
        <v>50</v>
      </c>
      <c r="AL6" s="33" t="s">
        <v>50</v>
      </c>
      <c r="AM6" s="102" t="s">
        <v>50</v>
      </c>
      <c r="AN6" s="113" t="s">
        <v>50</v>
      </c>
      <c r="AO6" s="106" t="s">
        <v>50</v>
      </c>
      <c r="AP6" s="33" t="s">
        <v>50</v>
      </c>
      <c r="AQ6" s="33" t="s">
        <v>50</v>
      </c>
      <c r="AR6" s="33" t="s">
        <v>50</v>
      </c>
      <c r="AS6" s="33" t="s">
        <v>50</v>
      </c>
      <c r="AT6" s="102" t="s">
        <v>50</v>
      </c>
      <c r="AU6" s="113" t="s">
        <v>50</v>
      </c>
      <c r="AV6" s="106" t="s">
        <v>50</v>
      </c>
      <c r="AW6" s="33" t="s">
        <v>50</v>
      </c>
      <c r="AX6" s="33" t="s">
        <v>50</v>
      </c>
      <c r="AY6" s="33" t="s">
        <v>50</v>
      </c>
      <c r="AZ6" s="33" t="s">
        <v>50</v>
      </c>
      <c r="BA6" s="102" t="s">
        <v>50</v>
      </c>
      <c r="BB6" s="113" t="s">
        <v>50</v>
      </c>
      <c r="BC6" s="106" t="s">
        <v>50</v>
      </c>
      <c r="BD6" s="33" t="s">
        <v>50</v>
      </c>
      <c r="BE6" s="33" t="s">
        <v>50</v>
      </c>
      <c r="BF6" s="33" t="s">
        <v>50</v>
      </c>
      <c r="BG6" s="33" t="s">
        <v>50</v>
      </c>
    </row>
    <row r="7" spans="1:59">
      <c r="A7" s="25" t="s">
        <v>65</v>
      </c>
      <c r="B7" s="28" t="s">
        <v>65</v>
      </c>
      <c r="C7" s="103" t="s">
        <v>51</v>
      </c>
      <c r="D7" s="131" t="s">
        <v>51</v>
      </c>
      <c r="E7" s="114" t="s">
        <v>51</v>
      </c>
      <c r="F7" s="106" t="s">
        <v>51</v>
      </c>
      <c r="G7" s="33" t="s">
        <v>51</v>
      </c>
      <c r="H7" s="33" t="s">
        <v>51</v>
      </c>
      <c r="I7" s="33" t="s">
        <v>51</v>
      </c>
      <c r="J7" s="33" t="s">
        <v>51</v>
      </c>
      <c r="K7" s="103" t="s">
        <v>51</v>
      </c>
      <c r="L7" s="114" t="s">
        <v>51</v>
      </c>
      <c r="M7" s="106" t="s">
        <v>51</v>
      </c>
      <c r="N7" s="33" t="s">
        <v>51</v>
      </c>
      <c r="O7" s="33" t="s">
        <v>51</v>
      </c>
      <c r="P7" s="33" t="s">
        <v>51</v>
      </c>
      <c r="Q7" s="33" t="s">
        <v>51</v>
      </c>
      <c r="R7" s="103" t="s">
        <v>51</v>
      </c>
      <c r="S7" s="114" t="s">
        <v>51</v>
      </c>
      <c r="T7" s="106" t="s">
        <v>51</v>
      </c>
      <c r="U7" s="33" t="s">
        <v>51</v>
      </c>
      <c r="V7" s="33" t="s">
        <v>51</v>
      </c>
      <c r="W7" s="33" t="s">
        <v>51</v>
      </c>
      <c r="X7" s="33" t="s">
        <v>51</v>
      </c>
      <c r="Y7" s="103" t="s">
        <v>51</v>
      </c>
      <c r="Z7" s="114" t="s">
        <v>51</v>
      </c>
      <c r="AA7" s="106" t="s">
        <v>51</v>
      </c>
      <c r="AB7" s="33" t="s">
        <v>51</v>
      </c>
      <c r="AC7" s="33" t="s">
        <v>51</v>
      </c>
      <c r="AD7" s="33" t="s">
        <v>51</v>
      </c>
      <c r="AE7" s="33" t="s">
        <v>51</v>
      </c>
      <c r="AF7" s="103" t="s">
        <v>51</v>
      </c>
      <c r="AG7" s="114" t="s">
        <v>51</v>
      </c>
      <c r="AH7" s="106" t="s">
        <v>51</v>
      </c>
      <c r="AI7" s="33" t="s">
        <v>51</v>
      </c>
      <c r="AJ7" s="33" t="s">
        <v>51</v>
      </c>
      <c r="AK7" s="33" t="s">
        <v>51</v>
      </c>
      <c r="AL7" s="33" t="s">
        <v>51</v>
      </c>
      <c r="AM7" s="103" t="s">
        <v>51</v>
      </c>
      <c r="AN7" s="114" t="s">
        <v>51</v>
      </c>
      <c r="AO7" s="106" t="s">
        <v>51</v>
      </c>
      <c r="AP7" s="33" t="s">
        <v>51</v>
      </c>
      <c r="AQ7" s="33" t="s">
        <v>51</v>
      </c>
      <c r="AR7" s="33" t="s">
        <v>51</v>
      </c>
      <c r="AS7" s="33" t="s">
        <v>51</v>
      </c>
      <c r="AT7" s="103" t="s">
        <v>51</v>
      </c>
      <c r="AU7" s="114" t="s">
        <v>51</v>
      </c>
      <c r="AV7" s="106" t="s">
        <v>51</v>
      </c>
      <c r="AW7" s="33" t="s">
        <v>51</v>
      </c>
      <c r="AX7" s="33" t="s">
        <v>51</v>
      </c>
      <c r="AY7" s="33" t="s">
        <v>51</v>
      </c>
      <c r="AZ7" s="33" t="s">
        <v>51</v>
      </c>
      <c r="BA7" s="103" t="s">
        <v>51</v>
      </c>
      <c r="BB7" s="114" t="s">
        <v>51</v>
      </c>
      <c r="BC7" s="106" t="s">
        <v>51</v>
      </c>
      <c r="BD7" s="33" t="s">
        <v>51</v>
      </c>
      <c r="BE7" s="33" t="s">
        <v>51</v>
      </c>
      <c r="BF7" s="33" t="s">
        <v>51</v>
      </c>
      <c r="BG7" s="33" t="s">
        <v>51</v>
      </c>
    </row>
    <row r="8" spans="1:59">
      <c r="C8" s="103"/>
      <c r="D8" s="131"/>
      <c r="E8" s="114"/>
      <c r="K8" s="103"/>
      <c r="L8" s="114"/>
      <c r="R8" s="103"/>
      <c r="S8" s="114"/>
      <c r="Y8" s="103"/>
      <c r="Z8" s="114"/>
      <c r="AF8" s="103"/>
      <c r="AG8" s="114"/>
      <c r="AM8" s="103"/>
      <c r="AN8" s="114"/>
      <c r="AT8" s="103"/>
      <c r="AU8" s="114"/>
      <c r="BA8" s="103"/>
      <c r="BB8" s="114"/>
    </row>
    <row r="9" spans="1:59">
      <c r="C9" s="103"/>
      <c r="D9" s="131"/>
      <c r="E9" s="114"/>
      <c r="K9" s="103"/>
      <c r="L9" s="114"/>
      <c r="R9" s="103"/>
      <c r="S9" s="114"/>
      <c r="Y9" s="103"/>
      <c r="Z9" s="114"/>
      <c r="AF9" s="103"/>
      <c r="AG9" s="114"/>
      <c r="AM9" s="103"/>
      <c r="AN9" s="114"/>
      <c r="AT9" s="103"/>
      <c r="AU9" s="114"/>
      <c r="BA9" s="103"/>
      <c r="BB9" s="114"/>
    </row>
    <row r="10" spans="1:59">
      <c r="C10" s="103"/>
      <c r="D10" s="131"/>
      <c r="E10" s="114"/>
      <c r="K10" s="103"/>
      <c r="L10" s="114"/>
      <c r="R10" s="103"/>
      <c r="S10" s="114"/>
      <c r="Y10" s="103"/>
      <c r="Z10" s="114"/>
      <c r="AF10" s="103"/>
      <c r="AG10" s="114"/>
      <c r="AM10" s="103"/>
      <c r="AN10" s="114"/>
      <c r="AT10" s="103"/>
      <c r="AU10" s="114"/>
      <c r="BA10" s="103"/>
      <c r="BB10" s="114"/>
    </row>
    <row r="11" spans="1:59">
      <c r="C11" s="103"/>
      <c r="D11" s="131"/>
      <c r="E11" s="114"/>
      <c r="K11" s="103"/>
      <c r="L11" s="114"/>
      <c r="R11" s="103"/>
      <c r="S11" s="114"/>
      <c r="Y11" s="103"/>
      <c r="Z11" s="114"/>
      <c r="AF11" s="103"/>
      <c r="AG11" s="114"/>
      <c r="AM11" s="103"/>
      <c r="AN11" s="114"/>
      <c r="AT11" s="103"/>
      <c r="AU11" s="114"/>
      <c r="BA11" s="103"/>
      <c r="BB11" s="114"/>
    </row>
    <row r="14" spans="1:59">
      <c r="A14" s="286" t="s">
        <v>40</v>
      </c>
      <c r="B14" s="198" t="s">
        <v>3</v>
      </c>
      <c r="C14" s="209" t="s">
        <v>368</v>
      </c>
      <c r="D14" s="182" t="s">
        <v>453</v>
      </c>
      <c r="E14" s="231" t="s">
        <v>369</v>
      </c>
      <c r="F14" s="232" t="s">
        <v>370</v>
      </c>
      <c r="G14" s="188" t="s">
        <v>371</v>
      </c>
      <c r="H14" s="188" t="s">
        <v>372</v>
      </c>
      <c r="I14" s="208" t="s">
        <v>373</v>
      </c>
      <c r="J14" s="208" t="s">
        <v>374</v>
      </c>
      <c r="K14" s="209" t="s">
        <v>375</v>
      </c>
      <c r="L14" s="231" t="s">
        <v>376</v>
      </c>
      <c r="M14" s="232" t="s">
        <v>363</v>
      </c>
      <c r="N14" s="188" t="s">
        <v>364</v>
      </c>
      <c r="O14" s="188" t="s">
        <v>365</v>
      </c>
      <c r="P14" s="208" t="s">
        <v>366</v>
      </c>
      <c r="Q14" s="208" t="s">
        <v>367</v>
      </c>
      <c r="R14" s="209" t="s">
        <v>377</v>
      </c>
      <c r="S14" s="231" t="s">
        <v>378</v>
      </c>
      <c r="T14" s="232" t="s">
        <v>379</v>
      </c>
      <c r="U14" s="188" t="s">
        <v>380</v>
      </c>
      <c r="V14" s="188" t="s">
        <v>381</v>
      </c>
      <c r="W14" s="208" t="s">
        <v>382</v>
      </c>
      <c r="X14" s="208" t="s">
        <v>383</v>
      </c>
      <c r="Y14" s="209" t="s">
        <v>384</v>
      </c>
      <c r="Z14" s="231" t="s">
        <v>385</v>
      </c>
      <c r="AA14" s="232" t="s">
        <v>386</v>
      </c>
      <c r="AB14" s="188" t="s">
        <v>387</v>
      </c>
      <c r="AC14" s="188" t="s">
        <v>388</v>
      </c>
      <c r="AD14" s="208" t="s">
        <v>389</v>
      </c>
      <c r="AE14" s="208" t="s">
        <v>390</v>
      </c>
      <c r="AF14" s="209" t="s">
        <v>391</v>
      </c>
      <c r="AG14" s="231" t="s">
        <v>392</v>
      </c>
      <c r="AH14" s="232" t="s">
        <v>393</v>
      </c>
      <c r="AI14" s="188" t="s">
        <v>394</v>
      </c>
      <c r="AJ14" s="188" t="s">
        <v>395</v>
      </c>
      <c r="AK14" s="208" t="s">
        <v>396</v>
      </c>
      <c r="AL14" s="208" t="s">
        <v>397</v>
      </c>
      <c r="AM14" s="209" t="s">
        <v>398</v>
      </c>
      <c r="AN14" s="231" t="s">
        <v>399</v>
      </c>
      <c r="AO14" s="232" t="s">
        <v>400</v>
      </c>
      <c r="AP14" s="188" t="s">
        <v>401</v>
      </c>
      <c r="AQ14" s="188" t="s">
        <v>402</v>
      </c>
      <c r="AR14" s="208" t="s">
        <v>403</v>
      </c>
      <c r="AS14" s="208" t="s">
        <v>404</v>
      </c>
      <c r="AT14" s="209" t="s">
        <v>405</v>
      </c>
      <c r="AU14" s="231" t="s">
        <v>406</v>
      </c>
      <c r="AV14" s="232" t="s">
        <v>407</v>
      </c>
      <c r="AW14" s="188" t="s">
        <v>408</v>
      </c>
      <c r="AX14" s="188" t="s">
        <v>409</v>
      </c>
      <c r="AY14" s="208" t="s">
        <v>410</v>
      </c>
      <c r="AZ14" s="208" t="s">
        <v>411</v>
      </c>
      <c r="BA14" s="209" t="s">
        <v>412</v>
      </c>
      <c r="BB14" s="231" t="s">
        <v>413</v>
      </c>
      <c r="BC14" s="232" t="s">
        <v>414</v>
      </c>
      <c r="BD14" s="188" t="s">
        <v>415</v>
      </c>
      <c r="BE14" s="188" t="s">
        <v>416</v>
      </c>
      <c r="BF14" s="208" t="s">
        <v>417</v>
      </c>
      <c r="BG14" s="208" t="s">
        <v>418</v>
      </c>
    </row>
    <row r="15" spans="1:59" customFormat="1">
      <c r="A15" s="289" t="e">
        <f>INDEX(Prioritization!$D:$D,MATCH($B15,Prioritization!$A:$A,0))</f>
        <v>#N/A</v>
      </c>
      <c r="B15" s="20"/>
      <c r="C15" s="52" cm="1">
        <f t="array" ref="C15">SUM(SUMIFS(PrEP!$L:$L,PrEP!$B:$B,$B15,PrEP!$C:$C,{"15-24","25-34","35-49","50+"},PrEP!$D:$D,"Female"))</f>
        <v>0</v>
      </c>
      <c r="D15" s="56" cm="1">
        <f t="array" ref="D15">SUM(SUMIFS(PrEP!$L:$L,PrEP!$B:$B,$B15,PrEP!$C:$C,{"15-24","25-34"},PrEP!$D:$D,"Female"))</f>
        <v>0</v>
      </c>
      <c r="E15" s="153" cm="1">
        <f t="array" ref="E15">SUM(SUMIFS(PrEP!$L:$L,PrEP!$B:$B,$B15,PrEP!$C:$C,{"15-24","25-34","35-49","50+"},PrEP!$D:$D,"Male"))</f>
        <v>0</v>
      </c>
      <c r="F15" s="106"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53" cm="1">
        <f t="array" ref="L15">SUM(SUMIFS(Cascade!$AQ:$AQ,Cascade!$B:$B,$B15,Cascade!$C:$C,{"15-24","25-34","35-49","50+"},Cascade!$D:$D,"Male"))</f>
        <v>0</v>
      </c>
      <c r="M15" s="106"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53" cm="1">
        <f t="array" ref="S15">SUM(SUMIFS(Cascade!$AY:$AY,Cascade!$B:$B,$B15,Cascade!$C:$C,{"15-24","25-34","35-49","50+"},Cascade!$D:$D,"Male"))</f>
        <v>0</v>
      </c>
      <c r="T15" s="106"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53" cm="1">
        <f t="array" ref="Z15">SUM(SUMIFS(Cascade!$BC:$BC,Cascade!$B:$B,$B15,Cascade!$C:$C,{"15-24","25-34","35-49","50+"},Cascade!$D:$D,"Male"))</f>
        <v>0</v>
      </c>
      <c r="AA15" s="106"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53" cm="1">
        <f t="array" ref="AG15">SUM(SUMIFS(Cascade!$BF:$BF,Cascade!$B:$B,$B15,Cascade!$C:$C,{"15-24","25-34","35-49","50+"},Cascade!$D:$D,"Male"))</f>
        <v>0</v>
      </c>
      <c r="AH15" s="106"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SUM(SUMIFS(HTS!$AM:$AM,HTS!$B:$B,$B15,HTS!$C:$C,{"15-24","25-34","35-49","50+"},HTS!$D:$D,"Female"))</f>
        <v>0</v>
      </c>
      <c r="AN15" s="153" cm="1">
        <f t="array" ref="AN15">SUM(SUMIFS(HTS!$AM:$AM,HTS!$B:$B,$B15,HTS!$C:$C,{"15-24","25-34","35-49","50+"},HTS!$D:$D,"Male"))</f>
        <v>0</v>
      </c>
      <c r="AO15" s="106"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SUM(SUMIFS(HTS!$AS:$AS,HTS!$B:$B,$B15,HTS!$C:$C,{"15-24","25-34","35-49","50+"},HTS!$D:$D,"Female"))</f>
        <v>0</v>
      </c>
      <c r="AU15" s="153" cm="1">
        <f t="array" ref="AU15">SUM(SUMIFS(HTS!$AS:$AS,HTS!$B:$B,$B15,HTS!$C:$C,{"15-24","25-34","35-49","50+"},HTS!$D:$D,"Male"))</f>
        <v>0</v>
      </c>
      <c r="AV15" s="106"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SUM(SUMIFS(HTS!$AX:$AX,HTS!$B:$B,$B15,HTS!$C:$C,{"15-24","25-34","35-49","50+"},HTS!$D:$D,"Female"))</f>
        <v>0</v>
      </c>
      <c r="BB15" s="153" cm="1">
        <f t="array" ref="BB15">SUM(SUMIFS(HTS!$AX:$AX,HTS!$B:$B,$B15,HTS!$C:$C,{"15-24","25-34","35-49","50+"},HTS!$D:$D,"Male"))</f>
        <v>0</v>
      </c>
      <c r="BC15" s="106"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89"/>
      <c r="B16" s="20"/>
    </row>
    <row r="17" spans="1:2">
      <c r="A17" s="289"/>
      <c r="B17" s="20"/>
    </row>
    <row r="18" spans="1:2">
      <c r="A18" s="289"/>
      <c r="B18" s="20"/>
    </row>
    <row r="19" spans="1:2">
      <c r="A19" s="289"/>
      <c r="B19" s="20"/>
    </row>
    <row r="20" spans="1:2">
      <c r="A20" s="289"/>
      <c r="B20" s="20"/>
    </row>
    <row r="21" spans="1:2">
      <c r="A21" s="289"/>
      <c r="B21" s="20"/>
    </row>
    <row r="22" spans="1:2">
      <c r="A22" s="289"/>
      <c r="B22" s="20"/>
    </row>
    <row r="23" spans="1:2">
      <c r="A23" s="289"/>
      <c r="B23" s="20"/>
    </row>
    <row r="24" spans="1:2">
      <c r="A24" s="289"/>
      <c r="B24" s="20"/>
    </row>
    <row r="25" spans="1:2">
      <c r="A25" s="289"/>
      <c r="B25" s="20"/>
    </row>
    <row r="26" spans="1:2">
      <c r="A26" s="289"/>
      <c r="B26" s="20"/>
    </row>
    <row r="27" spans="1:2">
      <c r="A27" s="289"/>
      <c r="B27" s="20"/>
    </row>
    <row r="28" spans="1:2">
      <c r="A28" s="289"/>
      <c r="B28" s="20"/>
    </row>
    <row r="29" spans="1:2">
      <c r="A29" s="289"/>
      <c r="B29" s="20"/>
    </row>
    <row r="30" spans="1:2">
      <c r="A30" s="289"/>
      <c r="B30" s="20"/>
    </row>
    <row r="31" spans="1:2">
      <c r="A31" s="289"/>
      <c r="B31" s="20"/>
    </row>
    <row r="32" spans="1:2">
      <c r="A32" s="289"/>
      <c r="B32" s="20"/>
    </row>
    <row r="33" spans="1:2">
      <c r="A33" s="289"/>
      <c r="B33" s="20"/>
    </row>
    <row r="34" spans="1:2">
      <c r="A34" s="289"/>
      <c r="B34" s="20"/>
    </row>
    <row r="35" spans="1:2">
      <c r="A35" s="289"/>
      <c r="B35" s="20"/>
    </row>
    <row r="36" spans="1:2">
      <c r="A36" s="289"/>
      <c r="B36" s="20"/>
    </row>
    <row r="37" spans="1:2">
      <c r="A37" s="289"/>
      <c r="B37" s="20"/>
    </row>
    <row r="38" spans="1:2">
      <c r="A38" s="289"/>
      <c r="B38" s="20"/>
    </row>
    <row r="39" spans="1:2">
      <c r="A39" s="289"/>
      <c r="B39" s="20"/>
    </row>
    <row r="40" spans="1:2">
      <c r="A40" s="289"/>
      <c r="B40" s="20"/>
    </row>
    <row r="41" spans="1:2">
      <c r="A41" s="289"/>
      <c r="B41" s="20"/>
    </row>
    <row r="42" spans="1:2">
      <c r="A42" s="289"/>
      <c r="B42" s="20"/>
    </row>
    <row r="43" spans="1:2">
      <c r="A43" s="289"/>
      <c r="B43" s="20"/>
    </row>
    <row r="44" spans="1:2">
      <c r="A44" s="289"/>
      <c r="B44" s="20"/>
    </row>
    <row r="45" spans="1:2">
      <c r="A45" s="289"/>
      <c r="B45" s="20"/>
    </row>
    <row r="46" spans="1:2">
      <c r="A46" s="289"/>
      <c r="B46" s="20"/>
    </row>
    <row r="47" spans="1:2">
      <c r="A47" s="289"/>
      <c r="B47" s="20"/>
    </row>
    <row r="48" spans="1:2">
      <c r="A48" s="289"/>
      <c r="B48" s="20"/>
    </row>
    <row r="49" spans="1:2">
      <c r="A49" s="289"/>
      <c r="B49" s="20"/>
    </row>
    <row r="50" spans="1:2">
      <c r="A50" s="289"/>
      <c r="B50" s="20"/>
    </row>
    <row r="51" spans="1:2">
      <c r="A51" s="289"/>
      <c r="B51" s="20"/>
    </row>
    <row r="52" spans="1:2">
      <c r="A52" s="289"/>
      <c r="B52" s="20"/>
    </row>
    <row r="53" spans="1:2">
      <c r="A53" s="289"/>
      <c r="B53" s="20"/>
    </row>
    <row r="54" spans="1:2">
      <c r="A54" s="289"/>
      <c r="B54" s="20"/>
    </row>
    <row r="55" spans="1:2">
      <c r="A55" s="289"/>
      <c r="B55" s="20"/>
    </row>
    <row r="56" spans="1:2">
      <c r="A56" s="289"/>
      <c r="B56" s="20"/>
    </row>
    <row r="57" spans="1:2">
      <c r="A57" s="289"/>
      <c r="B57" s="20"/>
    </row>
    <row r="58" spans="1:2">
      <c r="A58" s="289"/>
      <c r="B58" s="20"/>
    </row>
    <row r="59" spans="1:2">
      <c r="A59" s="289"/>
      <c r="B59" s="20"/>
    </row>
    <row r="60" spans="1:2">
      <c r="A60" s="289"/>
      <c r="B60" s="20"/>
    </row>
    <row r="61" spans="1:2">
      <c r="A61" s="289"/>
      <c r="B61" s="20"/>
    </row>
    <row r="62" spans="1:2">
      <c r="A62" s="289"/>
      <c r="B62" s="20"/>
    </row>
    <row r="63" spans="1:2">
      <c r="A63" s="28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Home</vt:lpstr>
      <vt:lpstr>Spectrum</vt:lpstr>
      <vt:lpstr>Prioritization</vt:lpstr>
      <vt:lpstr>Cascade</vt:lpstr>
      <vt:lpstr>KP</vt:lpstr>
      <vt:lpstr>PMTCT</vt:lpstr>
      <vt:lpstr>EID</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2024-09-12T20:10:27Z</dcterms:modified>
</cp:coreProperties>
</file>