
<file path=[Content_Types].xml><?xml version="1.0" encoding="utf-8"?>
<Types xmlns="http://schemas.openxmlformats.org/package/2006/content-types">
  <Override PartName="/xl/_rels/workbook.xml.rels" ContentType="application/vnd.openxmlformats-package.relationships+xml"/>
  <Override PartName="/xl/drawings/vmlDrawing10.vml" ContentType="application/vnd.openxmlformats-officedocument.vmlDrawing"/>
  <Override PartName="/xl/drawings/vmlDrawing9.vml" ContentType="application/vnd.openxmlformats-officedocument.vmlDrawing"/>
  <Override PartName="/xl/drawings/vmlDrawing7.vml" ContentType="application/vnd.openxmlformats-officedocument.vmlDrawing"/>
  <Override PartName="/xl/drawings/vmlDrawing6.vml" ContentType="application/vnd.openxmlformats-officedocument.vmlDrawing"/>
  <Override PartName="/xl/drawings/vmlDrawing1.vml" ContentType="application/vnd.openxmlformats-officedocument.vmlDrawing"/>
  <Override PartName="/xl/drawings/vmlDrawing8.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sharedStrings.xml" ContentType="application/vnd.openxmlformats-officedocument.spreadsheetml.sharedStrings+xml"/>
  <Override PartName="/xl/worksheets/_rels/sheet15.xml.rels" ContentType="application/vnd.openxmlformats-package.relationships+xml"/>
  <Override PartName="/xl/worksheets/_rels/sheet13.xml.rels" ContentType="application/vnd.openxmlformats-package.relationships+xml"/>
  <Override PartName="/xl/worksheets/_rels/sheet12.xml.rels" ContentType="application/vnd.openxmlformats-package.relationships+xml"/>
  <Override PartName="/xl/worksheets/_rels/sheet11.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10.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charts/chart3.xml" ContentType="application/vnd.openxmlformats-officedocument.drawingml.chart+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Override PartName="/xl/styles.xml" ContentType="application/vnd.openxmlformats-officedocument.spreadsheetml.styles+xml"/>
  <Override PartName="/xl/comments8.xml" ContentType="application/vnd.openxmlformats-officedocument.spreadsheetml.comments+xml"/>
  <Override PartName="/xl/comments5.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8.xml" ContentType="application/vnd.openxmlformats-officedocument.spreadsheetml.comments+xml"/>
  <Override PartName="/xl/comments10.xml" ContentType="application/vnd.openxmlformats-officedocument.spreadsheetml.comments+xml"/>
  <Override PartName="/xl/comments13.xml" ContentType="application/vnd.openxmlformats-officedocument.spreadsheetml.comments+xml"/>
  <Override PartName="/xl/comments15.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ome" sheetId="1" state="visible" r:id="rId2"/>
    <sheet name="Summary" sheetId="2" state="visible" r:id="rId3"/>
    <sheet name="Spectrum" sheetId="3" state="visible" r:id="rId4"/>
    <sheet name="Prioritization" sheetId="4" state="visible" r:id="rId5"/>
    <sheet name="Cascade" sheetId="5" state="visible" r:id="rId6"/>
    <sheet name="PMTCT" sheetId="6" state="visible" r:id="rId7"/>
    <sheet name="EID" sheetId="7" state="visible" r:id="rId8"/>
    <sheet name="TB" sheetId="8" state="visible" r:id="rId9"/>
    <sheet name="VMMC" sheetId="9" state="visible" r:id="rId10"/>
    <sheet name="HTS" sheetId="10" state="visible" r:id="rId11"/>
    <sheet name="CXCA" sheetId="11" state="visible" r:id="rId12"/>
    <sheet name="HTS_RECENT" sheetId="12" state="visible" r:id="rId13"/>
    <sheet name="TX_TB_PREV" sheetId="13" state="visible" r:id="rId14"/>
    <sheet name="PP" sheetId="14" state="visible" r:id="rId15"/>
    <sheet name="OVC" sheetId="15" state="visible" r:id="rId16"/>
    <sheet name="GEND" sheetId="16" state="visible" r:id="rId17"/>
    <sheet name="AGYW" sheetId="17" state="visible" r:id="rId18"/>
    <sheet name="PrEP" sheetId="18" state="visible" r:id="rId19"/>
    <sheet name="KP" sheetId="19" state="visible" r:id="rId20"/>
    <sheet name="KP Validation" sheetId="20" state="visible" r:id="rId21"/>
    <sheet name="KP_MAT" sheetId="21" state="visible" r:id="rId22"/>
    <sheet name="PSNUxIM" sheetId="22" state="visible" r:id="rId23"/>
  </sheets>
  <definedNames>
    <definedName function="false" hidden="false" name="MIN_DSD" vbProcedure="false">ROUND(MAX(IF(ISNUMBER(FIND("DSD",PSNUxIM!$CW$14:$FS$14)),PSNUxIM!$CW1:$FS1)),1)</definedName>
    <definedName function="false" hidden="false" name="MIN_TA" vbProcedure="false">ROUND(MAX(IF(ISNUMBER(FIND("TA",PSNUxIM!$CW$14:$FS$14)),PSNUxIM!$CW1:$FS1)),1)</definedName>
    <definedName function="false" hidden="false" localSheetId="2" name="_xlnm._FilterDatabase" vbProcedure="false">spectrum!#ref!</definedName>
    <definedName function="false" hidden="false" localSheetId="4" name="_xlnm._FilterDatabase" vbProcedure="false">Cascade!$B$14:$BR$3876</definedName>
    <definedName function="false" hidden="false" localSheetId="5" name="_xlnm._FilterDatabase" vbProcedure="false">PMTCT!$B$14:$BA$15</definedName>
    <definedName function="false" hidden="false" localSheetId="6" name="_xlnm._FilterDatabase" vbProcedure="false">EID!$B$14:$G$18</definedName>
    <definedName function="false" hidden="false" localSheetId="7" name="_xlnm._FilterDatabase" vbProcedure="false">TB!$B$14:$U$3879</definedName>
    <definedName function="false" hidden="false" localSheetId="8" name="_xlnm._FilterDatabase" vbProcedure="false">VMMC!$B$14:$AF$15</definedName>
    <definedName function="false" hidden="false" localSheetId="9" name="_xlnm._FilterDatabase" vbProcedure="false">HTS!$B$14:$BY$3551</definedName>
    <definedName function="false" hidden="false" localSheetId="10" name="_xlnm._FilterDatabase" vbProcedure="false">CXCA!$C$1:$C$51</definedName>
    <definedName function="false" hidden="false" localSheetId="11" name="HTS_INDEX.share" vbProcedure="false">hts_recent!#ref!</definedName>
    <definedName function="false" hidden="false" localSheetId="11" name="HTS_TST.Distributions" vbProcedure="false">hts_recent!#ref!</definedName>
    <definedName function="false" hidden="false" localSheetId="11" name="HTS_TST.Emergency" vbProcedure="false">HTS_RECENT!$V:$W</definedName>
    <definedName function="false" hidden="false" localSheetId="11" name="HTS_TST.Emergency.Share" vbProcedure="false">hts_recent!#ref!</definedName>
    <definedName function="false" hidden="false" localSheetId="11" name="HTS_TST.Inpat" vbProcedure="false">HTS_RECENT!$R:$S</definedName>
    <definedName function="false" hidden="false" localSheetId="11" name="HTS_TST.Inpat.Share" vbProcedure="false">hts_recent!#ref!</definedName>
    <definedName function="false" hidden="false" localSheetId="11" name="HTS_TST.Linkages" vbProcedure="false">hts_recent!#ref!</definedName>
    <definedName function="false" hidden="false" localSheetId="11" name="HTS_TST.Malnutrition" vbProcedure="false">hts_recent!#ref!</definedName>
    <definedName function="false" hidden="false" localSheetId="11" name="HTS_TST.Malnutrition.Share" vbProcedure="false">hts_recent!#ref!</definedName>
    <definedName function="false" hidden="false" localSheetId="11" name="HTS_TST.MobileMod" vbProcedure="false">HTS_RECENT!$AB:$AC</definedName>
    <definedName function="false" hidden="false" localSheetId="11" name="HTS_TST.MobileMod.Share" vbProcedure="false">hts_recent!#ref!</definedName>
    <definedName function="false" hidden="false" localSheetId="11" name="HTS_TST.Other" vbProcedure="false">HTS_RECENT!$X:$Y</definedName>
    <definedName function="false" hidden="false" localSheetId="11" name="HTS_TST.Other.Share" vbProcedure="false">hts_recent!#ref!</definedName>
    <definedName function="false" hidden="false" localSheetId="11" name="HTS_TST.OtherMod" vbProcedure="false">HTS_RECENT!$AD:$AE</definedName>
    <definedName function="false" hidden="false" localSheetId="11" name="HTS_TST.OtherMod.Share" vbProcedure="false">hts_recent!#ref!</definedName>
    <definedName function="false" hidden="false" localSheetId="11" name="HTS_TST.Pediatric" vbProcedure="false">hts_recent!#ref!</definedName>
    <definedName function="false" hidden="false" localSheetId="11" name="HTS_TST.Pediatric.Share" vbProcedure="false">hts_recent!#ref!</definedName>
    <definedName function="false" hidden="false" localSheetId="11" name="HTS_TST.STIClinic" vbProcedure="false">HTS_RECENT!$T:$U</definedName>
    <definedName function="false" hidden="false" localSheetId="11" name="HTS_TST.STIClinic.Share" vbProcedure="false">hts_recent!#ref!</definedName>
    <definedName function="false" hidden="false" localSheetId="11" name="HTS_TST.VCT" vbProcedure="false">HTS_RECENT!$Z:$AA</definedName>
    <definedName function="false" hidden="false" localSheetId="11" name="HTS_TST.VCT.Share" vbProcedure="false">hts_recent!#ref!</definedName>
    <definedName function="false" hidden="false" localSheetId="11" name="HTS_TST.VCTMod" vbProcedure="false">hts_recent!#ref!</definedName>
    <definedName function="false" hidden="false" localSheetId="11" name="HTS_TST.VCTMod.Share" vbProcedure="false">hts_recent!#ref!</definedName>
    <definedName function="false" hidden="false" localSheetId="11" name="HTS_TST_POS.PMTCT" vbProcedure="false">hts_recent!#ref!</definedName>
    <definedName function="false" hidden="false" localSheetId="11" name="HTS_TST_POS.TB" vbProcedure="false">hts_recent!#ref!</definedName>
    <definedName function="false" hidden="false" localSheetId="11" name="HTS_TST_POS.VMMC" vbProcedure="false">hts_recent!#ref!</definedName>
    <definedName function="false" hidden="false" localSheetId="11" name="_xlnm._FilterDatabase" vbProcedure="false">HTS_RECENT!$B$14:$AE$3551</definedName>
    <definedName function="false" hidden="false" localSheetId="12" name="_xlnm._FilterDatabase" vbProcedure="false">TX_TB_PREV!$B$14:$X$15</definedName>
    <definedName function="false" hidden="false" localSheetId="13" name="_xlnm._FilterDatabase" vbProcedure="false">PP!$B$14:$H$51</definedName>
    <definedName function="false" hidden="false" localSheetId="14" name="_xlnm._FilterDatabase" vbProcedure="false">OVC!$B$14:$U$1911</definedName>
    <definedName function="false" hidden="false" localSheetId="16" name="PrEP_CURR.N.Age_Sex.T" vbProcedure="false">agyw!#ref!</definedName>
    <definedName function="false" hidden="false" localSheetId="16" name="PrEP_NEW.N.Age_Sex.T" vbProcedure="false">agyw!#ref!</definedName>
    <definedName function="false" hidden="false" localSheetId="16" name="_xlnm._FilterDatabase" vbProcedure="false">AGYW!$B$14:$M$39</definedName>
    <definedName function="false" hidden="false" localSheetId="17" name="_xlnm._FilterDatabase" vbProcedure="false">PrEP!$B$14:$O$39</definedName>
    <definedName function="false" hidden="false" localSheetId="18" name="_xlnm._FilterDatabase" vbProcedure="false">KP!$B$14:$K$66</definedName>
    <definedName function="false" hidden="false" localSheetId="19" name="HTS_RECENT.N.KeyPop_HIVStatus.T" vbProcedure="false">'kp validation'!#ref!</definedName>
    <definedName function="false" hidden="false" localSheetId="19" name="HTS_SELF.N.KeyPop.T" vbProcedure="false">'kp validation'!#ref!</definedName>
    <definedName function="false" hidden="false" localSheetId="19" name="HTS_TST.N.KeyPop_Result.T.Negative" vbProcedure="false">'kp validation'!#ref!</definedName>
    <definedName function="false" hidden="false" localSheetId="19" name="HTS_TST.N.KeyPop_Result.T.Positive" vbProcedure="false">'kp validation'!#ref!</definedName>
    <definedName function="false" hidden="false" localSheetId="19" name="KP_MAT.N.Sex.T" vbProcedure="false">'kp validation'!#ref!</definedName>
    <definedName function="false" hidden="false" localSheetId="19" name="KP_PREV.N.KeyPop.T" vbProcedure="false">'kp validation'!#ref!</definedName>
    <definedName function="false" hidden="false" localSheetId="19" name="PrEP_CURR.N.KeyPop.T" vbProcedure="false">'kp validation'!#ref!</definedName>
    <definedName function="false" hidden="false" localSheetId="19" name="PrEP_NEW.N.KeyPop.T" vbProcedure="false">'kp validation'!#ref!</definedName>
    <definedName function="false" hidden="false" localSheetId="19" name="TX_CURR.N.KeyPop_HIVStatus.T" vbProcedure="false">'KP Validation'!$U:$U</definedName>
    <definedName function="false" hidden="false" localSheetId="19" name="TX_NEW.N.KeyPop_HIVStatus.T" vbProcedure="false">'kp validation'!#ref!</definedName>
    <definedName function="false" hidden="false" localSheetId="19" name="TX_PVLS.D.KeyPop_HIVStatus.T" vbProcedure="false">'kp validation'!#ref!</definedName>
    <definedName function="false" hidden="false" localSheetId="19" name="TX_PVLS.N.KeyPop_HIVStatus.T" vbProcedure="false">'kp validation'!#ref!</definedName>
    <definedName function="false" hidden="false" localSheetId="19" name="_xlnm._FilterDatabase" vbProcedure="false">'KP Validation'!$B$14:$BV$63</definedName>
    <definedName function="false" hidden="false" localSheetId="20" name="HTS_RECENT.N.KeyPop_HIVStatus.T" vbProcedure="false">kp_mat!#ref!</definedName>
    <definedName function="false" hidden="false" localSheetId="20" name="HTS_SELF.N.KeyPop.T" vbProcedure="false">kp_mat!#ref!</definedName>
    <definedName function="false" hidden="false" localSheetId="20" name="HTS_TST.N.KeyPop_Result.T.Negative" vbProcedure="false">kp_mat!#ref!</definedName>
    <definedName function="false" hidden="false" localSheetId="20" name="HTS_TST.N.KeyPop_Result.T.Positive" vbProcedure="false">kp_mat!#ref!</definedName>
    <definedName function="false" hidden="false" localSheetId="20" name="KP_MAT.N.Sex.T" vbProcedure="false">KP_MAT!$J:$J</definedName>
    <definedName function="false" hidden="false" localSheetId="20" name="KP_PREV.N.KeyPop.T" vbProcedure="false">kp_mat!#ref!</definedName>
    <definedName function="false" hidden="false" localSheetId="20" name="PrEP_CURR.N.KeyPop.T" vbProcedure="false">kp_mat!#ref!</definedName>
    <definedName function="false" hidden="false" localSheetId="20" name="PrEP_NEW.N.KeyPop.T" vbProcedure="false">kp_mat!#ref!</definedName>
    <definedName function="false" hidden="false" localSheetId="20" name="TX_CURR.N.KeyPop_HIVStatus.T" vbProcedure="false">kp_mat!#ref!</definedName>
    <definedName function="false" hidden="false" localSheetId="20" name="TX_NEW.N.KeyPop_HIVStatus.T" vbProcedure="false">kp_mat!#ref!</definedName>
    <definedName function="false" hidden="false" localSheetId="20" name="TX_PVLS.D.KeyPop_HIVStatus.T" vbProcedure="false">kp_mat!#ref!</definedName>
    <definedName function="false" hidden="false" localSheetId="20" name="TX_PVLS.N.KeyPop_HIVStatus.T" vbProcedure="false">kp_mat!#ref!</definedName>
    <definedName function="false" hidden="false" localSheetId="20" name="_xlnm._FilterDatabase" vbProcedure="false">KP_MAT!$B$14:$J$75</definedName>
    <definedName function="false" hidden="false" localSheetId="21" name="_xlnm._FilterDatabase" vbProcedure="false">PSNUxIM!$A$14:$AK$16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AN1" authorId="0">
      <text>
        <r>
          <rPr>
            <b val="true"/>
            <sz val="10"/>
            <color rgb="FF000000"/>
            <rFont val="Tahoma"/>
            <family val="2"/>
            <charset val="1"/>
          </rPr>
          <t xml:space="preserve">TX_PVLS:
</t>
        </r>
        <r>
          <rPr>
            <sz val="10"/>
            <color rgb="FF000000"/>
            <rFont val="Tahoma"/>
            <family val="2"/>
            <charset val="1"/>
          </rPr>
          <t xml:space="preserve">For targeting purposes, 100% of TX_PVLS will be allocated to Routine testing instead of Targeted.</t>
        </r>
      </text>
    </comment>
    <comment ref="AP3" authorId="0">
      <text>
        <r>
          <rPr>
            <b val="true"/>
            <sz val="10"/>
            <color rgb="FF000000"/>
            <rFont val="Tahoma"/>
            <family val="2"/>
            <charset val="1"/>
          </rPr>
          <t xml:space="preserve">TX_PVLS (D) &gt; TX_CURR
</t>
        </r>
        <r>
          <rPr>
            <sz val="10"/>
            <color rgb="FF000000"/>
            <rFont val="Tahoma"/>
            <family val="2"/>
            <charset val="1"/>
          </rPr>
          <t xml:space="preserve">Yellow cells below denote cases where TX_PVLS (D) is less than TX_CURR. While this may be possible due to Loss to Follow-up, these cases should receive special consideration in strategies.</t>
        </r>
      </text>
    </comment>
    <comment ref="BA3" authorId="0">
      <text>
        <r>
          <rPr>
            <sz val="10"/>
            <color rgb="FF000000"/>
            <rFont val="Tahoma"/>
            <family val="2"/>
            <charset val="1"/>
          </rPr>
          <t xml:space="preserve">Linkage rates set here flow to all other tabs.</t>
        </r>
      </text>
    </comment>
  </commentList>
</comments>
</file>

<file path=xl/comments7.xml><?xml version="1.0" encoding="utf-8"?>
<comments xmlns="http://schemas.openxmlformats.org/spreadsheetml/2006/main" xmlns:xdr="http://schemas.openxmlformats.org/drawingml/2006/spreadsheetDrawing">
  <authors>
    <author> </author>
  </authors>
  <commentList>
    <comment ref="E3" authorId="0">
      <text>
        <r>
          <rPr>
            <sz val="10"/>
            <color rgb="FF000000"/>
            <rFont val="Tahoma"/>
            <family val="2"/>
            <charset val="1"/>
          </rPr>
          <t xml:space="preserve">Estimated based on total HIV positive pregnant women identified through PEPFAR PMTCT_STAT and Post ANC1 HTS_TST.</t>
        </r>
      </text>
    </comment>
    <comment ref="H1" authorId="0">
      <text>
        <r>
          <rPr>
            <sz val="10"/>
            <color rgb="FF000000"/>
            <rFont val="Tahoma"/>
            <family val="2"/>
            <charset val="1"/>
          </rPr>
          <t xml:space="preserve">Targets for PMTCT_HEI_POS are not required for target-setting, but historic data and related assumptions are used to link EID testing with TX_NEW &lt;1.</t>
        </r>
      </text>
    </comment>
    <comment ref="I3" authorId="0">
      <text>
        <r>
          <rPr>
            <b val="true"/>
            <sz val="10"/>
            <color rgb="FF000000"/>
            <rFont val="Tahoma"/>
            <family val="2"/>
            <charset val="1"/>
          </rPr>
          <t xml:space="preserve">Red highlights:</t>
        </r>
        <r>
          <rPr>
            <sz val="10"/>
            <color rgb="FF000000"/>
            <rFont val="Tahoma"/>
            <family val="2"/>
            <charset val="1"/>
          </rPr>
          <t xml:space="preserve"> Enter yields.</t>
        </r>
      </text>
    </comment>
    <comment ref="K3" authorId="0">
      <text>
        <r>
          <rPr>
            <b val="true"/>
            <sz val="10"/>
            <color rgb="FF000000"/>
            <rFont val="Tahoma"/>
            <family val="2"/>
            <charset val="1"/>
          </rPr>
          <t xml:space="preserve">Red highlights: </t>
        </r>
        <r>
          <rPr>
            <sz val="10"/>
            <color rgb="FF000000"/>
            <rFont val="Tahoma"/>
            <family val="2"/>
            <charset val="1"/>
          </rPr>
          <t xml:space="preserve">Enter yields</t>
        </r>
      </text>
    </comment>
  </commentList>
</comments>
</file>

<file path=xl/comments8.xml><?xml version="1.0" encoding="utf-8"?>
<comments xmlns="http://schemas.openxmlformats.org/spreadsheetml/2006/main" xmlns:xdr="http://schemas.openxmlformats.org/drawingml/2006/spreadsheetDrawing">
  <authors>
    <author> </author>
  </authors>
  <commentList>
    <comment ref="G3" authorId="0">
      <text>
        <r>
          <rPr>
            <sz val="10"/>
            <color rgb="FF000000"/>
            <rFont val="Tahoma"/>
            <family val="2"/>
            <charset val="1"/>
          </rPr>
          <t xml:space="preserve">Values highlighted yellow below represent estimated increases in incidence.</t>
        </r>
      </text>
    </comment>
    <comment ref="Q3" authorId="0">
      <text>
        <r>
          <rPr>
            <sz val="10"/>
            <color rgb="FF000000"/>
            <rFont val="Tahoma"/>
            <family val="2"/>
            <charset val="1"/>
          </rPr>
          <t xml:space="preserve">Targets highlighted yellow below represent increases over previous year targets.</t>
        </r>
      </text>
    </comment>
  </commentList>
</comments>
</file>

<file path=xl/comments9.xml><?xml version="1.0" encoding="utf-8"?>
<comments xmlns="http://schemas.openxmlformats.org/spreadsheetml/2006/main" xmlns:xdr="http://schemas.openxmlformats.org/drawingml/2006/spreadsheetDrawing">
  <authors>
    <author> </author>
  </authors>
  <commentList>
    <comment ref="AE3" authorId="0">
      <text>
        <r>
          <rPr>
            <sz val="10"/>
            <color rgb="FF000000"/>
            <rFont val="Tahoma"/>
            <family val="2"/>
            <charset val="1"/>
          </rPr>
          <t xml:space="preserve">Not reported in DATIM, but used as internal check against TX_NEW in TX tab.</t>
        </r>
      </text>
    </comment>
  </commentList>
</comments>
</file>

<file path=xl/comments10.xml><?xml version="1.0" encoding="utf-8"?>
<comments xmlns="http://schemas.openxmlformats.org/spreadsheetml/2006/main" xmlns:xdr="http://schemas.openxmlformats.org/drawingml/2006/spreadsheetDrawing">
  <authors>
    <author> </author>
  </authors>
  <commentList>
    <comment ref="N3" authorId="0">
      <text>
        <r>
          <rPr>
            <b val="true"/>
            <sz val="10"/>
            <color rgb="FF000000"/>
            <rFont val="Tahoma"/>
            <family val="2"/>
            <charset val="1"/>
          </rPr>
          <t xml:space="preserve">Red highlights: </t>
        </r>
        <r>
          <rPr>
            <sz val="10"/>
            <color rgb="FF000000"/>
            <rFont val="Tahoma"/>
            <family val="2"/>
            <charset val="1"/>
          </rPr>
          <t xml:space="preserve">Information required.</t>
        </r>
      </text>
    </comment>
    <comment ref="O3" authorId="0">
      <text>
        <r>
          <rPr>
            <b val="true"/>
            <sz val="10"/>
            <color rgb="FF000000"/>
            <rFont val="Tahoma"/>
            <family val="2"/>
            <charset val="1"/>
          </rPr>
          <t xml:space="preserve">Yellow highlights: </t>
        </r>
        <r>
          <rPr>
            <sz val="10"/>
            <color rgb="FF000000"/>
            <rFont val="Tahoma"/>
            <family val="2"/>
            <charset val="1"/>
          </rPr>
          <t xml:space="preserve">HTS_INDEX yields &lt;20% for 15+ yr olds. Encourage testing strategies that prioritize testing among high yield populations, or work to increase yields through more refined identification methods.
</t>
        </r>
        <r>
          <rPr>
            <b val="true"/>
            <sz val="10"/>
            <color rgb="FF000000"/>
            <rFont val="Tahoma"/>
            <family val="2"/>
            <charset val="1"/>
          </rPr>
          <t xml:space="preserve">Red highlights: </t>
        </r>
        <r>
          <rPr>
            <sz val="10"/>
            <color rgb="FF000000"/>
            <rFont val="Tahoma"/>
            <family val="2"/>
            <charset val="1"/>
          </rPr>
          <t xml:space="preserve">Information required.</t>
        </r>
      </text>
    </comment>
    <comment ref="P3" authorId="0">
      <text>
        <r>
          <rPr>
            <b val="true"/>
            <sz val="10"/>
            <color rgb="FF000000"/>
            <rFont val="Tahoma"/>
            <family val="0"/>
            <charset val="1"/>
          </rPr>
          <t xml:space="preserve">Yellow highlights: </t>
        </r>
        <r>
          <rPr>
            <sz val="10"/>
            <color rgb="FF000000"/>
            <rFont val="Tahoma"/>
            <family val="0"/>
            <charset val="1"/>
          </rPr>
          <t xml:space="preserve">HTS_INDEX yields &lt;20% for 15+ yr olds. Encourage testing strategies that prioritize testing among high yield populations, or work to increase yields through more refined identification methods.
</t>
        </r>
        <r>
          <rPr>
            <b val="true"/>
            <sz val="10"/>
            <color rgb="FF000000"/>
            <rFont val="Tahoma"/>
            <family val="0"/>
            <charset val="1"/>
          </rPr>
          <t xml:space="preserve">Red highlights: </t>
        </r>
        <r>
          <rPr>
            <sz val="10"/>
            <color rgb="FF000000"/>
            <rFont val="Tahoma"/>
            <family val="0"/>
            <charset val="1"/>
          </rPr>
          <t xml:space="preserve">Information required.</t>
        </r>
      </text>
    </comment>
    <comment ref="R3" authorId="0">
      <text>
        <r>
          <rPr>
            <b val="true"/>
            <sz val="10"/>
            <color rgb="FF000000"/>
            <rFont val="Tahoma"/>
            <family val="2"/>
            <charset val="1"/>
          </rPr>
          <t xml:space="preserve">#DIV/0!
</t>
        </r>
        <r>
          <rPr>
            <sz val="10"/>
            <color rgb="FF000000"/>
            <rFont val="Tahoma"/>
            <family val="2"/>
            <charset val="1"/>
          </rPr>
          <t xml:space="preserve">If you see this displayed in the Roll-up row, filter for this error value and enter valid yield rates for HTS_INDEX to the left.</t>
        </r>
      </text>
    </comment>
    <comment ref="T3" authorId="0">
      <text>
        <r>
          <rPr>
            <b val="true"/>
            <sz val="10"/>
            <color rgb="FF000000"/>
            <rFont val="Tahoma"/>
            <family val="2"/>
            <charset val="1"/>
          </rPr>
          <t xml:space="preserve">#DIV/0!
</t>
        </r>
        <r>
          <rPr>
            <sz val="10"/>
            <color rgb="FF000000"/>
            <rFont val="Tahoma"/>
            <family val="2"/>
            <charset val="1"/>
          </rPr>
          <t xml:space="preserve">If you see this displayed in the Roll-up row, filter for this error value and enter valid yield rates for HTS_INDEX to the left.</t>
        </r>
      </text>
    </comment>
    <comment ref="V1" authorId="0">
      <text>
        <r>
          <rPr>
            <b val="true"/>
            <sz val="10"/>
            <color rgb="FF000000"/>
            <rFont val="Tahoma"/>
            <family val="2"/>
            <charset val="1"/>
          </rPr>
          <t xml:space="preserve">Gray columns</t>
        </r>
        <r>
          <rPr>
            <sz val="10"/>
            <color rgb="FF000000"/>
            <rFont val="Tahoma"/>
            <family val="2"/>
            <charset val="1"/>
          </rPr>
          <t xml:space="preserve"> cannot be altered. Allocations are determined elsewhere, as indicated by following hyperlinks.
</t>
        </r>
        <r>
          <rPr>
            <b val="true"/>
            <sz val="10"/>
            <color rgb="FF000000"/>
            <rFont val="Tahoma"/>
            <family val="2"/>
            <charset val="1"/>
          </rPr>
          <t xml:space="preserve">Green columns</t>
        </r>
        <r>
          <rPr>
            <sz val="10"/>
            <color rgb="FF000000"/>
            <rFont val="Tahoma"/>
            <family val="2"/>
            <charset val="1"/>
          </rPr>
          <t xml:space="preserve"> can and should be altered. Initial percentages are based on most recent APR results.</t>
        </r>
      </text>
    </comment>
    <comment ref="AJ3" authorId="0">
      <text>
        <r>
          <rPr>
            <sz val="10"/>
            <color rgb="FF000000"/>
            <rFont val="Tahoma"/>
            <family val="2"/>
            <charset val="1"/>
          </rPr>
          <t xml:space="preserve">Where ART Coverage is greater than 80%, do not set targets for the Community - Other modality. Cases where this guidance is disregarded will be highlighted yellow below.</t>
        </r>
      </text>
    </comment>
    <comment ref="AK3" authorId="0">
      <text>
        <r>
          <rPr>
            <b val="true"/>
            <sz val="10"/>
            <color rgb="FF000000"/>
            <rFont val="Tahoma"/>
            <family val="2"/>
            <charset val="1"/>
          </rPr>
          <t xml:space="preserve">Red Highlights</t>
        </r>
        <r>
          <rPr>
            <sz val="10"/>
            <color rgb="FF000000"/>
            <rFont val="Tahoma"/>
            <family val="2"/>
            <charset val="1"/>
          </rPr>
          <t xml:space="preserve"> below indicate cases where HTS_TST_POS is either over- or under-distributed to modalities. Filter on these cases and address by reallocating among modalities as appropriate.</t>
        </r>
      </text>
    </comment>
    <comment ref="AN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AQ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AT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AW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AZ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BA3" authorId="0">
      <text>
        <r>
          <rPr>
            <sz val="10"/>
            <color rgb="FF000000"/>
            <rFont val="Tahoma"/>
            <family val="2"/>
            <charset val="1"/>
          </rPr>
          <t xml:space="preserve">When ART coverage is ≤ 70%, Other PITC yield will be flagged when &lt; 5%. When ART coverage is &gt;70%, Other PITC yield will be flagged when &lt;10%.</t>
        </r>
      </text>
    </comment>
    <comment ref="BC4" authorId="0">
      <text>
        <r>
          <rPr>
            <b val="true"/>
            <sz val="10"/>
            <color rgb="FF000000"/>
            <rFont val="Tahoma"/>
            <family val="2"/>
            <charset val="1"/>
          </rPr>
          <t xml:space="preserve">#DIV/0!: </t>
        </r>
        <r>
          <rPr>
            <sz val="10"/>
            <color rgb="FF000000"/>
            <rFont val="Tahoma"/>
            <family val="2"/>
            <charset val="1"/>
          </rPr>
          <t xml:space="preserve">If you see this here, check yields.</t>
        </r>
      </text>
    </comment>
    <comment ref="BF4" authorId="0">
      <text>
        <r>
          <rPr>
            <b val="true"/>
            <sz val="10"/>
            <color rgb="FF000000"/>
            <rFont val="Tahoma"/>
            <family val="2"/>
            <charset val="1"/>
          </rPr>
          <t xml:space="preserve">#DIV/0!: </t>
        </r>
        <r>
          <rPr>
            <sz val="10"/>
            <color rgb="FF000000"/>
            <rFont val="Tahoma"/>
            <family val="2"/>
            <charset val="1"/>
          </rPr>
          <t xml:space="preserve">If you see this here, check yields.</t>
        </r>
      </text>
    </comment>
    <comment ref="BI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BK3" authorId="0">
      <text>
        <r>
          <rPr>
            <sz val="10"/>
            <color rgb="FF000000"/>
            <rFont val="Tahoma"/>
            <family val="0"/>
            <charset val="1"/>
          </rPr>
          <t xml:space="preserve">Where ART Coverage is greater than 80%, do not set targets for the Community - Other modality. Cases where this guidance is disregarded will be highlighted yellow below.</t>
        </r>
      </text>
    </comment>
    <comment ref="BL3" authorId="0">
      <text>
        <r>
          <rPr>
            <sz val="10"/>
            <color rgb="FF000000"/>
            <rFont val="Tahoma"/>
            <family val="0"/>
            <charset val="1"/>
          </rPr>
          <t xml:space="preserve">Where ART Coverage is greater than 80%, do not set targets for the Community - Other modality. Cases where this guidance is disregarded will be highlighted yellow below.</t>
        </r>
      </text>
    </comment>
    <comment ref="BL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BN3" authorId="0">
      <text>
        <r>
          <rPr>
            <sz val="10"/>
            <color rgb="FF000000"/>
            <rFont val="Tahoma"/>
            <family val="2"/>
            <charset val="1"/>
          </rPr>
          <t xml:space="preserve">Inclusive of PMTCT_STAT, HTS PMTCT Post ANC1, TB, VMMC, INDEX, and all other modalities.</t>
        </r>
      </text>
    </comment>
    <comment ref="BU3" authorId="0">
      <text>
        <r>
          <rPr>
            <sz val="10"/>
            <color rgb="FF000000"/>
            <rFont val="Tahoma"/>
            <family val="2"/>
            <charset val="1"/>
          </rPr>
          <t xml:space="preserve">Inclusive of PMTCT_STAT, HTS PMTCT Post ANC1, TB, VMMC, INDEX, and all other modalities.</t>
        </r>
      </text>
    </comment>
    <comment ref="BU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BV3" authorId="0">
      <text>
        <r>
          <rPr>
            <sz val="10"/>
            <color rgb="FF000000"/>
            <rFont val="Tahoma"/>
            <family val="0"/>
            <charset val="1"/>
          </rPr>
          <t xml:space="preserve">Total Positives divided by Total Tests.</t>
        </r>
      </text>
    </comment>
    <comment ref="BY3" authorId="0">
      <text>
        <r>
          <rPr>
            <sz val="10"/>
            <color rgb="FF000000"/>
            <rFont val="Tahoma"/>
            <family val="0"/>
            <charset val="1"/>
          </rPr>
          <t xml:space="preserve">If HTS_SELF was not reported or performed in FY21, but will be in FY22, set manually in target column.</t>
        </r>
      </text>
    </comment>
  </commentList>
</comments>
</file>

<file path=xl/comments11.xml><?xml version="1.0" encoding="utf-8"?>
<comments xmlns="http://schemas.openxmlformats.org/spreadsheetml/2006/main" xmlns:xdr="http://schemas.openxmlformats.org/drawingml/2006/spreadsheetDrawing">
  <authors>
    <author> </author>
  </authors>
  <commentList>
    <comment ref="J3" authorId="0">
      <text>
        <r>
          <rPr>
            <b val="true"/>
            <sz val="10"/>
            <color rgb="FF000000"/>
            <rFont val="Tahoma"/>
            <family val="2"/>
            <charset val="1"/>
          </rPr>
          <t xml:space="preserve">Yellow highlights = </t>
        </r>
        <r>
          <rPr>
            <sz val="10"/>
            <color rgb="FF000000"/>
            <rFont val="Tahoma"/>
            <family val="2"/>
            <charset val="1"/>
          </rPr>
          <t xml:space="preserve">Screening coverage rate is less than 50%.</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H3" authorId="0">
      <text>
        <r>
          <rPr>
            <b val="true"/>
            <sz val="10"/>
            <color rgb="FF000000"/>
            <rFont val="Tahoma"/>
            <family val="2"/>
            <charset val="1"/>
          </rPr>
          <t xml:space="preserve">Red highlights </t>
        </r>
        <r>
          <rPr>
            <sz val="10"/>
            <color rgb="FF000000"/>
            <rFont val="Tahoma"/>
            <family val="2"/>
            <charset val="1"/>
          </rPr>
          <t xml:space="preserve">= Coverage rate &gt;100%
</t>
        </r>
        <r>
          <rPr>
            <b val="true"/>
            <sz val="10"/>
            <color rgb="FF000000"/>
            <rFont val="Tahoma"/>
            <family val="2"/>
            <charset val="1"/>
          </rPr>
          <t xml:space="preserve">Yellow highlights </t>
        </r>
        <r>
          <rPr>
            <sz val="10"/>
            <color rgb="FF000000"/>
            <rFont val="Tahoma"/>
            <family val="2"/>
            <charset val="1"/>
          </rPr>
          <t xml:space="preserve">= Coverage rate &lt; 100%</t>
        </r>
      </text>
    </comment>
  </commentList>
</comments>
</file>

<file path=xl/comments13.xml><?xml version="1.0" encoding="utf-8"?>
<comments xmlns="http://schemas.openxmlformats.org/spreadsheetml/2006/main" xmlns:xdr="http://schemas.openxmlformats.org/drawingml/2006/spreadsheetDrawing">
  <authors>
    <author> </author>
  </authors>
  <commentList>
    <comment ref="F3" authorId="0">
      <text>
        <r>
          <rPr>
            <sz val="10"/>
            <color rgb="FF000000"/>
            <rFont val="Tahoma"/>
            <family val="0"/>
            <charset val="1"/>
          </rPr>
          <t xml:space="preserve">Red highlights indicate cases where coverage rates are missing, but required.</t>
        </r>
      </text>
    </comment>
    <comment ref="G3" authorId="0">
      <text>
        <r>
          <rPr>
            <sz val="10"/>
            <color rgb="FF000000"/>
            <rFont val="Tahoma"/>
            <family val="0"/>
            <charset val="1"/>
          </rPr>
          <t xml:space="preserve">Red highlights indicate cases where coverage rates are missing, but required.</t>
        </r>
      </text>
    </comment>
    <comment ref="H3" authorId="0">
      <text>
        <r>
          <rPr>
            <sz val="10"/>
            <color rgb="FF000000"/>
            <rFont val="Tahoma"/>
            <family val="0"/>
            <charset val="1"/>
          </rPr>
          <t xml:space="preserve">Red highlights indicate cases where yields are missing, but required.</t>
        </r>
      </text>
    </comment>
    <comment ref="I3" authorId="0">
      <text>
        <r>
          <rPr>
            <sz val="10"/>
            <color rgb="FF000000"/>
            <rFont val="Tahoma"/>
            <family val="2"/>
            <charset val="1"/>
          </rPr>
          <t xml:space="preserve">Red highlights indicate cases where yields are missing, but required.</t>
        </r>
      </text>
    </comment>
  </commentList>
</comments>
</file>

<file path=xl/comments15.xml><?xml version="1.0" encoding="utf-8"?>
<comments xmlns="http://schemas.openxmlformats.org/spreadsheetml/2006/main" xmlns:xdr="http://schemas.openxmlformats.org/drawingml/2006/spreadsheetDrawing">
  <authors>
    <author> </author>
  </authors>
  <commentList>
    <comment ref="N3" authorId="0">
      <text>
        <r>
          <rPr>
            <sz val="10"/>
            <color rgb="FF000000"/>
            <rFont val="Tahoma"/>
            <family val="2"/>
            <charset val="1"/>
          </rPr>
          <t xml:space="preserve">Does not include Exited or Transferred Out in Denominator.</t>
        </r>
      </text>
    </comment>
    <comment ref="U3" authorId="0">
      <text>
        <r>
          <rPr>
            <sz val="10"/>
            <color rgb="FF000000"/>
            <rFont val="Tahoma"/>
            <family val="2"/>
            <charset val="1"/>
          </rPr>
          <t xml:space="preserve">OVC_HIVSTAT will be aggregated across Age/Sex and only a numerator total will be imported into DATIM.</t>
        </r>
      </text>
    </comment>
  </commentList>
</comments>
</file>

<file path=xl/comments18.xml><?xml version="1.0" encoding="utf-8"?>
<comments xmlns="http://schemas.openxmlformats.org/spreadsheetml/2006/main" xmlns:xdr="http://schemas.openxmlformats.org/drawingml/2006/spreadsheetDrawing">
  <authors>
    <author> </author>
  </authors>
  <commentList>
    <comment ref="O3" authorId="0">
      <text>
        <r>
          <rPr>
            <sz val="8"/>
            <color rgb="FF000000"/>
            <rFont val="Tahoma"/>
            <family val="2"/>
            <charset val="1"/>
          </rPr>
          <t xml:space="preserve">If PrEP_NEW is less than PrEP_CURR, the cell will be highlighted red.</t>
        </r>
      </text>
    </comment>
  </commentList>
</comments>
</file>

<file path=xl/sharedStrings.xml><?xml version="1.0" encoding="utf-8"?>
<sst xmlns="http://schemas.openxmlformats.org/spreadsheetml/2006/main" count="5870" uniqueCount="1156">
  <si>
    <t xml:space="preserve">PEPFAR</t>
  </si>
  <si>
    <t xml:space="preserve">COP21 Data Pack</t>
  </si>
  <si>
    <t xml:space="preserve">Lesotho</t>
  </si>
  <si>
    <t xml:space="preserve">qllxzIjjurr</t>
  </si>
  <si>
    <t xml:space="preserve">Data Pack</t>
  </si>
  <si>
    <t xml:space="preserve">COP 21</t>
  </si>
  <si>
    <t xml:space="preserve">Host Country Overview</t>
  </si>
  <si>
    <t xml:space="preserve">Projected FY21 Host Country ART Coverage</t>
  </si>
  <si>
    <t xml:space="preserve">Projected FY21 Host Country Total on ART</t>
  </si>
  <si>
    <t xml:space="preserve">Targeted FY22 PEPFAR TX_CURR</t>
  </si>
  <si>
    <t xml:space="preserve">Projected FY21 Host Country HIV Prevalence</t>
  </si>
  <si>
    <t xml:space="preserve">PEPFAR FY22 Target Overview</t>
  </si>
  <si>
    <t xml:space="preserve">(FY21)</t>
  </si>
  <si>
    <t xml:space="preserve">(FY22)</t>
  </si>
  <si>
    <t xml:space="preserve">PLHIV</t>
  </si>
  <si>
    <t xml:space="preserve">DIAGNOSED_SUBNAT</t>
  </si>
  <si>
    <t xml:space="preserve">TX_CURR_SUBNAT</t>
  </si>
  <si>
    <t xml:space="preserve">VL_SUPPRESSION_SUBNAT</t>
  </si>
  <si>
    <t xml:space="preserve">&lt;15</t>
  </si>
  <si>
    <t xml:space="preserve">Females, 15+</t>
  </si>
  <si>
    <t xml:space="preserve">Males, 15+</t>
  </si>
  <si>
    <t xml:space="preserve">HTS_TST</t>
  </si>
  <si>
    <t xml:space="preserve">HTS_TST_POS</t>
  </si>
  <si>
    <t xml:space="preserve">TX_NEW</t>
  </si>
  <si>
    <t xml:space="preserve">TX_CURR</t>
  </si>
  <si>
    <t xml:space="preserve">TX_PVLS (D)</t>
  </si>
  <si>
    <t xml:space="preserve">TX_PVLS (N)</t>
  </si>
  <si>
    <t xml:space="preserve">psnu</t>
  </si>
  <si>
    <t xml:space="preserve">psnu_uid</t>
  </si>
  <si>
    <t xml:space="preserve">area_id</t>
  </si>
  <si>
    <t xml:space="preserve">indicator_code</t>
  </si>
  <si>
    <t xml:space="preserve">dataelement_uid</t>
  </si>
  <si>
    <t xml:space="preserve">age</t>
  </si>
  <si>
    <t xml:space="preserve">age_uid</t>
  </si>
  <si>
    <t xml:space="preserve">sex</t>
  </si>
  <si>
    <t xml:space="preserve">sex_uid</t>
  </si>
  <si>
    <t xml:space="preserve">calendar_quarter</t>
  </si>
  <si>
    <t xml:space="preserve">value</t>
  </si>
  <si>
    <t xml:space="preserve">age_sex_rse</t>
  </si>
  <si>
    <t xml:space="preserve">district_rse</t>
  </si>
  <si>
    <t xml:space="preserve">ID</t>
  </si>
  <si>
    <t xml:space="preserve">Select cell D2</t>
  </si>
  <si>
    <t xml:space="preserve">--&gt;</t>
  </si>
  <si>
    <t xml:space="preserve">Adding Estimates from Spectrum</t>
  </si>
  <si>
    <t xml:space="preserve">Follow the below instructions to successfully import Spectrum estimates into your Data Pack:</t>
  </si>
  <si>
    <t xml:space="preserve">1) Select cell D2.</t>
  </si>
  <si>
    <t xml:space="preserve">2) In the Excel ribbon above, select Data &gt; From Text to open the Data Import Wizard.</t>
  </si>
  <si>
    <t xml:space="preserve">3) Select the file created in and exported from Spectrum.</t>
  </si>
  <si>
    <t xml:space="preserve">4) In Step 1 of the Text Import Wizard, select `Delimited` for the Data Type, and start import at row 2. Click `Next`.</t>
  </si>
  <si>
    <t xml:space="preserve">5) In Step 2 of the Text Import Wizard, select `Comma` as Delimiter Type. Click `Next`.</t>
  </si>
  <si>
    <t xml:space="preserve">6) In Step 3 of the Text Import Wizard, click `Finish`.</t>
  </si>
  <si>
    <t xml:space="preserve">7) In the next prompt, click `Ok`.</t>
  </si>
  <si>
    <t xml:space="preserve">8) In column Q, drag formulas down to extend to last row of Spectrum import file.</t>
  </si>
  <si>
    <t xml:space="preserve">Prioritization</t>
  </si>
  <si>
    <t xml:space="preserve">Reference</t>
  </si>
  <si>
    <t xml:space="preserve">Targets</t>
  </si>
  <si>
    <t xml:space="preserve">SNU Prioritization (FY21)</t>
  </si>
  <si>
    <t xml:space="preserve">SNU Prioritization (FY22)</t>
  </si>
  <si>
    <t xml:space="preserve">FY22 SNU Prioritization Translation</t>
  </si>
  <si>
    <t xml:space="preserve">Roll-up</t>
  </si>
  <si>
    <t xml:space="preserve">datapack</t>
  </si>
  <si>
    <t xml:space="preserve">impatt</t>
  </si>
  <si>
    <t xml:space="preserve">row_header</t>
  </si>
  <si>
    <t xml:space="preserve">past</t>
  </si>
  <si>
    <t xml:space="preserve">target</t>
  </si>
  <si>
    <t xml:space="preserve">reference</t>
  </si>
  <si>
    <t xml:space="preserve">string</t>
  </si>
  <si>
    <t xml:space="preserve">integer</t>
  </si>
  <si>
    <t xml:space="preserve">r4zbW3owX9n</t>
  </si>
  <si>
    <t xml:space="preserve">SNU1</t>
  </si>
  <si>
    <t xml:space="preserve">PSNU</t>
  </si>
  <si>
    <t xml:space="preserve">IMPATT.PRIORITY_SNU.T_1</t>
  </si>
  <si>
    <t xml:space="preserve">IMPATT.PRIORITY_SNU.T</t>
  </si>
  <si>
    <t xml:space="preserve">PRIORITY_SNU.translation</t>
  </si>
  <si>
    <t xml:space="preserve">_Military Lesotho</t>
  </si>
  <si>
    <t xml:space="preserve">_Military Lesotho [#Military] [dDOqoFnD5Be]</t>
  </si>
  <si>
    <t xml:space="preserve">Berea</t>
  </si>
  <si>
    <t xml:space="preserve">Berea [#SNU] [#DREAMS] [wpg5evyl1OL]</t>
  </si>
  <si>
    <t xml:space="preserve">Butha Buthe</t>
  </si>
  <si>
    <t xml:space="preserve">Butha Buthe [#SNU] [mvPRqBFtVC0]</t>
  </si>
  <si>
    <t xml:space="preserve">Leribe</t>
  </si>
  <si>
    <t xml:space="preserve">Leribe [#SNU] [FjSmRywOWUp]</t>
  </si>
  <si>
    <t xml:space="preserve">Mafeteng</t>
  </si>
  <si>
    <t xml:space="preserve">Mafeteng [#SNU] [#DREAMS] [DiFv5WXIHM5]</t>
  </si>
  <si>
    <t xml:space="preserve">Maseru</t>
  </si>
  <si>
    <t xml:space="preserve">Maseru [#SNU] [#DREAMS] [tKOXiaNhAyJ]</t>
  </si>
  <si>
    <t xml:space="preserve">Mohale's Hoek</t>
  </si>
  <si>
    <t xml:space="preserve">Mohale's Hoek [#SNU] [#DREAMS] [YGI7vISD2kJ]</t>
  </si>
  <si>
    <t xml:space="preserve">Mokhotlong</t>
  </si>
  <si>
    <t xml:space="preserve">Mokhotlong [#SNU] [tjhYqc1MlVo]</t>
  </si>
  <si>
    <t xml:space="preserve">Qacha's Nek</t>
  </si>
  <si>
    <t xml:space="preserve">Qacha's Nek [#SNU] [zTaMbxvQtJ6]</t>
  </si>
  <si>
    <t xml:space="preserve">Quthing</t>
  </si>
  <si>
    <t xml:space="preserve">Quthing [#SNU] [HuwCoDZG0FY]</t>
  </si>
  <si>
    <t xml:space="preserve">Thaba Tseka</t>
  </si>
  <si>
    <t xml:space="preserve">Thaba Tseka [#SNU] [jyhIrCoB31x]</t>
  </si>
  <si>
    <t xml:space="preserve">Cascade</t>
  </si>
  <si>
    <t xml:space="preserve">Host Country Context</t>
  </si>
  <si>
    <t xml:space="preserve">TX_NET_NEW_SUBNAT</t>
  </si>
  <si>
    <t xml:space="preserve">Testing</t>
  </si>
  <si>
    <t xml:space="preserve">Assumptions</t>
  </si>
  <si>
    <t xml:space="preserve">Check</t>
  </si>
  <si>
    <t xml:space="preserve">Host Country Est. Population (FY21)</t>
  </si>
  <si>
    <t xml:space="preserve">RSE: Population (District-level)</t>
  </si>
  <si>
    <t xml:space="preserve">Host Country Est. PLHIV (FY21)</t>
  </si>
  <si>
    <t xml:space="preserve">RSE: PLHIV (District-level)</t>
  </si>
  <si>
    <t xml:space="preserve">Host Country Est. HIV Prevalence (FY21) (%)</t>
  </si>
  <si>
    <t xml:space="preserve">RSE: HIV Prevalence (District-level)</t>
  </si>
  <si>
    <t xml:space="preserve">Host Country Est. PLHIV who know HIV Status (FY21)</t>
  </si>
  <si>
    <t xml:space="preserve">Host Country Est. % PLHIV who know HIV Status (FY21) (%)</t>
  </si>
  <si>
    <t xml:space="preserve">Host Country Observed TX_CURR_SUBNAT (FY20)</t>
  </si>
  <si>
    <t xml:space="preserve">RSE: TX_CURR_SUBNAT.R (District-level)</t>
  </si>
  <si>
    <t xml:space="preserve">Host Country Est. TX_CURR_SUBNAT (FY21)</t>
  </si>
  <si>
    <t xml:space="preserve">RSE: TX_CURR_SUBNAT.T_1 (District-level)</t>
  </si>
  <si>
    <t xml:space="preserve">Host Country Est. Virally Suppressed ART Patients (FY21)</t>
  </si>
  <si>
    <t xml:space="preserve">Host Country Est. Viral Load Suppression Rate (FY21) (%)</t>
  </si>
  <si>
    <t xml:space="preserve">PEPFAR TX_CURR (FY20 Results)</t>
  </si>
  <si>
    <t xml:space="preserve">PEPFAR TX_CURR (FY21 Targets)</t>
  </si>
  <si>
    <t xml:space="preserve">PEPFAR TX_NET_NEW (FY21 Targets)</t>
  </si>
  <si>
    <t xml:space="preserve">PEPFAR Coverage of Host Country TX_CURR_SUBNAT (FY21) (%)</t>
  </si>
  <si>
    <r>
      <rPr>
        <b val="true"/>
        <sz val="12"/>
        <color rgb="FF000000"/>
        <rFont val="Calibri"/>
        <family val="2"/>
        <charset val="1"/>
      </rPr>
      <t xml:space="preserve">PEPFAR Coverage of Host Country TX_NET_NEW_SUBNAT</t>
    </r>
    <r>
      <rPr>
        <sz val="12"/>
        <color rgb="FF000000"/>
        <rFont val="Calibri"/>
        <family val="2"/>
        <charset val="1"/>
      </rPr>
      <t xml:space="preserve"> (FY22) (%)</t>
    </r>
  </si>
  <si>
    <t xml:space="preserve">Host Country Est. ART Coverage (FY21) (%)</t>
  </si>
  <si>
    <t xml:space="preserve">Targeted Host Country ART Coverage (FY22) (%)</t>
  </si>
  <si>
    <t xml:space="preserve">Targeted Host Country TX_CURR_SUBNAT (FY22)</t>
  </si>
  <si>
    <t xml:space="preserve">Targeted Host Country TX_NET_NEW_SUBNAT (FY22)</t>
  </si>
  <si>
    <t xml:space="preserve">PMTCT_HEI_POS Linked to ART (FY22)</t>
  </si>
  <si>
    <t xml:space="preserve">TX_NET_NEW (FY22)</t>
  </si>
  <si>
    <t xml:space="preserve">TX_CURR (FY22)</t>
  </si>
  <si>
    <t xml:space="preserve">Proportion of TX_NET_NEW from New ART Initiation (FY22) (%)</t>
  </si>
  <si>
    <t xml:space="preserve">Targeted Retention Rate - New on ART (FY22) (%)</t>
  </si>
  <si>
    <t xml:space="preserve">Targeted Retention Rate - Already on ART (FY22) (%)</t>
  </si>
  <si>
    <t xml:space="preserve">LTFU from FY21 TX_CURR Cohort</t>
  </si>
  <si>
    <t xml:space="preserve">Individuals to be added to Treatment Cohort</t>
  </si>
  <si>
    <t xml:space="preserve">TX_NEW (FY20 Results)</t>
  </si>
  <si>
    <t xml:space="preserve">TX_NEW (FY21 Targets)</t>
  </si>
  <si>
    <t xml:space="preserve">TX_NEW
(FY22)</t>
  </si>
  <si>
    <t xml:space="preserve">% of TX_NEW Eligible for VL Test (%)</t>
  </si>
  <si>
    <t xml:space="preserve">Proportion of eligible w/ access to VL testing (%)</t>
  </si>
  <si>
    <t xml:space="preserve">Routine (FY22)</t>
  </si>
  <si>
    <t xml:space="preserve">Observed VL Suppression Rate (FY20) (%)</t>
  </si>
  <si>
    <t xml:space="preserve">Targeted VL Suppression Rate (FY22) (%)</t>
  </si>
  <si>
    <t xml:space="preserve">Host Country Targeted Viral Load Suppression Rate (FY22) (%)</t>
  </si>
  <si>
    <t xml:space="preserve">Host Country VL_SUPPRESSION_SUBNAT (FY22)</t>
  </si>
  <si>
    <t xml:space="preserve">Total to add to VL_SUPPRESSION_SUBNAT (FY22)</t>
  </si>
  <si>
    <t xml:space="preserve">TX_NEW from Previously Diagnosed (%)</t>
  </si>
  <si>
    <t xml:space="preserve">TX_NEW from Previously Diagnosed (FY22)</t>
  </si>
  <si>
    <t xml:space="preserve">TX_NEW from all other sources (FY22)</t>
  </si>
  <si>
    <t xml:space="preserve">Observed ART Linkage Rate (FY20) (%)</t>
  </si>
  <si>
    <t xml:space="preserve">Targeted ART Linkage Rate (FY22) (%)</t>
  </si>
  <si>
    <t xml:space="preserve">% of HTS_TST_POS from HTS_INDEX (FY20) (%)</t>
  </si>
  <si>
    <t xml:space="preserve">Targeted % of HTS_TST_POS from HTS_INDEX (FY22) (%)</t>
  </si>
  <si>
    <t xml:space="preserve">HTS_TST_POS + PMTCT_HEI_POS (FY22)</t>
  </si>
  <si>
    <t xml:space="preserve">HTS_INDEX (FY22)</t>
  </si>
  <si>
    <t xml:space="preserve">PMTCT_STAT New Positives (FY22)</t>
  </si>
  <si>
    <t xml:space="preserve">HTS_TST Post ANC1 New Positives (FY22)</t>
  </si>
  <si>
    <t xml:space="preserve">TB_STAT New Positives (FY22)</t>
  </si>
  <si>
    <t xml:space="preserve">VMMC Tested Positives (FY22)</t>
  </si>
  <si>
    <t xml:space="preserve">PMTCT_HEI_POS</t>
  </si>
  <si>
    <t xml:space="preserve">HTS_TST_POS from All Other Modalities (FY22)</t>
  </si>
  <si>
    <t xml:space="preserve">Total Positives from HTS_INDEX (FY22) (%)</t>
  </si>
  <si>
    <t xml:space="preserve">Total Positives from PMTCT ANC1 (FY22) (%)</t>
  </si>
  <si>
    <t xml:space="preserve">Total Positives from PMTCT Post ANC1 (FY22) (%)</t>
  </si>
  <si>
    <t xml:space="preserve">Total Positives from TB_STAT (FY22) (%)</t>
  </si>
  <si>
    <t xml:space="preserve">Total Positives from VMMC (FY22) (%)</t>
  </si>
  <si>
    <t xml:space="preserve">Total Positives from PMTCT_HEI_POS (FY22) (%)</t>
  </si>
  <si>
    <t xml:space="preserve">Total Positives from All Other Modalities (FY22) (%)</t>
  </si>
  <si>
    <t xml:space="preserve">PEPFAR Coverage of Host Country Total Positives Identified (FY22) (%)</t>
  </si>
  <si>
    <t xml:space="preserve">Host Country DIAGNOSED_SUBNAT (FY22)</t>
  </si>
  <si>
    <t xml:space="preserve">subnat</t>
  </si>
  <si>
    <t xml:space="preserve">mer</t>
  </si>
  <si>
    <t xml:space="preserve">result</t>
  </si>
  <si>
    <t xml:space="preserve">assumption</t>
  </si>
  <si>
    <t xml:space="preserve">calculation</t>
  </si>
  <si>
    <t xml:space="preserve">percentage</t>
  </si>
  <si>
    <t xml:space="preserve">KssDaTsGWnS</t>
  </si>
  <si>
    <t xml:space="preserve">iwSejvD8cXl</t>
  </si>
  <si>
    <t xml:space="preserve">lJtpR5byqps</t>
  </si>
  <si>
    <t xml:space="preserve">nF19GOjcnoD</t>
  </si>
  <si>
    <t xml:space="preserve">MktYDp33kd6</t>
  </si>
  <si>
    <t xml:space="preserve">xghQXueYJxu</t>
  </si>
  <si>
    <t xml:space="preserve">zoKiMGRucOY</t>
  </si>
  <si>
    <t xml:space="preserve">Hyvw9VnZ2ch</t>
  </si>
  <si>
    <t xml:space="preserve">di4b6joXm84</t>
  </si>
  <si>
    <t xml:space="preserve">yXZtvoYQXcD</t>
  </si>
  <si>
    <t xml:space="preserve">vmfKLKi1NBA</t>
  </si>
  <si>
    <t xml:space="preserve">WpZwPieQ060</t>
  </si>
  <si>
    <t xml:space="preserve">N55pM5ZuWcI</t>
  </si>
  <si>
    <t xml:space="preserve">ebCEt4u78PX</t>
  </si>
  <si>
    <t xml:space="preserve">HGZY9RNZjRd</t>
  </si>
  <si>
    <t xml:space="preserve">FjLaCnuoQWR</t>
  </si>
  <si>
    <t xml:space="preserve">DhrLCUBm3bK</t>
  </si>
  <si>
    <t xml:space="preserve">KlAFsRMw17y</t>
  </si>
  <si>
    <t xml:space="preserve">LCrR2BK3wmA</t>
  </si>
  <si>
    <t xml:space="preserve">KM4dyooZHUP</t>
  </si>
  <si>
    <t xml:space="preserve">rGptWqlhaVU.KM4dyooZHUP</t>
  </si>
  <si>
    <t xml:space="preserve">5 yr</t>
  </si>
  <si>
    <t xml:space="preserve">&lt;01</t>
  </si>
  <si>
    <t xml:space="preserve">5 yr, 01+</t>
  </si>
  <si>
    <t xml:space="preserve">5 yr, 10+</t>
  </si>
  <si>
    <t xml:space="preserve">5 yr, 15+</t>
  </si>
  <si>
    <t xml:space="preserve">M/F</t>
  </si>
  <si>
    <t xml:space="preserve">Females</t>
  </si>
  <si>
    <t xml:space="preserve">Males</t>
  </si>
  <si>
    <t xml:space="preserve">Age</t>
  </si>
  <si>
    <t xml:space="preserve">Sex</t>
  </si>
  <si>
    <t xml:space="preserve">POP_EST.T_1</t>
  </si>
  <si>
    <t xml:space="preserve">POP_EST.DistrictUncertainty</t>
  </si>
  <si>
    <t xml:space="preserve">PLHIV.T_1</t>
  </si>
  <si>
    <t xml:space="preserve">PLHIV.DistrictUncertainty</t>
  </si>
  <si>
    <t xml:space="preserve">HIV_PREV.T_1</t>
  </si>
  <si>
    <t xml:space="preserve">HIV_PREV.DistrictUncertainty</t>
  </si>
  <si>
    <t xml:space="preserve">DIAGNOSED_SUBNAT.T_1</t>
  </si>
  <si>
    <t xml:space="preserve">DIAGNOSED_SUBNAT.Rt.T_1</t>
  </si>
  <si>
    <t xml:space="preserve">TX_CURR_SUBNAT.R</t>
  </si>
  <si>
    <t xml:space="preserve">TX_CURR_SUBNAT.DistrictUncertainty.R</t>
  </si>
  <si>
    <t xml:space="preserve">TX_CURR_SUBNAT.T_1</t>
  </si>
  <si>
    <t xml:space="preserve">TX_CURR_SUBNAT.DistrictUncertainty.T_1</t>
  </si>
  <si>
    <t xml:space="preserve">VL_SUPPRESSED.T_1</t>
  </si>
  <si>
    <t xml:space="preserve">VL_SUPPRESSED.Rt.T_1</t>
  </si>
  <si>
    <t xml:space="preserve">TX_CURR.R</t>
  </si>
  <si>
    <t xml:space="preserve">TX_CURR.T_1</t>
  </si>
  <si>
    <t xml:space="preserve">TX_NET_NEW.T_1</t>
  </si>
  <si>
    <t xml:space="preserve">TX_CURR.NatlContr.T_1</t>
  </si>
  <si>
    <t xml:space="preserve">TX_CURR.NatlContr.T</t>
  </si>
  <si>
    <t xml:space="preserve">TX_CURR_SUBNAT.Rt.T_1</t>
  </si>
  <si>
    <t xml:space="preserve">TX_CURR_SUBNAT.Rt.T</t>
  </si>
  <si>
    <t xml:space="preserve">TX_CURR_SUBNAT.T</t>
  </si>
  <si>
    <t xml:space="preserve">TX_NET_NEW_SUBNAT.T</t>
  </si>
  <si>
    <t xml:space="preserve">PMTCT_HEI_POS.Linked.T</t>
  </si>
  <si>
    <t xml:space="preserve">TX_NET_NEW.T</t>
  </si>
  <si>
    <t xml:space="preserve">TX_CURR.T</t>
  </si>
  <si>
    <t xml:space="preserve">TX_NET_NEW.NewRt.T</t>
  </si>
  <si>
    <t xml:space="preserve">TX_RET.New.T</t>
  </si>
  <si>
    <t xml:space="preserve">TX_RET.Already.T</t>
  </si>
  <si>
    <t xml:space="preserve">TX_CURR.LTFU.T</t>
  </si>
  <si>
    <t xml:space="preserve">TX_CURR.Added.T</t>
  </si>
  <si>
    <t xml:space="preserve">TX_NEW.R</t>
  </si>
  <si>
    <t xml:space="preserve">TX_NEW.T_1</t>
  </si>
  <si>
    <t xml:space="preserve">TX_NEW.T</t>
  </si>
  <si>
    <t xml:space="preserve">TX_PVLS.D.Eligible.Rt.T</t>
  </si>
  <si>
    <t xml:space="preserve">TX_PVLS.D.Access.Rt.T</t>
  </si>
  <si>
    <t xml:space="preserve">TX_PVLS.D.Routine.T</t>
  </si>
  <si>
    <t xml:space="preserve">TX_PVLS.N.Rt.R</t>
  </si>
  <si>
    <t xml:space="preserve">TX_PVLS.N.Rt.T</t>
  </si>
  <si>
    <t xml:space="preserve">VL_SUPPRESSED.Rt.T</t>
  </si>
  <si>
    <t xml:space="preserve">TX_PVLS.N.Routine.T</t>
  </si>
  <si>
    <t xml:space="preserve">VL_SUPPRESSION_SUBNAT.T</t>
  </si>
  <si>
    <t xml:space="preserve">VL_SUPPRESSION_SUBNAT.Net_New.T</t>
  </si>
  <si>
    <t xml:space="preserve">TX_NEW.PrevDiag.Share.T</t>
  </si>
  <si>
    <t xml:space="preserve">TX_NEW.PrevDiag.T</t>
  </si>
  <si>
    <t xml:space="preserve">TX_NEW.Other.T</t>
  </si>
  <si>
    <t xml:space="preserve">HTS_TST.Linkage.R</t>
  </si>
  <si>
    <t xml:space="preserve">HTS_TST.Linkage.T</t>
  </si>
  <si>
    <t xml:space="preserve">HTS_TST.Index.Pos.Share.R</t>
  </si>
  <si>
    <t xml:space="preserve">HTS_TST.Index.Pos.Share.Targeted</t>
  </si>
  <si>
    <t xml:space="preserve">HTS_TST.Pos.Total_With_HEI.T</t>
  </si>
  <si>
    <t xml:space="preserve">HTS_INDEX.Pos.T</t>
  </si>
  <si>
    <t xml:space="preserve">PMTCT_STAT.N.New.Pos.T</t>
  </si>
  <si>
    <t xml:space="preserve">HTS_TST.PostANC1.Pos.T</t>
  </si>
  <si>
    <t xml:space="preserve">TB_STAT.N.New.Pos.T</t>
  </si>
  <si>
    <t xml:space="preserve">VMMC_CIRC.Pos.T</t>
  </si>
  <si>
    <t xml:space="preserve">PMTCT_HEI_POS.T</t>
  </si>
  <si>
    <t xml:space="preserve">HTS_TST.Pos.Total_Other.T</t>
  </si>
  <si>
    <t xml:space="preserve">HTS_TST.Index.Pos.Share.T</t>
  </si>
  <si>
    <t xml:space="preserve">HTS_TST.PMTCT_STAT.Pos.Share.T</t>
  </si>
  <si>
    <t xml:space="preserve">HTS_TST.PostANC1.Pos.Share.T</t>
  </si>
  <si>
    <t xml:space="preserve">HTS_TST.TB.Pos.Share.T</t>
  </si>
  <si>
    <t xml:space="preserve">HTS_TST.VMMC.Pos.Share.T</t>
  </si>
  <si>
    <t xml:space="preserve">HTS_TST.HEI_POS.Share.T</t>
  </si>
  <si>
    <t xml:space="preserve">HTS_TST.Total_Other.Pos.Share.T</t>
  </si>
  <si>
    <t xml:space="preserve">DIAGNOSED_SUBNAT.NatlContr.T</t>
  </si>
  <si>
    <t xml:space="preserve">DIAGNOSED_SUBNAT.T</t>
  </si>
  <si>
    <t xml:space="preserve">PMTCT_STAT &amp; PMTCT_ART</t>
  </si>
  <si>
    <t xml:space="preserve">PMTCT_STAT (D)</t>
  </si>
  <si>
    <t xml:space="preserve">PMTCT_STAT_SUBNAT (D)</t>
  </si>
  <si>
    <t xml:space="preserve">PMTCT_STAT (N)</t>
  </si>
  <si>
    <t xml:space="preserve">PMTCT_STAT_SUBNAT (N)</t>
  </si>
  <si>
    <t xml:space="preserve">PMTCT_ART (N)</t>
  </si>
  <si>
    <t xml:space="preserve">PMTCT_ART_SUBNAT</t>
  </si>
  <si>
    <t xml:space="preserve">HTS_TST: PMTCT Post ANC1</t>
  </si>
  <si>
    <t xml:space="preserve">Testing Rationalization</t>
  </si>
  <si>
    <t xml:space="preserve">To shut off PMTCT_STAT entirely:
1. Replace all formulas for "PMTCT_STAT (D) (FY22)" with zeros.</t>
  </si>
  <si>
    <t xml:space="preserve">Host Country Est. Female Population (FY21)</t>
  </si>
  <si>
    <t xml:space="preserve">Host Country PMTCT_STAT_SUBNAT (D) - # New ANC clients (FY21)</t>
  </si>
  <si>
    <t xml:space="preserve">Host Country PMTCT_STAT_SUBNAT (N) - Known Positive (FY21)</t>
  </si>
  <si>
    <t xml:space="preserve">Host Country PMTCT_STAT_SUBNAT (N) - New Positive (FY21)</t>
  </si>
  <si>
    <t xml:space="preserve">Host Country PMTCT_STAT_SUBNAT (N) - New Negative (FY21)</t>
  </si>
  <si>
    <t xml:space="preserve">Host Country PMTCT_ART_SUBNAT (D) - # HIV-positive pregnant women (FY21)</t>
  </si>
  <si>
    <t xml:space="preserve">Host Country PMTCT_ART_SUBNAT (N) - Already on ART (FY21)</t>
  </si>
  <si>
    <t xml:space="preserve">Host Country PMTCT_ART_SUBNAT (N) - New on ART (FY21)</t>
  </si>
  <si>
    <t xml:space="preserve">FY21 Targets</t>
  </si>
  <si>
    <t xml:space="preserve">Expected change in new ANC clients (%)</t>
  </si>
  <si>
    <t xml:space="preserve">PMTCT_STAT (D) (FY22)</t>
  </si>
  <si>
    <t xml:space="preserve">Projected PEPFAR proportion of Host Country PMTCT_STAT_SUBNAT (D) (FY21) (%)</t>
  </si>
  <si>
    <t xml:space="preserve">Targeted PEPFAR proportion of Host Country PMTCT_STAT_SUBNAT (D) (FY22) (%)</t>
  </si>
  <si>
    <t xml:space="preserve">PMTCT_STAT_SUBNAT (D) (FY22)</t>
  </si>
  <si>
    <t xml:space="preserve">Targeted testing coverage of ANC1 clients (FY22) (%)</t>
  </si>
  <si>
    <t xml:space="preserve">PEPFAR % ANC1 clients already Known HIV Positive (FY20) (%)</t>
  </si>
  <si>
    <t xml:space="preserve">Est. % ANC1 clients already Known HIV Positive (%)</t>
  </si>
  <si>
    <t xml:space="preserve">PEPFAR Positivity Rate among Newly Tested ANC1 clients (FY20) (%)</t>
  </si>
  <si>
    <t xml:space="preserve">Est. Positivity Rate among Newly Tested ANC1 clients (%)</t>
  </si>
  <si>
    <t xml:space="preserve">Total PMTCT_STAT (N)</t>
  </si>
  <si>
    <t xml:space="preserve">Known HIV Status, Positive</t>
  </si>
  <si>
    <t xml:space="preserve">Newly Tested, Positive</t>
  </si>
  <si>
    <t xml:space="preserve">Newly Tested, Negative</t>
  </si>
  <si>
    <t xml:space="preserve">Total PMTCT_STAT_SUBNAT (N)</t>
  </si>
  <si>
    <t xml:space="preserve">Host Country PMTCT_STAT_SUBNAT (N) - Known Positive (FY22)</t>
  </si>
  <si>
    <t xml:space="preserve">Host Country PMTCT_STAT_SUBNAT (N) - New Positive (FY22)</t>
  </si>
  <si>
    <t xml:space="preserve">Host Country PMTCT_STAT_SUBNAT (N) - New Negative (FY22)</t>
  </si>
  <si>
    <t xml:space="preserve">Targeted ART Linkage Rate (%)</t>
  </si>
  <si>
    <t xml:space="preserve">Already on ART</t>
  </si>
  <si>
    <t xml:space="preserve">New on ART</t>
  </si>
  <si>
    <t xml:space="preserve">Host Country PMTCT_ART_SUBNAT (D) - # HIV-positive pregnant women (FY22)</t>
  </si>
  <si>
    <t xml:space="preserve">Host Country PMTCT_ART_SUBNAT (N) - Already on ART (FY22)</t>
  </si>
  <si>
    <t xml:space="preserve">Host Country PMTCT_ART_SUBNAT (N) - New on ART (FY22)</t>
  </si>
  <si>
    <t xml:space="preserve">Total eligible for Post ANC1 retesting</t>
  </si>
  <si>
    <t xml:space="preserve">Yield (FY20 Results) (%)</t>
  </si>
  <si>
    <t xml:space="preserve">Yield (%)</t>
  </si>
  <si>
    <t xml:space="preserve">Positive</t>
  </si>
  <si>
    <t xml:space="preserve">Negative</t>
  </si>
  <si>
    <t xml:space="preserve">Linked to ART</t>
  </si>
  <si>
    <t xml:space="preserve">Total PMTCT: Positives (From ANC1 &amp; Post ANC1)</t>
  </si>
  <si>
    <t xml:space="preserve">Total HTS_TST_POS (FY22)</t>
  </si>
  <si>
    <t xml:space="preserve">Total Positives from PMTCT_STAT ANC1 (FY22) (%)</t>
  </si>
  <si>
    <t xml:space="preserve">jdFCj4dEvIK</t>
  </si>
  <si>
    <t xml:space="preserve">thhkv2dmiuc</t>
  </si>
  <si>
    <t xml:space="preserve">jaX3SUTcIki</t>
  </si>
  <si>
    <t xml:space="preserve">LvwJYdp0Jmr</t>
  </si>
  <si>
    <t xml:space="preserve">f10j57Ifd7k</t>
  </si>
  <si>
    <t xml:space="preserve">Qdn0vmNSflO</t>
  </si>
  <si>
    <t xml:space="preserve">qesr9meNVYc</t>
  </si>
  <si>
    <t xml:space="preserve">dd2WtJJxFYj</t>
  </si>
  <si>
    <t xml:space="preserve">bu3sosk4HWn</t>
  </si>
  <si>
    <t xml:space="preserve">mfYq3HGUIX3</t>
  </si>
  <si>
    <t xml:space="preserve">vsudHZwmvb2</t>
  </si>
  <si>
    <t xml:space="preserve">CrhtWrSnb2D</t>
  </si>
  <si>
    <t xml:space="preserve">LvheCKbuFJZ</t>
  </si>
  <si>
    <t xml:space="preserve">Vr59uUJBySG</t>
  </si>
  <si>
    <t xml:space="preserve">BiB1MtA7o4A</t>
  </si>
  <si>
    <t xml:space="preserve">rSKP7Z85FX9.KM4dyooZHUP</t>
  </si>
  <si>
    <t xml:space="preserve">udcRwufEXFQ.KM4dyooZHUP</t>
  </si>
  <si>
    <t xml:space="preserve">Gb0GYkqotaO</t>
  </si>
  <si>
    <t xml:space="preserve">PMTCT_STAT_SUBNAT.D.T_1</t>
  </si>
  <si>
    <t xml:space="preserve">PMTCT_STAT_SUBNAT.N.Known.Pos.T_1</t>
  </si>
  <si>
    <t xml:space="preserve">PMTCT_STAT_SUBNAT.N.New.Pos.T_1</t>
  </si>
  <si>
    <t xml:space="preserve">PMTCT_STAT_SUBNAT.N.New.Neg.T_1</t>
  </si>
  <si>
    <t xml:space="preserve">PMTCT_ART_SUBNAT.D.T_1</t>
  </si>
  <si>
    <t xml:space="preserve">PMTCT_ART_SUBNAT.N.Already.T_1</t>
  </si>
  <si>
    <t xml:space="preserve">PMTCT_ART_SUBNAT.N.New.T_1</t>
  </si>
  <si>
    <t xml:space="preserve">PMTCT_STAT.D.T_1</t>
  </si>
  <si>
    <t xml:space="preserve">PMTCT_STAT.D.Growth.T</t>
  </si>
  <si>
    <t xml:space="preserve">PMTCT_STAT.D.T</t>
  </si>
  <si>
    <t xml:space="preserve">PMTCT_STAT.D.NatlContr.T_1</t>
  </si>
  <si>
    <t xml:space="preserve">PMTCT_STAT.D.NatlContr.T</t>
  </si>
  <si>
    <t xml:space="preserve">PMTCT_STAT_SUBNAT.D.T</t>
  </si>
  <si>
    <t xml:space="preserve">PMTCT_STAT.N.Rt.T</t>
  </si>
  <si>
    <t xml:space="preserve">PMTCT_STAT.N.KnownPosRt.R</t>
  </si>
  <si>
    <t xml:space="preserve">PMTCT_STAT.N.KnownPosRt.T</t>
  </si>
  <si>
    <t xml:space="preserve">PMTCT_STAT.N.New.Yield.R</t>
  </si>
  <si>
    <t xml:space="preserve">PMTCT_STAT.N.New.Yield.T</t>
  </si>
  <si>
    <t xml:space="preserve">PMTCT_STAT.N.T</t>
  </si>
  <si>
    <t xml:space="preserve">PMTCT_STAT.N.KnownPos.T</t>
  </si>
  <si>
    <t xml:space="preserve">PMTCT_STAT.N.New.Neg.T</t>
  </si>
  <si>
    <t xml:space="preserve">PMTCT_STAT_SUBNAT.N.T</t>
  </si>
  <si>
    <t xml:space="preserve">PMTCT_STAT_SUBNAT.N.Known.Pos.T</t>
  </si>
  <si>
    <t xml:space="preserve">PMTCT_STAT_SUBNAT.N.New.Pos.T</t>
  </si>
  <si>
    <t xml:space="preserve">PMTCT_STAT_SUBNAT.N.New.Neg.T</t>
  </si>
  <si>
    <t xml:space="preserve">PMTCT_STAT.Linkage.T</t>
  </si>
  <si>
    <t xml:space="preserve">PMTCT_ART.Already.T</t>
  </si>
  <si>
    <t xml:space="preserve">PMTCT_ART.New.T</t>
  </si>
  <si>
    <t xml:space="preserve">PMTCT_ART_SUBNAT.D.T</t>
  </si>
  <si>
    <t xml:space="preserve">PMTCT_ART_SUBNAT.N.Already.T</t>
  </si>
  <si>
    <t xml:space="preserve">PMTCT_ART_SUBNAT.N.New.T</t>
  </si>
  <si>
    <t xml:space="preserve">HTS_TST.PostANC1.Eligible.T</t>
  </si>
  <si>
    <t xml:space="preserve">HTS_TST.PostANC1.Yield</t>
  </si>
  <si>
    <t xml:space="preserve">HTS_TST.PostANC1.Yield.T</t>
  </si>
  <si>
    <t xml:space="preserve">HTS_TST.PostANC1.Pos.Linkage.T</t>
  </si>
  <si>
    <t xml:space="preserve">HTS_TST.PostANC1.Neg.T</t>
  </si>
  <si>
    <t xml:space="preserve">TX_NEW.PostANC1.T</t>
  </si>
  <si>
    <t xml:space="preserve">PMTCT.Pos.T</t>
  </si>
  <si>
    <t xml:space="preserve">HTS_TST.Pos.T</t>
  </si>
  <si>
    <t xml:space="preserve">PMTCT_EID</t>
  </si>
  <si>
    <t xml:space="preserve">PMTCT_EID (N)</t>
  </si>
  <si>
    <t xml:space="preserve">PMTCT_HEI_POS (N)</t>
  </si>
  <si>
    <t xml:space="preserve">Targeted % HIV exposed infants tested by 2 mo (%)</t>
  </si>
  <si>
    <t xml:space="preserve">Targeted % HIV exposed infants tested by 12 mo (%)</t>
  </si>
  <si>
    <t xml:space="preserve">Est. # infants born to HIV-positive women</t>
  </si>
  <si>
    <t xml:space="preserve">≤ 02 mo</t>
  </si>
  <si>
    <t xml:space="preserve">02 - 12 mo</t>
  </si>
  <si>
    <t xml:space="preserve">Est. Positivity Rate, ≤ 02 mo (FY20 Results) (%)</t>
  </si>
  <si>
    <t xml:space="preserve">Est. Positivity Rate, ≤ 02 mo (FY22) (%)</t>
  </si>
  <si>
    <t xml:space="preserve">Est. Positivity Rate, 02 - 12 mo (FY20 Results) (%)</t>
  </si>
  <si>
    <t xml:space="preserve">Est. Positivity Rate, 02 - 12 mo (FY22) (%)</t>
  </si>
  <si>
    <t xml:space="preserve">Targeted proportion of HIV-infected infants linked to ART (%)</t>
  </si>
  <si>
    <t xml:space="preserve">Total HIV infected infants identified</t>
  </si>
  <si>
    <t xml:space="preserve">HIV infected infants confirmed initiated ART</t>
  </si>
  <si>
    <t xml:space="preserve">euzbW4INAqn</t>
  </si>
  <si>
    <t xml:space="preserve">aFPTXEOa7nu</t>
  </si>
  <si>
    <t xml:space="preserve">J4SQd7SnDi2</t>
  </si>
  <si>
    <t xml:space="preserve">pbXCUjm50XK</t>
  </si>
  <si>
    <t xml:space="preserve">PMTCT_EID.2.Rt.T</t>
  </si>
  <si>
    <t xml:space="preserve">PMTCT_EID.12.Rt.T</t>
  </si>
  <si>
    <t xml:space="preserve">PMTCT_EID.D.T</t>
  </si>
  <si>
    <t xml:space="preserve">PMTCT_EID.N.2.T</t>
  </si>
  <si>
    <t xml:space="preserve">PMTCT_EID.N.12.T</t>
  </si>
  <si>
    <t xml:space="preserve">PMTCT_HEI_POS.2.Yield.R</t>
  </si>
  <si>
    <t xml:space="preserve">PMTCT_HEI_POS.2.Yield.T</t>
  </si>
  <si>
    <t xml:space="preserve">PMTCT_HEI_POS.12.Yield.R</t>
  </si>
  <si>
    <t xml:space="preserve">PMTCT_HEI_POS.12.Yield.T</t>
  </si>
  <si>
    <t xml:space="preserve">PMTCT_HEI_POS.Linkage.T</t>
  </si>
  <si>
    <t xml:space="preserve">TB_STAT &amp; TB_ART</t>
  </si>
  <si>
    <t xml:space="preserve">TB_STAT (D)</t>
  </si>
  <si>
    <t xml:space="preserve">TB_STAT (N)</t>
  </si>
  <si>
    <t xml:space="preserve">TB_ART</t>
  </si>
  <si>
    <t xml:space="preserve">To shut off TB_STAT entirely:
1. Replace all formulas for "TB_STAT (D) (FY22) targets with zeros.</t>
  </si>
  <si>
    <t xml:space="preserve">Estimated Change in Incidence (%)</t>
  </si>
  <si>
    <t xml:space="preserve">TB_STAT (D) (FY22)</t>
  </si>
  <si>
    <t xml:space="preserve">TB_STAT (N): New Positives (FY21 Targets)</t>
  </si>
  <si>
    <t xml:space="preserve">Targeted TB_STAT Coverage (FY22) (%)</t>
  </si>
  <si>
    <t xml:space="preserve">Est. % TB clients already Known HIV Positive (FY20 Results) (%)</t>
  </si>
  <si>
    <t xml:space="preserve">Est. % TB clients already Known HIV Positive (FY22) (%)</t>
  </si>
  <si>
    <t xml:space="preserve">Est. Positivity Rate among Newly Tested (FY20 Results) (%)</t>
  </si>
  <si>
    <t xml:space="preserve">Est. Positivity Rate among Newly Tested (FY22) (%)</t>
  </si>
  <si>
    <t xml:space="preserve">Total TB_STAT (N)</t>
  </si>
  <si>
    <t xml:space="preserve">Total Positives from PMTCT_STAT (FY22) (%)</t>
  </si>
  <si>
    <t xml:space="preserve">Total Positives from Post ANC1 (FY22) (%)</t>
  </si>
  <si>
    <t xml:space="preserve">eeYmLTvWk8k</t>
  </si>
  <si>
    <t xml:space="preserve">tqP00nubcdo</t>
  </si>
  <si>
    <t xml:space="preserve">hJeWl5XjzgM</t>
  </si>
  <si>
    <t xml:space="preserve">OLbVI34nrpu</t>
  </si>
  <si>
    <t xml:space="preserve">VkrrexUefpS</t>
  </si>
  <si>
    <t xml:space="preserve">VVixfmL4Try</t>
  </si>
  <si>
    <t xml:space="preserve">TB_STAT.D.T_1</t>
  </si>
  <si>
    <t xml:space="preserve">TB_STAT.D.Growth.T</t>
  </si>
  <si>
    <t xml:space="preserve">TB_STAT.D.T</t>
  </si>
  <si>
    <t xml:space="preserve">TB_STAT.N.New.Pos.T_1</t>
  </si>
  <si>
    <t xml:space="preserve">TB_STAT.N.Rt.T</t>
  </si>
  <si>
    <t xml:space="preserve">TB_STAT.N.KnownPosRt.R</t>
  </si>
  <si>
    <t xml:space="preserve">TB_STAT.N.KnownPosRt.T</t>
  </si>
  <si>
    <t xml:space="preserve">TB_STAT.N.New.Yield.R</t>
  </si>
  <si>
    <t xml:space="preserve">TB_STAT.N.New.Yield.T</t>
  </si>
  <si>
    <t xml:space="preserve">TB_STAT.N.T</t>
  </si>
  <si>
    <t xml:space="preserve">TB_STAT.N.KnownPos.T</t>
  </si>
  <si>
    <t xml:space="preserve">TB_STAT.N.New.Neg.T</t>
  </si>
  <si>
    <t xml:space="preserve">TB_STAT.Linkage.T</t>
  </si>
  <si>
    <t xml:space="preserve">TB_ART.Already.T</t>
  </si>
  <si>
    <t xml:space="preserve">TB_ART.New.T</t>
  </si>
  <si>
    <t xml:space="preserve">VMMC</t>
  </si>
  <si>
    <t xml:space="preserve">VMMC_CIRC_SUBNAT</t>
  </si>
  <si>
    <t xml:space="preserve">VMMC_CIRC</t>
  </si>
  <si>
    <t xml:space="preserve">To shut off VMMC_CIRC entirely:
1. Replace all formulas for "Total VMMC_CIRC" with zeros.</t>
  </si>
  <si>
    <t xml:space="preserve">Host Country Est. Male Population (FY21)</t>
  </si>
  <si>
    <t xml:space="preserve">Host Country Est. Art Coverage (FY21) (%)</t>
  </si>
  <si>
    <t xml:space="preserve">Host Country VMMC_CIRC_SUBNAT (FY21)</t>
  </si>
  <si>
    <t xml:space="preserve">Host Country VMMC_TOTALCIRC_SUBNAT (FY21)</t>
  </si>
  <si>
    <t xml:space="preserve">Host Country Est. VMMC Coverage (FY21) (%)</t>
  </si>
  <si>
    <t xml:space="preserve">Targeted Host Country VMMC Coverage (FY22) (%)</t>
  </si>
  <si>
    <t xml:space="preserve">Targeted Host Country VMMC_TOTALCIRC_SUBNAT (FY22)</t>
  </si>
  <si>
    <t xml:space="preserve">Targeted Host Country VMMC_CIRC_SUBNAT (FY22)</t>
  </si>
  <si>
    <t xml:space="preserve">PEPFAR VMMC_CIRC (FY20 Results)</t>
  </si>
  <si>
    <t xml:space="preserve">PEPFAR VMMC_CIRC (FY21 Targets)</t>
  </si>
  <si>
    <t xml:space="preserve">PEPFAR Coverage of Host Country VMMC_CIRC_SUBNAT (FY21) (%)</t>
  </si>
  <si>
    <t xml:space="preserve">PEPFAR Coverage of Host Country VMMC_CIRC_SUBNAT (FY22) (%)</t>
  </si>
  <si>
    <t xml:space="preserve">_Military ONLY: Change in VMMC_CIRC FY21-FY22 (%)</t>
  </si>
  <si>
    <t xml:space="preserve">Observed Indeterminate/Not Tested rate (FY20 Results) (%)</t>
  </si>
  <si>
    <t xml:space="preserve">Est. Indeterminate/Not Tested rate (FY22) (%)</t>
  </si>
  <si>
    <t xml:space="preserve">Observed Positivity Rate among Newly Tested (FY20 Results) (%)</t>
  </si>
  <si>
    <t xml:space="preserve">Total VMMC_CIRC</t>
  </si>
  <si>
    <t xml:space="preserve">Indeterminate/Not Tested</t>
  </si>
  <si>
    <t xml:space="preserve">HIV Positive</t>
  </si>
  <si>
    <t xml:space="preserve">HIV Negative</t>
  </si>
  <si>
    <t xml:space="preserve">VMMC_CIRC_POS linked to ART</t>
  </si>
  <si>
    <t xml:space="preserve">Total Positives from VMMC_CIRC (FY22) (%)</t>
  </si>
  <si>
    <t xml:space="preserve">SSun4i7nHlV</t>
  </si>
  <si>
    <t xml:space="preserve">ZayJeEa6pCa</t>
  </si>
  <si>
    <t xml:space="preserve">cRCw63EQEbM</t>
  </si>
  <si>
    <t xml:space="preserve">HSuXwjXxLio</t>
  </si>
  <si>
    <t xml:space="preserve">jCfFnI5DZST</t>
  </si>
  <si>
    <t xml:space="preserve">TiMvlchPiPH</t>
  </si>
  <si>
    <t xml:space="preserve">s3fnRLVtDhG</t>
  </si>
  <si>
    <t xml:space="preserve">xlSW2W3YGtk</t>
  </si>
  <si>
    <t xml:space="preserve">gUdtLH3fV1m</t>
  </si>
  <si>
    <t xml:space="preserve">VMMC_CIRC_SUBNAT.T_1</t>
  </si>
  <si>
    <t xml:space="preserve">VMMC_TOTALCIRC_SUBNAT.T_1</t>
  </si>
  <si>
    <t xml:space="preserve">VMMC_TOTALCIRC_SUBNAT.Rt.T_1</t>
  </si>
  <si>
    <t xml:space="preserve">VMMC_TOTALCIRC_SUBNAT.Rt.T</t>
  </si>
  <si>
    <t xml:space="preserve">VMMC_TOTALCIRC_SUBNAT.T</t>
  </si>
  <si>
    <t xml:space="preserve">VMMC_CIRC_SUBNAT.T</t>
  </si>
  <si>
    <t xml:space="preserve">VMMC_CIRC.R</t>
  </si>
  <si>
    <t xml:space="preserve">VMMC_CIRC.T_1</t>
  </si>
  <si>
    <t xml:space="preserve">VMMC_CIRC.NatlContr.T_1</t>
  </si>
  <si>
    <t xml:space="preserve">VMMC_CIRC.NatlContr.T</t>
  </si>
  <si>
    <t xml:space="preserve">VMMC_CIRC.Change.Military</t>
  </si>
  <si>
    <t xml:space="preserve">VMMC_CIRC.Unk.Rt.R</t>
  </si>
  <si>
    <t xml:space="preserve">VMMC_CIRC.Unk.Rt.T</t>
  </si>
  <si>
    <t xml:space="preserve">VMMC_CIRC.Yield.R</t>
  </si>
  <si>
    <t xml:space="preserve">VMMC_CIRC.Yield.T</t>
  </si>
  <si>
    <t xml:space="preserve">VMMC_CIRC.Linkage.T</t>
  </si>
  <si>
    <t xml:space="preserve">VMMC_CIRC.T</t>
  </si>
  <si>
    <t xml:space="preserve">VMMC_CIRC.Unk.T</t>
  </si>
  <si>
    <t xml:space="preserve">VMMC_CIRC.Neg.T</t>
  </si>
  <si>
    <t xml:space="preserve">TX_NEW.VMMC.T</t>
  </si>
  <si>
    <t xml:space="preserve">HTS</t>
  </si>
  <si>
    <t xml:space="preserve">Testing Summary from Other Tabs</t>
  </si>
  <si>
    <t xml:space="preserve">HTS_INDEX</t>
  </si>
  <si>
    <t xml:space="preserve">HTS_TST - Distribution of Positive Tests</t>
  </si>
  <si>
    <t xml:space="preserve">Inpatient (Facility)</t>
  </si>
  <si>
    <t xml:space="preserve">Pediatric (Facility)</t>
  </si>
  <si>
    <t xml:space="preserve">Malnutrition (Facility)</t>
  </si>
  <si>
    <t xml:space="preserve">STI Clinic (Facility)</t>
  </si>
  <si>
    <t xml:space="preserve">Emergency (Facility)</t>
  </si>
  <si>
    <t xml:space="preserve">Other PITC (Facility)</t>
  </si>
  <si>
    <t xml:space="preserve">VCT (Facility)</t>
  </si>
  <si>
    <t xml:space="preserve">Mobile (Community)</t>
  </si>
  <si>
    <t xml:space="preserve">Other (Community)</t>
  </si>
  <si>
    <t xml:space="preserve">HTS_TST (Total)</t>
  </si>
  <si>
    <t xml:space="preserve">HTS_SELF (N)</t>
  </si>
  <si>
    <t xml:space="preserve">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</si>
  <si>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 xml:space="preserve">Host Country ART Coverage (FY21) (%)</t>
  </si>
  <si>
    <t xml:space="preserve">VMMC_CIRC New Positives (FY22)</t>
  </si>
  <si>
    <t xml:space="preserve">% HTS_INDEX_POS identified in Community Sites (%)</t>
  </si>
  <si>
    <t xml:space="preserve">COMMUNITY - Yield (among Contacts newly tested) (%)</t>
  </si>
  <si>
    <t xml:space="preserve">FACILITY - Yield (among Contacts newly tested) (%)</t>
  </si>
  <si>
    <t xml:space="preserve">COMMUNITY - Contacts Tested, New Positive</t>
  </si>
  <si>
    <t xml:space="preserve">COMMUNITY - Contacts Tested, New Negative</t>
  </si>
  <si>
    <t xml:space="preserve">FACILITY - Contacts Tested, New Positive</t>
  </si>
  <si>
    <t xml:space="preserve">FACILITY - Contacts Tested, New Negative</t>
  </si>
  <si>
    <t xml:space="preserve">Actual % HTS_TST_POS from Index (%)</t>
  </si>
  <si>
    <t xml:space="preserve">HTS_INDEX_COM: New Positive (%)</t>
  </si>
  <si>
    <t xml:space="preserve">HTS_INDEX_FAC: New Positive (%)</t>
  </si>
  <si>
    <t xml:space="preserve">PMTCT_STAT: New Positive (%)</t>
  </si>
  <si>
    <t xml:space="preserve">HTS_TST PMTCT Post ANC1: Positive (%)</t>
  </si>
  <si>
    <t xml:space="preserve">TB_STAT: New Positive (%)</t>
  </si>
  <si>
    <t xml:space="preserve">VMMC_CIRC: HIV Positive (%)</t>
  </si>
  <si>
    <t xml:space="preserve">Facility - Inpatient (%)</t>
  </si>
  <si>
    <t xml:space="preserve">Facility - Pediatric (%)</t>
  </si>
  <si>
    <t xml:space="preserve">Facility - Malnutrition (%)</t>
  </si>
  <si>
    <t xml:space="preserve">Facility - STI Clinic (%)</t>
  </si>
  <si>
    <t xml:space="preserve">Facility - Emergency (%)</t>
  </si>
  <si>
    <t xml:space="preserve">Facility - Other PITC (%)</t>
  </si>
  <si>
    <t xml:space="preserve">Facility - VCT (%)</t>
  </si>
  <si>
    <t xml:space="preserve">Community - Mobile (%)</t>
  </si>
  <si>
    <t xml:space="preserve">Community - Other (%)</t>
  </si>
  <si>
    <t xml:space="preserve">Distribution Check (%)</t>
  </si>
  <si>
    <t xml:space="preserve">Original HTS_TST_POS</t>
  </si>
  <si>
    <t xml:space="preserve">Final HTS_TST_POS</t>
  </si>
  <si>
    <t xml:space="preserve">HTS_TST_POS difference to adjust</t>
  </si>
  <si>
    <t xml:space="preserve">PMTCT_STAT New Negatives (FY22)</t>
  </si>
  <si>
    <t xml:space="preserve">HTS_TST Post ANC1 Negatives (FY22)</t>
  </si>
  <si>
    <t xml:space="preserve">TB_STAT New Negatives (FY22)</t>
  </si>
  <si>
    <t xml:space="preserve">VMMC_CIRC Negatives (FY22)</t>
  </si>
  <si>
    <t xml:space="preserve">Total HTS_TST_NEG</t>
  </si>
  <si>
    <t xml:space="preserve">Total HTS_TST</t>
  </si>
  <si>
    <t xml:space="preserve">Aggregate Yield Rate (%)</t>
  </si>
  <si>
    <t xml:space="preserve">HTS_SELF (FY21 Targets)</t>
  </si>
  <si>
    <t xml:space="preserve">% Change in HTS_SELF (%)</t>
  </si>
  <si>
    <t xml:space="preserve">HTS_SELF (FY22)</t>
  </si>
  <si>
    <t xml:space="preserve">zjWvbsJM43i</t>
  </si>
  <si>
    <t xml:space="preserve">uh9PhdnIkHp</t>
  </si>
  <si>
    <t xml:space="preserve">ydi7w5XUSNn</t>
  </si>
  <si>
    <t xml:space="preserve">N0j5TDUdTHQ</t>
  </si>
  <si>
    <t xml:space="preserve">YQmTFDhOXza</t>
  </si>
  <si>
    <t xml:space="preserve">JDdf06ZTwyz</t>
  </si>
  <si>
    <t xml:space="preserve">Ea3rt2Nb0QG</t>
  </si>
  <si>
    <t xml:space="preserve">gwHmP4hr3DP</t>
  </si>
  <si>
    <t xml:space="preserve">pfijmxjaMhp</t>
  </si>
  <si>
    <t xml:space="preserve">SpiiKPXh98N</t>
  </si>
  <si>
    <t xml:space="preserve">TCNNxKm4KZb</t>
  </si>
  <si>
    <t xml:space="preserve">r9N46a1q942</t>
  </si>
  <si>
    <t xml:space="preserve">Wa2oJtmc0CE</t>
  </si>
  <si>
    <t xml:space="preserve">A2eyuXZUCEk</t>
  </si>
  <si>
    <t xml:space="preserve">aMnJ58kqylT</t>
  </si>
  <si>
    <t xml:space="preserve">Jsv1CQ3JbCy</t>
  </si>
  <si>
    <t xml:space="preserve">n32vXYJ6Wkn</t>
  </si>
  <si>
    <t xml:space="preserve">Jky7p2XOCNk</t>
  </si>
  <si>
    <t xml:space="preserve">W680huEe6Hw</t>
  </si>
  <si>
    <t xml:space="preserve">nmaqnOpWT1h</t>
  </si>
  <si>
    <t xml:space="preserve">CXM6vjMKs8r</t>
  </si>
  <si>
    <t xml:space="preserve">oZ4YhB1Fkgk</t>
  </si>
  <si>
    <t xml:space="preserve">VIhAZvOIQRL</t>
  </si>
  <si>
    <t xml:space="preserve">NcMMbbymtij</t>
  </si>
  <si>
    <t xml:space="preserve">01-04 Only</t>
  </si>
  <si>
    <t xml:space="preserve">HTS_INDEX.Pos.ComShare</t>
  </si>
  <si>
    <t xml:space="preserve">HTS_INDEX_COM.New.Yield</t>
  </si>
  <si>
    <t xml:space="preserve">HTS_INDEX_FAC.New.Yield</t>
  </si>
  <si>
    <t xml:space="preserve">HTS_INDEX_COM.New.Pos.T</t>
  </si>
  <si>
    <t xml:space="preserve">HTS_INDEX_COM.New.Neg.T</t>
  </si>
  <si>
    <t xml:space="preserve">HTS_INDEX_FAC.New.Pos.T</t>
  </si>
  <si>
    <t xml:space="preserve">HTS_INDEX_FAC.New.Neg.T</t>
  </si>
  <si>
    <t xml:space="preserve">HTS_TST.Index.Pos.Share</t>
  </si>
  <si>
    <t xml:space="preserve">HTS_TST.IndexCom.Pos.Share</t>
  </si>
  <si>
    <t xml:space="preserve">HTS_TST.IndexFac.Pos.Share</t>
  </si>
  <si>
    <t xml:space="preserve">HTS_TST.PMTCT.Pos.Share</t>
  </si>
  <si>
    <t xml:space="preserve">HTS_TST.PostANC1.Pos.Share</t>
  </si>
  <si>
    <t xml:space="preserve">HTS_TST.TB.Pos.Share</t>
  </si>
  <si>
    <t xml:space="preserve">HTS_TST.VMMC.Pos.Share</t>
  </si>
  <si>
    <t xml:space="preserve">HTS_TST.Inpat.Pos.Share</t>
  </si>
  <si>
    <t xml:space="preserve">HTS_TST.Peds.Pos.Share</t>
  </si>
  <si>
    <t xml:space="preserve">HTS_TST.Maln.Pos.Share</t>
  </si>
  <si>
    <t xml:space="preserve">HTS_TST.STI.Pos.Share</t>
  </si>
  <si>
    <t xml:space="preserve">HTS_TST.EW.Pos.Share</t>
  </si>
  <si>
    <t xml:space="preserve">HTS_TST.Other.Pos.Share</t>
  </si>
  <si>
    <t xml:space="preserve">HTS_TST.VCT.Pos.Share</t>
  </si>
  <si>
    <t xml:space="preserve">HTS_TST.MobileCom.Pos.Share</t>
  </si>
  <si>
    <t xml:space="preserve">HTS_TST.OtherCom.Pos.Share</t>
  </si>
  <si>
    <t xml:space="preserve">HTS_TST.Pos.DistCheck</t>
  </si>
  <si>
    <t xml:space="preserve">HTS_TST.Inpat.Pos.Yield</t>
  </si>
  <si>
    <t xml:space="preserve">HTS_TST.Inpat.Pos.T</t>
  </si>
  <si>
    <t xml:space="preserve">HTS_TST.Inpat.Neg.T</t>
  </si>
  <si>
    <t xml:space="preserve">HTS_TST.Peds.Yield</t>
  </si>
  <si>
    <t xml:space="preserve">HTS_TST.Peds.Pos.T</t>
  </si>
  <si>
    <t xml:space="preserve">HTS_TST.Peds.Neg.T</t>
  </si>
  <si>
    <t xml:space="preserve">HTS_TST.Maln.Yield</t>
  </si>
  <si>
    <t xml:space="preserve">HTS_TST.Maln.Pos.T</t>
  </si>
  <si>
    <t xml:space="preserve">HTS_TST.Maln.Neg.T</t>
  </si>
  <si>
    <t xml:space="preserve">HTS_TST.STI.Yield</t>
  </si>
  <si>
    <t xml:space="preserve">HTS_TST.STI.Pos.T</t>
  </si>
  <si>
    <t xml:space="preserve">HTS_TST.STI.Neg.T</t>
  </si>
  <si>
    <t xml:space="preserve">HTS_TST.EW.Yield</t>
  </si>
  <si>
    <t xml:space="preserve">HTS_TST.EW.Pos.T</t>
  </si>
  <si>
    <t xml:space="preserve">HTS_TST.EW.Neg.T</t>
  </si>
  <si>
    <t xml:space="preserve">HTS_TST.Other.Yield</t>
  </si>
  <si>
    <t xml:space="preserve">HTS_TST.Other.Pos.T</t>
  </si>
  <si>
    <t xml:space="preserve">HTS_TST.Other.Neg.T</t>
  </si>
  <si>
    <t xml:space="preserve">HTS_TST.VCT.Yield</t>
  </si>
  <si>
    <t xml:space="preserve">HTS_TST.VCT.Pos.T</t>
  </si>
  <si>
    <t xml:space="preserve">HTS_TST.VCT.Neg.T</t>
  </si>
  <si>
    <t xml:space="preserve">HTS_TST.MobileCom.Yield</t>
  </si>
  <si>
    <t xml:space="preserve">HTS_TST.MobileCom.Pos.T</t>
  </si>
  <si>
    <t xml:space="preserve">HTS_TST.MobileCom.Neg.T</t>
  </si>
  <si>
    <t xml:space="preserve">HTS_TST.OtherCom.Yield</t>
  </si>
  <si>
    <t xml:space="preserve">HTS_TST.OtherCom.Pos.T</t>
  </si>
  <si>
    <t xml:space="preserve">HTS_TST.OtherCom.Neg.T</t>
  </si>
  <si>
    <t xml:space="preserve">HTS_TST.Pos.Original</t>
  </si>
  <si>
    <t xml:space="preserve">HTS_TST.Pos.Total</t>
  </si>
  <si>
    <t xml:space="preserve">HTS_TST.Pos.Diff</t>
  </si>
  <si>
    <t xml:space="preserve">HTS_TST.Neg.Total</t>
  </si>
  <si>
    <t xml:space="preserve">HTS_TST.Total</t>
  </si>
  <si>
    <t xml:space="preserve">HTS_TST.Yield</t>
  </si>
  <si>
    <t xml:space="preserve">HTS_SELF.T_1</t>
  </si>
  <si>
    <t xml:space="preserve">HTS_SELF.Growth</t>
  </si>
  <si>
    <t xml:space="preserve">HTS_SELF.T</t>
  </si>
  <si>
    <t xml:space="preserve">CXCA</t>
  </si>
  <si>
    <t xml:space="preserve">CXCA_SCRN</t>
  </si>
  <si>
    <t xml:space="preserve">To shut off CXCA_SCRN entirely, replace all percentages in the green column, "Target CXCA Screening coverage rate (%)" with zeros.</t>
  </si>
  <si>
    <t xml:space="preserve">CXCA_SCRN FY20 Results</t>
  </si>
  <si>
    <t xml:space="preserve">CXCA_SCRN FY21 Targets</t>
  </si>
  <si>
    <t xml:space="preserve">Observed CXCA Screening Coverage Rate (FY20 Results) (%)</t>
  </si>
  <si>
    <t xml:space="preserve">Targeted CXCA Screening coverage rate (%)</t>
  </si>
  <si>
    <t xml:space="preserve">CXCA_SCRN (FY22)</t>
  </si>
  <si>
    <t xml:space="preserve">XboLlTkc4Av</t>
  </si>
  <si>
    <t xml:space="preserve">hfR9r70Fk99</t>
  </si>
  <si>
    <t xml:space="preserve">XWK6yAwhol8</t>
  </si>
  <si>
    <t xml:space="preserve">wQ5XOuU0LVH</t>
  </si>
  <si>
    <t xml:space="preserve">5 yr, 25-49</t>
  </si>
  <si>
    <t xml:space="preserve">CXCA_SCRN.R</t>
  </si>
  <si>
    <t xml:space="preserve">CXCA_SCRN.T_1</t>
  </si>
  <si>
    <t xml:space="preserve">CXCA_SCRN.Rt.R</t>
  </si>
  <si>
    <t xml:space="preserve">CXCA_SCRN.Rt.T</t>
  </si>
  <si>
    <t xml:space="preserve">CXCA_SCRN.T</t>
  </si>
  <si>
    <t xml:space="preserve">HTS_RECENT</t>
  </si>
  <si>
    <t xml:space="preserve">PMTCT (Facility)</t>
  </si>
  <si>
    <t xml:space="preserve">PMTCT Post ANC1 (Facility)</t>
  </si>
  <si>
    <t xml:space="preserve">TB (Facility)</t>
  </si>
  <si>
    <t xml:space="preserve">VMMC (Facility)</t>
  </si>
  <si>
    <t xml:space="preserve">Index (Community)</t>
  </si>
  <si>
    <t xml:space="preserve">Index (Facility)</t>
  </si>
  <si>
    <t xml:space="preserve">HTS_RECENT (Total)</t>
  </si>
  <si>
    <t xml:space="preserve">% of Positives</t>
  </si>
  <si>
    <t xml:space="preserve"># Tested for Recent Infection</t>
  </si>
  <si>
    <t xml:space="preserve">Total Recency Tests</t>
  </si>
  <si>
    <t xml:space="preserve">Aggregate Recency Test Coverage Rate (%)</t>
  </si>
  <si>
    <t xml:space="preserve">J1fW7eRVAvg</t>
  </si>
  <si>
    <t xml:space="preserve">plNFWb5y1xZ</t>
  </si>
  <si>
    <t xml:space="preserve">UXsJUOYhGKw</t>
  </si>
  <si>
    <t xml:space="preserve">XDT2DJvZo7s</t>
  </si>
  <si>
    <t xml:space="preserve">LIAjiT4jTs6</t>
  </si>
  <si>
    <t xml:space="preserve">J1BAupscTaW</t>
  </si>
  <si>
    <t xml:space="preserve">LqBvfeIM16u</t>
  </si>
  <si>
    <t xml:space="preserve">eb2ZBmNFOHl</t>
  </si>
  <si>
    <t xml:space="preserve">isc6NmtIRN6</t>
  </si>
  <si>
    <t xml:space="preserve">VTV9sGJ4UG9</t>
  </si>
  <si>
    <t xml:space="preserve">eobYc4wjsBv</t>
  </si>
  <si>
    <t xml:space="preserve">VczqDKZHGPM</t>
  </si>
  <si>
    <t xml:space="preserve">CsS3NWTqfpu</t>
  </si>
  <si>
    <t xml:space="preserve">ICfpR6tTRav</t>
  </si>
  <si>
    <t xml:space="preserve">OJRxJ6RKD1Y</t>
  </si>
  <si>
    <t xml:space="preserve">kvpanmX8jqF</t>
  </si>
  <si>
    <t xml:space="preserve">PiXbpFs1eHW</t>
  </si>
  <si>
    <t xml:space="preserve">oaZYhkz7cFQ</t>
  </si>
  <si>
    <t xml:space="preserve">odyWaFzVFFt</t>
  </si>
  <si>
    <t xml:space="preserve">JHvmBrMCjy7</t>
  </si>
  <si>
    <t xml:space="preserve">z6GXOWXNpjr</t>
  </si>
  <si>
    <t xml:space="preserve">ZNMNKgHs4KO</t>
  </si>
  <si>
    <t xml:space="preserve">vcs4BFXyhMY</t>
  </si>
  <si>
    <t xml:space="preserve">c7RGWvHw00d</t>
  </si>
  <si>
    <t xml:space="preserve">t7g2D0Wcbh2</t>
  </si>
  <si>
    <t xml:space="preserve">Y7ZamXjNycI</t>
  </si>
  <si>
    <t xml:space="preserve">HTS_RECENT.PMTCT_STAT.Rt</t>
  </si>
  <si>
    <t xml:space="preserve">HTS_RECENT.PMTCT_STAT.T</t>
  </si>
  <si>
    <t xml:space="preserve">HTS_RECENT.PostANC1.Rt</t>
  </si>
  <si>
    <t xml:space="preserve">HTS_RECENT.PostANC1.T</t>
  </si>
  <si>
    <t xml:space="preserve">HTS_RECENT.TB.Rt</t>
  </si>
  <si>
    <t xml:space="preserve">HTS_RECENT.TB.T</t>
  </si>
  <si>
    <t xml:space="preserve">HTS_RECENT.VMMC.Rt</t>
  </si>
  <si>
    <t xml:space="preserve">HTS_RECENT.VMMC.T</t>
  </si>
  <si>
    <t xml:space="preserve">HTS_RECENT.IndexCom.Rt</t>
  </si>
  <si>
    <t xml:space="preserve">HTS_RECENT.IndexCom.T</t>
  </si>
  <si>
    <t xml:space="preserve">HTS_RECENT.IndexFac.Rt</t>
  </si>
  <si>
    <t xml:space="preserve">HTS_RECENT.IndexFac.T</t>
  </si>
  <si>
    <t xml:space="preserve">HTS_RECENT.Inpat.Rt</t>
  </si>
  <si>
    <t xml:space="preserve">HTS_RECENT.Inpat.T</t>
  </si>
  <si>
    <t xml:space="preserve">HTS_RECENT.STI.Rt</t>
  </si>
  <si>
    <t xml:space="preserve">HTS_RECENT.STI.T</t>
  </si>
  <si>
    <t xml:space="preserve">HTS_RECENT.EW.Rt</t>
  </si>
  <si>
    <t xml:space="preserve">HTS_RECENT.EW.T</t>
  </si>
  <si>
    <t xml:space="preserve">HTS_RECENT.Other.Rt</t>
  </si>
  <si>
    <t xml:space="preserve">HTS_RECENT.Other.T</t>
  </si>
  <si>
    <t xml:space="preserve">HTS_RECENT.VCT.Rt</t>
  </si>
  <si>
    <t xml:space="preserve">HTS_RECENT.VCT.T</t>
  </si>
  <si>
    <t xml:space="preserve">HTS_RECENT.MobileCom.Rt</t>
  </si>
  <si>
    <t xml:space="preserve">HTS_RECENT.MobileCom.T</t>
  </si>
  <si>
    <t xml:space="preserve">HTS_RECENT.OtherCom.Rt</t>
  </si>
  <si>
    <t xml:space="preserve">HTS_RECENT.OtherCom.T</t>
  </si>
  <si>
    <t xml:space="preserve">HTS_RECENT.T</t>
  </si>
  <si>
    <t xml:space="preserve">HTS_RECENT.Rt.T</t>
  </si>
  <si>
    <t xml:space="preserve">TX_TB &amp; TB_PREV</t>
  </si>
  <si>
    <t xml:space="preserve">TX_TB (D)</t>
  </si>
  <si>
    <t xml:space="preserve">TB_PREV (D)</t>
  </si>
  <si>
    <t xml:space="preserve">TB_PREV (N)</t>
  </si>
  <si>
    <t xml:space="preserve">Targeted coverage: New on ART (%)</t>
  </si>
  <si>
    <t xml:space="preserve">Targeted coverage: Already on ART (%)</t>
  </si>
  <si>
    <t xml:space="preserve">Est. TB Screen Positivity Rate: New on ART (%)</t>
  </si>
  <si>
    <t xml:space="preserve">Est. TB Screen Positivity Rate: Already on ART (%)</t>
  </si>
  <si>
    <t xml:space="preserve">TX_NEW (FY22)</t>
  </si>
  <si>
    <t xml:space="preserve">TX_CURR (FY21)</t>
  </si>
  <si>
    <t xml:space="preserve">New on ART, TB Screen +</t>
  </si>
  <si>
    <t xml:space="preserve">New on ART, TB Screen -</t>
  </si>
  <si>
    <t xml:space="preserve">Already on ART, TB Screen +</t>
  </si>
  <si>
    <t xml:space="preserve">Already on ART, TB Screen -</t>
  </si>
  <si>
    <t xml:space="preserve">% TX_TB (D) Screen Neg., New on ART initiated on TPT (%)</t>
  </si>
  <si>
    <t xml:space="preserve">% TX_TB (D) Screen Neg., Already on ART initiated on TPT (%)</t>
  </si>
  <si>
    <t xml:space="preserve">New on ART (FY21 Targets)</t>
  </si>
  <si>
    <t xml:space="preserve">Already on ART (FY21 Targets)</t>
  </si>
  <si>
    <t xml:space="preserve">Targeted TPT completion (%)</t>
  </si>
  <si>
    <t xml:space="preserve">Projected Change: New on ART (%)</t>
  </si>
  <si>
    <t xml:space="preserve">Projected Change: Already on ART (%)</t>
  </si>
  <si>
    <t xml:space="preserve">BeEA8PsZ8Ky</t>
  </si>
  <si>
    <t xml:space="preserve">L3qltmjNtSr</t>
  </si>
  <si>
    <t xml:space="preserve">DA7uTAScxxi</t>
  </si>
  <si>
    <t xml:space="preserve">DcQet8tM3my</t>
  </si>
  <si>
    <t xml:space="preserve">HUgQMmRVHMS</t>
  </si>
  <si>
    <t xml:space="preserve">MdqPezsikDr</t>
  </si>
  <si>
    <t xml:space="preserve">udcRwufEXFQ.FNsYVm36CYM.KM4dyooZHUP</t>
  </si>
  <si>
    <t xml:space="preserve">udcRwufEXFQ.xv3iwsb4m3m.KM4dyooZHUP</t>
  </si>
  <si>
    <t xml:space="preserve">rSKP7Z85FX9.FNsYVm36CYM.KM4dyooZHUP</t>
  </si>
  <si>
    <t xml:space="preserve">rSKP7Z85FX9.xv3iwsb4m3m.KM4dyooZHUP</t>
  </si>
  <si>
    <t xml:space="preserve">Coarse Ages</t>
  </si>
  <si>
    <t xml:space="preserve">TX_TB.D.New.Cov.Target</t>
  </si>
  <si>
    <t xml:space="preserve">TX_TB.D.Already.Cov.Target</t>
  </si>
  <si>
    <t xml:space="preserve">TX_TB.D.New.Yield</t>
  </si>
  <si>
    <t xml:space="preserve">TX_TB.D.Already.Yield</t>
  </si>
  <si>
    <t xml:space="preserve">TX_NEW.15s</t>
  </si>
  <si>
    <t xml:space="preserve">TX_CURR.15s</t>
  </si>
  <si>
    <t xml:space="preserve">TX_TB.D.New.Pos.T</t>
  </si>
  <si>
    <t xml:space="preserve">TX_TB.D.New.Neg.T</t>
  </si>
  <si>
    <t xml:space="preserve">TX_TB.D.Already.Pos.T</t>
  </si>
  <si>
    <t xml:space="preserve">TX_TB.D.Already.Neg.T</t>
  </si>
  <si>
    <t xml:space="preserve">TX_TB.D.New.Neg.Linkage</t>
  </si>
  <si>
    <t xml:space="preserve">TX_TB.D.Already.Neg.Linkage</t>
  </si>
  <si>
    <t xml:space="preserve">TB_PREV.D.New.T</t>
  </si>
  <si>
    <t xml:space="preserve">TB_PREV.D.Already.T</t>
  </si>
  <si>
    <t xml:space="preserve">TB_PREV.N.New.T_1</t>
  </si>
  <si>
    <t xml:space="preserve">TB_PREV.N.Already.T_1</t>
  </si>
  <si>
    <t xml:space="preserve">TB_PREV.N.Cov</t>
  </si>
  <si>
    <t xml:space="preserve">TB_PREV.N.New.T</t>
  </si>
  <si>
    <t xml:space="preserve">TB_PREV.N.Already.T</t>
  </si>
  <si>
    <t xml:space="preserve">TB_PREV.N.New.Growth.Target</t>
  </si>
  <si>
    <t xml:space="preserve">TB_PREV.N.Already.Growth.Target</t>
  </si>
  <si>
    <t xml:space="preserve">PP</t>
  </si>
  <si>
    <t xml:space="preserve">PP_PREV</t>
  </si>
  <si>
    <t xml:space="preserve">Expected change in PP_PREV services (%)</t>
  </si>
  <si>
    <t xml:space="preserve">PP_PREV (FY22)</t>
  </si>
  <si>
    <t xml:space="preserve">LpkXILJwnmO</t>
  </si>
  <si>
    <t xml:space="preserve">HV0zRuYnuv8</t>
  </si>
  <si>
    <t xml:space="preserve">PP_PREV.T_1</t>
  </si>
  <si>
    <t xml:space="preserve">PP_PREV.Growth.T</t>
  </si>
  <si>
    <t xml:space="preserve">PP_PREV.T</t>
  </si>
  <si>
    <t xml:space="preserve">OVC</t>
  </si>
  <si>
    <t xml:space="preserve">OVC_SERV</t>
  </si>
  <si>
    <t xml:space="preserve">OVC_HIVSTAT</t>
  </si>
  <si>
    <t xml:space="preserve">DREAMS SNU?</t>
  </si>
  <si>
    <t xml:space="preserve">FY20 Results</t>
  </si>
  <si>
    <t xml:space="preserve">Projected Net Change in OVC_SERV (%)</t>
  </si>
  <si>
    <t xml:space="preserve">DREAMS % of Total OVC_SERV (%)</t>
  </si>
  <si>
    <t xml:space="preserve">Preventive % of Total OVC_SERV (%)</t>
  </si>
  <si>
    <t xml:space="preserve">Comprehensive % of Total OVC_SERV (%)</t>
  </si>
  <si>
    <t xml:space="preserve">Targeted Graduation Rate among Comprehensive (%)</t>
  </si>
  <si>
    <t xml:space="preserve">Total OVC_SERV</t>
  </si>
  <si>
    <t xml:space="preserve">DREAMS</t>
  </si>
  <si>
    <t xml:space="preserve">Preventive</t>
  </si>
  <si>
    <t xml:space="preserve">Comprehensive - Graduated</t>
  </si>
  <si>
    <t xml:space="preserve">Comprehensive - Active</t>
  </si>
  <si>
    <t xml:space="preserve">% OVC (&lt;18) with reported HIV Status (%)</t>
  </si>
  <si>
    <t xml:space="preserve"># OVC with reported HIV Status</t>
  </si>
  <si>
    <t xml:space="preserve">rxgD4kPnUIg</t>
  </si>
  <si>
    <t xml:space="preserve">HVzzfyVVIs1</t>
  </si>
  <si>
    <t xml:space="preserve">j3NQAv8Fe3v</t>
  </si>
  <si>
    <t xml:space="preserve">NbvZdpPzNf6</t>
  </si>
  <si>
    <t xml:space="preserve">HVzzfyVVIs1.cx8hxarh4Ke</t>
  </si>
  <si>
    <t xml:space="preserve">TqpIEl7LfV7</t>
  </si>
  <si>
    <t xml:space="preserve">MD74x7fNR4j</t>
  </si>
  <si>
    <t xml:space="preserve">Qk8HjZeOBom</t>
  </si>
  <si>
    <t xml:space="preserve">DsIC5hZsqDF</t>
  </si>
  <si>
    <t xml:space="preserve">ZTN9wn0OQt1</t>
  </si>
  <si>
    <t xml:space="preserve">Qk8HjZeOBom.TIuD9nSQAd9</t>
  </si>
  <si>
    <t xml:space="preserve">Tp792ZiaQed</t>
  </si>
  <si>
    <t xml:space="preserve">q1ViBVu6waQ</t>
  </si>
  <si>
    <t xml:space="preserve">PohP5DBPfMs</t>
  </si>
  <si>
    <t xml:space="preserve">&lt;01-18+ (OVC &amp; Caregivers)</t>
  </si>
  <si>
    <t xml:space="preserve">10-17 (OVC)</t>
  </si>
  <si>
    <t xml:space="preserve">5 yr, 05-14</t>
  </si>
  <si>
    <t xml:space="preserve">&lt;01-17 (OVC)</t>
  </si>
  <si>
    <t xml:space="preserve">DREAMS_SNU.Flag</t>
  </si>
  <si>
    <t xml:space="preserve">OVC_SERV.R</t>
  </si>
  <si>
    <t xml:space="preserve">OVC_SERV.T_1</t>
  </si>
  <si>
    <t xml:space="preserve">OVC_SERV.Growth.T</t>
  </si>
  <si>
    <t xml:space="preserve">OVC_SERV.DREAMS.Rt.T</t>
  </si>
  <si>
    <t xml:space="preserve">OVC_SERV.Prev.Rt.T</t>
  </si>
  <si>
    <t xml:space="preserve">OVC_SERV.Comp.Rt.T</t>
  </si>
  <si>
    <t xml:space="preserve">OVC_SERV.Grad.Rt.T</t>
  </si>
  <si>
    <t xml:space="preserve">OVC_SERV.T</t>
  </si>
  <si>
    <t xml:space="preserve">OVC_SERV.DREAMS.T</t>
  </si>
  <si>
    <t xml:space="preserve">OVC_SERV.Prev.T</t>
  </si>
  <si>
    <t xml:space="preserve">OVC_SERV.Grad.T</t>
  </si>
  <si>
    <t xml:space="preserve">OVC_SERV.Active.T</t>
  </si>
  <si>
    <t xml:space="preserve">OVC_HIVSTAT.Rt.T</t>
  </si>
  <si>
    <t xml:space="preserve">OVC_HIVSTAT.T</t>
  </si>
  <si>
    <t xml:space="preserve">GEND</t>
  </si>
  <si>
    <t xml:space="preserve">GEND_GBV</t>
  </si>
  <si>
    <t xml:space="preserve">Physical/Emotional Violence (FY21 Targets)</t>
  </si>
  <si>
    <t xml:space="preserve">Sexual Violence (FY21 Targets)</t>
  </si>
  <si>
    <t xml:space="preserve">Expected change in GEND_GBV - Physical/Emotional Violence services (%)</t>
  </si>
  <si>
    <t xml:space="preserve">Expected change in GEND_GBV - Sexual Violence services (%)</t>
  </si>
  <si>
    <t xml:space="preserve">Physical/Emotional Violence (FY22)</t>
  </si>
  <si>
    <t xml:space="preserve">Sexual Violence (FY22)</t>
  </si>
  <si>
    <t xml:space="preserve">N4sS65QUOP3</t>
  </si>
  <si>
    <t xml:space="preserve">XUtNKyPozHq</t>
  </si>
  <si>
    <t xml:space="preserve">USe0kg2Bind</t>
  </si>
  <si>
    <t xml:space="preserve">bchuAJAMSZO</t>
  </si>
  <si>
    <t xml:space="preserve">GEND_GBV.PE.T_1</t>
  </si>
  <si>
    <t xml:space="preserve">GEND_GBV.S.T_1</t>
  </si>
  <si>
    <t xml:space="preserve">GEND_GBV.PE.Growth.T</t>
  </si>
  <si>
    <t xml:space="preserve">GEND_GBV.S.Growth.T</t>
  </si>
  <si>
    <t xml:space="preserve">GEND_GBV.PE.T</t>
  </si>
  <si>
    <t xml:space="preserve">GEND_GBV.S.T</t>
  </si>
  <si>
    <t xml:space="preserve">AGYW</t>
  </si>
  <si>
    <t xml:space="preserve">AGYW_PREV</t>
  </si>
  <si>
    <t xml:space="preserve">Host Country Est. Number of Vulnerable AGYW (FY21)</t>
  </si>
  <si>
    <t xml:space="preserve">PrEP_NEW (FY22)</t>
  </si>
  <si>
    <t xml:space="preserve"> PrEP_CURR (FY22)</t>
  </si>
  <si>
    <t xml:space="preserve"> PP_PREV (FY22)</t>
  </si>
  <si>
    <t xml:space="preserve">HTS_TST - Positives (FY22)</t>
  </si>
  <si>
    <t xml:space="preserve">HTS_TST - Negatives (FY22)</t>
  </si>
  <si>
    <t xml:space="preserve">Primary Package Incomplete: Service Started (FY20 Results)</t>
  </si>
  <si>
    <t xml:space="preserve">Primary Package Incomplete: Service Completed (FY20 Results)</t>
  </si>
  <si>
    <t xml:space="preserve">Primary Package Completed (FY20 Results)</t>
  </si>
  <si>
    <t xml:space="preserve">Primary Package and Secondary (FY20 Results)</t>
  </si>
  <si>
    <t xml:space="preserve">Total AGYW_PREV (FY20 Results)</t>
  </si>
  <si>
    <t xml:space="preserve">Observed Percent Completion (FY20 Results) (%)</t>
  </si>
  <si>
    <t xml:space="preserve">Projected Net Change in Total AGYW_PREV from FY20 Results (%)</t>
  </si>
  <si>
    <t xml:space="preserve">Targeted Percent Completion (%)</t>
  </si>
  <si>
    <t xml:space="preserve">Denominator - Started or Completed any DREAMS Service</t>
  </si>
  <si>
    <t xml:space="preserve">Numerator - Completed at least Primary Package</t>
  </si>
  <si>
    <t xml:space="preserve">aZrOAEKtXAo</t>
  </si>
  <si>
    <t xml:space="preserve">RAZ3P5llmi4</t>
  </si>
  <si>
    <t xml:space="preserve">ZW2qWywZuGl</t>
  </si>
  <si>
    <t xml:space="preserve">gGkFUE1ob8y</t>
  </si>
  <si>
    <t xml:space="preserve">HO5wSDKttn3</t>
  </si>
  <si>
    <t xml:space="preserve">tSYnSvSK200</t>
  </si>
  <si>
    <t xml:space="preserve">AjOFwnjVTTm</t>
  </si>
  <si>
    <t xml:space="preserve">YSe4riCTiZv</t>
  </si>
  <si>
    <t xml:space="preserve">5 yr, 10-29</t>
  </si>
  <si>
    <t xml:space="preserve">5 yr, 15-29</t>
  </si>
  <si>
    <t xml:space="preserve">AGYW_SUBNAT.T_1</t>
  </si>
  <si>
    <t xml:space="preserve">PrEP_NEW.T</t>
  </si>
  <si>
    <t xml:space="preserve">PrEP_CURR.T</t>
  </si>
  <si>
    <t xml:space="preserve">AGYW_PREV.Started.R</t>
  </si>
  <si>
    <t xml:space="preserve">AGYW_PREV.Incomplete.R</t>
  </si>
  <si>
    <t xml:space="preserve">AGYW_PREV.Complete.R</t>
  </si>
  <si>
    <t xml:space="preserve">AGYW_PREV.CompletePlus.R</t>
  </si>
  <si>
    <t xml:space="preserve">AGYW_PREV.D.R</t>
  </si>
  <si>
    <t xml:space="preserve">AGYW_PREV.N.Rt.R</t>
  </si>
  <si>
    <t xml:space="preserve">AGYW_PREV.D.Growth.T</t>
  </si>
  <si>
    <t xml:space="preserve">AGYW_PREV.N.Rt.T</t>
  </si>
  <si>
    <t xml:space="preserve">AGYW_PREV.D.T</t>
  </si>
  <si>
    <t xml:space="preserve">AGYW_PREV.N.T</t>
  </si>
  <si>
    <t xml:space="preserve">PrEP</t>
  </si>
  <si>
    <t xml:space="preserve">PrEP_NEW</t>
  </si>
  <si>
    <t xml:space="preserve">PrEP_CURR</t>
  </si>
  <si>
    <t xml:space="preserve">Host Country Est. PLHIV (FY22)</t>
  </si>
  <si>
    <t xml:space="preserve">HTS_TST_NEG
(FY22)</t>
  </si>
  <si>
    <t xml:space="preserve">AGYW_PREV (D) (FY22)</t>
  </si>
  <si>
    <t xml:space="preserve">AGYW_PREV (N) (FY22)</t>
  </si>
  <si>
    <t xml:space="preserve">PrEP_NEW (FY20 Results)</t>
  </si>
  <si>
    <t xml:space="preserve">PrEP_NEW (FY21 Targets)</t>
  </si>
  <si>
    <t xml:space="preserve">Newly on PrEP (FY22)</t>
  </si>
  <si>
    <t xml:space="preserve">PrEP_CURR (FY20 Results)</t>
  </si>
  <si>
    <t xml:space="preserve">PrEP_CURR (FY21 Targets)</t>
  </si>
  <si>
    <t xml:space="preserve">Current on PrEP (FY22)</t>
  </si>
  <si>
    <t xml:space="preserve">KNO4emPfF91</t>
  </si>
  <si>
    <t xml:space="preserve">rXV784LlUQ4</t>
  </si>
  <si>
    <t xml:space="preserve">x5H3nrR8BNW</t>
  </si>
  <si>
    <t xml:space="preserve">irb0EORmNvv</t>
  </si>
  <si>
    <t xml:space="preserve">b6OI9qB0Who</t>
  </si>
  <si>
    <t xml:space="preserve">DjW93zhi4zZ</t>
  </si>
  <si>
    <t xml:space="preserve">UkV4LwXGXlP</t>
  </si>
  <si>
    <t xml:space="preserve">W4BGn0YggH0</t>
  </si>
  <si>
    <t xml:space="preserve">HTS_TST.Neg.T</t>
  </si>
  <si>
    <t xml:space="preserve">PrEP_NEW.R</t>
  </si>
  <si>
    <t xml:space="preserve">PrEP_NEW.T_1</t>
  </si>
  <si>
    <t xml:space="preserve">PrEP_CURR.R</t>
  </si>
  <si>
    <t xml:space="preserve">PrEP_CURR.T_1</t>
  </si>
  <si>
    <t xml:space="preserve">KP</t>
  </si>
  <si>
    <t xml:space="preserve">KP_ESTIMATES</t>
  </si>
  <si>
    <t xml:space="preserve">KP_PREV</t>
  </si>
  <si>
    <t xml:space="preserve">HTS_SELF</t>
  </si>
  <si>
    <t xml:space="preserve">Projected</t>
  </si>
  <si>
    <t xml:space="preserve">Host Country Est. Total Size (FY21)</t>
  </si>
  <si>
    <t xml:space="preserve">Host Country Est. KPLHIV (FY21)</t>
  </si>
  <si>
    <t xml:space="preserve">PrEP_CURR - KeyPop (FY21 Targets)</t>
  </si>
  <si>
    <t xml:space="preserve">PrEP_CURR - KeyPop (FY22)</t>
  </si>
  <si>
    <t xml:space="preserve">PrEP_NEW - KeyPop (FY21 Targets)</t>
  </si>
  <si>
    <t xml:space="preserve">PrEP_NEW - KeyPop (FY22)</t>
  </si>
  <si>
    <t xml:space="preserve">KP_PREV (FY21 Targets)</t>
  </si>
  <si>
    <t xml:space="preserve">KP_PREV (FY22)</t>
  </si>
  <si>
    <t xml:space="preserve">TX_CURR - KeyPop (FY20 Results)</t>
  </si>
  <si>
    <t xml:space="preserve">TX_CURR - KeyPop (FY21 Targets)</t>
  </si>
  <si>
    <t xml:space="preserve">TX_CURR - KeyPop (FY22)</t>
  </si>
  <si>
    <t xml:space="preserve">TX_NET_NEW - KeyPop (FY22)</t>
  </si>
  <si>
    <t xml:space="preserve">TX_NEW - KeyPop (FY21 Targets)</t>
  </si>
  <si>
    <t xml:space="preserve">TX_NEW - KeyPop (FY22)</t>
  </si>
  <si>
    <t xml:space="preserve">% of TX_NEW Eligible for VL Test (FY22) (%)</t>
  </si>
  <si>
    <t xml:space="preserve">Proportion of eligible w/ access to VL testing (FY22) (%)</t>
  </si>
  <si>
    <t xml:space="preserve">TX_PVLS (D) - KeyPop (FY22)</t>
  </si>
  <si>
    <t xml:space="preserve">TX_PVLS (N) - KeyPop (FY22)</t>
  </si>
  <si>
    <t xml:space="preserve">TX_NEW from Previously Diagnosed (FY22) (%)</t>
  </si>
  <si>
    <t xml:space="preserve">KeyPop, Positive (FY21)</t>
  </si>
  <si>
    <t xml:space="preserve">KeyPop, Negative (FY21)</t>
  </si>
  <si>
    <t xml:space="preserve">Yield (FY22) (%)</t>
  </si>
  <si>
    <t xml:space="preserve">KeyPop, Positive (FY22)</t>
  </si>
  <si>
    <t xml:space="preserve">KeyPop, Negative (FY22)</t>
  </si>
  <si>
    <t xml:space="preserve">% of HTS_TST KeyPop Positives (FY22) (%)</t>
  </si>
  <si>
    <t xml:space="preserve">HTS_RECENT - KeyPop (FY22)</t>
  </si>
  <si>
    <t xml:space="preserve">HTS_SELF - KeyPop (FY21 Targets)</t>
  </si>
  <si>
    <t xml:space="preserve">HTS_SELF - KeyPop (FY22)</t>
  </si>
  <si>
    <t xml:space="preserve">qFyJH6fUPQk</t>
  </si>
  <si>
    <t xml:space="preserve">LADGHYIE9m1</t>
  </si>
  <si>
    <t xml:space="preserve">P3AT3zcyRhU</t>
  </si>
  <si>
    <t xml:space="preserve">LszHDl1UBp2</t>
  </si>
  <si>
    <t xml:space="preserve">lXqlw8UxoqF</t>
  </si>
  <si>
    <t xml:space="preserve">wDWUutgeEX8</t>
  </si>
  <si>
    <t xml:space="preserve">ScQASwweWXL</t>
  </si>
  <si>
    <t xml:space="preserve">OLbhrUez4dP</t>
  </si>
  <si>
    <t xml:space="preserve">ktZYUSS0Zjo</t>
  </si>
  <si>
    <t xml:space="preserve">P9OjdVVMHMW</t>
  </si>
  <si>
    <t xml:space="preserve">tGtB1nLnQjC</t>
  </si>
  <si>
    <t xml:space="preserve">ef1o9r1kDIH</t>
  </si>
  <si>
    <t xml:space="preserve">y42bZItNsea</t>
  </si>
  <si>
    <t xml:space="preserve">qL1qysWLZoq</t>
  </si>
  <si>
    <t xml:space="preserve">G7eK9Fy8PJO</t>
  </si>
  <si>
    <t xml:space="preserve">gdHE7Kk9Q1k</t>
  </si>
  <si>
    <t xml:space="preserve">VRgwEePUvdD</t>
  </si>
  <si>
    <t xml:space="preserve">rEKqsIDMOgB</t>
  </si>
  <si>
    <t xml:space="preserve">uIqAr4ev05I</t>
  </si>
  <si>
    <t xml:space="preserve">SyQHN3Jpcww</t>
  </si>
  <si>
    <t xml:space="preserve">ZYB5AHSw7Tm</t>
  </si>
  <si>
    <t xml:space="preserve">Qshwh8ZOmYD</t>
  </si>
  <si>
    <t xml:space="preserve">MA4lEpgzAxS</t>
  </si>
  <si>
    <t xml:space="preserve">uZ2UTVh2wkJ</t>
  </si>
  <si>
    <t xml:space="preserve">Hx5jjGAdVsT</t>
  </si>
  <si>
    <t xml:space="preserve">Coarse KPs</t>
  </si>
  <si>
    <t xml:space="preserve">KeyPop</t>
  </si>
  <si>
    <t xml:space="preserve">KP_ESTIMATES.Total.T</t>
  </si>
  <si>
    <t xml:space="preserve">KP_ESTIMATES.Pos.T</t>
  </si>
  <si>
    <t xml:space="preserve">KP_ESTIMATES.Prev.T</t>
  </si>
  <si>
    <t xml:space="preserve">PrEP_CURR.KP.T_1</t>
  </si>
  <si>
    <t xml:space="preserve">PrEP_CURR.KP.T</t>
  </si>
  <si>
    <t xml:space="preserve">PrEP_NEW.KP.T_1</t>
  </si>
  <si>
    <t xml:space="preserve">PrEP_NEW.KP.T</t>
  </si>
  <si>
    <t xml:space="preserve">KP_PREV.T_1</t>
  </si>
  <si>
    <t xml:space="preserve">KP_PREV.T</t>
  </si>
  <si>
    <t xml:space="preserve">TX_CURR.KP.R</t>
  </si>
  <si>
    <t xml:space="preserve">TX_CURR.KP.T_1</t>
  </si>
  <si>
    <t xml:space="preserve">TX_CURR.KP.T</t>
  </si>
  <si>
    <t xml:space="preserve">TX_NET_NEW.KP.T</t>
  </si>
  <si>
    <t xml:space="preserve">TX_NEW.KP.T_1</t>
  </si>
  <si>
    <t xml:space="preserve">TX_NET_NEW.KP.NewRt.T</t>
  </si>
  <si>
    <t xml:space="preserve">TX_RET.KP.Already.T</t>
  </si>
  <si>
    <t xml:space="preserve">TX_RET.KP.New.T</t>
  </si>
  <si>
    <t xml:space="preserve">TX_NEW.KP.T</t>
  </si>
  <si>
    <t xml:space="preserve">TX_PVLS.D.KP.Eligible</t>
  </si>
  <si>
    <t xml:space="preserve">TX_PVLS.D.KP.Access</t>
  </si>
  <si>
    <t xml:space="preserve">TX_PVLS.D.KP.T</t>
  </si>
  <si>
    <t xml:space="preserve">TX_PVLS.N.KP.Rt</t>
  </si>
  <si>
    <t xml:space="preserve">TX_PVLS.N.KP.T</t>
  </si>
  <si>
    <t xml:space="preserve">TX_NEW.KP.PrevDiag.Share.T</t>
  </si>
  <si>
    <t xml:space="preserve">TX_NEW.KP.PrevDiag.T</t>
  </si>
  <si>
    <t xml:space="preserve">TX_NEW.KP.Other.T</t>
  </si>
  <si>
    <t xml:space="preserve">HTS_TST.KP.Pos.T_1</t>
  </si>
  <si>
    <t xml:space="preserve">HTS_TST.KP.Neg.T_1</t>
  </si>
  <si>
    <t xml:space="preserve">HTS_TST.KP.Linkage.T</t>
  </si>
  <si>
    <t xml:space="preserve">HTS_TST.KP.Pos.Yield.T</t>
  </si>
  <si>
    <t xml:space="preserve">HTS_TST.KP.Pos.T</t>
  </si>
  <si>
    <t xml:space="preserve">HTS_TST.KP.Neg.T</t>
  </si>
  <si>
    <t xml:space="preserve">HTS_RECENT.KP.Cov</t>
  </si>
  <si>
    <t xml:space="preserve">HTS_RECENT.KP.T</t>
  </si>
  <si>
    <t xml:space="preserve">HTS_SELF.KP.T_1</t>
  </si>
  <si>
    <t xml:space="preserve">HTS_SELF.KP.T</t>
  </si>
  <si>
    <t xml:space="preserve">KP Validation</t>
  </si>
  <si>
    <t xml:space="preserve">HTS_TST - Positives</t>
  </si>
  <si>
    <t xml:space="preserve">HTS_TST - Negatives</t>
  </si>
  <si>
    <t xml:space="preserve">Total Targets</t>
  </si>
  <si>
    <t xml:space="preserve">KP Targets Validation</t>
  </si>
  <si>
    <t xml:space="preserve">Female, 15+ (FY22)</t>
  </si>
  <si>
    <t xml:space="preserve">AGYW, 15+ (FY22)</t>
  </si>
  <si>
    <t xml:space="preserve">Male, 15+ (FY22)</t>
  </si>
  <si>
    <t xml:space="preserve">FSW</t>
  </si>
  <si>
    <t xml:space="preserve">MSM</t>
  </si>
  <si>
    <t xml:space="preserve">People in prisons and other enclosed settings</t>
  </si>
  <si>
    <t xml:space="preserve">PWID</t>
  </si>
  <si>
    <t xml:space="preserve">TG</t>
  </si>
  <si>
    <t xml:space="preserve">PrEP_CURR.Female.T</t>
  </si>
  <si>
    <t xml:space="preserve">PrEP_CURR.AGYW.T</t>
  </si>
  <si>
    <t xml:space="preserve">PrEP_CURR.Male.T</t>
  </si>
  <si>
    <t xml:space="preserve">PrEP_CURR.KP.FSW.T</t>
  </si>
  <si>
    <t xml:space="preserve">PrEP_CURR.KP.MSM.T</t>
  </si>
  <si>
    <t xml:space="preserve">PrEP_CURR.KP.Enclosed.T</t>
  </si>
  <si>
    <t xml:space="preserve">PrEP_CURR.KP.PWID.T</t>
  </si>
  <si>
    <t xml:space="preserve">PrEP_CURR.KP.TG.T</t>
  </si>
  <si>
    <t xml:space="preserve">PrEP_NEW.Female.T</t>
  </si>
  <si>
    <t xml:space="preserve">PrEP_NEW.AGYW.T</t>
  </si>
  <si>
    <t xml:space="preserve">PrEP_NEW.Male.T</t>
  </si>
  <si>
    <t xml:space="preserve">PrEP_NEW.KP.FSW.T</t>
  </si>
  <si>
    <t xml:space="preserve">PrEP_NEW.KP.MSM.T</t>
  </si>
  <si>
    <t xml:space="preserve">PrEP_NEW.KP.Enclosed.T</t>
  </si>
  <si>
    <t xml:space="preserve">PrEP_NEW.KP.PWID.T</t>
  </si>
  <si>
    <t xml:space="preserve">PrEP_NEW.KP.TG.T</t>
  </si>
  <si>
    <t xml:space="preserve">TX_CURR.Female.T</t>
  </si>
  <si>
    <t xml:space="preserve">TX_CURR.Male.T</t>
  </si>
  <si>
    <t xml:space="preserve">TX_CURR.KP.FSW.T</t>
  </si>
  <si>
    <t xml:space="preserve">TX_CURR.KP.MSM.T</t>
  </si>
  <si>
    <t xml:space="preserve">TX_CURR.KP.Enclosed.T</t>
  </si>
  <si>
    <t xml:space="preserve">TX_CURR.KP.PWID.T</t>
  </si>
  <si>
    <t xml:space="preserve">TX_CURR.KP.TG.T</t>
  </si>
  <si>
    <t xml:space="preserve">TX_NEW.Female.T</t>
  </si>
  <si>
    <t xml:space="preserve">TX_NEW.Male.T</t>
  </si>
  <si>
    <t xml:space="preserve">TX_NEW.KP.FSW.T</t>
  </si>
  <si>
    <t xml:space="preserve">TX_NEW.KP.MSM.T</t>
  </si>
  <si>
    <t xml:space="preserve">TX_NEW.KP.Enclosed.T</t>
  </si>
  <si>
    <t xml:space="preserve">TX_NEW.KP.PWID.T</t>
  </si>
  <si>
    <t xml:space="preserve">TX_NEW.KP.TG.T</t>
  </si>
  <si>
    <t xml:space="preserve">TX_PVLS.D.Female.T</t>
  </si>
  <si>
    <t xml:space="preserve">TX_PVLS.D.Male.T</t>
  </si>
  <si>
    <t xml:space="preserve">TX_PVLS.D.KP.FSW.T</t>
  </si>
  <si>
    <t xml:space="preserve">TX_PVLS.D.KP.MSM.T</t>
  </si>
  <si>
    <t xml:space="preserve">TX_PVLS.D.KP.Enclosed.T</t>
  </si>
  <si>
    <t xml:space="preserve">TX_PVLS.D.KP.PWID.T</t>
  </si>
  <si>
    <t xml:space="preserve">TX_PVLS.D.KP.TG.T</t>
  </si>
  <si>
    <t xml:space="preserve">TX_PVLS.N.Female.T</t>
  </si>
  <si>
    <t xml:space="preserve">TX_PVLS.Male.T</t>
  </si>
  <si>
    <t xml:space="preserve">TX_PVLS.N.KP.FSW.T</t>
  </si>
  <si>
    <t xml:space="preserve">TX_PVLS.N.KP.MSM.T</t>
  </si>
  <si>
    <t xml:space="preserve">TX_PVLS.N.KP.Enclosed.T</t>
  </si>
  <si>
    <t xml:space="preserve">TX_PVLS.N.KP.PWID.T</t>
  </si>
  <si>
    <t xml:space="preserve">TX_PVLS.N.KP.TG.T</t>
  </si>
  <si>
    <t xml:space="preserve">HTS_TST.Pos.Female.T</t>
  </si>
  <si>
    <t xml:space="preserve">HTS_TST.Pos.Male.T</t>
  </si>
  <si>
    <t xml:space="preserve">HTS_TST.Pos.KP.FSW.T</t>
  </si>
  <si>
    <t xml:space="preserve">HTS_TST.Pos.KP.MSM.T</t>
  </si>
  <si>
    <t xml:space="preserve">HTS_TST.Pos.KP.Enclosed.T</t>
  </si>
  <si>
    <t xml:space="preserve">HTS_TST.Pos.KP.PWID.T</t>
  </si>
  <si>
    <t xml:space="preserve">HTS_TST.Pos.KP.TG.T</t>
  </si>
  <si>
    <t xml:space="preserve">HTS_TST.Neg.Female.T</t>
  </si>
  <si>
    <t xml:space="preserve">HTS_TST.Neg.Male.T</t>
  </si>
  <si>
    <t xml:space="preserve">HTS_TST.Neg.KP.FSW.T</t>
  </si>
  <si>
    <t xml:space="preserve">HTS_TST.Neg.KP.MSM.T</t>
  </si>
  <si>
    <t xml:space="preserve">HTS_TST.Neg.KP.Enclosed.T</t>
  </si>
  <si>
    <t xml:space="preserve">HTS_TST.Neg.KP.PWID.T</t>
  </si>
  <si>
    <t xml:space="preserve">HTS_TST.Neg.KP.TG.T</t>
  </si>
  <si>
    <t xml:space="preserve">HTS_RECENT.Female.T</t>
  </si>
  <si>
    <t xml:space="preserve">HTS_RECENT.Male.T</t>
  </si>
  <si>
    <t xml:space="preserve">HTS_RECENT.KP.FSW.T</t>
  </si>
  <si>
    <t xml:space="preserve">HTS_RECENT.KP.MSM.T</t>
  </si>
  <si>
    <t xml:space="preserve">HTS_RECENT.KP.Enclosed.T</t>
  </si>
  <si>
    <t xml:space="preserve">HTS_RECENT.KP.PWID.T</t>
  </si>
  <si>
    <t xml:space="preserve">HTS_RECENT.KP.TG.T</t>
  </si>
  <si>
    <t xml:space="preserve">HTS_SELF.Female.T</t>
  </si>
  <si>
    <t xml:space="preserve">HTS_SELF.Male.T</t>
  </si>
  <si>
    <t xml:space="preserve">HTS_SELF.KP.FSW.T</t>
  </si>
  <si>
    <t xml:space="preserve">HTS_SELF.KP.MSM.T</t>
  </si>
  <si>
    <t xml:space="preserve">HTS_SELF.KP.Enclosed.T</t>
  </si>
  <si>
    <t xml:space="preserve">HTS_SELF.KP.PWID.T</t>
  </si>
  <si>
    <t xml:space="preserve">HTS_SELF.KP.TG.T</t>
  </si>
  <si>
    <t xml:space="preserve">KP_MAT</t>
  </si>
  <si>
    <t xml:space="preserve">Host Country Est. KP_MAT_SUBNAT (FY21)</t>
  </si>
  <si>
    <t xml:space="preserve">PEPFAR KP_MAT (FY21 Targets)</t>
  </si>
  <si>
    <t xml:space="preserve">Observed PEPFAR Coverage of KP_MAT_SUBNAT (FY21 Targets) (%)</t>
  </si>
  <si>
    <t xml:space="preserve">Targeted PEPFAR Coverage of KP_MAT_SUBNAT (FY22) (%)</t>
  </si>
  <si>
    <t xml:space="preserve">Targeted Change in KP_MAT (FY22) (%)</t>
  </si>
  <si>
    <t xml:space="preserve">KP_MAT (FY22)</t>
  </si>
  <si>
    <t xml:space="preserve">Host Country KP_MAT_SUBNAT (FY22)</t>
  </si>
  <si>
    <t xml:space="preserve">ctGo7s0K63z</t>
  </si>
  <si>
    <t xml:space="preserve">gG0fbMLqEB5</t>
  </si>
  <si>
    <t xml:space="preserve">KJZrqS4XcJ2</t>
  </si>
  <si>
    <t xml:space="preserve">KP_MAT_SUBNAT.T_1</t>
  </si>
  <si>
    <t xml:space="preserve">KP_MAT.T_1</t>
  </si>
  <si>
    <t xml:space="preserve">KP_MAT.NatlContr.T_1</t>
  </si>
  <si>
    <t xml:space="preserve">KP_MAT.NatlContr.T</t>
  </si>
  <si>
    <t xml:space="preserve">KP_MAT.Growth.T</t>
  </si>
  <si>
    <t xml:space="preserve">KP_MAT.T</t>
  </si>
  <si>
    <t xml:space="preserve">KP_MAT_SUBNAT.T</t>
  </si>
  <si>
    <t xml:space="preserve">SNU x IM</t>
  </si>
  <si>
    <t xml:space="preserve">Percentage Allocation (Do not delete IMs. Unhide buffer and type into column to right, using format "#####_DSD")</t>
  </si>
  <si>
    <t xml:space="preserve">Deduplication</t>
  </si>
  <si>
    <t xml:space="preserve">Target Values (Do not edit or alter. To adjust, edit corresponding percentages to left.)</t>
  </si>
  <si>
    <t xml:space="preserve">SNU x IM Target Allocation Percentages</t>
  </si>
  <si>
    <t xml:space="preserve">Deduplicated Total</t>
  </si>
  <si>
    <t xml:space="preserve">Deduplicated DSD</t>
  </si>
  <si>
    <t xml:space="preserve">Deduplicated TA</t>
  </si>
  <si>
    <t xml:space="preserve">Mechanism-Level Targets</t>
  </si>
  <si>
    <t xml:space="preserve">Confirm or reallocate DataPackTarget values among Mechanisms in row 14.
Make sure targets have been 100% distributed by confirming Rollup and DataPackTarget columns are equal.</t>
  </si>
  <si>
    <t xml:space="preserve">Enter "SUM", "MAX", or "CUSTOM" below. (Blank assumes "SUM".)</t>
  </si>
  <si>
    <t xml:space="preserve">If "CUSTOM", enter negative Dedupe allocation (%) below, to add to positive IM allocations (%).</t>
  </si>
  <si>
    <t xml:space="preserve">allocation</t>
  </si>
  <si>
    <t xml:space="preserve">NA</t>
  </si>
  <si>
    <t xml:space="preserve">DataPackTarget</t>
  </si>
  <si>
    <t xml:space="preserve">Rollup</t>
  </si>
  <si>
    <t xml:space="preserve">12345_DSD</t>
  </si>
  <si>
    <t xml:space="preserve">SUM - Crosswalk Total</t>
  </si>
  <si>
    <t xml:space="preserve">MAX - Crosswalk Total</t>
  </si>
  <si>
    <t xml:space="preserve">Crosswalk Dedupe Resolution (FY22)</t>
  </si>
  <si>
    <t xml:space="preserve">Custom Crosswalk Dedupe Allocation (FY22) (% of DataPackTarget)</t>
  </si>
  <si>
    <t xml:space="preserve">Total Deduplicated Rollup (FY22)</t>
  </si>
  <si>
    <t xml:space="preserve">SUM - DSD</t>
  </si>
  <si>
    <t xml:space="preserve">MAX - DSD</t>
  </si>
  <si>
    <t xml:space="preserve">DSD Count</t>
  </si>
  <si>
    <t xml:space="preserve">DSD Dedupe Resolution (FY22)</t>
  </si>
  <si>
    <t xml:space="preserve">Custom DSD Dedupe Allocation (FY22) (% of DataPackTarget)</t>
  </si>
  <si>
    <t xml:space="preserve">Deduplicated DSD Rollup (FY22)</t>
  </si>
  <si>
    <t xml:space="preserve">SUM - TA</t>
  </si>
  <si>
    <t xml:space="preserve">MAX - TA</t>
  </si>
  <si>
    <t xml:space="preserve">TA Count</t>
  </si>
  <si>
    <t xml:space="preserve">TA Dedupe Resolution (FY22)</t>
  </si>
  <si>
    <t xml:space="preserve">Custom TA Dedupe Allocation (FY22) (% of DataPackTarget)</t>
  </si>
  <si>
    <t xml:space="preserve">Deduplicated TA Rollup (FY22)</t>
  </si>
</sst>
</file>

<file path=xl/styles.xml><?xml version="1.0" encoding="utf-8"?>
<styleSheet xmlns="http://schemas.openxmlformats.org/spreadsheetml/2006/main">
  <numFmts count="9">
    <numFmt numFmtId="164" formatCode="General"/>
    <numFmt numFmtId="165" formatCode="0%"/>
    <numFmt numFmtId="166" formatCode="DDDD&quot;, &quot;MMM\ DD&quot;, &quot;YYYY"/>
    <numFmt numFmtId="167" formatCode="#,##0"/>
    <numFmt numFmtId="168" formatCode="@"/>
    <numFmt numFmtId="169" formatCode="_(* #,##0_);_(* \(#,##0\);_(* \-_);_(@_)"/>
    <numFmt numFmtId="170" formatCode="0.00%"/>
    <numFmt numFmtId="171" formatCode="_(* #,##0.00_);_(* \(#,##0.00\);_(* \-??_);_(@_)"/>
    <numFmt numFmtId="172" formatCode="_(* #,##0_);_(* \(#,##0\);_(* \-??_);_(@_)"/>
  </numFmts>
  <fonts count="39">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36"/>
      <color rgb="FF7F7F7F"/>
      <name val="Calibri"/>
      <family val="2"/>
      <charset val="1"/>
    </font>
    <font>
      <b val="true"/>
      <sz val="76"/>
      <color rgb="FF000000"/>
      <name val="Calibri"/>
      <family val="2"/>
      <charset val="1"/>
    </font>
    <font>
      <b val="true"/>
      <sz val="64"/>
      <color rgb="FF9CBEBD"/>
      <name val="Calibri"/>
      <family val="2"/>
      <charset val="1"/>
    </font>
    <font>
      <sz val="12"/>
      <color rgb="FFFFFFFF"/>
      <name val="Calibri"/>
      <family val="2"/>
      <charset val="1"/>
    </font>
    <font>
      <b val="true"/>
      <sz val="26"/>
      <color rgb="FFFFFFFF"/>
      <name val="Calibri"/>
      <family val="2"/>
      <charset val="1"/>
    </font>
    <font>
      <sz val="12"/>
      <color rgb="FF0563C1"/>
      <name val="Calibri"/>
      <family val="2"/>
      <charset val="1"/>
    </font>
    <font>
      <b val="true"/>
      <sz val="36"/>
      <color rgb="FF000000"/>
      <name val="Calibri"/>
      <family val="2"/>
      <charset val="1"/>
    </font>
    <font>
      <sz val="16"/>
      <color rgb="FFFFFFFF"/>
      <name val="Calibri"/>
      <family val="2"/>
      <charset val="1"/>
    </font>
    <font>
      <b val="true"/>
      <sz val="12"/>
      <color rgb="FF000000"/>
      <name val="Calibri"/>
      <family val="2"/>
      <charset val="1"/>
    </font>
    <font>
      <b val="true"/>
      <sz val="36"/>
      <color rgb="FF0563C1"/>
      <name val="Calibri"/>
      <family val="2"/>
      <charset val="1"/>
    </font>
    <font>
      <sz val="11"/>
      <color rgb="FFFFFFFF"/>
      <name val="Calibri"/>
      <family val="2"/>
      <charset val="1"/>
    </font>
    <font>
      <i val="true"/>
      <sz val="12"/>
      <color rgb="FF000000"/>
      <name val="Calibri"/>
      <family val="2"/>
      <charset val="1"/>
    </font>
    <font>
      <b val="true"/>
      <sz val="14"/>
      <color rgb="FF595959"/>
      <name val="Calibri"/>
      <family val="2"/>
    </font>
    <font>
      <sz val="9"/>
      <color rgb="FF595959"/>
      <name val="Calibri"/>
      <family val="2"/>
    </font>
    <font>
      <b val="true"/>
      <u val="single"/>
      <sz val="12"/>
      <color rgb="FF000000"/>
      <name val="Calibri"/>
      <family val="2"/>
      <charset val="1"/>
    </font>
    <font>
      <b val="true"/>
      <sz val="18"/>
      <color rgb="FF000000"/>
      <name val="Calibri"/>
      <family val="2"/>
      <charset val="1"/>
    </font>
    <font>
      <sz val="18"/>
      <color rgb="FF000000"/>
      <name val="Calibri"/>
      <family val="2"/>
      <charset val="1"/>
    </font>
    <font>
      <i val="true"/>
      <sz val="14"/>
      <color rgb="FF000000"/>
      <name val="Calibri"/>
      <family val="2"/>
      <charset val="1"/>
    </font>
    <font>
      <b val="true"/>
      <i val="true"/>
      <sz val="14"/>
      <color rgb="FF000000"/>
      <name val="Calibri"/>
      <family val="2"/>
      <charset val="1"/>
    </font>
    <font>
      <b val="true"/>
      <sz val="12"/>
      <color rgb="FFC2D8D8"/>
      <name val="Calibri"/>
      <family val="2"/>
      <charset val="1"/>
    </font>
    <font>
      <sz val="12"/>
      <color rgb="FFC2D8D8"/>
      <name val="Calibri"/>
      <family val="2"/>
      <charset val="1"/>
    </font>
    <font>
      <sz val="14"/>
      <color rgb="FF000000"/>
      <name val="Calibri"/>
      <family val="2"/>
      <charset val="1"/>
    </font>
    <font>
      <b val="true"/>
      <sz val="12"/>
      <color rgb="FF0563C1"/>
      <name val="Calibri"/>
      <family val="2"/>
      <charset val="1"/>
    </font>
    <font>
      <b val="true"/>
      <sz val="10"/>
      <color rgb="FF000000"/>
      <name val="Tahoma"/>
      <family val="2"/>
      <charset val="1"/>
    </font>
    <font>
      <sz val="10"/>
      <color rgb="FF000000"/>
      <name val="Tahoma"/>
      <family val="2"/>
      <charset val="1"/>
    </font>
    <font>
      <b val="true"/>
      <sz val="12"/>
      <name val="Calibri"/>
      <family val="2"/>
      <charset val="1"/>
    </font>
    <font>
      <sz val="12"/>
      <name val="Calibri"/>
      <family val="2"/>
      <charset val="1"/>
    </font>
    <font>
      <b val="true"/>
      <sz val="10"/>
      <color rgb="FF000000"/>
      <name val="Tahoma"/>
      <family val="0"/>
      <charset val="1"/>
    </font>
    <font>
      <sz val="10"/>
      <color rgb="FF000000"/>
      <name val="Tahoma"/>
      <family val="0"/>
      <charset val="1"/>
    </font>
    <font>
      <sz val="8"/>
      <color rgb="FF000000"/>
      <name val="Tahoma"/>
      <family val="2"/>
      <charset val="1"/>
    </font>
    <font>
      <sz val="12"/>
      <color rgb="FF9C0006"/>
      <name val="Calibri"/>
      <family val="2"/>
      <charset val="1"/>
    </font>
    <font>
      <b val="true"/>
      <sz val="14"/>
      <color rgb="FF000000"/>
      <name val="Calibri"/>
      <family val="2"/>
      <charset val="1"/>
    </font>
    <font>
      <b val="true"/>
      <sz val="11"/>
      <color rgb="FF000000"/>
      <name val="Calibri"/>
      <family val="2"/>
      <charset val="1"/>
    </font>
    <font>
      <b val="true"/>
      <i val="true"/>
      <sz val="11"/>
      <color rgb="FF000000"/>
      <name val="Calibri"/>
      <family val="2"/>
      <charset val="1"/>
    </font>
  </fonts>
  <fills count="13">
    <fill>
      <patternFill patternType="none"/>
    </fill>
    <fill>
      <patternFill patternType="gray125"/>
    </fill>
    <fill>
      <patternFill patternType="solid">
        <fgColor rgb="FFFFC7CE"/>
        <bgColor rgb="FFD9D9D9"/>
      </patternFill>
    </fill>
    <fill>
      <patternFill patternType="solid">
        <fgColor rgb="FF404040"/>
        <bgColor rgb="FF333300"/>
      </patternFill>
    </fill>
    <fill>
      <patternFill patternType="solid">
        <fgColor rgb="FF9CBEBD"/>
        <bgColor rgb="FFBFBFBF"/>
      </patternFill>
    </fill>
    <fill>
      <patternFill patternType="solid">
        <fgColor rgb="FFFFEB84"/>
        <bgColor rgb="FFFFE699"/>
      </patternFill>
    </fill>
    <fill>
      <patternFill patternType="solid">
        <fgColor rgb="FFE4E0A7"/>
        <bgColor rgb="FFFFE699"/>
      </patternFill>
    </fill>
    <fill>
      <patternFill patternType="solid">
        <fgColor rgb="FFBFBFBF"/>
        <bgColor rgb="FF9CBEBD"/>
      </patternFill>
    </fill>
    <fill>
      <patternFill patternType="solid">
        <fgColor rgb="FFC2D8D8"/>
        <bgColor rgb="FFD9D9D9"/>
      </patternFill>
    </fill>
    <fill>
      <patternFill patternType="solid">
        <fgColor rgb="FFFFF2CC"/>
        <bgColor rgb="FFFFEB9C"/>
      </patternFill>
    </fill>
    <fill>
      <patternFill patternType="solid">
        <fgColor rgb="FFFFFF00"/>
        <bgColor rgb="FFFFEB84"/>
      </patternFill>
    </fill>
    <fill>
      <patternFill patternType="solid">
        <fgColor rgb="FFFF0000"/>
        <bgColor rgb="FFC00000"/>
      </patternFill>
    </fill>
    <fill>
      <patternFill patternType="solid">
        <fgColor rgb="FFFFE699"/>
        <bgColor rgb="FFFFEB9C"/>
      </patternFill>
    </fill>
  </fills>
  <borders count="27">
    <border diagonalUp="false" diagonalDown="false">
      <left/>
      <right/>
      <top/>
      <bottom/>
      <diagonal/>
    </border>
    <border diagonalUp="false" diagonalDown="false">
      <left style="thin">
        <color rgb="FFD9D9D9"/>
      </left>
      <right/>
      <top style="thin">
        <color rgb="FFD9D9D9"/>
      </top>
      <bottom/>
      <diagonal/>
    </border>
    <border diagonalUp="false" diagonalDown="false">
      <left/>
      <right/>
      <top style="thin">
        <color rgb="FFD9D9D9"/>
      </top>
      <bottom/>
      <diagonal/>
    </border>
    <border diagonalUp="false" diagonalDown="false">
      <left/>
      <right style="thin">
        <color rgb="FFD9D9D9"/>
      </right>
      <top style="thin">
        <color rgb="FFD9D9D9"/>
      </top>
      <bottom/>
      <diagonal/>
    </border>
    <border diagonalUp="false" diagonalDown="false">
      <left style="thin">
        <color rgb="FFD9D9D9"/>
      </left>
      <right style="thin">
        <color rgb="FFD9D9D9"/>
      </right>
      <top/>
      <bottom/>
      <diagonal/>
    </border>
    <border diagonalUp="false" diagonalDown="false">
      <left style="thin">
        <color rgb="FFD9D9D9"/>
      </left>
      <right/>
      <top/>
      <bottom style="thin">
        <color rgb="FFD9D9D9"/>
      </bottom>
      <diagonal/>
    </border>
    <border diagonalUp="false" diagonalDown="false">
      <left/>
      <right/>
      <top/>
      <bottom style="thin">
        <color rgb="FFD9D9D9"/>
      </bottom>
      <diagonal/>
    </border>
    <border diagonalUp="false" diagonalDown="false">
      <left/>
      <right style="thin">
        <color rgb="FFD9D9D9"/>
      </right>
      <top/>
      <bottom style="thin">
        <color rgb="FFD9D9D9"/>
      </bottom>
      <diagonal/>
    </border>
    <border diagonalUp="false" diagonalDown="false">
      <left style="thin">
        <color rgb="FFD9D9D9"/>
      </left>
      <right/>
      <top/>
      <bottom/>
      <diagonal/>
    </border>
    <border diagonalUp="false" diagonalDown="false">
      <left/>
      <right style="thin">
        <color rgb="FFD9D9D9"/>
      </right>
      <top/>
      <bottom/>
      <diagonal/>
    </border>
    <border diagonalUp="false" diagonalDown="false">
      <left/>
      <right style="thin"/>
      <top/>
      <bottom style="thin"/>
      <diagonal/>
    </border>
    <border diagonalUp="false" diagonalDown="false">
      <left style="thin"/>
      <right/>
      <top/>
      <bottom style="thin"/>
      <diagonal/>
    </border>
    <border diagonalUp="false" diagonalDown="false">
      <left style="thin">
        <color rgb="FFD9D9D9"/>
      </left>
      <right style="thin"/>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color rgb="FFD9D9D9"/>
      </left>
      <right style="thin"/>
      <top style="thin"/>
      <bottom style="thin"/>
      <diagonal/>
    </border>
    <border diagonalUp="false" diagonalDown="false">
      <left style="thin">
        <color rgb="FFD9D9D9"/>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medium"/>
      <right style="medium"/>
      <top style="medium"/>
      <bottom style="medium"/>
      <diagonal/>
    </border>
    <border diagonalUp="false" diagonalDown="false">
      <left style="thick">
        <color rgb="FFE7E6E6"/>
      </left>
      <right/>
      <top/>
      <bottom/>
      <diagonal/>
    </border>
    <border diagonalUp="false" diagonalDown="false">
      <left/>
      <right style="medium">
        <color rgb="FFE7E6E6"/>
      </right>
      <top/>
      <bottom/>
      <diagonal/>
    </border>
    <border diagonalUp="false" diagonalDown="false">
      <left style="medium">
        <color rgb="FFE7E6E6"/>
      </left>
      <right/>
      <top/>
      <bottom/>
      <diagonal/>
    </border>
    <border diagonalUp="false" diagonalDown="false">
      <left/>
      <right style="thick">
        <color rgb="FFE7E6E6"/>
      </right>
      <top/>
      <bottom/>
      <diagonal/>
    </border>
    <border diagonalUp="false" diagonalDown="false">
      <left style="medium"/>
      <right/>
      <top style="medium"/>
      <bottom style="medium"/>
      <diagonal/>
    </border>
    <border diagonalUp="false" diagonalDown="false">
      <left/>
      <right style="medium"/>
      <top style="medium"/>
      <bottom style="mediu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4" fontId="35" fillId="2" borderId="0" applyFont="true" applyBorder="false" applyAlignment="true" applyProtection="false">
      <alignment horizontal="general" vertical="bottom" textRotation="0" wrapText="false" indent="0" shrinkToFit="false"/>
    </xf>
  </cellStyleXfs>
  <cellXfs count="37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3" borderId="0" xfId="2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right" vertical="center" textRotation="0" wrapText="false" indent="0" shrinkToFit="false"/>
      <protection locked="true" hidden="false"/>
    </xf>
    <xf numFmtId="164" fontId="12" fillId="3" borderId="0" xfId="20" applyFont="true" applyBorder="true" applyAlignment="true" applyProtection="true">
      <alignment horizontal="center"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8" fillId="3" borderId="0" xfId="20" applyFont="true" applyBorder="true" applyAlignment="true" applyProtection="true">
      <alignment horizontal="center" vertical="center" textRotation="0" wrapText="false" indent="0" shrinkToFit="false"/>
      <protection locked="true" hidden="false"/>
    </xf>
    <xf numFmtId="164" fontId="8" fillId="3" borderId="0" xfId="20" applyFont="true" applyBorder="true" applyAlignment="true" applyProtection="true">
      <alignment horizontal="general" vertical="center"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1"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5" fontId="14" fillId="0" borderId="4" xfId="19" applyFont="true" applyBorder="true" applyAlignment="true" applyProtection="true">
      <alignment horizontal="center" vertical="center" textRotation="0" wrapText="false" indent="0" shrinkToFit="false"/>
      <protection locked="true" hidden="false"/>
    </xf>
    <xf numFmtId="167" fontId="14" fillId="0" borderId="4" xfId="20" applyFont="true" applyBorder="true" applyAlignment="true" applyProtection="true">
      <alignment horizontal="center" vertical="bottom" textRotation="0" wrapText="false" indent="0" shrinkToFit="false"/>
      <protection locked="true" hidden="false"/>
    </xf>
    <xf numFmtId="164" fontId="15" fillId="3" borderId="0" xfId="20" applyFont="true" applyBorder="true" applyAlignment="true" applyProtection="true">
      <alignment horizontal="center"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16" fillId="0" borderId="10" xfId="0" applyFont="true" applyBorder="true" applyAlignment="true" applyProtection="false">
      <alignment horizontal="center" vertical="top" textRotation="0" wrapText="true" indent="0" shrinkToFit="false"/>
      <protection locked="true" hidden="false"/>
    </xf>
    <xf numFmtId="164" fontId="16" fillId="0" borderId="11" xfId="0" applyFont="true" applyBorder="true" applyAlignment="true" applyProtection="false">
      <alignment horizontal="center" vertical="top" textRotation="0" wrapText="tru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6" fillId="0" borderId="12" xfId="0" applyFont="true" applyBorder="true" applyAlignment="true" applyProtection="false">
      <alignment horizontal="right" vertical="bottom" textRotation="0" wrapText="false" indent="0" shrinkToFit="false"/>
      <protection locked="true" hidden="false"/>
    </xf>
    <xf numFmtId="167" fontId="0" fillId="0" borderId="14" xfId="0" applyFont="true" applyBorder="true" applyAlignment="false" applyProtection="false">
      <alignment horizontal="general" vertical="bottom" textRotation="0" wrapText="false" indent="0" shrinkToFit="false"/>
      <protection locked="true" hidden="false"/>
    </xf>
    <xf numFmtId="167" fontId="0" fillId="0" borderId="15" xfId="0" applyFont="true" applyBorder="true" applyAlignment="false" applyProtection="false">
      <alignment horizontal="general" vertical="bottom" textRotation="0" wrapText="false" indent="0" shrinkToFit="false"/>
      <protection locked="true" hidden="false"/>
    </xf>
    <xf numFmtId="164" fontId="16" fillId="0" borderId="16" xfId="0" applyFont="true" applyBorder="true" applyAlignment="true" applyProtection="false">
      <alignment horizontal="right" vertical="bottom" textRotation="0" wrapText="false" indent="0" shrinkToFit="false"/>
      <protection locked="true" hidden="false"/>
    </xf>
    <xf numFmtId="164" fontId="16" fillId="0" borderId="17" xfId="0" applyFont="true" applyBorder="true" applyAlignment="true" applyProtection="false">
      <alignment horizontal="right" vertical="bottom" textRotation="0" wrapText="false" indent="0" shrinkToFit="false"/>
      <protection locked="true" hidden="false"/>
    </xf>
    <xf numFmtId="167" fontId="0" fillId="0" borderId="18" xfId="0" applyFont="true" applyBorder="true" applyAlignment="false" applyProtection="false">
      <alignment horizontal="general" vertical="bottom" textRotation="0" wrapText="false" indent="0" shrinkToFit="false"/>
      <protection locked="true" hidden="false"/>
    </xf>
    <xf numFmtId="167" fontId="0" fillId="0" borderId="19"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center"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8" fontId="13" fillId="0" borderId="0" xfId="0" applyFont="true" applyBorder="false" applyAlignment="false" applyProtection="false">
      <alignment horizontal="general" vertical="bottom" textRotation="0" wrapText="false" indent="0" shrinkToFit="false"/>
      <protection locked="true" hidden="false"/>
    </xf>
    <xf numFmtId="164" fontId="13" fillId="5" borderId="20" xfId="0" applyFont="true" applyBorder="true" applyAlignment="true" applyProtection="false">
      <alignment horizontal="center" vertical="bottom" textRotation="0" wrapText="false" indent="0" shrinkToFit="false"/>
      <protection locked="true" hidden="false"/>
    </xf>
    <xf numFmtId="164" fontId="13" fillId="4" borderId="0" xfId="0" applyFont="true" applyBorder="false" applyAlignment="false" applyProtection="false">
      <alignment horizontal="general" vertical="bottom" textRotation="0" wrapText="false" indent="0" shrinkToFit="false"/>
      <protection locked="true" hidden="false"/>
    </xf>
    <xf numFmtId="164" fontId="19" fillId="4"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4" fontId="0" fillId="4" borderId="0" xfId="0" applyFont="false" applyBorder="false" applyAlignment="true" applyProtection="false">
      <alignment horizontal="general" vertical="top" textRotation="0" wrapText="true" indent="0" shrinkToFit="false"/>
      <protection locked="true" hidden="false"/>
    </xf>
    <xf numFmtId="164" fontId="0" fillId="0" borderId="0" xfId="19" applyFont="true" applyBorder="true" applyAlignment="true" applyProtection="tru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8" fontId="20" fillId="0" borderId="0" xfId="0" applyFont="true" applyBorder="false" applyAlignment="true" applyProtection="false">
      <alignment horizontal="general" vertical="center" textRotation="0" wrapText="false" indent="0" shrinkToFit="false"/>
      <protection locked="true" hidden="false"/>
    </xf>
    <xf numFmtId="164" fontId="20" fillId="6" borderId="0" xfId="19" applyFont="true" applyBorder="true" applyAlignment="true" applyProtection="true">
      <alignment horizontal="left" vertical="center" textRotation="0" wrapText="false" indent="0" shrinkToFit="false"/>
      <protection locked="true" hidden="false"/>
    </xf>
    <xf numFmtId="164" fontId="21" fillId="6" borderId="0" xfId="19" applyFont="true" applyBorder="true" applyAlignment="true" applyProtection="tru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8" fontId="22" fillId="0" borderId="0" xfId="19" applyFont="true" applyBorder="true" applyAlignment="true" applyProtection="true">
      <alignment horizontal="general" vertical="bottom" textRotation="0" wrapText="false" indent="0" shrinkToFit="false"/>
      <protection locked="true" hidden="false"/>
    </xf>
    <xf numFmtId="164" fontId="22" fillId="0" borderId="0" xfId="19" applyFont="true" applyBorder="true" applyAlignment="true" applyProtection="true">
      <alignment horizontal="left" vertical="bottom" textRotation="0" wrapText="false" indent="0" shrinkToFit="false"/>
      <protection locked="true" hidden="false"/>
    </xf>
    <xf numFmtId="164" fontId="23" fillId="0" borderId="0" xfId="19" applyFont="true" applyBorder="true" applyAlignment="true" applyProtection="true">
      <alignment horizontal="left" vertical="bottom" textRotation="0" wrapText="false" indent="0" shrinkToFit="false"/>
      <protection locked="true" hidden="false"/>
    </xf>
    <xf numFmtId="164" fontId="22" fillId="0" borderId="0" xfId="19" applyFont="true" applyBorder="true" applyAlignment="true" applyProtection="true">
      <alignment horizontal="general" vertical="bottom" textRotation="0" wrapText="false" indent="0" shrinkToFit="false"/>
      <protection locked="true" hidden="false"/>
    </xf>
    <xf numFmtId="169" fontId="22" fillId="0" borderId="0" xfId="19" applyFont="tru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center" textRotation="0" wrapText="true" indent="0" shrinkToFit="false"/>
      <protection locked="true" hidden="false"/>
    </xf>
    <xf numFmtId="164" fontId="0" fillId="7" borderId="0" xfId="19" applyFont="true" applyBorder="true" applyAlignment="true" applyProtection="true">
      <alignment horizontal="center" vertical="center" textRotation="0" wrapText="true" indent="0" shrinkToFit="false"/>
      <protection locked="true" hidden="false"/>
    </xf>
    <xf numFmtId="164" fontId="13" fillId="4" borderId="0" xfId="19" applyFont="true" applyBorder="true" applyAlignment="true" applyProtection="true">
      <alignment horizontal="center" vertical="center" textRotation="0" wrapText="tru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13" fillId="8" borderId="0" xfId="0" applyFont="true" applyBorder="false" applyAlignment="false" applyProtection="false">
      <alignment horizontal="general" vertical="bottom" textRotation="0" wrapText="false" indent="0" shrinkToFit="false"/>
      <protection locked="true" hidden="false"/>
    </xf>
    <xf numFmtId="164" fontId="24" fillId="8" borderId="0" xfId="19" applyFont="true" applyBorder="true" applyAlignment="true" applyProtection="true">
      <alignment horizontal="left" vertical="bottom" textRotation="0" wrapText="false" indent="0" shrinkToFit="false"/>
      <protection locked="true" hidden="false"/>
    </xf>
    <xf numFmtId="164" fontId="25" fillId="8" borderId="0" xfId="19" applyFont="true" applyBorder="true" applyAlignment="true" applyProtection="tru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7"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true" applyBorder="false" applyAlignment="false" applyProtection="false">
      <alignment horizontal="general" vertical="bottom" textRotation="0" wrapText="false" indent="0" shrinkToFit="false"/>
      <protection locked="true" hidden="false"/>
    </xf>
    <xf numFmtId="170" fontId="13"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7" fontId="0" fillId="0" borderId="21" xfId="15" applyFont="true" applyBorder="true" applyAlignment="true" applyProtection="true">
      <alignment horizontal="general"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7" fontId="13" fillId="0" borderId="0" xfId="15" applyFont="true" applyBorder="true" applyAlignment="true" applyProtection="true">
      <alignment horizontal="general" vertical="bottom" textRotation="0" wrapText="false" indent="0" shrinkToFit="false"/>
      <protection locked="true" hidden="false"/>
    </xf>
    <xf numFmtId="167" fontId="13" fillId="0" borderId="21" xfId="0" applyFont="true" applyBorder="true" applyAlignment="false" applyProtection="false">
      <alignment horizontal="general" vertical="bottom" textRotation="0" wrapText="false" indent="0" shrinkToFit="false"/>
      <protection locked="true" hidden="false"/>
    </xf>
    <xf numFmtId="167" fontId="13" fillId="0" borderId="0" xfId="0" applyFont="true" applyBorder="true" applyAlignment="false" applyProtection="false">
      <alignment horizontal="general" vertical="bottom" textRotation="0" wrapText="false" indent="0" shrinkToFit="false"/>
      <protection locked="true" hidden="false"/>
    </xf>
    <xf numFmtId="165" fontId="0" fillId="0" borderId="21" xfId="19" applyFont="true" applyBorder="true" applyAlignment="true" applyProtection="true">
      <alignment horizontal="general" vertical="bottom" textRotation="0" wrapText="false" indent="0" shrinkToFit="false"/>
      <protection locked="true" hidden="false"/>
    </xf>
    <xf numFmtId="165" fontId="0" fillId="0" borderId="0" xfId="19" applyFont="true" applyBorder="true" applyAlignment="true" applyProtection="tru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7" fontId="13" fillId="0" borderId="0" xfId="19" applyFont="true" applyBorder="true" applyAlignment="true" applyProtection="true">
      <alignment horizontal="general" vertical="bottom" textRotation="0" wrapText="false" indent="0" shrinkToFit="false"/>
      <protection locked="true" hidden="false"/>
    </xf>
    <xf numFmtId="165" fontId="0" fillId="0" borderId="21" xfId="0" applyFont="true" applyBorder="true" applyAlignment="false" applyProtection="false">
      <alignment horizontal="general" vertical="bottom" textRotation="0" wrapText="false" indent="0" shrinkToFit="false"/>
      <protection locked="true" hidden="false"/>
    </xf>
    <xf numFmtId="165" fontId="0" fillId="0" borderId="21" xfId="19" applyFont="true" applyBorder="true" applyAlignment="true" applyProtection="true">
      <alignment horizontal="general" vertical="bottom" textRotation="0" wrapText="false" indent="0" shrinkToFit="false"/>
      <protection locked="true" hidden="false"/>
    </xf>
    <xf numFmtId="168" fontId="20" fillId="0" borderId="0" xfId="0" applyFont="true" applyBorder="false" applyAlignment="true" applyProtection="false">
      <alignment horizontal="general" vertical="center" textRotation="0" wrapText="false" indent="0" shrinkToFit="false"/>
      <protection locked="true" hidden="false"/>
    </xf>
    <xf numFmtId="167" fontId="20" fillId="6" borderId="0" xfId="19" applyFont="true" applyBorder="true" applyAlignment="true" applyProtection="true">
      <alignment horizontal="general" vertical="center" textRotation="0" wrapText="false" indent="0" shrinkToFit="false"/>
      <protection locked="true" hidden="false"/>
    </xf>
    <xf numFmtId="170" fontId="20" fillId="6" borderId="0" xfId="19" applyFont="true" applyBorder="true" applyAlignment="true" applyProtection="true">
      <alignment horizontal="general" vertical="center" textRotation="0" wrapText="false" indent="0" shrinkToFit="false"/>
      <protection locked="true" hidden="false"/>
    </xf>
    <xf numFmtId="167" fontId="20" fillId="6" borderId="0" xfId="0" applyFont="true" applyBorder="false" applyAlignment="true" applyProtection="false">
      <alignment horizontal="general" vertical="center" textRotation="0" wrapText="false" indent="0" shrinkToFit="false"/>
      <protection locked="true" hidden="false"/>
    </xf>
    <xf numFmtId="170" fontId="21" fillId="6" borderId="0" xfId="0" applyFont="true" applyBorder="false" applyAlignment="true" applyProtection="false">
      <alignment horizontal="general" vertical="center" textRotation="0" wrapText="false" indent="0" shrinkToFit="false"/>
      <protection locked="true" hidden="false"/>
    </xf>
    <xf numFmtId="170" fontId="20" fillId="6" borderId="0" xfId="0" applyFont="true" applyBorder="false" applyAlignment="true" applyProtection="false">
      <alignment horizontal="general" vertical="center" textRotation="0" wrapText="false" indent="0" shrinkToFit="false"/>
      <protection locked="true" hidden="false"/>
    </xf>
    <xf numFmtId="165" fontId="21" fillId="6" borderId="0" xfId="0" applyFont="true" applyBorder="false" applyAlignment="true" applyProtection="false">
      <alignment horizontal="general" vertical="center" textRotation="0" wrapText="false" indent="0" shrinkToFit="false"/>
      <protection locked="true" hidden="false"/>
    </xf>
    <xf numFmtId="165" fontId="21" fillId="6" borderId="0" xfId="19" applyFont="true" applyBorder="true" applyAlignment="true" applyProtection="true">
      <alignment horizontal="general" vertical="center" textRotation="0" wrapText="false" indent="0" shrinkToFit="false"/>
      <protection locked="true" hidden="false"/>
    </xf>
    <xf numFmtId="167" fontId="20" fillId="6" borderId="21" xfId="15" applyFont="true" applyBorder="true" applyAlignment="true" applyProtection="true">
      <alignment horizontal="general" vertical="center" textRotation="0" wrapText="false" indent="0" shrinkToFit="false"/>
      <protection locked="true" hidden="false"/>
    </xf>
    <xf numFmtId="167" fontId="20" fillId="6" borderId="0" xfId="15" applyFont="true" applyBorder="true" applyAlignment="true" applyProtection="true">
      <alignment horizontal="general" vertical="center" textRotation="0" wrapText="false" indent="0" shrinkToFit="false"/>
      <protection locked="true" hidden="false"/>
    </xf>
    <xf numFmtId="165" fontId="20" fillId="6" borderId="0" xfId="0" applyFont="true" applyBorder="true" applyAlignment="true" applyProtection="false">
      <alignment horizontal="general" vertical="center" textRotation="0" wrapText="false" indent="0" shrinkToFit="false"/>
      <protection locked="true" hidden="false"/>
    </xf>
    <xf numFmtId="167" fontId="20" fillId="6" borderId="21" xfId="0" applyFont="true" applyBorder="true" applyAlignment="true" applyProtection="false">
      <alignment horizontal="general" vertical="center" textRotation="0" wrapText="false" indent="0" shrinkToFit="false"/>
      <protection locked="true" hidden="false"/>
    </xf>
    <xf numFmtId="167" fontId="20" fillId="6" borderId="0" xfId="0" applyFont="true" applyBorder="true" applyAlignment="true" applyProtection="false">
      <alignment horizontal="general" vertical="center" textRotation="0" wrapText="false" indent="0" shrinkToFit="false"/>
      <protection locked="true" hidden="false"/>
    </xf>
    <xf numFmtId="165" fontId="20" fillId="6" borderId="21" xfId="19" applyFont="true" applyBorder="true" applyAlignment="true" applyProtection="true">
      <alignment horizontal="general" vertical="center" textRotation="0" wrapText="false" indent="0" shrinkToFit="false"/>
      <protection locked="true" hidden="false"/>
    </xf>
    <xf numFmtId="165" fontId="21" fillId="6" borderId="0" xfId="19" applyFont="true" applyBorder="true" applyAlignment="true" applyProtection="true">
      <alignment horizontal="general" vertical="center" textRotation="0" wrapText="false" indent="0" shrinkToFit="false"/>
      <protection locked="true" hidden="false"/>
    </xf>
    <xf numFmtId="167" fontId="21" fillId="6" borderId="0" xfId="19" applyFont="true" applyBorder="true" applyAlignment="true" applyProtection="true">
      <alignment horizontal="general" vertical="center" textRotation="0" wrapText="false" indent="0" shrinkToFit="false"/>
      <protection locked="true" hidden="false"/>
    </xf>
    <xf numFmtId="165" fontId="20" fillId="6" borderId="21" xfId="0" applyFont="true" applyBorder="true" applyAlignment="true" applyProtection="false">
      <alignment horizontal="general" vertical="center" textRotation="0" wrapText="false" indent="0" shrinkToFit="false"/>
      <protection locked="true" hidden="false"/>
    </xf>
    <xf numFmtId="165" fontId="20" fillId="6" borderId="0" xfId="0" applyFont="true" applyBorder="false" applyAlignment="true" applyProtection="false">
      <alignment horizontal="general" vertical="center" textRotation="0" wrapText="false" indent="0" shrinkToFit="false"/>
      <protection locked="true" hidden="false"/>
    </xf>
    <xf numFmtId="165" fontId="20" fillId="6" borderId="21" xfId="19" applyFont="true" applyBorder="true" applyAlignment="true" applyProtection="true">
      <alignment horizontal="general" vertical="center" textRotation="0" wrapText="false" indent="0" shrinkToFit="false"/>
      <protection locked="true" hidden="false"/>
    </xf>
    <xf numFmtId="167" fontId="21" fillId="6" borderId="0" xfId="0" applyFont="true" applyBorder="false" applyAlignment="true" applyProtection="false">
      <alignment horizontal="general" vertical="center" textRotation="0" wrapText="false" indent="0" shrinkToFit="false"/>
      <protection locked="true" hidden="false"/>
    </xf>
    <xf numFmtId="165" fontId="21" fillId="6" borderId="0" xfId="0" applyFont="true" applyBorder="true" applyAlignment="true" applyProtection="false">
      <alignment horizontal="general" vertical="center" textRotation="0" wrapText="false" indent="0" shrinkToFit="false"/>
      <protection locked="true" hidden="false"/>
    </xf>
    <xf numFmtId="168" fontId="22" fillId="0" borderId="0" xfId="0" applyFont="true" applyBorder="false" applyAlignment="false" applyProtection="false">
      <alignment horizontal="general" vertical="bottom" textRotation="0" wrapText="false" indent="0" shrinkToFit="false"/>
      <protection locked="true" hidden="false"/>
    </xf>
    <xf numFmtId="167" fontId="23" fillId="0" borderId="0" xfId="19" applyFont="true" applyBorder="true" applyAlignment="true" applyProtection="true">
      <alignment horizontal="general" vertical="bottom" textRotation="0" wrapText="false" indent="0" shrinkToFit="false"/>
      <protection locked="true" hidden="false"/>
    </xf>
    <xf numFmtId="170" fontId="22" fillId="0" borderId="0" xfId="19" applyFont="true" applyBorder="true" applyAlignment="true" applyProtection="true">
      <alignment horizontal="general" vertical="bottom" textRotation="0" wrapText="false" indent="0" shrinkToFit="false"/>
      <protection locked="true" hidden="false"/>
    </xf>
    <xf numFmtId="170" fontId="23" fillId="0" borderId="0" xfId="19" applyFont="true" applyBorder="true" applyAlignment="true" applyProtection="true">
      <alignment horizontal="general" vertical="bottom" textRotation="0" wrapText="false" indent="0" shrinkToFit="false"/>
      <protection locked="true" hidden="false"/>
    </xf>
    <xf numFmtId="165" fontId="22" fillId="0" borderId="0" xfId="19" applyFont="true" applyBorder="true" applyAlignment="true" applyProtection="true">
      <alignment horizontal="general" vertical="bottom" textRotation="0" wrapText="false" indent="0" shrinkToFit="false"/>
      <protection locked="true" hidden="false"/>
    </xf>
    <xf numFmtId="167" fontId="22" fillId="0" borderId="21" xfId="15" applyFont="true" applyBorder="true" applyAlignment="true" applyProtection="true">
      <alignment horizontal="general" vertical="bottom" textRotation="0" wrapText="false" indent="0" shrinkToFit="false"/>
      <protection locked="true" hidden="false"/>
    </xf>
    <xf numFmtId="167" fontId="22" fillId="0" borderId="0" xfId="15" applyFont="true" applyBorder="true" applyAlignment="true" applyProtection="true">
      <alignment horizontal="general" vertical="bottom" textRotation="0" wrapText="false" indent="0" shrinkToFit="false"/>
      <protection locked="true" hidden="false"/>
    </xf>
    <xf numFmtId="165" fontId="22" fillId="0" borderId="0" xfId="0" applyFont="true" applyBorder="true" applyAlignment="false" applyProtection="false">
      <alignment horizontal="general" vertical="bottom" textRotation="0" wrapText="false" indent="0" shrinkToFit="false"/>
      <protection locked="true" hidden="false"/>
    </xf>
    <xf numFmtId="167" fontId="23" fillId="0" borderId="0" xfId="0" applyFont="true" applyBorder="false" applyAlignment="false" applyProtection="false">
      <alignment horizontal="general" vertical="bottom" textRotation="0" wrapText="false" indent="0" shrinkToFit="false"/>
      <protection locked="true" hidden="false"/>
    </xf>
    <xf numFmtId="167" fontId="23" fillId="0" borderId="0" xfId="15" applyFont="true" applyBorder="true" applyAlignment="true" applyProtection="true">
      <alignment horizontal="general" vertical="bottom" textRotation="0" wrapText="false" indent="0" shrinkToFit="false"/>
      <protection locked="true" hidden="false"/>
    </xf>
    <xf numFmtId="167" fontId="23" fillId="0" borderId="21" xfId="0" applyFont="true" applyBorder="true" applyAlignment="false" applyProtection="false">
      <alignment horizontal="general" vertical="bottom" textRotation="0" wrapText="false" indent="0" shrinkToFit="false"/>
      <protection locked="true" hidden="false"/>
    </xf>
    <xf numFmtId="167" fontId="23" fillId="0" borderId="0" xfId="0" applyFont="true" applyBorder="true" applyAlignment="false" applyProtection="false">
      <alignment horizontal="general" vertical="bottom" textRotation="0" wrapText="false" indent="0" shrinkToFit="false"/>
      <protection locked="true" hidden="false"/>
    </xf>
    <xf numFmtId="165" fontId="22" fillId="0" borderId="21" xfId="19" applyFont="true" applyBorder="true" applyAlignment="true" applyProtection="true">
      <alignment horizontal="general" vertical="bottom" textRotation="0" wrapText="false" indent="0" shrinkToFit="false"/>
      <protection locked="true" hidden="false"/>
    </xf>
    <xf numFmtId="165" fontId="22" fillId="0" borderId="0" xfId="19" applyFont="true" applyBorder="true" applyAlignment="true" applyProtection="true">
      <alignment horizontal="general" vertical="bottom" textRotation="0" wrapText="false" indent="0" shrinkToFit="false"/>
      <protection locked="true" hidden="false"/>
    </xf>
    <xf numFmtId="167" fontId="22" fillId="0" borderId="0" xfId="19" applyFont="true" applyBorder="true" applyAlignment="true" applyProtection="true">
      <alignment horizontal="general" vertical="bottom" textRotation="0" wrapText="false" indent="0" shrinkToFit="false"/>
      <protection locked="true" hidden="false"/>
    </xf>
    <xf numFmtId="165" fontId="22" fillId="0" borderId="21" xfId="0" applyFont="true" applyBorder="true" applyAlignment="false" applyProtection="false">
      <alignment horizontal="general" vertical="bottom" textRotation="0" wrapText="false" indent="0" shrinkToFit="false"/>
      <protection locked="true" hidden="false"/>
    </xf>
    <xf numFmtId="165" fontId="22" fillId="0" borderId="0" xfId="0" applyFont="true" applyBorder="false" applyAlignment="false" applyProtection="false">
      <alignment horizontal="general" vertical="bottom" textRotation="0" wrapText="false" indent="0" shrinkToFit="false"/>
      <protection locked="true" hidden="false"/>
    </xf>
    <xf numFmtId="165" fontId="22" fillId="0" borderId="21" xfId="19" applyFont="true" applyBorder="true" applyAlignment="true" applyProtection="true">
      <alignment horizontal="general" vertical="bottom" textRotation="0" wrapText="false" indent="0" shrinkToFit="false"/>
      <protection locked="true" hidden="false"/>
    </xf>
    <xf numFmtId="167" fontId="22"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true" applyProtection="false">
      <alignment horizontal="center" vertical="center" textRotation="0" wrapText="true" indent="0" shrinkToFit="false"/>
      <protection locked="true" hidden="false"/>
    </xf>
    <xf numFmtId="167" fontId="13" fillId="4" borderId="0" xfId="0" applyFont="true" applyBorder="false" applyAlignment="true" applyProtection="false">
      <alignment horizontal="center" vertical="center" textRotation="0" wrapText="true" indent="0" shrinkToFit="false"/>
      <protection locked="true" hidden="false"/>
    </xf>
    <xf numFmtId="170" fontId="0" fillId="7" borderId="0" xfId="0" applyFont="true" applyBorder="false" applyAlignment="true" applyProtection="false">
      <alignment horizontal="center" vertical="center" textRotation="0" wrapText="true" indent="0" shrinkToFit="false"/>
      <protection locked="true" hidden="false"/>
    </xf>
    <xf numFmtId="167" fontId="13" fillId="4" borderId="0" xfId="19" applyFont="true" applyBorder="true" applyAlignment="true" applyProtection="true">
      <alignment horizontal="center" vertical="center" textRotation="0" wrapText="true" indent="0" shrinkToFit="false"/>
      <protection locked="true" hidden="false"/>
    </xf>
    <xf numFmtId="170" fontId="13" fillId="4" borderId="0" xfId="19" applyFont="true" applyBorder="true" applyAlignment="true" applyProtection="true">
      <alignment horizontal="center" vertical="center" textRotation="0" wrapText="true" indent="0" shrinkToFit="false"/>
      <protection locked="true" hidden="false"/>
    </xf>
    <xf numFmtId="170" fontId="0" fillId="7" borderId="0" xfId="19" applyFont="true" applyBorder="true" applyAlignment="true" applyProtection="true">
      <alignment horizontal="center" vertical="center" textRotation="0" wrapText="true" indent="0" shrinkToFit="false"/>
      <protection locked="true" hidden="false"/>
    </xf>
    <xf numFmtId="165" fontId="0" fillId="7" borderId="0" xfId="19" applyFont="true" applyBorder="true" applyAlignment="true" applyProtection="true">
      <alignment horizontal="center" vertical="center" textRotation="0" wrapText="true" indent="0" shrinkToFit="false"/>
      <protection locked="true" hidden="false"/>
    </xf>
    <xf numFmtId="167" fontId="0" fillId="7" borderId="21" xfId="15" applyFont="true" applyBorder="true" applyAlignment="true" applyProtection="true">
      <alignment horizontal="center" vertical="center" textRotation="0" wrapText="true" indent="0" shrinkToFit="false"/>
      <protection locked="true" hidden="false"/>
    </xf>
    <xf numFmtId="167" fontId="0" fillId="7" borderId="0" xfId="15" applyFont="true" applyBorder="true" applyAlignment="true" applyProtection="true">
      <alignment horizontal="center" vertical="center" textRotation="0" wrapText="true" indent="0" shrinkToFit="false"/>
      <protection locked="true" hidden="false"/>
    </xf>
    <xf numFmtId="167" fontId="0" fillId="7" borderId="0" xfId="0" applyFont="true" applyBorder="true" applyAlignment="true" applyProtection="false">
      <alignment horizontal="center" vertical="center" textRotation="0" wrapText="true" indent="0" shrinkToFit="false"/>
      <protection locked="true" hidden="false"/>
    </xf>
    <xf numFmtId="172" fontId="13" fillId="4" borderId="0" xfId="15" applyFont="true" applyBorder="true" applyAlignment="true" applyProtection="true">
      <alignment horizontal="center" vertical="center" textRotation="0" wrapText="true" indent="0" shrinkToFit="false"/>
      <protection locked="true" hidden="false"/>
    </xf>
    <xf numFmtId="165" fontId="0" fillId="4" borderId="0" xfId="20" applyFont="true" applyBorder="true" applyAlignment="true" applyProtection="true">
      <alignment horizontal="center" vertical="center" textRotation="0" wrapText="true" indent="0" shrinkToFit="false"/>
      <protection locked="true" hidden="false"/>
    </xf>
    <xf numFmtId="167" fontId="13" fillId="7" borderId="0" xfId="0" applyFont="true" applyBorder="true" applyAlignment="true" applyProtection="false">
      <alignment horizontal="center" vertical="center" textRotation="0" wrapText="true" indent="0" shrinkToFit="false"/>
      <protection locked="true" hidden="false"/>
    </xf>
    <xf numFmtId="167" fontId="13" fillId="7" borderId="0" xfId="15" applyFont="true" applyBorder="true" applyAlignment="true" applyProtection="true">
      <alignment horizontal="center" vertical="center" textRotation="0" wrapText="true" indent="0" shrinkToFit="false"/>
      <protection locked="true" hidden="false"/>
    </xf>
    <xf numFmtId="167" fontId="27" fillId="7" borderId="21" xfId="20" applyFont="true" applyBorder="true" applyAlignment="true" applyProtection="true">
      <alignment horizontal="center" vertical="center" textRotation="0" wrapText="true" indent="0" shrinkToFit="false"/>
      <protection locked="true" hidden="false"/>
    </xf>
    <xf numFmtId="167" fontId="13" fillId="7" borderId="0" xfId="0" applyFont="true" applyBorder="false" applyAlignment="true" applyProtection="false">
      <alignment horizontal="center" vertical="center" textRotation="0" wrapText="true" indent="0" shrinkToFit="false"/>
      <protection locked="true" hidden="false"/>
    </xf>
    <xf numFmtId="165" fontId="0" fillId="4" borderId="21" xfId="19" applyFont="true" applyBorder="true" applyAlignment="true" applyProtection="true">
      <alignment horizontal="center" vertical="center" textRotation="0" wrapText="true" indent="0" shrinkToFit="false"/>
      <protection locked="true" hidden="false"/>
    </xf>
    <xf numFmtId="165" fontId="0" fillId="4" borderId="0" xfId="19" applyFont="true" applyBorder="true" applyAlignment="true" applyProtection="true">
      <alignment horizontal="center" vertical="center" textRotation="0" wrapText="true" indent="0" shrinkToFit="false"/>
      <protection locked="true" hidden="false"/>
    </xf>
    <xf numFmtId="167" fontId="0" fillId="7" borderId="0" xfId="19" applyFont="true" applyBorder="true" applyAlignment="true" applyProtection="true">
      <alignment horizontal="center" vertical="center" textRotation="0" wrapText="true" indent="0" shrinkToFit="false"/>
      <protection locked="true" hidden="false"/>
    </xf>
    <xf numFmtId="165" fontId="0" fillId="4" borderId="21" xfId="0" applyFont="true" applyBorder="true" applyAlignment="true" applyProtection="false">
      <alignment horizontal="center" vertical="center" textRotation="0" wrapText="true" indent="0" shrinkToFit="false"/>
      <protection locked="true" hidden="false"/>
    </xf>
    <xf numFmtId="165" fontId="0" fillId="4" borderId="0" xfId="0" applyFont="true" applyBorder="false" applyAlignment="true" applyProtection="false">
      <alignment horizontal="center" vertical="center" textRotation="0" wrapText="true" indent="0" shrinkToFit="false"/>
      <protection locked="true" hidden="false"/>
    </xf>
    <xf numFmtId="167" fontId="0" fillId="7" borderId="21" xfId="0" applyFont="true" applyBorder="true" applyAlignment="true" applyProtection="false">
      <alignment horizontal="center" vertical="center" textRotation="0" wrapText="true" indent="0" shrinkToFit="false"/>
      <protection locked="true" hidden="false"/>
    </xf>
    <xf numFmtId="165" fontId="0" fillId="4" borderId="0" xfId="0" applyFont="true" applyBorder="true" applyAlignment="true" applyProtection="false">
      <alignment horizontal="center" vertical="center" textRotation="0" wrapText="true" indent="0" shrinkToFit="false"/>
      <protection locked="true" hidden="false"/>
    </xf>
    <xf numFmtId="167" fontId="0" fillId="7" borderId="0" xfId="0" applyFont="true" applyBorder="false" applyAlignment="true" applyProtection="false">
      <alignment horizontal="center" vertical="center" textRotation="0" wrapText="true" indent="0" shrinkToFit="false"/>
      <protection locked="true" hidden="false"/>
    </xf>
    <xf numFmtId="165" fontId="0" fillId="7" borderId="0" xfId="0" applyFont="true" applyBorder="true" applyAlignment="true" applyProtection="false">
      <alignment horizontal="center" vertical="center" textRotation="0" wrapText="true" indent="0" shrinkToFit="false"/>
      <protection locked="true" hidden="false"/>
    </xf>
    <xf numFmtId="167" fontId="27" fillId="7" borderId="0" xfId="20" applyFont="true" applyBorder="true" applyAlignment="true" applyProtection="true">
      <alignment horizontal="center" vertical="center" textRotation="0" wrapText="true" indent="0" shrinkToFit="false"/>
      <protection locked="true" hidden="false"/>
    </xf>
    <xf numFmtId="165" fontId="0" fillId="7" borderId="0" xfId="19" applyFont="true" applyBorder="true" applyAlignment="true" applyProtection="true">
      <alignment horizontal="center" vertical="center" textRotation="0" wrapText="true" indent="0" shrinkToFit="false"/>
      <protection locked="true" hidden="false"/>
    </xf>
    <xf numFmtId="168" fontId="0" fillId="0" borderId="0" xfId="0" applyFont="true" applyBorder="false" applyAlignment="true" applyProtection="false">
      <alignment horizontal="right" vertical="bottom" textRotation="0" wrapText="false" indent="0" shrinkToFit="false"/>
      <protection locked="true" hidden="false"/>
    </xf>
    <xf numFmtId="167" fontId="13" fillId="0" borderId="0" xfId="19" applyFont="true" applyBorder="true" applyAlignment="true" applyProtection="true">
      <alignment horizontal="right" vertical="bottom" textRotation="0" wrapText="false" indent="0" shrinkToFit="false"/>
      <protection locked="true" hidden="false"/>
    </xf>
    <xf numFmtId="170" fontId="0" fillId="0" borderId="0" xfId="19" applyFont="true" applyBorder="true" applyAlignment="true" applyProtection="true">
      <alignment horizontal="right" vertical="bottom" textRotation="0" wrapText="false" indent="0" shrinkToFit="false"/>
      <protection locked="true" hidden="false"/>
    </xf>
    <xf numFmtId="170" fontId="13" fillId="0" borderId="0" xfId="19" applyFont="true" applyBorder="true" applyAlignment="true" applyProtection="true">
      <alignment horizontal="right" vertical="bottom" textRotation="0" wrapText="false" indent="0" shrinkToFit="false"/>
      <protection locked="true" hidden="false"/>
    </xf>
    <xf numFmtId="165" fontId="0" fillId="0" borderId="0" xfId="19" applyFont="true" applyBorder="true" applyAlignment="true" applyProtection="true">
      <alignment horizontal="right" vertical="bottom" textRotation="0" wrapText="false" indent="0" shrinkToFit="false"/>
      <protection locked="true" hidden="false"/>
    </xf>
    <xf numFmtId="167" fontId="0" fillId="0" borderId="0" xfId="0" applyFont="true" applyBorder="true" applyAlignment="true" applyProtection="false">
      <alignment horizontal="right" vertical="bottom" textRotation="0" wrapText="false" indent="0" shrinkToFit="false"/>
      <protection locked="true" hidden="false"/>
    </xf>
    <xf numFmtId="167" fontId="0" fillId="0" borderId="0" xfId="15" applyFont="true" applyBorder="true" applyAlignment="true" applyProtection="true">
      <alignment horizontal="right" vertical="bottom" textRotation="0" wrapText="false" indent="0" shrinkToFit="false"/>
      <protection locked="true" hidden="false"/>
    </xf>
    <xf numFmtId="165" fontId="0" fillId="0" borderId="0" xfId="0" applyFont="true" applyBorder="true" applyAlignment="true" applyProtection="false">
      <alignment horizontal="right" vertical="bottom" textRotation="0" wrapText="false" indent="0" shrinkToFit="false"/>
      <protection locked="true" hidden="false"/>
    </xf>
    <xf numFmtId="167" fontId="13" fillId="0" borderId="21" xfId="0" applyFont="true" applyBorder="true" applyAlignment="true" applyProtection="false">
      <alignment horizontal="right" vertical="bottom" textRotation="0" wrapText="false" indent="0" shrinkToFit="false"/>
      <protection locked="true" hidden="false"/>
    </xf>
    <xf numFmtId="167" fontId="13" fillId="0" borderId="0" xfId="0" applyFont="true" applyBorder="true" applyAlignment="true" applyProtection="false">
      <alignment horizontal="right" vertical="bottom" textRotation="0" wrapText="false" indent="0" shrinkToFit="false"/>
      <protection locked="true" hidden="false"/>
    </xf>
    <xf numFmtId="167" fontId="13" fillId="0" borderId="0" xfId="0" applyFont="true" applyBorder="false" applyAlignment="true" applyProtection="false">
      <alignment horizontal="right" vertical="bottom" textRotation="0" wrapText="false" indent="0" shrinkToFit="false"/>
      <protection locked="true" hidden="false"/>
    </xf>
    <xf numFmtId="165" fontId="0" fillId="0" borderId="21" xfId="19" applyFont="true" applyBorder="true" applyAlignment="true" applyProtection="true">
      <alignment horizontal="right" vertical="bottom" textRotation="0" wrapText="false" indent="0" shrinkToFit="false"/>
      <protection locked="true" hidden="false"/>
    </xf>
    <xf numFmtId="165" fontId="0" fillId="0" borderId="0" xfId="19" applyFont="true" applyBorder="true" applyAlignment="true" applyProtection="true">
      <alignment horizontal="right" vertical="bottom" textRotation="0" wrapText="false" indent="0" shrinkToFit="false"/>
      <protection locked="true" hidden="false"/>
    </xf>
    <xf numFmtId="167" fontId="0" fillId="0" borderId="0" xfId="19" applyFont="true" applyBorder="true" applyAlignment="true" applyProtection="true">
      <alignment horizontal="right" vertical="bottom" textRotation="0" wrapText="false" indent="0" shrinkToFit="false"/>
      <protection locked="true" hidden="false"/>
    </xf>
    <xf numFmtId="165" fontId="0" fillId="0" borderId="21" xfId="0" applyFont="true" applyBorder="tru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5" fontId="0" fillId="0" borderId="21" xfId="19" applyFont="true" applyBorder="true" applyAlignment="true" applyProtection="true">
      <alignment horizontal="right"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5" fontId="13" fillId="0" borderId="21" xfId="0" applyFont="true" applyBorder="true" applyAlignment="false" applyProtection="false">
      <alignment horizontal="general" vertical="bottom" textRotation="0" wrapText="false" indent="0" shrinkToFit="false"/>
      <protection locked="true" hidden="false"/>
    </xf>
    <xf numFmtId="165" fontId="13" fillId="0" borderId="0" xfId="0" applyFont="true" applyBorder="true" applyAlignment="false" applyProtection="false">
      <alignment horizontal="general" vertical="bottom" textRotation="0" wrapText="false" indent="0" shrinkToFit="false"/>
      <protection locked="true" hidden="false"/>
    </xf>
    <xf numFmtId="167" fontId="13" fillId="0" borderId="0" xfId="0" applyFont="true" applyBorder="false" applyAlignment="false" applyProtection="false">
      <alignment horizontal="general" vertical="bottom" textRotation="0" wrapText="false" indent="0" shrinkToFit="false"/>
      <protection locked="true" hidden="false"/>
    </xf>
    <xf numFmtId="168" fontId="13" fillId="8" borderId="0" xfId="0" applyFont="true" applyBorder="false" applyAlignment="true" applyProtection="false">
      <alignment horizontal="left" vertical="bottom" textRotation="0" wrapText="false" indent="0" shrinkToFit="false"/>
      <protection locked="true" hidden="false"/>
    </xf>
    <xf numFmtId="167" fontId="24" fillId="8" borderId="0" xfId="19" applyFont="true" applyBorder="true" applyAlignment="true" applyProtection="true">
      <alignment horizontal="general" vertical="bottom" textRotation="0" wrapText="false" indent="0" shrinkToFit="false"/>
      <protection locked="true" hidden="false"/>
    </xf>
    <xf numFmtId="170" fontId="25" fillId="8" borderId="0" xfId="19" applyFont="true" applyBorder="true" applyAlignment="true" applyProtection="true">
      <alignment horizontal="general" vertical="bottom" textRotation="0" wrapText="false" indent="0" shrinkToFit="false"/>
      <protection locked="true" hidden="false"/>
    </xf>
    <xf numFmtId="170" fontId="24" fillId="8" borderId="0" xfId="19" applyFont="true" applyBorder="true" applyAlignment="true" applyProtection="true">
      <alignment horizontal="general" vertical="bottom" textRotation="0" wrapText="false" indent="0" shrinkToFit="false"/>
      <protection locked="true" hidden="false"/>
    </xf>
    <xf numFmtId="167" fontId="25" fillId="8" borderId="0" xfId="19" applyFont="true" applyBorder="true" applyAlignment="true" applyProtection="true">
      <alignment horizontal="general" vertical="bottom" textRotation="0" wrapText="false" indent="0" shrinkToFit="false"/>
      <protection locked="true" hidden="false"/>
    </xf>
    <xf numFmtId="167" fontId="24" fillId="8" borderId="21" xfId="15" applyFont="true" applyBorder="true" applyAlignment="true" applyProtection="true">
      <alignment horizontal="left" vertical="bottom" textRotation="0" wrapText="false" indent="0" shrinkToFit="false"/>
      <protection locked="true" hidden="false"/>
    </xf>
    <xf numFmtId="167" fontId="24" fillId="8" borderId="0" xfId="15" applyFont="true" applyBorder="true" applyAlignment="true" applyProtection="true">
      <alignment horizontal="left" vertical="bottom" textRotation="0" wrapText="false" indent="0" shrinkToFit="false"/>
      <protection locked="true" hidden="false"/>
    </xf>
    <xf numFmtId="165" fontId="24" fillId="8" borderId="0" xfId="0" applyFont="true" applyBorder="true" applyAlignment="true" applyProtection="false">
      <alignment horizontal="left" vertical="bottom" textRotation="0" wrapText="false" indent="0" shrinkToFit="false"/>
      <protection locked="true" hidden="false"/>
    </xf>
    <xf numFmtId="167" fontId="24" fillId="8" borderId="0" xfId="0" applyFont="true" applyBorder="false" applyAlignment="true" applyProtection="false">
      <alignment horizontal="left" vertical="bottom" textRotation="0" wrapText="false" indent="0" shrinkToFit="false"/>
      <protection locked="true" hidden="false"/>
    </xf>
    <xf numFmtId="167" fontId="24" fillId="8" borderId="21" xfId="0" applyFont="true" applyBorder="true" applyAlignment="true" applyProtection="false">
      <alignment horizontal="left" vertical="bottom" textRotation="0" wrapText="false" indent="0" shrinkToFit="false"/>
      <protection locked="true" hidden="false"/>
    </xf>
    <xf numFmtId="167" fontId="24" fillId="8" borderId="0" xfId="0" applyFont="true" applyBorder="true" applyAlignment="true" applyProtection="false">
      <alignment horizontal="left" vertical="bottom" textRotation="0" wrapText="false" indent="0" shrinkToFit="false"/>
      <protection locked="true" hidden="false"/>
    </xf>
    <xf numFmtId="165" fontId="25" fillId="8" borderId="21" xfId="19" applyFont="true" applyBorder="true" applyAlignment="true" applyProtection="true">
      <alignment horizontal="left" vertical="bottom" textRotation="0" wrapText="false" indent="0" shrinkToFit="false"/>
      <protection locked="true" hidden="false"/>
    </xf>
    <xf numFmtId="165" fontId="25" fillId="8" borderId="0" xfId="19" applyFont="true" applyBorder="true" applyAlignment="true" applyProtection="true">
      <alignment horizontal="left" vertical="bottom" textRotation="0" wrapText="false" indent="0" shrinkToFit="false"/>
      <protection locked="true" hidden="false"/>
    </xf>
    <xf numFmtId="167" fontId="25" fillId="8" borderId="0" xfId="19" applyFont="true" applyBorder="true" applyAlignment="true" applyProtection="true">
      <alignment horizontal="left" vertical="bottom" textRotation="0" wrapText="false" indent="0" shrinkToFit="false"/>
      <protection locked="true" hidden="false"/>
    </xf>
    <xf numFmtId="167" fontId="24" fillId="8" borderId="0" xfId="19" applyFont="true" applyBorder="true" applyAlignment="true" applyProtection="true">
      <alignment horizontal="left" vertical="bottom" textRotation="0" wrapText="false" indent="0" shrinkToFit="false"/>
      <protection locked="true" hidden="false"/>
    </xf>
    <xf numFmtId="165" fontId="24" fillId="8" borderId="21" xfId="0" applyFont="true" applyBorder="true" applyAlignment="true" applyProtection="false">
      <alignment horizontal="left" vertical="bottom" textRotation="0" wrapText="false" indent="0" shrinkToFit="false"/>
      <protection locked="true" hidden="false"/>
    </xf>
    <xf numFmtId="165" fontId="24" fillId="8" borderId="0" xfId="0" applyFont="true" applyBorder="false" applyAlignment="true" applyProtection="false">
      <alignment horizontal="left" vertical="bottom" textRotation="0" wrapText="false" indent="0" shrinkToFit="false"/>
      <protection locked="true" hidden="false"/>
    </xf>
    <xf numFmtId="165" fontId="25" fillId="8" borderId="21" xfId="19" applyFont="true" applyBorder="true" applyAlignment="true" applyProtection="true">
      <alignment horizontal="left" vertical="bottom" textRotation="0" wrapText="false" indent="0" shrinkToFit="false"/>
      <protection locked="true" hidden="false"/>
    </xf>
    <xf numFmtId="167" fontId="25" fillId="8" borderId="0" xfId="0" applyFont="true" applyBorder="false" applyAlignment="true" applyProtection="false">
      <alignment horizontal="left" vertical="bottom" textRotation="0" wrapText="false" indent="0" shrinkToFit="false"/>
      <protection locked="true" hidden="false"/>
    </xf>
    <xf numFmtId="165" fontId="25" fillId="8" borderId="0" xfId="0" applyFont="true" applyBorder="true" applyAlignment="true" applyProtection="false">
      <alignment horizontal="left" vertical="bottom" textRotation="0" wrapText="false" indent="0" shrinkToFit="false"/>
      <protection locked="true" hidden="false"/>
    </xf>
    <xf numFmtId="164" fontId="25" fillId="8" borderId="0" xfId="0" applyFont="true" applyBorder="false" applyAlignment="false" applyProtection="false">
      <alignment horizontal="general" vertical="bottom" textRotation="0" wrapText="false" indent="0" shrinkToFit="false"/>
      <protection locked="true" hidden="false"/>
    </xf>
    <xf numFmtId="170" fontId="13" fillId="0" borderId="0" xfId="19" applyFont="true" applyBorder="true" applyAlignment="true" applyProtection="true">
      <alignment horizontal="general" vertical="bottom" textRotation="0" wrapText="false" indent="0" shrinkToFit="false"/>
      <protection locked="true" hidden="false"/>
    </xf>
    <xf numFmtId="165" fontId="0" fillId="0" borderId="0" xfId="19" applyFont="true" applyBorder="true" applyAlignment="true" applyProtection="true">
      <alignment horizontal="general" vertical="bottom" textRotation="0" wrapText="false" indent="0" shrinkToFit="false"/>
      <protection locked="true" hidden="false"/>
    </xf>
    <xf numFmtId="170" fontId="0" fillId="0" borderId="0" xfId="19" applyFont="true" applyBorder="true" applyAlignment="true" applyProtection="true">
      <alignment horizontal="general" vertical="bottom" textRotation="0" wrapText="false" indent="0" shrinkToFit="false"/>
      <protection locked="true" hidden="false"/>
    </xf>
    <xf numFmtId="167" fontId="0" fillId="0" borderId="21" xfId="19" applyFont="true" applyBorder="true" applyAlignment="true" applyProtection="true">
      <alignment horizontal="general" vertical="bottom" textRotation="0" wrapText="false" indent="0" shrinkToFit="false"/>
      <protection locked="true" hidden="false"/>
    </xf>
    <xf numFmtId="167" fontId="13" fillId="0" borderId="0" xfId="0" applyFont="true" applyBorder="false" applyAlignment="true" applyProtection="false">
      <alignment horizontal="general" vertical="center" textRotation="0" wrapText="false" indent="0" shrinkToFit="false"/>
      <protection locked="true" hidden="false"/>
    </xf>
    <xf numFmtId="165" fontId="13" fillId="0" borderId="21" xfId="19" applyFont="true" applyBorder="true" applyAlignment="true" applyProtection="true">
      <alignment horizontal="general" vertical="bottom" textRotation="0" wrapText="false" indent="0" shrinkToFit="false"/>
      <protection locked="true" hidden="false"/>
    </xf>
    <xf numFmtId="167" fontId="0" fillId="0" borderId="21"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70" fontId="21" fillId="6" borderId="0" xfId="19" applyFont="true" applyBorder="true" applyAlignment="true" applyProtection="true">
      <alignment horizontal="general" vertical="center" textRotation="0" wrapText="false" indent="0" shrinkToFit="false"/>
      <protection locked="true" hidden="false"/>
    </xf>
    <xf numFmtId="167" fontId="20" fillId="6" borderId="21" xfId="19" applyFont="true" applyBorder="true" applyAlignment="true" applyProtection="true">
      <alignment horizontal="general" vertical="center" textRotation="0" wrapText="false" indent="0" shrinkToFit="false"/>
      <protection locked="true" hidden="false"/>
    </xf>
    <xf numFmtId="165" fontId="20" fillId="6" borderId="0" xfId="19" applyFont="true" applyBorder="true" applyAlignment="true" applyProtection="true">
      <alignment horizontal="general" vertical="center" textRotation="0" wrapText="false" indent="0" shrinkToFit="false"/>
      <protection locked="true" hidden="false"/>
    </xf>
    <xf numFmtId="165" fontId="20" fillId="6" borderId="0" xfId="19" applyFont="true" applyBorder="true" applyAlignment="true" applyProtection="true">
      <alignment horizontal="general" vertical="center" textRotation="0" wrapText="false" indent="0" shrinkToFit="false"/>
      <protection locked="true" hidden="false"/>
    </xf>
    <xf numFmtId="168" fontId="0" fillId="9" borderId="20" xfId="0" applyFont="true" applyBorder="true" applyAlignment="true" applyProtection="false">
      <alignment horizontal="left" vertical="center" textRotation="0" wrapText="true" indent="0" shrinkToFit="false"/>
      <protection locked="true" hidden="false"/>
    </xf>
    <xf numFmtId="167" fontId="22" fillId="0" borderId="21" xfId="19" applyFont="true" applyBorder="true" applyAlignment="true" applyProtection="true">
      <alignment horizontal="general" vertical="bottom" textRotation="0" wrapText="false" indent="0" shrinkToFit="false"/>
      <protection locked="true" hidden="false"/>
    </xf>
    <xf numFmtId="167" fontId="23" fillId="0" borderId="0" xfId="0" applyFont="true" applyBorder="false" applyAlignment="true" applyProtection="false">
      <alignment horizontal="general" vertical="center" textRotation="0" wrapText="false" indent="0" shrinkToFit="false"/>
      <protection locked="true" hidden="false"/>
    </xf>
    <xf numFmtId="167" fontId="22" fillId="0" borderId="21" xfId="0" applyFont="true" applyBorder="true" applyAlignment="false" applyProtection="false">
      <alignment horizontal="general" vertical="bottom" textRotation="0" wrapText="false" indent="0" shrinkToFit="false"/>
      <protection locked="true" hidden="false"/>
    </xf>
    <xf numFmtId="167" fontId="22" fillId="0" borderId="0" xfId="0" applyFont="true" applyBorder="true" applyAlignment="false" applyProtection="false">
      <alignment horizontal="general" vertical="bottom" textRotation="0" wrapText="false" indent="0" shrinkToFit="false"/>
      <protection locked="true" hidden="false"/>
    </xf>
    <xf numFmtId="167" fontId="10" fillId="7" borderId="0" xfId="20" applyFont="true" applyBorder="true" applyAlignment="true" applyProtection="true">
      <alignment horizontal="center" vertical="center" textRotation="0" wrapText="true" indent="0" shrinkToFit="false"/>
      <protection locked="true" hidden="false"/>
    </xf>
    <xf numFmtId="170" fontId="10" fillId="7" borderId="0" xfId="20" applyFont="true" applyBorder="true" applyAlignment="true" applyProtection="true">
      <alignment horizontal="center" vertical="center" textRotation="0" wrapText="true" indent="0" shrinkToFit="false"/>
      <protection locked="true" hidden="false"/>
    </xf>
    <xf numFmtId="165" fontId="10" fillId="7" borderId="0" xfId="20" applyFont="true" applyBorder="true" applyAlignment="true" applyProtection="true">
      <alignment horizontal="center" vertical="center" textRotation="0" wrapText="true" indent="0" shrinkToFit="false"/>
      <protection locked="true" hidden="false"/>
    </xf>
    <xf numFmtId="167" fontId="0" fillId="7" borderId="21" xfId="19" applyFont="true" applyBorder="true" applyAlignment="true" applyProtection="true">
      <alignment horizontal="center" vertical="center" textRotation="0" wrapText="true" indent="0" shrinkToFit="false"/>
      <protection locked="true" hidden="false"/>
    </xf>
    <xf numFmtId="165" fontId="0" fillId="7" borderId="21" xfId="19" applyFont="true" applyBorder="true" applyAlignment="true" applyProtection="true">
      <alignment horizontal="center" vertical="center" textRotation="0" wrapText="true" indent="0" shrinkToFit="false"/>
      <protection locked="true" hidden="false"/>
    </xf>
    <xf numFmtId="167" fontId="30" fillId="7" borderId="0" xfId="20" applyFont="true" applyBorder="true" applyAlignment="true" applyProtection="true">
      <alignment horizontal="center" vertical="center" textRotation="0" wrapText="true" indent="0" shrinkToFit="false"/>
      <protection locked="true" hidden="false"/>
    </xf>
    <xf numFmtId="167" fontId="13" fillId="7" borderId="21" xfId="0" applyFont="true" applyBorder="true" applyAlignment="true" applyProtection="false">
      <alignment horizontal="center" vertical="center" textRotation="0" wrapText="true" indent="0" shrinkToFit="false"/>
      <protection locked="true" hidden="false"/>
    </xf>
    <xf numFmtId="165" fontId="31" fillId="7" borderId="21" xfId="19" applyFont="true" applyBorder="true" applyAlignment="true" applyProtection="true">
      <alignment horizontal="center" vertical="center" textRotation="0" wrapText="true" indent="0" shrinkToFit="false"/>
      <protection locked="true" hidden="false"/>
    </xf>
    <xf numFmtId="164" fontId="13" fillId="7" borderId="0" xfId="0" applyFont="true" applyBorder="false" applyAlignment="true" applyProtection="false">
      <alignment horizontal="center" vertical="center" textRotation="0" wrapText="false" indent="0" shrinkToFit="false"/>
      <protection locked="true" hidden="false"/>
    </xf>
    <xf numFmtId="164" fontId="13" fillId="7" borderId="21" xfId="0" applyFont="true" applyBorder="true" applyAlignment="true" applyProtection="false">
      <alignment horizontal="center" vertical="center" textRotation="0" wrapText="true" indent="0" shrinkToFit="false"/>
      <protection locked="true" hidden="false"/>
    </xf>
    <xf numFmtId="164" fontId="13" fillId="7" borderId="0" xfId="0" applyFont="true" applyBorder="true" applyAlignment="true" applyProtection="false">
      <alignment horizontal="center" vertical="center" textRotation="0" wrapText="true" indent="0" shrinkToFit="false"/>
      <protection locked="true" hidden="false"/>
    </xf>
    <xf numFmtId="164" fontId="13" fillId="7" borderId="0" xfId="0" applyFont="true" applyBorder="false" applyAlignment="true" applyProtection="false">
      <alignment horizontal="center" vertical="center" textRotation="0" wrapText="true" indent="0" shrinkToFit="false"/>
      <protection locked="true" hidden="false"/>
    </xf>
    <xf numFmtId="167" fontId="31" fillId="4" borderId="21" xfId="20" applyFont="true" applyBorder="true" applyAlignment="true" applyProtection="true">
      <alignment horizontal="center" vertical="center" textRotation="0" wrapText="true" indent="0" shrinkToFit="false"/>
      <protection locked="true" hidden="false"/>
    </xf>
    <xf numFmtId="165" fontId="31" fillId="7" borderId="0" xfId="19" applyFont="true" applyBorder="true" applyAlignment="true" applyProtection="true">
      <alignment horizontal="center" vertical="center" textRotation="0" wrapText="true" indent="0" shrinkToFit="false"/>
      <protection locked="true" hidden="false"/>
    </xf>
    <xf numFmtId="165" fontId="31" fillId="4" borderId="0" xfId="19" applyFont="true" applyBorder="true" applyAlignment="true" applyProtection="true">
      <alignment horizontal="center" vertical="center" textRotation="0" wrapText="true" indent="0" shrinkToFit="false"/>
      <protection locked="true" hidden="false"/>
    </xf>
    <xf numFmtId="164" fontId="0" fillId="7" borderId="0" xfId="0" applyFont="true" applyBorder="false" applyAlignment="true" applyProtection="false">
      <alignment horizontal="center" vertical="center" textRotation="0" wrapText="false" indent="0" shrinkToFit="false"/>
      <protection locked="true" hidden="false"/>
    </xf>
    <xf numFmtId="167" fontId="10" fillId="7" borderId="21" xfId="20" applyFont="true" applyBorder="true" applyAlignment="true" applyProtection="true">
      <alignment horizontal="center" vertical="center" textRotation="0" wrapText="true" indent="0" shrinkToFit="false"/>
      <protection locked="true" hidden="false"/>
    </xf>
    <xf numFmtId="167" fontId="0" fillId="0" borderId="21" xfId="19" applyFont="true" applyBorder="true" applyAlignment="true" applyProtection="true">
      <alignment horizontal="right" vertical="bottom" textRotation="0" wrapText="false" indent="0" shrinkToFit="false"/>
      <protection locked="true" hidden="false"/>
    </xf>
    <xf numFmtId="167" fontId="30" fillId="0" borderId="0" xfId="19" applyFont="true" applyBorder="true" applyAlignment="true" applyProtection="true">
      <alignment horizontal="right" vertical="bottom" textRotation="0" wrapText="false" indent="0" shrinkToFit="false"/>
      <protection locked="true" hidden="false"/>
    </xf>
    <xf numFmtId="167" fontId="13" fillId="0" borderId="0" xfId="19" applyFont="true" applyBorder="true" applyAlignment="true" applyProtection="true">
      <alignment horizontal="right" vertical="center" textRotation="0" wrapText="false" indent="0" shrinkToFit="false"/>
      <protection locked="true" hidden="false"/>
    </xf>
    <xf numFmtId="167" fontId="13" fillId="0" borderId="21" xfId="19" applyFont="true" applyBorder="true" applyAlignment="true" applyProtection="true">
      <alignment horizontal="right" vertical="bottom" textRotation="0" wrapText="false" indent="0" shrinkToFit="false"/>
      <protection locked="true" hidden="false"/>
    </xf>
    <xf numFmtId="165" fontId="4" fillId="0" borderId="0" xfId="19" applyFont="true" applyBorder="true" applyAlignment="true" applyProtection="true">
      <alignment horizontal="right" vertical="bottom" textRotation="0" wrapText="false" indent="0" shrinkToFit="false"/>
      <protection locked="true" hidden="false"/>
    </xf>
    <xf numFmtId="167" fontId="13" fillId="10" borderId="0" xfId="0" applyFont="true" applyBorder="false" applyAlignment="false" applyProtection="false">
      <alignment horizontal="general" vertical="bottom" textRotation="0" wrapText="false" indent="0" shrinkToFit="false"/>
      <protection locked="true" hidden="false"/>
    </xf>
    <xf numFmtId="167" fontId="13" fillId="0" borderId="21" xfId="0" applyFont="true" applyBorder="true" applyAlignment="false" applyProtection="false">
      <alignment horizontal="general" vertical="bottom" textRotation="0" wrapText="false" indent="0" shrinkToFit="false"/>
      <protection locked="true" hidden="false"/>
    </xf>
    <xf numFmtId="167" fontId="13" fillId="0" borderId="0" xfId="0" applyFont="true" applyBorder="true" applyAlignment="false" applyProtection="false">
      <alignment horizontal="general" vertical="bottom" textRotation="0" wrapText="false" indent="0" shrinkToFit="false"/>
      <protection locked="true" hidden="false"/>
    </xf>
    <xf numFmtId="165" fontId="25" fillId="8" borderId="0" xfId="19" applyFont="true" applyBorder="true" applyAlignment="true" applyProtection="true">
      <alignment horizontal="general" vertical="bottom" textRotation="0" wrapText="false" indent="0" shrinkToFit="false"/>
      <protection locked="true" hidden="false"/>
    </xf>
    <xf numFmtId="167" fontId="25" fillId="8" borderId="21" xfId="19" applyFont="true" applyBorder="true" applyAlignment="true" applyProtection="true">
      <alignment horizontal="general" vertical="bottom" textRotation="0" wrapText="false" indent="0" shrinkToFit="false"/>
      <protection locked="true" hidden="false"/>
    </xf>
    <xf numFmtId="164" fontId="25" fillId="8" borderId="21" xfId="0" applyFont="true" applyBorder="true" applyAlignment="false" applyProtection="false">
      <alignment horizontal="general" vertical="bottom" textRotation="0" wrapText="false" indent="0" shrinkToFit="false"/>
      <protection locked="true" hidden="false"/>
    </xf>
    <xf numFmtId="164" fontId="24" fillId="8" borderId="0" xfId="0" applyFont="true" applyBorder="false" applyAlignment="false" applyProtection="false">
      <alignment horizontal="general" vertical="bottom" textRotation="0" wrapText="false" indent="0" shrinkToFit="false"/>
      <protection locked="true" hidden="false"/>
    </xf>
    <xf numFmtId="165" fontId="25" fillId="8" borderId="21" xfId="19" applyFont="true" applyBorder="true" applyAlignment="true" applyProtection="true">
      <alignment horizontal="general" vertical="bottom" textRotation="0" wrapText="false" indent="0" shrinkToFit="false"/>
      <protection locked="true" hidden="false"/>
    </xf>
    <xf numFmtId="164" fontId="25" fillId="8" borderId="0" xfId="0" applyFont="true" applyBorder="true" applyAlignment="false" applyProtection="false">
      <alignment horizontal="general" vertical="bottom" textRotation="0" wrapText="false" indent="0" shrinkToFit="false"/>
      <protection locked="true" hidden="false"/>
    </xf>
    <xf numFmtId="167" fontId="25" fillId="8" borderId="0" xfId="0" applyFont="true" applyBorder="true" applyAlignment="false" applyProtection="false">
      <alignment horizontal="general" vertical="bottom" textRotation="0" wrapText="false" indent="0" shrinkToFit="false"/>
      <protection locked="true" hidden="false"/>
    </xf>
    <xf numFmtId="165" fontId="25" fillId="8" borderId="0" xfId="19" applyFont="true" applyBorder="true" applyAlignment="true" applyProtection="true">
      <alignment horizontal="general" vertical="bottom" textRotation="0" wrapText="false" indent="0" shrinkToFit="false"/>
      <protection locked="true" hidden="false"/>
    </xf>
    <xf numFmtId="165" fontId="4" fillId="0" borderId="0" xfId="19" applyFont="true" applyBorder="true" applyAlignment="true" applyProtection="true">
      <alignment horizontal="general" vertical="bottom" textRotation="0" wrapText="false" indent="0" shrinkToFit="false"/>
      <protection locked="true" hidden="false"/>
    </xf>
    <xf numFmtId="165" fontId="0" fillId="4" borderId="0" xfId="19" applyFont="true" applyBorder="true" applyAlignment="true" applyProtection="true">
      <alignment horizontal="center" vertical="center" textRotation="0" wrapText="true" indent="0" shrinkToFit="false"/>
      <protection locked="true" hidden="false"/>
    </xf>
    <xf numFmtId="167" fontId="0" fillId="0" borderId="21" xfId="0" applyFont="true" applyBorder="true" applyAlignment="true" applyProtection="false">
      <alignment horizontal="right" vertical="bottom" textRotation="0" wrapText="false" indent="0" shrinkToFit="false"/>
      <protection locked="true" hidden="false"/>
    </xf>
    <xf numFmtId="167" fontId="0" fillId="0" borderId="21" xfId="0" applyFont="true" applyBorder="true" applyAlignment="false" applyProtection="false">
      <alignment horizontal="general" vertical="bottom" textRotation="0" wrapText="false" indent="0" shrinkToFit="false"/>
      <protection locked="true" hidden="false"/>
    </xf>
    <xf numFmtId="165" fontId="13" fillId="0" borderId="0" xfId="19" applyFont="true" applyBorder="true" applyAlignment="true" applyProtection="true">
      <alignment horizontal="general" vertical="bottom" textRotation="0" wrapText="false" indent="0" shrinkToFit="false"/>
      <protection locked="true" hidden="false"/>
    </xf>
    <xf numFmtId="167" fontId="13" fillId="4" borderId="0" xfId="0" applyFont="true" applyBorder="true" applyAlignment="true" applyProtection="false">
      <alignment horizontal="center" vertical="center" textRotation="0" wrapText="true" indent="0" shrinkToFit="false"/>
      <protection locked="true" hidden="false"/>
    </xf>
    <xf numFmtId="167" fontId="13" fillId="7" borderId="0" xfId="19"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10" fillId="7" borderId="21" xfId="20" applyFont="true" applyBorder="true" applyAlignment="true" applyProtection="true">
      <alignment horizontal="center" vertical="center" textRotation="0" wrapText="true" indent="0" shrinkToFit="false"/>
      <protection locked="true" hidden="false"/>
    </xf>
    <xf numFmtId="165" fontId="10" fillId="4" borderId="0" xfId="20" applyFont="true" applyBorder="true" applyAlignment="true" applyProtection="true">
      <alignment horizontal="center" vertical="center" textRotation="0" wrapText="true" indent="0" shrinkToFit="false"/>
      <protection locked="true" hidden="false"/>
    </xf>
    <xf numFmtId="167" fontId="31" fillId="0" borderId="21"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5" fontId="10" fillId="4" borderId="21" xfId="20" applyFont="true" applyBorder="true" applyAlignment="true" applyProtection="true">
      <alignment horizontal="center" vertical="center"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7" fontId="20" fillId="6" borderId="0" xfId="0" applyFont="true" applyBorder="false" applyAlignment="true" applyProtection="false">
      <alignment horizontal="left" vertical="center" textRotation="0" wrapText="false" indent="0" shrinkToFit="false"/>
      <protection locked="true" hidden="false"/>
    </xf>
    <xf numFmtId="167" fontId="22" fillId="0" borderId="0" xfId="0" applyFont="true" applyBorder="false" applyAlignment="true" applyProtection="false">
      <alignment horizontal="left" vertical="bottom" textRotation="0" wrapText="false" indent="0" shrinkToFit="false"/>
      <protection locked="true" hidden="false"/>
    </xf>
    <xf numFmtId="167" fontId="31" fillId="0" borderId="0" xfId="0" applyFont="true" applyBorder="false" applyAlignment="true" applyProtection="false">
      <alignment horizontal="left" vertical="bottom" textRotation="0" wrapText="false" indent="0" shrinkToFit="false"/>
      <protection locked="true" hidden="false"/>
    </xf>
    <xf numFmtId="167" fontId="31" fillId="0" borderId="0" xfId="0" applyFont="true" applyBorder="false" applyAlignment="false" applyProtection="false">
      <alignment horizontal="general" vertical="bottom" textRotation="0" wrapText="false" indent="0" shrinkToFit="false"/>
      <protection locked="true" hidden="false"/>
    </xf>
    <xf numFmtId="167" fontId="30" fillId="0" borderId="0" xfId="0" applyFont="true" applyBorder="false" applyAlignment="false" applyProtection="false">
      <alignment horizontal="general" vertical="bottom" textRotation="0" wrapText="false" indent="0" shrinkToFit="false"/>
      <protection locked="true" hidden="false"/>
    </xf>
    <xf numFmtId="167" fontId="25" fillId="8" borderId="0" xfId="19" applyFont="true" applyBorder="true" applyAlignment="true" applyProtection="true">
      <alignment horizontal="center" vertical="bottom" textRotation="0" wrapText="false" indent="0" shrinkToFit="false"/>
      <protection locked="true" hidden="false"/>
    </xf>
    <xf numFmtId="168" fontId="20" fillId="0" borderId="0" xfId="0" applyFont="true" applyBorder="false" applyAlignment="true" applyProtection="false">
      <alignment horizontal="left" vertical="center" textRotation="0" wrapText="false" indent="0" shrinkToFit="false"/>
      <protection locked="true" hidden="false"/>
    </xf>
    <xf numFmtId="165" fontId="20" fillId="6" borderId="0" xfId="19" applyFont="true" applyBorder="true" applyAlignment="true" applyProtection="true">
      <alignment horizontal="left"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8" fontId="22"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5" fontId="23" fillId="0" borderId="0" xfId="19" applyFont="true" applyBorder="true" applyAlignment="true" applyProtection="true">
      <alignment horizontal="general" vertical="bottom" textRotation="0" wrapText="false" indent="0" shrinkToFit="false"/>
      <protection locked="true" hidden="false"/>
    </xf>
    <xf numFmtId="167" fontId="0" fillId="4" borderId="0" xfId="0" applyFont="true" applyBorder="false" applyAlignment="true" applyProtection="false">
      <alignment horizontal="center" vertical="center" textRotation="0" wrapText="true" indent="0" shrinkToFit="false"/>
      <protection locked="true" hidden="false"/>
    </xf>
    <xf numFmtId="167" fontId="0" fillId="11" borderId="0" xfId="0" applyFont="true" applyBorder="false" applyAlignment="false" applyProtection="false">
      <alignment horizontal="general" vertical="bottom" textRotation="0" wrapText="false" indent="0" shrinkToFit="false"/>
      <protection locked="true" hidden="false"/>
    </xf>
    <xf numFmtId="165" fontId="0" fillId="11" borderId="0" xfId="19" applyFont="true" applyBorder="true" applyAlignment="true" applyProtection="true">
      <alignment horizontal="general" vertical="bottom" textRotation="0" wrapText="false" indent="0" shrinkToFit="false"/>
      <protection locked="true" hidden="false"/>
    </xf>
    <xf numFmtId="165" fontId="31" fillId="0" borderId="0" xfId="19" applyFont="true" applyBorder="true" applyAlignment="true" applyProtection="true">
      <alignment horizontal="general" vertical="bottom" textRotation="0" wrapText="false" indent="0" shrinkToFit="false"/>
      <protection locked="true" hidden="false"/>
    </xf>
    <xf numFmtId="168" fontId="13" fillId="0" borderId="0" xfId="0" applyFont="true" applyBorder="true" applyAlignment="true" applyProtection="false">
      <alignment horizontal="center" vertical="center" textRotation="0" wrapText="true" indent="0" shrinkToFit="false"/>
      <protection locked="true" hidden="false"/>
    </xf>
    <xf numFmtId="167" fontId="13" fillId="4" borderId="21" xfId="0" applyFont="true" applyBorder="true" applyAlignment="true" applyProtection="false">
      <alignment horizontal="center" vertical="center" textRotation="0" wrapText="true" indent="0" shrinkToFit="false"/>
      <protection locked="true" hidden="false"/>
    </xf>
    <xf numFmtId="165" fontId="13" fillId="4" borderId="0" xfId="19" applyFont="true" applyBorder="true" applyAlignment="true" applyProtection="true">
      <alignment horizontal="center" vertical="center" textRotation="0" wrapText="true" indent="0" shrinkToFit="false"/>
      <protection locked="true" hidden="false"/>
    </xf>
    <xf numFmtId="165" fontId="13" fillId="0" borderId="0" xfId="19" applyFont="true" applyBorder="true" applyAlignment="true" applyProtection="true">
      <alignment horizontal="right" vertical="bottom" textRotation="0" wrapText="false" indent="0" shrinkToFit="false"/>
      <protection locked="true" hidden="false"/>
    </xf>
    <xf numFmtId="167" fontId="31" fillId="0" borderId="21" xfId="23" applyFont="true" applyBorder="true" applyAlignment="true" applyProtection="true">
      <alignment horizontal="general" vertical="bottom" textRotation="0" wrapText="false" indent="0" shrinkToFit="false"/>
      <protection locked="true" hidden="false"/>
    </xf>
    <xf numFmtId="167" fontId="24" fillId="8" borderId="21" xfId="19" applyFont="true" applyBorder="true" applyAlignment="true" applyProtection="true">
      <alignment horizontal="general" vertical="bottom" textRotation="0" wrapText="false" indent="0" shrinkToFit="false"/>
      <protection locked="true" hidden="false"/>
    </xf>
    <xf numFmtId="167" fontId="0" fillId="0" borderId="22" xfId="19" applyFont="true" applyBorder="true" applyAlignment="true" applyProtection="true">
      <alignment horizontal="general" vertical="bottom" textRotation="0" wrapText="false" indent="0" shrinkToFit="false"/>
      <protection locked="true" hidden="false"/>
    </xf>
    <xf numFmtId="167" fontId="13" fillId="0" borderId="23" xfId="0" applyFont="true" applyBorder="true" applyAlignment="false" applyProtection="false">
      <alignment horizontal="general" vertical="bottom" textRotation="0" wrapText="false" indent="0" shrinkToFit="false"/>
      <protection locked="true" hidden="false"/>
    </xf>
    <xf numFmtId="167" fontId="20" fillId="6" borderId="22" xfId="0" applyFont="true" applyBorder="true" applyAlignment="true" applyProtection="false">
      <alignment horizontal="general" vertical="center" textRotation="0" wrapText="false" indent="0" shrinkToFit="false"/>
      <protection locked="true" hidden="false"/>
    </xf>
    <xf numFmtId="167" fontId="20" fillId="6" borderId="23" xfId="0" applyFont="true" applyBorder="true" applyAlignment="true" applyProtection="false">
      <alignment horizontal="general" vertical="center" textRotation="0" wrapText="false" indent="0" shrinkToFit="false"/>
      <protection locked="true" hidden="false"/>
    </xf>
    <xf numFmtId="167" fontId="22" fillId="0" borderId="22" xfId="19" applyFont="true" applyBorder="true" applyAlignment="true" applyProtection="true">
      <alignment horizontal="general" vertical="bottom" textRotation="0" wrapText="false" indent="0" shrinkToFit="false"/>
      <protection locked="true" hidden="false"/>
    </xf>
    <xf numFmtId="167" fontId="23" fillId="0" borderId="23" xfId="0" applyFont="true" applyBorder="true" applyAlignment="false" applyProtection="false">
      <alignment horizontal="general" vertical="bottom" textRotation="0" wrapText="false" indent="0" shrinkToFit="false"/>
      <protection locked="true" hidden="false"/>
    </xf>
    <xf numFmtId="167" fontId="36" fillId="0" borderId="0" xfId="0" applyFont="true" applyBorder="false" applyAlignment="false" applyProtection="false">
      <alignment horizontal="general" vertical="bottom" textRotation="0" wrapText="false" indent="0" shrinkToFit="false"/>
      <protection locked="true" hidden="false"/>
    </xf>
    <xf numFmtId="167" fontId="10" fillId="7" borderId="22" xfId="20" applyFont="true" applyBorder="true" applyAlignment="true" applyProtection="true">
      <alignment horizontal="center" vertical="center" textRotation="0" wrapText="true" indent="0" shrinkToFit="false"/>
      <protection locked="true" hidden="false"/>
    </xf>
    <xf numFmtId="167" fontId="10" fillId="7" borderId="23" xfId="20" applyFont="true" applyBorder="true" applyAlignment="true" applyProtection="true">
      <alignment horizontal="center" vertical="center" textRotation="0" wrapText="true" indent="0" shrinkToFit="false"/>
      <protection locked="true" hidden="false"/>
    </xf>
    <xf numFmtId="167" fontId="0" fillId="0" borderId="22" xfId="19" applyFont="true" applyBorder="true" applyAlignment="true" applyProtection="true">
      <alignment horizontal="right" vertical="bottom" textRotation="0" wrapText="false" indent="0" shrinkToFit="false"/>
      <protection locked="true" hidden="false"/>
    </xf>
    <xf numFmtId="167" fontId="13" fillId="0" borderId="23" xfId="0" applyFont="true" applyBorder="true" applyAlignment="true" applyProtection="false">
      <alignment horizontal="right" vertical="bottom" textRotation="0" wrapText="false" indent="0" shrinkToFit="false"/>
      <protection locked="true" hidden="false"/>
    </xf>
    <xf numFmtId="167" fontId="25" fillId="8" borderId="22" xfId="19" applyFont="true" applyBorder="true" applyAlignment="true" applyProtection="true">
      <alignment horizontal="general" vertical="bottom" textRotation="0" wrapText="false" indent="0" shrinkToFit="false"/>
      <protection locked="true" hidden="false"/>
    </xf>
    <xf numFmtId="167" fontId="24" fillId="8" borderId="23" xfId="19" applyFont="true" applyBorder="true" applyAlignment="true" applyProtection="true">
      <alignment horizontal="general" vertical="bottom" textRotation="0" wrapText="false" indent="0" shrinkToFit="false"/>
      <protection locked="true" hidden="false"/>
    </xf>
    <xf numFmtId="167" fontId="0" fillId="4" borderId="0" xfId="19" applyFont="true" applyBorder="true" applyAlignment="true" applyProtection="true">
      <alignment horizontal="center" vertical="center" textRotation="0" wrapText="true" indent="0" shrinkToFit="false"/>
      <protection locked="true" hidden="false"/>
    </xf>
    <xf numFmtId="165" fontId="0" fillId="7" borderId="0" xfId="0" applyFont="true" applyBorder="false" applyAlignment="true" applyProtection="false">
      <alignment horizontal="center" vertical="center"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0" fillId="0" borderId="24"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8" fontId="20" fillId="0" borderId="0" xfId="0" applyFont="true" applyBorder="false" applyAlignment="true" applyProtection="false">
      <alignment horizontal="center" vertical="center" textRotation="0" wrapText="false" indent="0" shrinkToFit="false"/>
      <protection locked="true" hidden="false"/>
    </xf>
    <xf numFmtId="167" fontId="20" fillId="6" borderId="0" xfId="0" applyFont="true" applyBorder="true" applyAlignment="true" applyProtection="false">
      <alignment horizontal="right" vertical="center" textRotation="0" wrapText="false" indent="0" shrinkToFit="false"/>
      <protection locked="true" hidden="false"/>
    </xf>
    <xf numFmtId="164" fontId="20" fillId="6" borderId="24" xfId="19" applyFont="true" applyBorder="true" applyAlignment="true" applyProtection="true">
      <alignment horizontal="general" vertical="center" textRotation="0" wrapText="false" indent="0" shrinkToFit="false"/>
      <protection locked="true" hidden="false"/>
    </xf>
    <xf numFmtId="165" fontId="20" fillId="6" borderId="24" xfId="19" applyFont="true" applyBorder="true" applyAlignment="true" applyProtection="true">
      <alignment horizontal="general" vertical="center" textRotation="0" wrapText="false" indent="0" shrinkToFit="false"/>
      <protection locked="true" hidden="false"/>
    </xf>
    <xf numFmtId="164" fontId="20" fillId="6" borderId="0" xfId="19" applyFont="true" applyBorder="true" applyAlignment="true" applyProtection="true">
      <alignment horizontal="center" vertical="center" textRotation="0" wrapText="false" indent="0" shrinkToFit="false"/>
      <protection locked="true" hidden="false"/>
    </xf>
    <xf numFmtId="167" fontId="20" fillId="6" borderId="24" xfId="19" applyFont="true" applyBorder="true" applyAlignment="true" applyProtection="true">
      <alignment horizontal="general" vertical="center" textRotation="0" wrapText="false" indent="0" shrinkToFit="false"/>
      <protection locked="true" hidden="false"/>
    </xf>
    <xf numFmtId="168"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7" fontId="22" fillId="0" borderId="0" xfId="0" applyFont="true" applyBorder="true" applyAlignment="true" applyProtection="false">
      <alignment horizontal="left" vertical="bottom" textRotation="0" wrapText="false" indent="0" shrinkToFit="false"/>
      <protection locked="true" hidden="false"/>
    </xf>
    <xf numFmtId="164" fontId="22" fillId="0" borderId="24" xfId="19" applyFont="true" applyBorder="true" applyAlignment="true" applyProtection="true">
      <alignment horizontal="general" vertical="bottom" textRotation="0" wrapText="false" indent="0" shrinkToFit="false"/>
      <protection locked="true" hidden="false"/>
    </xf>
    <xf numFmtId="165" fontId="22" fillId="0" borderId="24" xfId="19" applyFont="true" applyBorder="true" applyAlignment="true" applyProtection="true">
      <alignment horizontal="general" vertical="bottom" textRotation="0" wrapText="false" indent="0" shrinkToFit="false"/>
      <protection locked="true" hidden="false"/>
    </xf>
    <xf numFmtId="164" fontId="22" fillId="0" borderId="0" xfId="19" applyFont="true" applyBorder="true" applyAlignment="true" applyProtection="true">
      <alignment horizontal="center" vertical="bottom" textRotation="0" wrapText="false" indent="0" shrinkToFit="false"/>
      <protection locked="true" hidden="false"/>
    </xf>
    <xf numFmtId="167" fontId="22" fillId="0" borderId="24" xfId="19" applyFont="true" applyBorder="true" applyAlignment="true" applyProtection="true">
      <alignment horizontal="general" vertical="bottom" textRotation="0" wrapText="false" indent="0" shrinkToFit="false"/>
      <protection locked="true" hidden="false"/>
    </xf>
    <xf numFmtId="168" fontId="37" fillId="12" borderId="25" xfId="0" applyFont="true" applyBorder="true" applyAlignment="true" applyProtection="false">
      <alignment horizontal="left" vertical="center" textRotation="0" wrapText="true" indent="0" shrinkToFit="false"/>
      <protection locked="true" hidden="false"/>
    </xf>
    <xf numFmtId="168" fontId="37" fillId="12" borderId="26" xfId="0" applyFont="true" applyBorder="true" applyAlignment="true" applyProtection="false">
      <alignment horizontal="left" vertical="center" textRotation="0" wrapText="true" indent="0" shrinkToFit="false"/>
      <protection locked="true" hidden="false"/>
    </xf>
    <xf numFmtId="167" fontId="22" fillId="0" borderId="0" xfId="0" applyFont="true" applyBorder="true" applyAlignment="true" applyProtection="false">
      <alignment horizontal="right" vertical="bottom" textRotation="0" wrapText="false" indent="0" shrinkToFit="false"/>
      <protection locked="true" hidden="false"/>
    </xf>
    <xf numFmtId="164" fontId="38" fillId="12" borderId="20" xfId="19" applyFont="true" applyBorder="true" applyAlignment="true" applyProtection="true">
      <alignment horizontal="center" vertical="center" textRotation="0" wrapText="true" indent="0" shrinkToFit="false"/>
      <protection locked="true" hidden="false"/>
    </xf>
    <xf numFmtId="165" fontId="38" fillId="12" borderId="20" xfId="19" applyFont="true" applyBorder="true" applyAlignment="true" applyProtection="true">
      <alignment horizontal="center" vertical="center" textRotation="0" wrapText="true" indent="0" shrinkToFit="false"/>
      <protection locked="true" hidden="false"/>
    </xf>
    <xf numFmtId="165" fontId="38" fillId="12" borderId="20" xfId="19" applyFont="true" applyBorder="true" applyAlignment="true" applyProtection="true">
      <alignment horizontal="center" vertical="center" textRotation="0" wrapText="true" indent="0" shrinkToFit="false"/>
      <protection locked="true" hidden="false"/>
    </xf>
    <xf numFmtId="168"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7" fontId="4" fillId="0" borderId="0" xfId="19" applyFont="true" applyBorder="true" applyAlignment="true" applyProtection="true">
      <alignment horizontal="right" vertical="bottom" textRotation="0" wrapText="false" indent="0" shrinkToFit="false"/>
      <protection locked="true" hidden="false"/>
    </xf>
    <xf numFmtId="164" fontId="4" fillId="0" borderId="24" xfId="19" applyFont="true" applyBorder="true" applyAlignment="true" applyProtection="true">
      <alignment horizontal="right" vertical="bottom" textRotation="0" wrapText="false" indent="0" shrinkToFit="false"/>
      <protection locked="true" hidden="false"/>
    </xf>
    <xf numFmtId="165" fontId="4" fillId="0" borderId="0" xfId="19" applyFont="true" applyBorder="true" applyAlignment="true" applyProtection="true">
      <alignment horizontal="right" vertical="bottom" textRotation="0" wrapText="false" indent="0" shrinkToFit="false"/>
      <protection locked="true" hidden="false"/>
    </xf>
    <xf numFmtId="165" fontId="0" fillId="0" borderId="24" xfId="19" applyFont="true" applyBorder="true" applyAlignment="true" applyProtection="true">
      <alignment horizontal="general" vertical="bottom" textRotation="0" wrapText="false" indent="0" shrinkToFit="false"/>
      <protection locked="true" hidden="false"/>
    </xf>
    <xf numFmtId="167" fontId="0" fillId="0" borderId="24" xfId="19" applyFont="true" applyBorder="true" applyAlignment="true" applyProtection="tru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7" fontId="4" fillId="0" borderId="0" xfId="19" applyFont="true" applyBorder="true" applyAlignment="true" applyProtection="true">
      <alignment horizontal="left" vertical="bottom" textRotation="0" wrapText="false" indent="0" shrinkToFit="false"/>
      <protection locked="true" hidden="false"/>
    </xf>
    <xf numFmtId="164" fontId="4" fillId="0" borderId="24" xfId="19" applyFont="true" applyBorder="true" applyAlignment="true" applyProtection="true">
      <alignment horizontal="left" vertical="bottom" textRotation="0" wrapText="fals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5" fontId="0" fillId="0" borderId="0" xfId="19" applyFont="true" applyBorder="true" applyAlignment="true" applyProtection="true">
      <alignment horizontal="left" vertical="bottom" textRotation="0" wrapText="false" indent="0" shrinkToFit="false"/>
      <protection locked="true" hidden="false"/>
    </xf>
    <xf numFmtId="165" fontId="0" fillId="0" borderId="24" xfId="19" applyFont="true" applyBorder="true" applyAlignment="true" applyProtection="true">
      <alignment horizontal="left" vertical="bottom" textRotation="0" wrapText="false" indent="0" shrinkToFit="false"/>
      <protection locked="true" hidden="false"/>
    </xf>
    <xf numFmtId="167" fontId="0" fillId="0" borderId="0" xfId="19" applyFont="true" applyBorder="true" applyAlignment="true" applyProtection="true">
      <alignment horizontal="left" vertical="bottom" textRotation="0" wrapText="false" indent="0" shrinkToFit="false"/>
      <protection locked="true" hidden="false"/>
    </xf>
    <xf numFmtId="164" fontId="0" fillId="0" borderId="0" xfId="19" applyFont="true" applyBorder="true" applyAlignment="true" applyProtection="true">
      <alignment horizontal="left" vertical="bottom" textRotation="0" wrapText="false" indent="0" shrinkToFit="false"/>
      <protection locked="true" hidden="false"/>
    </xf>
    <xf numFmtId="165" fontId="0" fillId="0" borderId="0" xfId="19" applyFont="true" applyBorder="true" applyAlignment="true" applyProtection="true">
      <alignment horizontal="left" vertical="bottom" textRotation="0" wrapText="false" indent="0" shrinkToFit="false"/>
      <protection locked="true" hidden="false"/>
    </xf>
    <xf numFmtId="167" fontId="0" fillId="0" borderId="24" xfId="19" applyFont="true" applyBorder="true" applyAlignment="true" applyProtection="true">
      <alignment horizontal="left" vertical="bottom" textRotation="0" wrapText="false" indent="0" shrinkToFit="false"/>
      <protection locked="true" hidden="false"/>
    </xf>
    <xf numFmtId="167" fontId="0" fillId="0" borderId="0" xfId="0" applyFont="true" applyBorder="true" applyAlignment="true" applyProtection="false">
      <alignment horizontal="left" vertical="bottom" textRotation="0" wrapText="false" indent="0" shrinkToFit="false"/>
      <protection locked="true" hidden="false"/>
    </xf>
    <xf numFmtId="168" fontId="0" fillId="0" borderId="0" xfId="0" applyFont="true" applyBorder="false" applyAlignment="true" applyProtection="false">
      <alignment horizontal="left" vertical="bottom" textRotation="0" wrapText="false" indent="0" shrinkToFit="false"/>
      <protection locked="true" hidden="false"/>
    </xf>
    <xf numFmtId="165" fontId="4" fillId="0" borderId="24" xfId="19" applyFont="true" applyBorder="true" applyAlignment="true" applyProtection="true">
      <alignment horizontal="left" vertical="bottom" textRotation="0" wrapText="false" indent="0" shrinkToFit="false"/>
      <protection locked="true" hidden="false"/>
    </xf>
    <xf numFmtId="168" fontId="37" fillId="7" borderId="0" xfId="0" applyFont="true" applyBorder="false" applyAlignment="true" applyProtection="false">
      <alignment horizontal="center" vertical="center" textRotation="0" wrapText="false" indent="0" shrinkToFit="false"/>
      <protection locked="true" hidden="false"/>
    </xf>
    <xf numFmtId="164" fontId="37" fillId="7" borderId="0" xfId="0" applyFont="true" applyBorder="false" applyAlignment="true" applyProtection="false">
      <alignment horizontal="center" vertical="center" textRotation="0" wrapText="false" indent="0" shrinkToFit="false"/>
      <protection locked="true" hidden="false"/>
    </xf>
    <xf numFmtId="167" fontId="37" fillId="7" borderId="0" xfId="0" applyFont="true" applyBorder="true" applyAlignment="true" applyProtection="false">
      <alignment horizontal="center" vertical="center" textRotation="0" wrapText="true" indent="0" shrinkToFit="false"/>
      <protection locked="true" hidden="false"/>
    </xf>
    <xf numFmtId="164" fontId="37" fillId="7" borderId="24" xfId="19" applyFont="true" applyBorder="true" applyAlignment="true" applyProtection="true">
      <alignment horizontal="center" vertical="center" textRotation="0" wrapText="true" indent="0" shrinkToFit="false"/>
      <protection locked="true" hidden="false"/>
    </xf>
    <xf numFmtId="165" fontId="37" fillId="4" borderId="0" xfId="19" applyFont="true" applyBorder="true" applyAlignment="true" applyProtection="true">
      <alignment horizontal="center" vertical="center" textRotation="90" wrapText="true" indent="0" shrinkToFit="false"/>
      <protection locked="true" hidden="false"/>
    </xf>
    <xf numFmtId="165" fontId="13" fillId="4" borderId="0" xfId="19" applyFont="true" applyBorder="true" applyAlignment="true" applyProtection="true">
      <alignment horizontal="center" vertical="center" textRotation="90" wrapText="false" indent="0" shrinkToFit="false"/>
      <protection locked="true" hidden="false"/>
    </xf>
    <xf numFmtId="165" fontId="13" fillId="4" borderId="24" xfId="19" applyFont="true" applyBorder="true" applyAlignment="true" applyProtection="true">
      <alignment horizontal="center" vertical="center" textRotation="90" wrapText="false" indent="0" shrinkToFit="false"/>
      <protection locked="true" hidden="false"/>
    </xf>
    <xf numFmtId="164" fontId="0" fillId="4" borderId="0" xfId="19" applyFont="true" applyBorder="true" applyAlignment="true" applyProtection="true">
      <alignment horizontal="center" vertical="center" textRotation="0" wrapText="true" indent="0" shrinkToFit="false"/>
      <protection locked="true" hidden="false"/>
    </xf>
    <xf numFmtId="167" fontId="13" fillId="7" borderId="24" xfId="19" applyFont="true" applyBorder="true" applyAlignment="true" applyProtection="true">
      <alignment horizontal="center" vertical="center" textRotation="0" wrapText="true" indent="0" shrinkToFit="false"/>
      <protection locked="true" hidden="false"/>
    </xf>
    <xf numFmtId="167" fontId="13" fillId="7" borderId="0" xfId="0" applyFont="true" applyBorder="true" applyAlignment="true" applyProtection="false">
      <alignment horizontal="center" vertical="center" textRotation="90" wrapText="false" indent="0" shrinkToFit="false"/>
      <protection locked="true" hidden="false"/>
    </xf>
    <xf numFmtId="167" fontId="0" fillId="0" borderId="0" xfId="0" applyFont="false" applyBorder="false" applyAlignment="true" applyProtection="false">
      <alignment horizontal="right" vertical="bottom" textRotation="0" wrapText="false" indent="0" shrinkToFit="false"/>
      <protection locked="true" hidden="false"/>
    </xf>
    <xf numFmtId="167" fontId="0" fillId="0" borderId="0" xfId="19" applyFont="true" applyBorder="true" applyAlignment="true" applyProtection="true">
      <alignment horizontal="center"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Percent 2" xfId="22" builtinId="53" customBuiltin="true"/>
    <cellStyle name="*unknown*" xfId="20" builtinId="8" customBuiltin="false"/>
    <cellStyle name="Excel Built-in Bad" xfId="23" builtinId="53" customBuiltin="true"/>
  </cellStyles>
  <dxfs count="17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name val="Calibri"/>
        <charset val="1"/>
        <family val="2"/>
        <color rgb="FF9C0006"/>
      </font>
      <fill>
        <patternFill>
          <bgColor rgb="FFFFC7CE"/>
        </patternFill>
      </fill>
    </dxf>
    <dxf>
      <font>
        <name val="Calibri"/>
        <charset val="1"/>
        <family val="2"/>
        <color rgb="FF9C0006"/>
      </font>
      <fill>
        <patternFill>
          <bgColor rgb="FFFFC7CE"/>
        </patternFill>
      </fill>
    </dxf>
    <dxf>
      <font>
        <name val="Calibri"/>
        <charset val="1"/>
        <family val="2"/>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9C5700"/>
      </font>
      <fill>
        <patternFill>
          <bgColor rgb="FFFFEB9C"/>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7F7F80"/>
        </patternFill>
      </fill>
    </dxf>
    <dxf>
      <font>
        <color rgb="FF9C0006"/>
      </font>
      <fill>
        <patternFill>
          <bgColor rgb="FF7F7F80"/>
        </patternFill>
      </fill>
    </dxf>
    <dxf>
      <font>
        <color rgb="FF9C0006"/>
      </font>
      <fill>
        <patternFill>
          <bgColor rgb="FFFFC7CE"/>
        </patternFill>
      </fill>
    </dxf>
    <dxf>
      <font>
        <color rgb="FFC00000"/>
      </font>
      <fill>
        <patternFill>
          <bgColor rgb="FF7F7F80"/>
        </patternFill>
      </fill>
    </dxf>
    <dxf>
      <font>
        <color rgb="FF9C0006"/>
      </font>
      <fill>
        <patternFill>
          <bgColor rgb="FFFFC7CE"/>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9C0006"/>
      </font>
      <fill>
        <patternFill>
          <bgColor rgb="FFFFC7CE"/>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bgColor rgb="FF7F7F8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7F7F7F"/>
      </font>
      <fill>
        <patternFill>
          <bgColor rgb="FF7F7F7F"/>
        </patternFill>
      </fill>
    </dxf>
    <dxf>
      <font>
        <color rgb="FF7F7F7F"/>
      </font>
      <fill>
        <patternFill>
          <bgColor rgb="FF7F7F7F"/>
        </patternFill>
      </fill>
    </dxf>
    <dxf>
      <font>
        <color rgb="FF7F7F7F"/>
      </font>
      <fill>
        <patternFill>
          <bgColor rgb="FF7F7F7F"/>
        </patternFill>
      </fill>
    </dxf>
    <dxf>
      <font>
        <color rgb="FF7F7F7F"/>
      </font>
      <fill>
        <patternFill>
          <bgColor rgb="FF7F7F7F"/>
        </patternFill>
      </fill>
    </dxf>
    <dxf>
      <font>
        <color rgb="FF7F7F7F"/>
      </font>
      <fill>
        <patternFill>
          <bgColor rgb="FF7F7F7F"/>
        </patternFill>
      </fill>
    </dxf>
    <dxf>
      <font>
        <color rgb="FF7F7F7F"/>
      </font>
      <fill>
        <patternFill>
          <bgColor rgb="FF7F7F7F"/>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7F7F7F"/>
      <rgbColor rgb="FF800080"/>
      <rgbColor rgb="FF008080"/>
      <rgbColor rgb="FFBFBFBF"/>
      <rgbColor rgb="FF7F7F80"/>
      <rgbColor rgb="FF9999FF"/>
      <rgbColor rgb="FF993366"/>
      <rgbColor rgb="FFFFF2CC"/>
      <rgbColor rgb="FFE7E6E6"/>
      <rgbColor rgb="FF660066"/>
      <rgbColor rgb="FFFF8080"/>
      <rgbColor rgb="FF0563C1"/>
      <rgbColor rgb="FFC2D8D8"/>
      <rgbColor rgb="FF000080"/>
      <rgbColor rgb="FFFF00FF"/>
      <rgbColor rgb="FFFFEB84"/>
      <rgbColor rgb="FF00FFFF"/>
      <rgbColor rgb="FF800080"/>
      <rgbColor rgb="FFC00000"/>
      <rgbColor rgb="FF008080"/>
      <rgbColor rgb="FF0000FF"/>
      <rgbColor rgb="FF00CCFF"/>
      <rgbColor rgb="FFD9D9D9"/>
      <rgbColor rgb="FFC6EFCE"/>
      <rgbColor rgb="FFFFEB9C"/>
      <rgbColor rgb="FF9CBEBD"/>
      <rgbColor rgb="FFE4E0A7"/>
      <rgbColor rgb="FFCC99FF"/>
      <rgbColor rgb="FFFFC7CE"/>
      <rgbColor rgb="FF4472C4"/>
      <rgbColor rgb="FF33CCCC"/>
      <rgbColor rgb="FF99CC00"/>
      <rgbColor rgb="FFFFE699"/>
      <rgbColor rgb="FFFF9900"/>
      <rgbColor rgb="FFED7D31"/>
      <rgbColor rgb="FF595959"/>
      <rgbColor rgb="FFA5A5A5"/>
      <rgbColor rgb="FF003366"/>
      <rgbColor rgb="FF339966"/>
      <rgbColor rgb="FF003300"/>
      <rgbColor rgb="FF333300"/>
      <rgbColor rgb="FF9C57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400" spc="-1" strike="noStrike">
                <a:solidFill>
                  <a:srgbClr val="595959"/>
                </a:solidFill>
                <a:latin typeface="Calibri"/>
              </a:defRPr>
            </a:pPr>
            <a:r>
              <a:rPr b="1" sz="1400" spc="-1" strike="noStrike">
                <a:solidFill>
                  <a:srgbClr val="595959"/>
                </a:solidFill>
                <a:latin typeface="Calibri"/>
              </a:rPr>
              <a:t>FY21 Projections</a:t>
            </a:r>
          </a:p>
        </c:rich>
      </c:tx>
      <c:overlay val="0"/>
      <c:spPr>
        <a:noFill/>
        <a:ln>
          <a:noFill/>
        </a:ln>
      </c:spPr>
    </c:title>
    <c:autoTitleDeleted val="0"/>
    <c:plotArea>
      <c:barChart>
        <c:barDir val="col"/>
        <c:grouping val="stacked"/>
        <c:varyColors val="0"/>
        <c:ser>
          <c:idx val="0"/>
          <c:order val="0"/>
          <c:tx>
            <c:strRef>
              <c:f>Summary!$D$23</c:f>
              <c:strCache>
                <c:ptCount val="1"/>
                <c:pt idx="0">
                  <c:v/>
                </c:pt>
              </c:strCache>
            </c:strRef>
          </c:tx>
          <c:spPr>
            <a:solidFill>
              <a:srgbClr val="4472c4"/>
            </a:solidFill>
            <a:ln>
              <a:noFill/>
            </a:ln>
          </c:spPr>
          <c:invertIfNegative val="0"/>
          <c:dLbls>
            <c:numFmt formatCode="General" sourceLinked="1"/>
            <c:dLblPos val="ctr"/>
            <c:showLegendKey val="0"/>
            <c:showVal val="0"/>
            <c:showCatName val="0"/>
            <c:showSerName val="0"/>
            <c:showPercent val="0"/>
            <c:showLeaderLines val="0"/>
          </c:dLbls>
          <c:cat>
            <c:strRef>
              <c:f>Summary!$E$22:$H$22</c:f>
              <c:strCache>
                <c:ptCount val="4"/>
                <c:pt idx="0">
                  <c:v>(FY21)</c:v>
                </c:pt>
                <c:pt idx="1">
                  <c:v/>
                </c:pt>
                <c:pt idx="2">
                  <c:v/>
                </c:pt>
                <c:pt idx="3">
                  <c:v/>
                </c:pt>
              </c:strCache>
            </c:strRef>
          </c:cat>
          <c:val>
            <c:numRef>
              <c:f>Summary!$E$23:$H$23</c:f>
              <c:numCache>
                <c:formatCode>General</c:formatCode>
                <c:ptCount val="4"/>
                <c:pt idx="0">
                  <c:v/>
                </c:pt>
                <c:pt idx="1">
                  <c:v/>
                </c:pt>
                <c:pt idx="2">
                  <c:v/>
                </c:pt>
                <c:pt idx="3">
                  <c:v/>
                </c:pt>
              </c:numCache>
            </c:numRef>
          </c:val>
        </c:ser>
        <c:ser>
          <c:idx val="1"/>
          <c:order val="1"/>
          <c:tx>
            <c:strRef>
              <c:f>Summary!$D$24</c:f>
              <c:strCache>
                <c:ptCount val="1"/>
                <c:pt idx="0">
                  <c:v>&lt;15</c:v>
                </c:pt>
              </c:strCache>
            </c:strRef>
          </c:tx>
          <c:spPr>
            <a:solidFill>
              <a:srgbClr val="ed7d31"/>
            </a:solidFill>
            <a:ln>
              <a:noFill/>
            </a:ln>
          </c:spPr>
          <c:invertIfNegative val="0"/>
          <c:dLbls>
            <c:numFmt formatCode="General" sourceLinked="1"/>
            <c:dLblPos val="ctr"/>
            <c:showLegendKey val="0"/>
            <c:showVal val="0"/>
            <c:showCatName val="0"/>
            <c:showSerName val="0"/>
            <c:showPercent val="0"/>
            <c:showLeaderLines val="0"/>
          </c:dLbls>
          <c:cat>
            <c:strRef>
              <c:f>Summary!$E$22:$H$22</c:f>
              <c:strCache>
                <c:ptCount val="4"/>
                <c:pt idx="0">
                  <c:v>(FY21)</c:v>
                </c:pt>
                <c:pt idx="1">
                  <c:v/>
                </c:pt>
                <c:pt idx="2">
                  <c:v/>
                </c:pt>
                <c:pt idx="3">
                  <c:v/>
                </c:pt>
              </c:strCache>
            </c:strRef>
          </c:cat>
          <c:val>
            <c:numRef>
              <c:f>Summary!$E$24:$H$24</c:f>
              <c:numCache>
                <c:formatCode>General</c:formatCode>
                <c:ptCount val="4"/>
                <c:pt idx="0">
                  <c:v>0</c:v>
                </c:pt>
                <c:pt idx="1">
                  <c:v>0</c:v>
                </c:pt>
                <c:pt idx="2">
                  <c:v>0</c:v>
                </c:pt>
                <c:pt idx="3">
                  <c:v>0</c:v>
                </c:pt>
              </c:numCache>
            </c:numRef>
          </c:val>
        </c:ser>
        <c:ser>
          <c:idx val="2"/>
          <c:order val="2"/>
          <c:tx>
            <c:strRef>
              <c:f>Summary!$D$25</c:f>
              <c:strCache>
                <c:ptCount val="1"/>
                <c:pt idx="0">
                  <c:v>Females, 15+</c:v>
                </c:pt>
              </c:strCache>
            </c:strRef>
          </c:tx>
          <c:spPr>
            <a:solidFill>
              <a:srgbClr val="a5a5a5"/>
            </a:solidFill>
            <a:ln>
              <a:noFill/>
            </a:ln>
          </c:spPr>
          <c:invertIfNegative val="0"/>
          <c:dLbls>
            <c:numFmt formatCode="General" sourceLinked="1"/>
            <c:dLblPos val="ctr"/>
            <c:showLegendKey val="0"/>
            <c:showVal val="0"/>
            <c:showCatName val="0"/>
            <c:showSerName val="0"/>
            <c:showPercent val="0"/>
            <c:showLeaderLines val="0"/>
          </c:dLbls>
          <c:cat>
            <c:strRef>
              <c:f>Summary!$E$22:$H$22</c:f>
              <c:strCache>
                <c:ptCount val="4"/>
                <c:pt idx="0">
                  <c:v>(FY21)</c:v>
                </c:pt>
                <c:pt idx="1">
                  <c:v/>
                </c:pt>
                <c:pt idx="2">
                  <c:v/>
                </c:pt>
                <c:pt idx="3">
                  <c:v/>
                </c:pt>
              </c:strCache>
            </c:strRef>
          </c:cat>
          <c:val>
            <c:numRef>
              <c:f>Summary!$E$25:$H$25</c:f>
              <c:numCache>
                <c:formatCode>General</c:formatCode>
                <c:ptCount val="4"/>
                <c:pt idx="0">
                  <c:v>0</c:v>
                </c:pt>
                <c:pt idx="1">
                  <c:v>0</c:v>
                </c:pt>
                <c:pt idx="2">
                  <c:v>0</c:v>
                </c:pt>
                <c:pt idx="3">
                  <c:v>0</c:v>
                </c:pt>
              </c:numCache>
            </c:numRef>
          </c:val>
        </c:ser>
        <c:gapWidth val="150"/>
        <c:overlap val="100"/>
        <c:axId val="59138317"/>
        <c:axId val="88318932"/>
      </c:barChart>
      <c:catAx>
        <c:axId val="59138317"/>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88318932"/>
        <c:crosses val="autoZero"/>
        <c:auto val="1"/>
        <c:lblAlgn val="ctr"/>
        <c:lblOffset val="100"/>
      </c:catAx>
      <c:valAx>
        <c:axId val="88318932"/>
        <c:scaling>
          <c:orientation val="minMax"/>
        </c:scaling>
        <c:delete val="0"/>
        <c:axPos val="l"/>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59138317"/>
        <c:crosses val="autoZero"/>
      </c:valAx>
      <c:spPr>
        <a:noFill/>
        <a:ln>
          <a:noFill/>
        </a:ln>
      </c:spPr>
    </c:plotArea>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400" spc="-1" strike="noStrike">
                <a:solidFill>
                  <a:srgbClr val="595959"/>
                </a:solidFill>
                <a:latin typeface="Calibri"/>
              </a:defRPr>
            </a:pPr>
            <a:r>
              <a:rPr b="1" sz="1400" spc="-1" strike="noStrike">
                <a:solidFill>
                  <a:srgbClr val="595959"/>
                </a:solidFill>
                <a:latin typeface="Calibri"/>
              </a:rPr>
              <a:t>Host Country Overview</a:t>
            </a:r>
          </a:p>
        </c:rich>
      </c:tx>
      <c:overlay val="0"/>
      <c:spPr>
        <a:noFill/>
        <a:ln>
          <a:noFill/>
        </a:ln>
      </c:spPr>
    </c:title>
    <c:autoTitleDeleted val="0"/>
    <c:plotArea>
      <c:barChart>
        <c:barDir val="col"/>
        <c:grouping val="stacked"/>
        <c:varyColors val="0"/>
        <c:ser>
          <c:idx val="0"/>
          <c:order val="0"/>
          <c:tx>
            <c:strRef>
              <c:f>Summary!$D$24</c:f>
              <c:strCache>
                <c:ptCount val="1"/>
                <c:pt idx="0">
                  <c:v>&lt;15</c:v>
                </c:pt>
              </c:strCache>
            </c:strRef>
          </c:tx>
          <c:spPr>
            <a:solidFill>
              <a:srgbClr val="4472c4"/>
            </a:solidFill>
            <a:ln>
              <a:noFill/>
            </a:ln>
          </c:spPr>
          <c:invertIfNegative val="0"/>
          <c:dLbls>
            <c:numFmt formatCode="#,##0" sourceLinked="1"/>
            <c:dLblPos val="ctr"/>
            <c:showLegendKey val="0"/>
            <c:showVal val="0"/>
            <c:showCatName val="0"/>
            <c:showSerName val="0"/>
            <c:showPercent val="0"/>
            <c:showLeaderLines val="0"/>
          </c:dLbls>
          <c:cat>
            <c:strRef>
              <c:f>Summary!$E$22:$K$23</c:f>
              <c:strCache>
                <c:ptCount val="14"/>
                <c:pt idx="0">
                  <c:v>(FY21)</c:v>
                </c:pt>
                <c:pt idx="1">
                  <c:v>PLHIV</c:v>
                </c:pt>
                <c:pt idx="2">
                  <c:v/>
                </c:pt>
                <c:pt idx="3">
                  <c:v>DIAGNOSED_SUBNAT</c:v>
                </c:pt>
                <c:pt idx="4">
                  <c:v/>
                </c:pt>
                <c:pt idx="5">
                  <c:v>TX_CURR_SUBNAT</c:v>
                </c:pt>
                <c:pt idx="6">
                  <c:v/>
                </c:pt>
                <c:pt idx="7">
                  <c:v>VL_SUPPRESSION_SUBNAT</c:v>
                </c:pt>
                <c:pt idx="8">
                  <c:v>(FY22)</c:v>
                </c:pt>
                <c:pt idx="9">
                  <c:v>DIAGNOSED_SUBNAT</c:v>
                </c:pt>
                <c:pt idx="10">
                  <c:v/>
                </c:pt>
                <c:pt idx="11">
                  <c:v>TX_CURR_SUBNAT</c:v>
                </c:pt>
                <c:pt idx="12">
                  <c:v/>
                </c:pt>
                <c:pt idx="13">
                  <c:v>VL_SUPPRESSION_SUBNAT</c:v>
                </c:pt>
              </c:strCache>
            </c:strRef>
          </c:cat>
          <c:val>
            <c:numRef>
              <c:f>Summary!$E$24:$K$24</c:f>
              <c:numCache>
                <c:formatCode>General</c:formatCode>
                <c:ptCount val="7"/>
                <c:pt idx="0">
                  <c:v>0</c:v>
                </c:pt>
                <c:pt idx="1">
                  <c:v>0</c:v>
                </c:pt>
                <c:pt idx="2">
                  <c:v>0</c:v>
                </c:pt>
                <c:pt idx="3">
                  <c:v>0</c:v>
                </c:pt>
                <c:pt idx="4">
                  <c:v>0</c:v>
                </c:pt>
                <c:pt idx="5">
                  <c:v>0</c:v>
                </c:pt>
                <c:pt idx="6">
                  <c:v>0</c:v>
                </c:pt>
              </c:numCache>
            </c:numRef>
          </c:val>
        </c:ser>
        <c:ser>
          <c:idx val="1"/>
          <c:order val="1"/>
          <c:tx>
            <c:strRef>
              <c:f>Summary!$D$25</c:f>
              <c:strCache>
                <c:ptCount val="1"/>
                <c:pt idx="0">
                  <c:v>Females, 15+</c:v>
                </c:pt>
              </c:strCache>
            </c:strRef>
          </c:tx>
          <c:spPr>
            <a:solidFill>
              <a:srgbClr val="ed7d31"/>
            </a:solidFill>
            <a:ln>
              <a:noFill/>
            </a:ln>
          </c:spPr>
          <c:invertIfNegative val="0"/>
          <c:dLbls>
            <c:numFmt formatCode="#,##0" sourceLinked="1"/>
            <c:dLblPos val="ctr"/>
            <c:showLegendKey val="0"/>
            <c:showVal val="0"/>
            <c:showCatName val="0"/>
            <c:showSerName val="0"/>
            <c:showPercent val="0"/>
            <c:showLeaderLines val="0"/>
          </c:dLbls>
          <c:cat>
            <c:strRef>
              <c:f>Summary!$E$22:$K$23</c:f>
              <c:strCache>
                <c:ptCount val="14"/>
                <c:pt idx="0">
                  <c:v>(FY21)</c:v>
                </c:pt>
                <c:pt idx="1">
                  <c:v>PLHIV</c:v>
                </c:pt>
                <c:pt idx="2">
                  <c:v/>
                </c:pt>
                <c:pt idx="3">
                  <c:v>DIAGNOSED_SUBNAT</c:v>
                </c:pt>
                <c:pt idx="4">
                  <c:v/>
                </c:pt>
                <c:pt idx="5">
                  <c:v>TX_CURR_SUBNAT</c:v>
                </c:pt>
                <c:pt idx="6">
                  <c:v/>
                </c:pt>
                <c:pt idx="7">
                  <c:v>VL_SUPPRESSION_SUBNAT</c:v>
                </c:pt>
                <c:pt idx="8">
                  <c:v>(FY22)</c:v>
                </c:pt>
                <c:pt idx="9">
                  <c:v>DIAGNOSED_SUBNAT</c:v>
                </c:pt>
                <c:pt idx="10">
                  <c:v/>
                </c:pt>
                <c:pt idx="11">
                  <c:v>TX_CURR_SUBNAT</c:v>
                </c:pt>
                <c:pt idx="12">
                  <c:v/>
                </c:pt>
                <c:pt idx="13">
                  <c:v>VL_SUPPRESSION_SUBNAT</c:v>
                </c:pt>
              </c:strCache>
            </c:strRef>
          </c:cat>
          <c:val>
            <c:numRef>
              <c:f>Summary!$E$25:$K$25</c:f>
              <c:numCache>
                <c:formatCode>General</c:formatCode>
                <c:ptCount val="7"/>
                <c:pt idx="0">
                  <c:v>0</c:v>
                </c:pt>
                <c:pt idx="1">
                  <c:v>0</c:v>
                </c:pt>
                <c:pt idx="2">
                  <c:v>0</c:v>
                </c:pt>
                <c:pt idx="3">
                  <c:v>0</c:v>
                </c:pt>
                <c:pt idx="4">
                  <c:v>0</c:v>
                </c:pt>
                <c:pt idx="5">
                  <c:v>0</c:v>
                </c:pt>
                <c:pt idx="6">
                  <c:v>0</c:v>
                </c:pt>
              </c:numCache>
            </c:numRef>
          </c:val>
        </c:ser>
        <c:ser>
          <c:idx val="2"/>
          <c:order val="2"/>
          <c:tx>
            <c:strRef>
              <c:f>Summary!$D$26</c:f>
              <c:strCache>
                <c:ptCount val="1"/>
                <c:pt idx="0">
                  <c:v>Males, 15+</c:v>
                </c:pt>
              </c:strCache>
            </c:strRef>
          </c:tx>
          <c:spPr>
            <a:solidFill>
              <a:srgbClr val="a5a5a5"/>
            </a:solidFill>
            <a:ln>
              <a:noFill/>
            </a:ln>
          </c:spPr>
          <c:invertIfNegative val="0"/>
          <c:dLbls>
            <c:numFmt formatCode="#,##0" sourceLinked="1"/>
            <c:dLblPos val="ctr"/>
            <c:showLegendKey val="0"/>
            <c:showVal val="0"/>
            <c:showCatName val="0"/>
            <c:showSerName val="0"/>
            <c:showPercent val="0"/>
            <c:showLeaderLines val="0"/>
          </c:dLbls>
          <c:cat>
            <c:strRef>
              <c:f>Summary!$E$22:$K$23</c:f>
              <c:strCache>
                <c:ptCount val="14"/>
                <c:pt idx="0">
                  <c:v>(FY21)</c:v>
                </c:pt>
                <c:pt idx="1">
                  <c:v>PLHIV</c:v>
                </c:pt>
                <c:pt idx="2">
                  <c:v/>
                </c:pt>
                <c:pt idx="3">
                  <c:v>DIAGNOSED_SUBNAT</c:v>
                </c:pt>
                <c:pt idx="4">
                  <c:v/>
                </c:pt>
                <c:pt idx="5">
                  <c:v>TX_CURR_SUBNAT</c:v>
                </c:pt>
                <c:pt idx="6">
                  <c:v/>
                </c:pt>
                <c:pt idx="7">
                  <c:v>VL_SUPPRESSION_SUBNAT</c:v>
                </c:pt>
                <c:pt idx="8">
                  <c:v>(FY22)</c:v>
                </c:pt>
                <c:pt idx="9">
                  <c:v>DIAGNOSED_SUBNAT</c:v>
                </c:pt>
                <c:pt idx="10">
                  <c:v/>
                </c:pt>
                <c:pt idx="11">
                  <c:v>TX_CURR_SUBNAT</c:v>
                </c:pt>
                <c:pt idx="12">
                  <c:v/>
                </c:pt>
                <c:pt idx="13">
                  <c:v>VL_SUPPRESSION_SUBNAT</c:v>
                </c:pt>
              </c:strCache>
            </c:strRef>
          </c:cat>
          <c:val>
            <c:numRef>
              <c:f>Summary!$E$26:$K$26</c:f>
              <c:numCache>
                <c:formatCode>General</c:formatCode>
                <c:ptCount val="7"/>
                <c:pt idx="0">
                  <c:v>0</c:v>
                </c:pt>
                <c:pt idx="1">
                  <c:v>0</c:v>
                </c:pt>
                <c:pt idx="2">
                  <c:v>0</c:v>
                </c:pt>
                <c:pt idx="3">
                  <c:v>0</c:v>
                </c:pt>
                <c:pt idx="4">
                  <c:v>0</c:v>
                </c:pt>
                <c:pt idx="5">
                  <c:v>0</c:v>
                </c:pt>
                <c:pt idx="6">
                  <c:v>0</c:v>
                </c:pt>
              </c:numCache>
            </c:numRef>
          </c:val>
        </c:ser>
        <c:gapWidth val="150"/>
        <c:overlap val="100"/>
        <c:axId val="43486539"/>
        <c:axId val="34230692"/>
      </c:barChart>
      <c:catAx>
        <c:axId val="43486539"/>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34230692"/>
        <c:crosses val="autoZero"/>
        <c:auto val="1"/>
        <c:lblAlgn val="ctr"/>
        <c:lblOffset val="100"/>
      </c:catAx>
      <c:valAx>
        <c:axId val="34230692"/>
        <c:scaling>
          <c:orientation val="minMax"/>
        </c:scaling>
        <c:delete val="0"/>
        <c:axPos val="l"/>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43486539"/>
        <c:crosses val="autoZero"/>
      </c:valAx>
      <c:spPr>
        <a:noFill/>
        <a:ln>
          <a:noFill/>
        </a:ln>
      </c:spPr>
    </c:plotArea>
    <c:legend>
      <c:legendPos val="l"/>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400" spc="-1" strike="noStrike">
                <a:solidFill>
                  <a:srgbClr val="595959"/>
                </a:solidFill>
                <a:latin typeface="Calibri"/>
              </a:defRPr>
            </a:pPr>
            <a:r>
              <a:rPr b="1" sz="1400" spc="-1" strike="noStrike">
                <a:solidFill>
                  <a:srgbClr val="595959"/>
                </a:solidFill>
                <a:latin typeface="Calibri"/>
              </a:rPr>
              <a:t>PEPFAR FY22 Targets Overview</a:t>
            </a:r>
          </a:p>
        </c:rich>
      </c:tx>
      <c:overlay val="0"/>
      <c:spPr>
        <a:noFill/>
        <a:ln>
          <a:noFill/>
        </a:ln>
      </c:spPr>
    </c:title>
    <c:autoTitleDeleted val="0"/>
    <c:plotArea>
      <c:barChart>
        <c:barDir val="col"/>
        <c:grouping val="stacked"/>
        <c:varyColors val="0"/>
        <c:ser>
          <c:idx val="0"/>
          <c:order val="0"/>
          <c:tx>
            <c:strRef>
              <c:f>Summary!$D$42</c:f>
              <c:strCache>
                <c:ptCount val="1"/>
                <c:pt idx="0">
                  <c:v>&lt;15</c:v>
                </c:pt>
              </c:strCache>
            </c:strRef>
          </c:tx>
          <c:spPr>
            <a:solidFill>
              <a:srgbClr val="4472c4"/>
            </a:solidFill>
            <a:ln>
              <a:noFill/>
            </a:ln>
          </c:spPr>
          <c:invertIfNegative val="0"/>
          <c:dLbls>
            <c:numFmt formatCode="#,##0" sourceLinked="1"/>
            <c:dLblPos val="ctr"/>
            <c:showLegendKey val="0"/>
            <c:showVal val="0"/>
            <c:showCatName val="0"/>
            <c:showSerName val="0"/>
            <c:showPercent val="0"/>
            <c:showLeaderLines val="0"/>
          </c:dLbls>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General</c:formatCode>
                <c:ptCount val="6"/>
                <c:pt idx="0">
                  <c:v>0</c:v>
                </c:pt>
                <c:pt idx="1">
                  <c:v>0</c:v>
                </c:pt>
                <c:pt idx="2">
                  <c:v>0</c:v>
                </c:pt>
                <c:pt idx="3">
                  <c:v>0</c:v>
                </c:pt>
                <c:pt idx="4">
                  <c:v>0</c:v>
                </c:pt>
                <c:pt idx="5">
                  <c:v>0</c:v>
                </c:pt>
              </c:numCache>
            </c:numRef>
          </c:val>
        </c:ser>
        <c:ser>
          <c:idx val="1"/>
          <c:order val="1"/>
          <c:tx>
            <c:strRef>
              <c:f>Summary!$D$43</c:f>
              <c:strCache>
                <c:ptCount val="1"/>
                <c:pt idx="0">
                  <c:v>Females, 15+</c:v>
                </c:pt>
              </c:strCache>
            </c:strRef>
          </c:tx>
          <c:spPr>
            <a:solidFill>
              <a:srgbClr val="ed7d31"/>
            </a:solidFill>
            <a:ln>
              <a:noFill/>
            </a:ln>
          </c:spPr>
          <c:invertIfNegative val="0"/>
          <c:dLbls>
            <c:numFmt formatCode="#,##0" sourceLinked="1"/>
            <c:dLblPos val="ctr"/>
            <c:showLegendKey val="0"/>
            <c:showVal val="0"/>
            <c:showCatName val="0"/>
            <c:showSerName val="0"/>
            <c:showPercent val="0"/>
            <c:showLeaderLines val="0"/>
          </c:dLbls>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General</c:formatCode>
                <c:ptCount val="6"/>
                <c:pt idx="0">
                  <c:v>0</c:v>
                </c:pt>
                <c:pt idx="1">
                  <c:v>0</c:v>
                </c:pt>
                <c:pt idx="2">
                  <c:v>0</c:v>
                </c:pt>
                <c:pt idx="3">
                  <c:v>0</c:v>
                </c:pt>
                <c:pt idx="4">
                  <c:v>0</c:v>
                </c:pt>
                <c:pt idx="5">
                  <c:v>0</c:v>
                </c:pt>
              </c:numCache>
            </c:numRef>
          </c:val>
        </c:ser>
        <c:ser>
          <c:idx val="2"/>
          <c:order val="2"/>
          <c:tx>
            <c:strRef>
              <c:f>Summary!$D$44</c:f>
              <c:strCache>
                <c:ptCount val="1"/>
                <c:pt idx="0">
                  <c:v>Males, 15+</c:v>
                </c:pt>
              </c:strCache>
            </c:strRef>
          </c:tx>
          <c:spPr>
            <a:solidFill>
              <a:srgbClr val="a5a5a5"/>
            </a:solidFill>
            <a:ln>
              <a:noFill/>
            </a:ln>
          </c:spPr>
          <c:invertIfNegative val="0"/>
          <c:dLbls>
            <c:numFmt formatCode="#,##0" sourceLinked="1"/>
            <c:dLblPos val="ctr"/>
            <c:showLegendKey val="0"/>
            <c:showVal val="0"/>
            <c:showCatName val="0"/>
            <c:showSerName val="0"/>
            <c:showPercent val="0"/>
            <c:showLeaderLines val="0"/>
          </c:dLbls>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General</c:formatCode>
                <c:ptCount val="6"/>
                <c:pt idx="0">
                  <c:v>0</c:v>
                </c:pt>
                <c:pt idx="1">
                  <c:v>0</c:v>
                </c:pt>
                <c:pt idx="2">
                  <c:v>0</c:v>
                </c:pt>
                <c:pt idx="3">
                  <c:v>0</c:v>
                </c:pt>
                <c:pt idx="4">
                  <c:v>0</c:v>
                </c:pt>
                <c:pt idx="5">
                  <c:v>0</c:v>
                </c:pt>
              </c:numCache>
            </c:numRef>
          </c:val>
        </c:ser>
        <c:gapWidth val="150"/>
        <c:overlap val="100"/>
        <c:axId val="22672362"/>
        <c:axId val="22290605"/>
      </c:barChart>
      <c:catAx>
        <c:axId val="22672362"/>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22290605"/>
        <c:crosses val="autoZero"/>
        <c:auto val="1"/>
        <c:lblAlgn val="ctr"/>
        <c:lblOffset val="100"/>
      </c:catAx>
      <c:valAx>
        <c:axId val="22290605"/>
        <c:scaling>
          <c:orientation val="minMax"/>
        </c:scaling>
        <c:delete val="0"/>
        <c:axPos val="l"/>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22672362"/>
        <c:crosses val="autoZero"/>
      </c:valAx>
      <c:spPr>
        <a:noFill/>
        <a:ln>
          <a:noFill/>
        </a:ln>
      </c:spPr>
    </c:plotArea>
    <c:legend>
      <c:legendPos val="l"/>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28800</xdr:colOff>
      <xdr:row>10</xdr:row>
      <xdr:rowOff>7920</xdr:rowOff>
    </xdr:from>
    <xdr:to>
      <xdr:col>8</xdr:col>
      <xdr:colOff>473040</xdr:colOff>
      <xdr:row>20</xdr:row>
      <xdr:rowOff>253440</xdr:rowOff>
    </xdr:to>
    <xdr:graphicFrame>
      <xdr:nvGraphicFramePr>
        <xdr:cNvPr id="0" name="Chart 5"/>
        <xdr:cNvGraphicFramePr/>
      </xdr:nvGraphicFramePr>
      <xdr:xfrm>
        <a:off x="2493000" y="2941560"/>
        <a:ext cx="5410080" cy="4055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28800</xdr:colOff>
      <xdr:row>10</xdr:row>
      <xdr:rowOff>7920</xdr:rowOff>
    </xdr:from>
    <xdr:to>
      <xdr:col>17</xdr:col>
      <xdr:colOff>992880</xdr:colOff>
      <xdr:row>20</xdr:row>
      <xdr:rowOff>253440</xdr:rowOff>
    </xdr:to>
    <xdr:graphicFrame>
      <xdr:nvGraphicFramePr>
        <xdr:cNvPr id="1" name="Chart 6"/>
        <xdr:cNvGraphicFramePr/>
      </xdr:nvGraphicFramePr>
      <xdr:xfrm>
        <a:off x="2493000" y="2941560"/>
        <a:ext cx="14868000" cy="40554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28800</xdr:colOff>
      <xdr:row>28</xdr:row>
      <xdr:rowOff>7920</xdr:rowOff>
    </xdr:from>
    <xdr:to>
      <xdr:col>17</xdr:col>
      <xdr:colOff>992880</xdr:colOff>
      <xdr:row>38</xdr:row>
      <xdr:rowOff>253440</xdr:rowOff>
    </xdr:to>
    <xdr:graphicFrame>
      <xdr:nvGraphicFramePr>
        <xdr:cNvPr id="2" name="Chart 7"/>
        <xdr:cNvGraphicFramePr/>
      </xdr:nvGraphicFramePr>
      <xdr:xfrm>
        <a:off x="2493000" y="9266040"/>
        <a:ext cx="14868000" cy="40554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2.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3.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4.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5.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6.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7.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8.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9.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B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6:E25 A1"/>
    </sheetView>
  </sheetViews>
  <sheetFormatPr defaultRowHeight="16" zeroHeight="false" outlineLevelRow="0" outlineLevelCol="0"/>
  <cols>
    <col collapsed="false" customWidth="true" hidden="false" outlineLevel="0" max="1" min="1" style="0" width="4.83"/>
    <col collapsed="false" customWidth="true" hidden="false" outlineLevel="0" max="1025" min="2" style="0" width="10.61"/>
  </cols>
  <sheetData>
    <row r="2" customFormat="false" ht="47" hidden="false" customHeight="false" outlineLevel="0" collapsed="false">
      <c r="B2" s="1" t="s">
        <v>0</v>
      </c>
    </row>
    <row r="10" customFormat="false" ht="97" hidden="false" customHeight="false" outlineLevel="0" collapsed="false">
      <c r="B10" s="2" t="s">
        <v>1</v>
      </c>
    </row>
    <row r="20" customFormat="false" ht="82" hidden="false" customHeight="false" outlineLevel="0" collapsed="false">
      <c r="B20" s="3" t="s">
        <v>2</v>
      </c>
    </row>
    <row r="25" customFormat="false" ht="16" hidden="false" customHeight="false" outlineLevel="0" collapsed="false">
      <c r="B25" s="0" t="s">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104857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A1" activeCellId="1" sqref="E16:E25 A1"/>
    </sheetView>
  </sheetViews>
  <sheetFormatPr defaultRowHeight="16" zeroHeight="false" outlineLevelRow="0" outlineLevelCol="0"/>
  <cols>
    <col collapsed="false" customWidth="true" hidden="false" outlineLevel="0" max="1" min="1" style="4" width="4.5"/>
    <col collapsed="false" customWidth="true" hidden="false" outlineLevel="0" max="2" min="2" style="5" width="23.51"/>
    <col collapsed="false" customWidth="true" hidden="false" outlineLevel="0" max="3" min="3" style="6" width="3.83"/>
    <col collapsed="false" customWidth="true" hidden="false" outlineLevel="0" max="18" min="4" style="6" width="12.83"/>
    <col collapsed="false" customWidth="true" hidden="false" outlineLevel="0" max="19" min="19" style="6" width="3.83"/>
    <col collapsed="false" customWidth="true" hidden="false" outlineLevel="0" max="1025" min="20" style="6" width="10.83"/>
  </cols>
  <sheetData>
    <row r="1" customFormat="false" ht="48" hidden="false" customHeight="true" outlineLevel="0" collapsed="false">
      <c r="A1" s="7" t="s">
        <v>4</v>
      </c>
      <c r="B1" s="7"/>
      <c r="D1" s="8" t="str">
        <f aca="false">"Hello, "&amp;Home!$B$20&amp;" Team"</f>
        <v>Hello, Lesotho Team</v>
      </c>
      <c r="R1" s="9" t="str">
        <f aca="true">TEXT(TODAY(),"ddd, mmm dd")</f>
        <v>Wed, May 19</v>
      </c>
    </row>
    <row r="2" customFormat="false" ht="21" hidden="false" customHeight="false" outlineLevel="0" collapsed="false">
      <c r="A2" s="10" t="s">
        <v>5</v>
      </c>
      <c r="B2" s="10"/>
    </row>
    <row r="3" customFormat="false" ht="16" hidden="false" customHeight="false" outlineLevel="0" collapsed="false">
      <c r="A3" s="11"/>
      <c r="B3" s="12"/>
    </row>
    <row r="4" customFormat="false" ht="16" hidden="false" customHeight="false" outlineLevel="0" collapsed="false">
      <c r="A4" s="11"/>
      <c r="B4" s="12"/>
    </row>
    <row r="5" customFormat="false" ht="20" hidden="false" customHeight="true" outlineLevel="0" collapsed="false">
      <c r="A5" s="13" t="n">
        <v>1</v>
      </c>
      <c r="B5" s="14" t="s">
        <v>6</v>
      </c>
      <c r="D5" s="15" t="s">
        <v>7</v>
      </c>
      <c r="E5" s="16"/>
      <c r="F5" s="17"/>
      <c r="H5" s="15" t="s">
        <v>8</v>
      </c>
      <c r="I5" s="16"/>
      <c r="J5" s="17"/>
      <c r="L5" s="15" t="s">
        <v>9</v>
      </c>
      <c r="M5" s="18"/>
      <c r="N5" s="17"/>
      <c r="P5" s="15" t="s">
        <v>10</v>
      </c>
      <c r="Q5" s="16"/>
      <c r="R5" s="17"/>
    </row>
    <row r="6" customFormat="false" ht="20" hidden="false" customHeight="true" outlineLevel="0" collapsed="false">
      <c r="A6" s="13"/>
      <c r="B6" s="14"/>
      <c r="D6" s="19" t="str">
        <f aca="false">IFERROR(SUM(Cascade!$P:$P)/SUM(Cascade!$H:$H),"")</f>
        <v/>
      </c>
      <c r="E6" s="19"/>
      <c r="F6" s="19"/>
      <c r="H6" s="20" t="n">
        <f aca="false">SUM(Cascade!$P:$P)-Cascade!$P$4</f>
        <v>0</v>
      </c>
      <c r="I6" s="20"/>
      <c r="J6" s="20"/>
      <c r="L6" s="20" t="n">
        <f aca="false">SUM(Cascade!$AE:$AE)-Cascade!$AE$4</f>
        <v>0</v>
      </c>
      <c r="M6" s="20"/>
      <c r="N6" s="20"/>
      <c r="P6" s="19" t="str">
        <f aca="false">IFERROR(SUM(Cascade!$H:$H)/SUM(Cascade!$F:$F),"")</f>
        <v/>
      </c>
      <c r="Q6" s="19"/>
      <c r="R6" s="19"/>
    </row>
    <row r="7" customFormat="false" ht="20" hidden="false" customHeight="true" outlineLevel="0" collapsed="false">
      <c r="A7" s="21" t="n">
        <v>2</v>
      </c>
      <c r="B7" s="14" t="s">
        <v>11</v>
      </c>
      <c r="D7" s="19"/>
      <c r="E7" s="19"/>
      <c r="F7" s="19"/>
      <c r="H7" s="20"/>
      <c r="I7" s="20"/>
      <c r="J7" s="20"/>
      <c r="L7" s="20"/>
      <c r="M7" s="20"/>
      <c r="N7" s="20"/>
      <c r="P7" s="19"/>
      <c r="Q7" s="19"/>
      <c r="R7" s="19"/>
    </row>
    <row r="8" customFormat="false" ht="20" hidden="false" customHeight="true" outlineLevel="0" collapsed="false">
      <c r="A8" s="13"/>
      <c r="B8" s="14"/>
      <c r="D8" s="19"/>
      <c r="E8" s="19"/>
      <c r="F8" s="19"/>
      <c r="H8" s="20"/>
      <c r="I8" s="20"/>
      <c r="J8" s="20"/>
      <c r="L8" s="20"/>
      <c r="M8" s="20"/>
      <c r="N8" s="20"/>
      <c r="P8" s="19"/>
      <c r="Q8" s="19"/>
      <c r="R8" s="19"/>
    </row>
    <row r="9" customFormat="false" ht="20" hidden="false" customHeight="true" outlineLevel="0" collapsed="false">
      <c r="A9" s="13"/>
      <c r="B9" s="14"/>
      <c r="D9" s="22"/>
      <c r="E9" s="23"/>
      <c r="F9" s="24"/>
      <c r="H9" s="22"/>
      <c r="I9" s="23"/>
      <c r="J9" s="24"/>
      <c r="L9" s="22"/>
      <c r="M9" s="23"/>
      <c r="N9" s="24"/>
      <c r="P9" s="22"/>
      <c r="Q9" s="23"/>
      <c r="R9" s="24"/>
    </row>
    <row r="10" customFormat="false" ht="30" hidden="false" customHeight="true" outlineLevel="0" collapsed="false">
      <c r="A10" s="11"/>
      <c r="B10" s="12"/>
      <c r="C10" s="25"/>
      <c r="D10" s="25"/>
      <c r="E10" s="25"/>
      <c r="F10" s="25"/>
      <c r="G10" s="25"/>
      <c r="H10" s="25"/>
      <c r="I10" s="25"/>
      <c r="J10" s="25"/>
      <c r="K10" s="25"/>
      <c r="L10" s="25"/>
      <c r="M10" s="25"/>
      <c r="N10" s="25"/>
      <c r="O10" s="25"/>
      <c r="P10" s="25"/>
      <c r="Q10" s="25"/>
      <c r="R10" s="25"/>
      <c r="S10" s="25"/>
    </row>
    <row r="11" customFormat="false" ht="30" hidden="false" customHeight="true" outlineLevel="0" collapsed="false">
      <c r="A11" s="11"/>
      <c r="B11" s="12"/>
      <c r="C11" s="25"/>
      <c r="D11" s="26"/>
      <c r="E11" s="27"/>
      <c r="F11" s="27"/>
      <c r="G11" s="27"/>
      <c r="H11" s="27"/>
      <c r="I11" s="27"/>
      <c r="J11" s="27"/>
      <c r="K11" s="27"/>
      <c r="L11" s="27"/>
      <c r="M11" s="27"/>
      <c r="N11" s="27"/>
      <c r="O11" s="27"/>
      <c r="P11" s="27"/>
      <c r="Q11" s="27"/>
      <c r="R11" s="28"/>
      <c r="S11" s="25"/>
    </row>
    <row r="12" customFormat="false" ht="30" hidden="false" customHeight="true" outlineLevel="0" collapsed="false">
      <c r="A12" s="11"/>
      <c r="B12" s="12"/>
      <c r="C12" s="25"/>
      <c r="D12" s="29"/>
      <c r="E12" s="25"/>
      <c r="F12" s="25"/>
      <c r="G12" s="25"/>
      <c r="H12" s="25"/>
      <c r="I12" s="25"/>
      <c r="J12" s="25"/>
      <c r="K12" s="25"/>
      <c r="L12" s="25"/>
      <c r="M12" s="25"/>
      <c r="N12" s="25"/>
      <c r="O12" s="25"/>
      <c r="P12" s="25"/>
      <c r="Q12" s="25"/>
      <c r="R12" s="30"/>
      <c r="S12" s="25"/>
    </row>
    <row r="13" customFormat="false" ht="30" hidden="false" customHeight="true" outlineLevel="0" collapsed="false">
      <c r="A13" s="11"/>
      <c r="B13" s="12"/>
      <c r="C13" s="25"/>
      <c r="D13" s="29"/>
      <c r="E13" s="25"/>
      <c r="F13" s="25"/>
      <c r="G13" s="25"/>
      <c r="H13" s="25"/>
      <c r="I13" s="25"/>
      <c r="J13" s="25"/>
      <c r="K13" s="25"/>
      <c r="L13" s="25"/>
      <c r="M13" s="25"/>
      <c r="N13" s="25"/>
      <c r="O13" s="25"/>
      <c r="P13" s="25"/>
      <c r="Q13" s="25"/>
      <c r="R13" s="30"/>
      <c r="S13" s="25"/>
    </row>
    <row r="14" customFormat="false" ht="30" hidden="false" customHeight="true" outlineLevel="0" collapsed="false">
      <c r="A14" s="11"/>
      <c r="B14" s="12"/>
      <c r="C14" s="25"/>
      <c r="D14" s="29"/>
      <c r="E14" s="25"/>
      <c r="F14" s="25"/>
      <c r="G14" s="25"/>
      <c r="H14" s="25"/>
      <c r="I14" s="25"/>
      <c r="J14" s="25"/>
      <c r="K14" s="25"/>
      <c r="L14" s="25"/>
      <c r="M14" s="25"/>
      <c r="N14" s="25"/>
      <c r="O14" s="25"/>
      <c r="P14" s="25"/>
      <c r="Q14" s="25"/>
      <c r="R14" s="30"/>
      <c r="S14" s="25"/>
    </row>
    <row r="15" customFormat="false" ht="30" hidden="false" customHeight="true" outlineLevel="0" collapsed="false">
      <c r="A15" s="11"/>
      <c r="B15" s="12"/>
      <c r="C15" s="25"/>
      <c r="D15" s="29"/>
      <c r="E15" s="25"/>
      <c r="F15" s="25"/>
      <c r="G15" s="25"/>
      <c r="H15" s="25"/>
      <c r="I15" s="25"/>
      <c r="J15" s="25"/>
      <c r="K15" s="25"/>
      <c r="L15" s="25"/>
      <c r="M15" s="25"/>
      <c r="N15" s="25"/>
      <c r="O15" s="25"/>
      <c r="P15" s="25"/>
      <c r="Q15" s="25"/>
      <c r="R15" s="30"/>
      <c r="S15" s="25"/>
    </row>
    <row r="16" customFormat="false" ht="30" hidden="false" customHeight="true" outlineLevel="0" collapsed="false">
      <c r="A16" s="11"/>
      <c r="B16" s="12"/>
      <c r="C16" s="25"/>
      <c r="D16" s="29"/>
      <c r="E16" s="25"/>
      <c r="F16" s="25"/>
      <c r="G16" s="25"/>
      <c r="H16" s="25"/>
      <c r="I16" s="25"/>
      <c r="J16" s="25"/>
      <c r="K16" s="25"/>
      <c r="L16" s="25"/>
      <c r="M16" s="25"/>
      <c r="N16" s="25"/>
      <c r="O16" s="25"/>
      <c r="P16" s="25"/>
      <c r="Q16" s="25"/>
      <c r="R16" s="30"/>
      <c r="S16" s="25"/>
    </row>
    <row r="17" customFormat="false" ht="30" hidden="false" customHeight="true" outlineLevel="0" collapsed="false">
      <c r="A17" s="11"/>
      <c r="B17" s="12"/>
      <c r="C17" s="25"/>
      <c r="D17" s="29"/>
      <c r="E17" s="25"/>
      <c r="F17" s="25"/>
      <c r="G17" s="25"/>
      <c r="H17" s="25"/>
      <c r="I17" s="25"/>
      <c r="J17" s="25"/>
      <c r="K17" s="25"/>
      <c r="L17" s="25"/>
      <c r="M17" s="25"/>
      <c r="N17" s="25"/>
      <c r="O17" s="25"/>
      <c r="P17" s="25"/>
      <c r="Q17" s="25"/>
      <c r="R17" s="30"/>
      <c r="S17" s="25"/>
    </row>
    <row r="18" customFormat="false" ht="30" hidden="false" customHeight="true" outlineLevel="0" collapsed="false">
      <c r="A18" s="11"/>
      <c r="B18" s="12"/>
      <c r="C18" s="25"/>
      <c r="D18" s="29"/>
      <c r="E18" s="25"/>
      <c r="F18" s="25"/>
      <c r="G18" s="25"/>
      <c r="H18" s="25"/>
      <c r="I18" s="25"/>
      <c r="J18" s="25"/>
      <c r="K18" s="25"/>
      <c r="L18" s="25"/>
      <c r="M18" s="25"/>
      <c r="N18" s="25"/>
      <c r="O18" s="25"/>
      <c r="P18" s="25"/>
      <c r="Q18" s="25"/>
      <c r="R18" s="30"/>
      <c r="S18" s="25"/>
    </row>
    <row r="19" customFormat="false" ht="30" hidden="false" customHeight="true" outlineLevel="0" collapsed="false">
      <c r="A19" s="11"/>
      <c r="B19" s="12"/>
      <c r="C19" s="25"/>
      <c r="D19" s="29"/>
      <c r="E19" s="25"/>
      <c r="F19" s="25"/>
      <c r="G19" s="25"/>
      <c r="H19" s="25"/>
      <c r="I19" s="25"/>
      <c r="J19" s="25"/>
      <c r="K19" s="25"/>
      <c r="L19" s="25"/>
      <c r="M19" s="25"/>
      <c r="N19" s="25"/>
      <c r="O19" s="25"/>
      <c r="P19" s="25"/>
      <c r="Q19" s="25"/>
      <c r="R19" s="30"/>
      <c r="S19" s="25"/>
    </row>
    <row r="20" customFormat="false" ht="30" hidden="false" customHeight="true" outlineLevel="0" collapsed="false">
      <c r="A20" s="11"/>
      <c r="B20" s="12"/>
      <c r="C20" s="25"/>
      <c r="D20" s="29"/>
      <c r="E20" s="25"/>
      <c r="F20" s="25"/>
      <c r="G20" s="25"/>
      <c r="H20" s="25"/>
      <c r="I20" s="25"/>
      <c r="J20" s="25"/>
      <c r="K20" s="25"/>
      <c r="L20" s="25"/>
      <c r="M20" s="25"/>
      <c r="N20" s="25"/>
      <c r="O20" s="25"/>
      <c r="P20" s="25"/>
      <c r="Q20" s="25"/>
      <c r="R20" s="30"/>
      <c r="S20" s="25"/>
    </row>
    <row r="21" customFormat="false" ht="30" hidden="false" customHeight="true" outlineLevel="0" collapsed="false">
      <c r="A21" s="11"/>
      <c r="B21" s="12"/>
      <c r="C21" s="25"/>
      <c r="D21" s="29"/>
      <c r="E21" s="25"/>
      <c r="F21" s="25"/>
      <c r="G21" s="25"/>
      <c r="H21" s="25"/>
      <c r="I21" s="25"/>
      <c r="J21" s="25"/>
      <c r="K21" s="25"/>
      <c r="L21" s="25"/>
      <c r="M21" s="25"/>
      <c r="N21" s="25"/>
      <c r="O21" s="25"/>
      <c r="P21" s="25"/>
      <c r="Q21" s="25"/>
      <c r="R21" s="30"/>
      <c r="S21" s="25"/>
    </row>
    <row r="22" customFormat="false" ht="30" hidden="false" customHeight="true" outlineLevel="0" collapsed="false">
      <c r="A22" s="11"/>
      <c r="B22" s="12"/>
      <c r="C22" s="25"/>
      <c r="D22" s="29"/>
      <c r="E22" s="31" t="s">
        <v>12</v>
      </c>
      <c r="F22" s="31"/>
      <c r="G22" s="31"/>
      <c r="H22" s="31"/>
      <c r="I22" s="32" t="s">
        <v>13</v>
      </c>
      <c r="J22" s="32"/>
      <c r="K22" s="32"/>
      <c r="L22" s="25"/>
      <c r="M22" s="25"/>
      <c r="N22" s="25"/>
      <c r="O22" s="25"/>
      <c r="P22" s="25"/>
      <c r="Q22" s="25"/>
      <c r="R22" s="30"/>
      <c r="S22" s="25"/>
    </row>
    <row r="23" customFormat="false" ht="30" hidden="false" customHeight="true" outlineLevel="0" collapsed="false">
      <c r="A23" s="11"/>
      <c r="B23" s="12"/>
      <c r="C23" s="25"/>
      <c r="D23" s="33"/>
      <c r="E23" s="34" t="s">
        <v>14</v>
      </c>
      <c r="F23" s="34" t="s">
        <v>15</v>
      </c>
      <c r="G23" s="34" t="s">
        <v>16</v>
      </c>
      <c r="H23" s="34" t="s">
        <v>17</v>
      </c>
      <c r="I23" s="34" t="s">
        <v>15</v>
      </c>
      <c r="J23" s="34" t="s">
        <v>16</v>
      </c>
      <c r="K23" s="35" t="s">
        <v>17</v>
      </c>
      <c r="M23" s="25"/>
      <c r="N23" s="25"/>
      <c r="O23" s="25"/>
      <c r="P23" s="25"/>
      <c r="Q23" s="25"/>
      <c r="R23" s="30"/>
      <c r="S23" s="25"/>
    </row>
    <row r="24" customFormat="false" ht="16" hidden="false" customHeight="true" outlineLevel="0" collapsed="false">
      <c r="A24" s="11"/>
      <c r="B24" s="12"/>
      <c r="C24" s="25"/>
      <c r="D24" s="36" t="s">
        <v>18</v>
      </c>
      <c r="E24" s="37" t="n">
        <f aca="false" t="array" ref="E24:E24">SUM(SUMIFS(Cascade!$H:$H,Cascade!$C:$C,{"=&lt;01","01-04","05-09","10-14"}))</f>
        <v>0</v>
      </c>
      <c r="F24" s="37" t="n">
        <f aca="false" t="array" ref="F24:F24">SUM(SUMIFS(Cascade!$L:$L,Cascade!$C:$C,{"=&lt;01","01-04","05-09","10-14"}))</f>
        <v>0</v>
      </c>
      <c r="G24" s="37" t="n">
        <f aca="false" t="array" ref="G24:G24">SUM(SUMIFS(Cascade!$P:$P,Cascade!$C:$C,{"=&lt;01","01-04","05-09","10-14"}))</f>
        <v>0</v>
      </c>
      <c r="H24" s="37" t="n">
        <f aca="false" t="array" ref="H24:H24">SUM(SUMIFS(Cascade!$R:$R,Cascade!$C:$C,{"=&lt;01","01-04","05-09","10-14"}))</f>
        <v>0</v>
      </c>
      <c r="I24" s="37" t="n">
        <f aca="false" t="array" ref="I24:I24">SUM(SUMIFS(Cascade!$BT:$BT,Cascade!$C:$C,{"=&lt;01","01-04","05-09","10-14"}))</f>
        <v>0</v>
      </c>
      <c r="J24" s="37" t="n">
        <f aca="false" t="array" ref="J24:J24">SUM(SUMIFS(Cascade!$AA:$AA,Cascade!$C:$C,{"=&lt;01","01-04","05-09","10-14"}))</f>
        <v>0</v>
      </c>
      <c r="K24" s="38" t="n">
        <f aca="false" t="array" ref="K24:K24">SUM(SUMIFS(Cascade!$AU:$AU,Cascade!$C:$C,{"=&lt;01","01-04","05-09","10-14"}))</f>
        <v>0</v>
      </c>
      <c r="M24" s="25"/>
      <c r="N24" s="25"/>
      <c r="O24" s="25"/>
      <c r="P24" s="25"/>
      <c r="Q24" s="25"/>
      <c r="R24" s="30"/>
      <c r="S24" s="25"/>
    </row>
    <row r="25" customFormat="false" ht="16" hidden="false" customHeight="true" outlineLevel="0" collapsed="false">
      <c r="A25" s="11"/>
      <c r="B25" s="12"/>
      <c r="C25" s="25"/>
      <c r="D25" s="39" t="s">
        <v>19</v>
      </c>
      <c r="E25" s="37" t="n">
        <f aca="false" t="array" ref="E25:E25">SUM(SUMIFS(Cascade!$H:$H,Cascade!$C:$C,{"15-19","20-24","25-29","30-34","35-39","40-44","45-49","50+"},Cascade!$D:$D,"Female"))</f>
        <v>0</v>
      </c>
      <c r="F25" s="37" t="n">
        <f aca="false" t="array" ref="F25:F25">SUM(SUMIFS(Cascade!$L:$L,Cascade!$C:$C,{"15-19","20-24","25-29","30-34","35-39","40-44","45-49","50+"},Cascade!$D:$D,"Female"))</f>
        <v>0</v>
      </c>
      <c r="G25" s="37" t="n">
        <f aca="false" t="array" ref="G25:G25">SUM(SUMIFS(Cascade!$P:$P,Cascade!$C:$C,{"15-19","20-24","25-29","30-34","35-39","40-44","45-49","50+"},Cascade!$D:$D,"Female"))</f>
        <v>0</v>
      </c>
      <c r="H25" s="37" t="n">
        <f aca="false" t="array" ref="H25:H25">SUM(SUMIFS(Cascade!$R:$R,Cascade!$C:$C,{"15-19","20-24","25-29","30-34","35-39","40-44","45-49","50+"},Cascade!$D:$D,"Female"))</f>
        <v>0</v>
      </c>
      <c r="I25" s="37" t="n">
        <f aca="false" t="array" ref="I25:I25">SUM(SUMIFS(Cascade!$BT:$BT,Cascade!$C:$C,{"15-19","20-24","25-29","30-34","35-39","40-44","45-49","50+"},Cascade!$D:$D,"Female"))</f>
        <v>0</v>
      </c>
      <c r="J25" s="37" t="n">
        <f aca="false" t="array" ref="J25:J25">SUM(SUMIFS(Cascade!$AA:$AA,Cascade!$C:$C,{"15-19","20-24","25-29","30-34","35-39","40-44","45-49","50+"},Cascade!$D:$D,"Female"))</f>
        <v>0</v>
      </c>
      <c r="K25" s="38" t="n">
        <f aca="false" t="array" ref="K25:K25">SUM(SUMIFS(Cascade!$AU:$AU,Cascade!$C:$C,{"15-19","20-24","25-29","30-34","35-39","40-44","45-49","50+"},Cascade!$D:$D,"Female"))</f>
        <v>0</v>
      </c>
      <c r="M25" s="25"/>
      <c r="N25" s="25"/>
      <c r="O25" s="25"/>
      <c r="P25" s="25"/>
      <c r="Q25" s="25"/>
      <c r="R25" s="30"/>
      <c r="S25" s="25"/>
    </row>
    <row r="26" customFormat="false" ht="16" hidden="false" customHeight="true" outlineLevel="0" collapsed="false">
      <c r="A26" s="11"/>
      <c r="B26" s="12"/>
      <c r="C26" s="25"/>
      <c r="D26" s="40" t="s">
        <v>20</v>
      </c>
      <c r="E26" s="41" t="n">
        <f aca="false" t="array" ref="E26:E26">SUM(SUMIFS(Cascade!$H:$H,Cascade!$C:$C,{"15-19","20-24","25-29","30-34","35-39","40-44","45-49","50+"},Cascade!$D:$D,"Male"))</f>
        <v>0</v>
      </c>
      <c r="F26" s="41" t="n">
        <f aca="false" t="array" ref="F26:F26">SUM(SUMIFS(Cascade!$L:$L,Cascade!$C:$C,{"15-19","20-24","25-29","30-34","35-39","40-44","45-49","50+"},Cascade!$D:$D,"Male"))</f>
        <v>0</v>
      </c>
      <c r="G26" s="41" t="n">
        <f aca="false" t="array" ref="G26:G26">SUM(SUMIFS(Cascade!$P:$P,Cascade!$C:$C,{"15-19","20-24","25-29","30-34","35-39","40-44","45-49","50+"},Cascade!$D:$D,"Male"))</f>
        <v>0</v>
      </c>
      <c r="H26" s="41" t="n">
        <f aca="false" t="array" ref="H26:H26">SUM(SUMIFS(Cascade!$R:$R,Cascade!$C:$C,{"15-19","20-24","25-29","30-34","35-39","40-44","45-49","50+"},Cascade!$D:$D,"Male"))</f>
        <v>0</v>
      </c>
      <c r="I26" s="41" t="n">
        <f aca="false" t="array" ref="I26:I26">SUM(SUMIFS(Cascade!$BT:$BT,Cascade!$C:$C,{"15-19","20-24","25-29","30-34","35-39","40-44","45-49","50+"},Cascade!$D:$D,"Male"))</f>
        <v>0</v>
      </c>
      <c r="J26" s="41" t="n">
        <f aca="false" t="array" ref="J26:J26">SUM(SUMIFS(Cascade!$AA:$AA,Cascade!$C:$C,{"15-19","20-24","25-29","30-34","35-39","40-44","45-49","50+"},Cascade!$D:$D,"Male"))</f>
        <v>0</v>
      </c>
      <c r="K26" s="42" t="n">
        <f aca="false" t="array" ref="K26:K26">SUM(SUMIFS(Cascade!$AU:$AU,Cascade!$C:$C,{"15-19","20-24","25-29","30-34","35-39","40-44","45-49","50+"},Cascade!$D:$D,"Male"))</f>
        <v>0</v>
      </c>
      <c r="M26" s="25"/>
      <c r="N26" s="25"/>
      <c r="O26" s="25"/>
      <c r="P26" s="25"/>
      <c r="Q26" s="25"/>
      <c r="R26" s="30"/>
      <c r="S26" s="25"/>
    </row>
    <row r="27" customFormat="false" ht="30" hidden="false" customHeight="true" outlineLevel="0" collapsed="false">
      <c r="A27" s="11"/>
      <c r="B27" s="12"/>
      <c r="C27" s="25"/>
      <c r="D27" s="43"/>
      <c r="E27" s="44"/>
      <c r="F27" s="44"/>
      <c r="G27" s="44"/>
      <c r="H27" s="44"/>
      <c r="I27" s="44"/>
      <c r="J27" s="44"/>
      <c r="K27" s="44"/>
      <c r="L27" s="44"/>
      <c r="M27" s="44"/>
      <c r="N27" s="44"/>
      <c r="O27" s="44"/>
      <c r="P27" s="44"/>
      <c r="Q27" s="44"/>
      <c r="R27" s="45"/>
      <c r="S27" s="25"/>
    </row>
    <row r="28" customFormat="false" ht="30" hidden="false" customHeight="true" outlineLevel="0" collapsed="false">
      <c r="A28" s="11"/>
      <c r="B28" s="12"/>
      <c r="C28" s="25"/>
      <c r="D28" s="25"/>
      <c r="E28" s="25"/>
      <c r="F28" s="25"/>
      <c r="G28" s="25"/>
      <c r="H28" s="25"/>
      <c r="I28" s="25"/>
      <c r="J28" s="25"/>
      <c r="K28" s="25"/>
      <c r="L28" s="25"/>
      <c r="M28" s="25"/>
      <c r="N28" s="25"/>
      <c r="O28" s="25"/>
      <c r="P28" s="25"/>
      <c r="Q28" s="25"/>
      <c r="R28" s="25"/>
      <c r="S28" s="25"/>
    </row>
    <row r="29" customFormat="false" ht="30" hidden="false" customHeight="true" outlineLevel="0" collapsed="false">
      <c r="A29" s="11"/>
      <c r="B29" s="12"/>
      <c r="C29" s="25"/>
      <c r="D29" s="26"/>
      <c r="E29" s="27"/>
      <c r="F29" s="27"/>
      <c r="G29" s="27"/>
      <c r="H29" s="27"/>
      <c r="I29" s="27"/>
      <c r="J29" s="27"/>
      <c r="K29" s="27"/>
      <c r="L29" s="27"/>
      <c r="M29" s="27"/>
      <c r="N29" s="27"/>
      <c r="O29" s="27"/>
      <c r="P29" s="27"/>
      <c r="Q29" s="27"/>
      <c r="R29" s="28"/>
      <c r="S29" s="25"/>
    </row>
    <row r="30" customFormat="false" ht="30" hidden="false" customHeight="true" outlineLevel="0" collapsed="false">
      <c r="A30" s="11"/>
      <c r="B30" s="12"/>
      <c r="C30" s="25"/>
      <c r="D30" s="29"/>
      <c r="E30" s="25"/>
      <c r="F30" s="25"/>
      <c r="G30" s="25"/>
      <c r="H30" s="25"/>
      <c r="I30" s="25"/>
      <c r="J30" s="25"/>
      <c r="K30" s="25"/>
      <c r="L30" s="25"/>
      <c r="M30" s="25"/>
      <c r="N30" s="25"/>
      <c r="O30" s="25"/>
      <c r="P30" s="25"/>
      <c r="Q30" s="25"/>
      <c r="R30" s="30"/>
      <c r="S30" s="25"/>
    </row>
    <row r="31" customFormat="false" ht="30" hidden="false" customHeight="true" outlineLevel="0" collapsed="false">
      <c r="A31" s="11"/>
      <c r="B31" s="12"/>
      <c r="C31" s="25"/>
      <c r="D31" s="29"/>
      <c r="E31" s="25"/>
      <c r="F31" s="25"/>
      <c r="G31" s="25"/>
      <c r="H31" s="25"/>
      <c r="I31" s="25"/>
      <c r="J31" s="25"/>
      <c r="K31" s="25"/>
      <c r="L31" s="25"/>
      <c r="M31" s="25"/>
      <c r="N31" s="25"/>
      <c r="O31" s="25"/>
      <c r="P31" s="25"/>
      <c r="Q31" s="25"/>
      <c r="R31" s="30"/>
      <c r="S31" s="25"/>
    </row>
    <row r="32" customFormat="false" ht="30" hidden="false" customHeight="true" outlineLevel="0" collapsed="false">
      <c r="A32" s="11"/>
      <c r="B32" s="12"/>
      <c r="C32" s="25"/>
      <c r="D32" s="29"/>
      <c r="E32" s="25"/>
      <c r="F32" s="25"/>
      <c r="G32" s="25"/>
      <c r="H32" s="25"/>
      <c r="I32" s="25"/>
      <c r="J32" s="25"/>
      <c r="K32" s="25"/>
      <c r="L32" s="25"/>
      <c r="M32" s="25"/>
      <c r="N32" s="25"/>
      <c r="O32" s="25"/>
      <c r="P32" s="25"/>
      <c r="Q32" s="25"/>
      <c r="R32" s="30"/>
      <c r="S32" s="25"/>
    </row>
    <row r="33" customFormat="false" ht="30" hidden="false" customHeight="true" outlineLevel="0" collapsed="false">
      <c r="A33" s="11"/>
      <c r="B33" s="12"/>
      <c r="C33" s="25"/>
      <c r="D33" s="29"/>
      <c r="E33" s="25"/>
      <c r="F33" s="25"/>
      <c r="G33" s="25"/>
      <c r="H33" s="25"/>
      <c r="I33" s="25"/>
      <c r="J33" s="25"/>
      <c r="K33" s="25"/>
      <c r="L33" s="25"/>
      <c r="M33" s="25"/>
      <c r="N33" s="25"/>
      <c r="O33" s="25"/>
      <c r="P33" s="25"/>
      <c r="Q33" s="25"/>
      <c r="R33" s="30"/>
      <c r="S33" s="25"/>
    </row>
    <row r="34" customFormat="false" ht="30" hidden="false" customHeight="true" outlineLevel="0" collapsed="false">
      <c r="A34" s="11"/>
      <c r="B34" s="12"/>
      <c r="C34" s="25"/>
      <c r="D34" s="29"/>
      <c r="E34" s="25"/>
      <c r="F34" s="25"/>
      <c r="G34" s="25"/>
      <c r="H34" s="25"/>
      <c r="I34" s="25"/>
      <c r="J34" s="25"/>
      <c r="K34" s="25"/>
      <c r="L34" s="25"/>
      <c r="M34" s="25"/>
      <c r="N34" s="25"/>
      <c r="O34" s="25"/>
      <c r="P34" s="25"/>
      <c r="Q34" s="25"/>
      <c r="R34" s="30"/>
      <c r="S34" s="25"/>
    </row>
    <row r="35" customFormat="false" ht="30" hidden="false" customHeight="true" outlineLevel="0" collapsed="false">
      <c r="A35" s="11"/>
      <c r="B35" s="12"/>
      <c r="C35" s="25"/>
      <c r="D35" s="29"/>
      <c r="E35" s="25"/>
      <c r="F35" s="25"/>
      <c r="G35" s="25"/>
      <c r="H35" s="25"/>
      <c r="I35" s="25"/>
      <c r="J35" s="25"/>
      <c r="K35" s="25"/>
      <c r="L35" s="25"/>
      <c r="M35" s="25"/>
      <c r="N35" s="25"/>
      <c r="O35" s="25"/>
      <c r="P35" s="25"/>
      <c r="Q35" s="25"/>
      <c r="R35" s="30"/>
      <c r="S35" s="25"/>
    </row>
    <row r="36" customFormat="false" ht="30" hidden="false" customHeight="true" outlineLevel="0" collapsed="false">
      <c r="A36" s="11"/>
      <c r="B36" s="12"/>
      <c r="C36" s="25"/>
      <c r="D36" s="29"/>
      <c r="E36" s="25"/>
      <c r="F36" s="25"/>
      <c r="G36" s="25"/>
      <c r="H36" s="25"/>
      <c r="I36" s="25"/>
      <c r="J36" s="25"/>
      <c r="K36" s="25"/>
      <c r="L36" s="25"/>
      <c r="M36" s="25"/>
      <c r="N36" s="25"/>
      <c r="O36" s="25"/>
      <c r="P36" s="25"/>
      <c r="Q36" s="25"/>
      <c r="R36" s="30"/>
      <c r="S36" s="25"/>
    </row>
    <row r="37" customFormat="false" ht="30" hidden="false" customHeight="true" outlineLevel="0" collapsed="false">
      <c r="A37" s="11"/>
      <c r="B37" s="12"/>
      <c r="C37" s="25"/>
      <c r="D37" s="29"/>
      <c r="E37" s="25"/>
      <c r="F37" s="25"/>
      <c r="G37" s="25"/>
      <c r="H37" s="25"/>
      <c r="I37" s="25"/>
      <c r="J37" s="25"/>
      <c r="K37" s="25"/>
      <c r="L37" s="25"/>
      <c r="M37" s="25"/>
      <c r="N37" s="25"/>
      <c r="O37" s="25"/>
      <c r="P37" s="25"/>
      <c r="Q37" s="25"/>
      <c r="R37" s="30"/>
      <c r="S37" s="25"/>
    </row>
    <row r="38" customFormat="false" ht="30" hidden="false" customHeight="true" outlineLevel="0" collapsed="false">
      <c r="A38" s="11"/>
      <c r="B38" s="12"/>
      <c r="C38" s="25"/>
      <c r="D38" s="29"/>
      <c r="E38" s="25"/>
      <c r="F38" s="25"/>
      <c r="G38" s="25"/>
      <c r="H38" s="25"/>
      <c r="I38" s="25"/>
      <c r="J38" s="25"/>
      <c r="K38" s="25"/>
      <c r="L38" s="25"/>
      <c r="M38" s="25"/>
      <c r="N38" s="25"/>
      <c r="O38" s="25"/>
      <c r="P38" s="25"/>
      <c r="Q38" s="25"/>
      <c r="R38" s="30"/>
      <c r="S38" s="25"/>
    </row>
    <row r="39" customFormat="false" ht="30" hidden="false" customHeight="true" outlineLevel="0" collapsed="false">
      <c r="A39" s="11"/>
      <c r="B39" s="12"/>
      <c r="C39" s="25"/>
      <c r="D39" s="29"/>
      <c r="E39" s="25"/>
      <c r="F39" s="25"/>
      <c r="G39" s="25"/>
      <c r="H39" s="25"/>
      <c r="I39" s="25"/>
      <c r="J39" s="25"/>
      <c r="K39" s="25"/>
      <c r="L39" s="25"/>
      <c r="M39" s="25"/>
      <c r="N39" s="25"/>
      <c r="O39" s="25"/>
      <c r="P39" s="25"/>
      <c r="Q39" s="25"/>
      <c r="R39" s="30"/>
      <c r="S39" s="25"/>
    </row>
    <row r="40" customFormat="false" ht="30" hidden="false" customHeight="true" outlineLevel="0" collapsed="false">
      <c r="A40" s="11"/>
      <c r="B40" s="12"/>
      <c r="C40" s="25"/>
      <c r="D40" s="29"/>
      <c r="E40" s="46" t="s">
        <v>13</v>
      </c>
      <c r="F40" s="46"/>
      <c r="G40" s="46"/>
      <c r="H40" s="46"/>
      <c r="I40" s="46"/>
      <c r="J40" s="46"/>
      <c r="Q40" s="25"/>
      <c r="R40" s="30"/>
      <c r="S40" s="25"/>
    </row>
    <row r="41" customFormat="false" ht="30" hidden="false" customHeight="true" outlineLevel="0" collapsed="false">
      <c r="A41" s="11"/>
      <c r="B41" s="12"/>
      <c r="C41" s="25"/>
      <c r="D41" s="33"/>
      <c r="E41" s="34" t="s">
        <v>21</v>
      </c>
      <c r="F41" s="34" t="s">
        <v>22</v>
      </c>
      <c r="G41" s="34" t="s">
        <v>23</v>
      </c>
      <c r="H41" s="34" t="s">
        <v>24</v>
      </c>
      <c r="I41" s="34" t="s">
        <v>25</v>
      </c>
      <c r="J41" s="35" t="s">
        <v>26</v>
      </c>
      <c r="Q41" s="25"/>
      <c r="R41" s="30"/>
      <c r="S41" s="25"/>
    </row>
    <row r="42" customFormat="false" ht="16" hidden="false" customHeight="true" outlineLevel="0" collapsed="false">
      <c r="A42" s="11"/>
      <c r="B42" s="12"/>
      <c r="C42" s="25"/>
      <c r="D42" s="36" t="s">
        <v>18</v>
      </c>
      <c r="E42" s="37" t="n">
        <f aca="false" t="array" ref="E42:E42">SUM(SUMIFS(HTS!$BU:$BU,HTS!$C:$C,{"=&lt;01","01-04","05-09","10-14"}))</f>
        <v>0</v>
      </c>
      <c r="F42" s="37" t="n">
        <f aca="false" t="array" ref="F42:F42">SUM(SUMIFS(HTS!$BN:$BN,HTS!$C:$C,{"=&lt;01","01-04","05-09","10-14"}))</f>
        <v>0</v>
      </c>
      <c r="G42" s="37" t="n">
        <f aca="false" t="array" ref="G42:G42">SUM(SUMIFS(Cascade!$AM:$AM,Cascade!$C:$C,{"=&lt;01","01-04","05-09","10-14"}))</f>
        <v>0</v>
      </c>
      <c r="H42" s="37" t="n">
        <f aca="false" t="array" ref="H42:H42">SUM(SUMIFS(Cascade!$AE:$AE,Cascade!$C:$C,{"=&lt;01","01-04","05-09","10-14"}))</f>
        <v>0</v>
      </c>
      <c r="I42" s="37" t="n">
        <f aca="false" t="array" ref="I42:I42">SUM(SUMIFS(Cascade!$AP:$AP,Cascade!$C:$C,{"=&lt;01","01-04","05-09","10-14"}))</f>
        <v>0</v>
      </c>
      <c r="J42" s="38" t="n">
        <f aca="false" t="array" ref="J42:J42">SUM(SUMIFS(Cascade!$AT:$AT,Cascade!$C:$C,{"=&lt;01","01-04","05-09","10-14"}))</f>
        <v>0</v>
      </c>
      <c r="Q42" s="25"/>
      <c r="R42" s="30"/>
      <c r="S42" s="25"/>
    </row>
    <row r="43" customFormat="false" ht="16" hidden="false" customHeight="true" outlineLevel="0" collapsed="false">
      <c r="A43" s="11"/>
      <c r="B43" s="12"/>
      <c r="C43" s="25"/>
      <c r="D43" s="39" t="s">
        <v>19</v>
      </c>
      <c r="E43" s="37" t="n">
        <f aca="false" t="array" ref="E43:E43">SUM(SUMIFS(HTS!$BU:$BU,HTS!$C:$C,{"15-19","20-24","25-29","30-34","35-39","40-44","45-49","50+"},HTS!$D:$D,"Female"))</f>
        <v>0</v>
      </c>
      <c r="F43" s="37" t="n">
        <f aca="false" t="array" ref="F43:F43">SUM(SUMIFS(HTS!$BN:$BN,HTS!$C:$C,{"15-19","20-24","25-29","30-34","35-39","40-44","45-49","50+"},HTS!$D:$D,"Female"))</f>
        <v>0</v>
      </c>
      <c r="G43" s="37" t="n">
        <f aca="false" t="array" ref="G43:G43">SUM(SUMIFS(Cascade!$AM:$AM,Cascade!$C:$C,{"15-19","20-24","25-29","30-34","35-39","40-44","45-49","50+"},Cascade!$D:$D,"Female"))</f>
        <v>0</v>
      </c>
      <c r="H43" s="37" t="n">
        <f aca="false" t="array" ref="H43:H43">SUM(SUMIFS(Cascade!$AE:$AE,Cascade!$C:$C,{"15-19","20-24","25-29","30-34","35-39","40-44","45-49","50+"},Cascade!$D:$D,"Female"))</f>
        <v>0</v>
      </c>
      <c r="I43" s="37" t="n">
        <f aca="false" t="array" ref="I43:I43">SUM(SUMIFS(Cascade!$AP:$AP,Cascade!$C:$C,{"15-19","20-24","25-29","30-34","35-39","40-44","45-49","50+"},Cascade!$D:$D,"Female"))</f>
        <v>0</v>
      </c>
      <c r="J43" s="38" t="n">
        <f aca="false" t="array" ref="J43:J43">SUM(SUMIFS(Cascade!$AT:$AT,Cascade!$C:$C,{"15-19","20-24","25-29","30-34","35-39","40-44","45-49","50+"},Cascade!$D:$D,"Female"))</f>
        <v>0</v>
      </c>
      <c r="Q43" s="25"/>
      <c r="R43" s="30"/>
      <c r="S43" s="25"/>
    </row>
    <row r="44" customFormat="false" ht="16" hidden="false" customHeight="true" outlineLevel="0" collapsed="false">
      <c r="A44" s="11"/>
      <c r="B44" s="12"/>
      <c r="C44" s="25"/>
      <c r="D44" s="40" t="s">
        <v>20</v>
      </c>
      <c r="E44" s="41" t="n">
        <f aca="false" t="array" ref="E44:E44">SUM(SUMIFS(HTS!$BU:$BU,HTS!$C:$C,{"15-19","20-24","25-29","30-34","35-39","40-44","45-49","50+"},HTS!$D:$D,"Male"))</f>
        <v>0</v>
      </c>
      <c r="F44" s="41" t="n">
        <f aca="false" t="array" ref="F44:F44">SUM(SUMIFS(HTS!$BN:$BN,HTS!$C:$C,{"15-19","20-24","25-29","30-34","35-39","40-44","45-49","50+"},HTS!$D:$D,"Male"))</f>
        <v>0</v>
      </c>
      <c r="G44" s="41" t="n">
        <f aca="false" t="array" ref="G44:G44">SUM(SUMIFS(Cascade!$AM:$AM,Cascade!$C:$C,{"15-19","20-24","25-29","30-34","35-39","40-44","45-49","50+"},Cascade!$D:$D,"Male"))</f>
        <v>0</v>
      </c>
      <c r="H44" s="41" t="n">
        <f aca="false" t="array" ref="H44:H44">SUM(SUMIFS(Cascade!$AE:$AE,Cascade!$C:$C,{"15-19","20-24","25-29","30-34","35-39","40-44","45-49","50+"},Cascade!$D:$D,"Male"))</f>
        <v>0</v>
      </c>
      <c r="I44" s="41" t="n">
        <f aca="false" t="array" ref="I44:I44">SUM(SUMIFS(Cascade!$AP:$AP,Cascade!$C:$C,{"15-19","20-24","25-29","30-34","35-39","40-44","45-49","50+"},Cascade!$D:$D,"Male"))</f>
        <v>0</v>
      </c>
      <c r="J44" s="42" t="n">
        <f aca="false" t="array" ref="J44:J44">SUM(SUMIFS(Cascade!$AT:$AT,Cascade!$C:$C,{"15-19","20-24","25-29","30-34","35-39","40-44","45-49","50+"},Cascade!$D:$D,"Male"))</f>
        <v>0</v>
      </c>
      <c r="Q44" s="25"/>
      <c r="R44" s="30"/>
      <c r="S44" s="25"/>
    </row>
    <row r="45" customFormat="false" ht="30" hidden="false" customHeight="true" outlineLevel="0" collapsed="false">
      <c r="A45" s="11"/>
      <c r="B45" s="12"/>
      <c r="C45" s="25"/>
      <c r="D45" s="43"/>
      <c r="E45" s="44"/>
      <c r="F45" s="44"/>
      <c r="G45" s="44"/>
      <c r="H45" s="44"/>
      <c r="I45" s="44"/>
      <c r="J45" s="44"/>
      <c r="K45" s="44"/>
      <c r="L45" s="44"/>
      <c r="M45" s="44"/>
      <c r="N45" s="44"/>
      <c r="O45" s="44"/>
      <c r="P45" s="44"/>
      <c r="Q45" s="44"/>
      <c r="R45" s="45"/>
      <c r="S45" s="25"/>
    </row>
    <row r="46" customFormat="false" ht="30" hidden="false" customHeight="true" outlineLevel="0" collapsed="false">
      <c r="A46" s="11"/>
      <c r="B46" s="12"/>
    </row>
    <row r="47" customFormat="false" ht="30" hidden="false" customHeight="true" outlineLevel="0" collapsed="false">
      <c r="A47" s="11"/>
      <c r="B47" s="12"/>
    </row>
    <row r="1048576" customFormat="false" ht="16" hidden="false" customHeight="false" outlineLevel="0" collapsed="false"/>
  </sheetData>
  <mergeCells count="9">
    <mergeCell ref="A1:B1"/>
    <mergeCell ref="A2:B2"/>
    <mergeCell ref="D6:F8"/>
    <mergeCell ref="H6:J8"/>
    <mergeCell ref="L6:N8"/>
    <mergeCell ref="P6:R8"/>
    <mergeCell ref="E22:H22"/>
    <mergeCell ref="I22:K22"/>
    <mergeCell ref="E40:J40"/>
  </mergeCells>
  <hyperlinks>
    <hyperlink ref="A1" location="Summary!A4" display="Data Pack"/>
    <hyperlink ref="A2" location="Summary!A4" display="COP 21"/>
    <hyperlink ref="B5" location="Summary!D5" display="Host Country Overview"/>
    <hyperlink ref="B7" location="Summary!D29" display="PEPFAR FY22 Target Overview"/>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Q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1" sqref="E16:E25 D2"/>
    </sheetView>
  </sheetViews>
  <sheetFormatPr defaultRowHeight="16" zeroHeight="false" outlineLevelRow="0" outlineLevelCol="0"/>
  <cols>
    <col collapsed="false" customWidth="true" hidden="false" outlineLevel="0" max="1" min="1" style="47" width="1.83"/>
    <col collapsed="false" customWidth="true" hidden="false" outlineLevel="0" max="2" min="2" style="47" width="49"/>
    <col collapsed="false" customWidth="true" hidden="false" outlineLevel="0" max="3" min="3" style="47" width="3.17"/>
    <col collapsed="false" customWidth="true" hidden="false" outlineLevel="0" max="4" min="4" style="48" width="32"/>
    <col collapsed="false" customWidth="true" hidden="false" outlineLevel="0" max="6" min="5" style="48" width="14.33"/>
    <col collapsed="false" customWidth="true" hidden="false" outlineLevel="0" max="8" min="7" style="48" width="35.33"/>
    <col collapsed="false" customWidth="true" hidden="false" outlineLevel="0" max="9" min="9" style="49" width="5.83"/>
    <col collapsed="false" customWidth="true" hidden="false" outlineLevel="0" max="10" min="10" style="48" width="13.83"/>
    <col collapsed="false" customWidth="true" hidden="false" outlineLevel="0" max="11" min="11" style="48" width="7.33"/>
    <col collapsed="false" customWidth="true" hidden="false" outlineLevel="0" max="12" min="12" style="48" width="12.83"/>
    <col collapsed="false" customWidth="true" hidden="false" outlineLevel="0" max="13" min="13" style="48" width="10.33"/>
    <col collapsed="false" customWidth="true" hidden="false" outlineLevel="0" max="14" min="14" style="48" width="10.16"/>
    <col collapsed="false" customWidth="true" hidden="false" outlineLevel="0" max="15" min="15" style="48" width="11.33"/>
    <col collapsed="false" customWidth="true" hidden="false" outlineLevel="0" max="16" min="16" style="48" width="10.33"/>
    <col collapsed="false" customWidth="true" hidden="false" outlineLevel="0" max="1025" min="17" style="48" width="10.83"/>
  </cols>
  <sheetData>
    <row r="1" customFormat="false" ht="17" hidden="false" customHeight="false" outlineLevel="0" collapsed="false">
      <c r="D1" s="50" t="s">
        <v>27</v>
      </c>
      <c r="E1" s="50" t="s">
        <v>28</v>
      </c>
      <c r="F1" s="50" t="s">
        <v>29</v>
      </c>
      <c r="G1" s="50" t="s">
        <v>30</v>
      </c>
      <c r="H1" s="50" t="s">
        <v>31</v>
      </c>
      <c r="I1" s="51" t="s">
        <v>32</v>
      </c>
      <c r="J1" s="50" t="s">
        <v>33</v>
      </c>
      <c r="K1" s="50" t="s">
        <v>34</v>
      </c>
      <c r="L1" s="50" t="s">
        <v>35</v>
      </c>
      <c r="M1" s="50" t="s">
        <v>36</v>
      </c>
      <c r="N1" s="50" t="s">
        <v>37</v>
      </c>
      <c r="O1" s="50" t="s">
        <v>38</v>
      </c>
      <c r="P1" s="50" t="s">
        <v>39</v>
      </c>
      <c r="Q1" s="50" t="s">
        <v>40</v>
      </c>
    </row>
    <row r="2" customFormat="false" ht="17" hidden="false" customHeight="false" outlineLevel="0" collapsed="false">
      <c r="B2" s="52" t="s">
        <v>41</v>
      </c>
      <c r="C2" s="53" t="s">
        <v>42</v>
      </c>
      <c r="D2" s="49"/>
      <c r="E2" s="49"/>
      <c r="F2" s="49"/>
      <c r="G2" s="49"/>
      <c r="H2" s="49"/>
      <c r="J2" s="49"/>
      <c r="K2" s="49"/>
      <c r="L2" s="49"/>
      <c r="Q2" s="48" t="str">
        <f aca="false">IF($D2&lt;&gt;"","["&amp;$E2&amp;"]"&amp;"|"&amp;SUBSTITUTE(SUBSTITUTE($I2,CHAR(61),""),CHAR(34),"")&amp;"|"&amp;$K2&amp;"|"&amp;$G2&amp;"|"&amp;IF($G2="TX_CURR_SUBNAT.R","CY2020Q4",$M2),"")</f>
        <v/>
      </c>
    </row>
    <row r="3" customFormat="false" ht="16" hidden="false" customHeight="false" outlineLevel="0" collapsed="false">
      <c r="D3" s="49"/>
      <c r="E3" s="49"/>
      <c r="F3" s="49"/>
      <c r="G3" s="49"/>
      <c r="H3" s="49"/>
      <c r="J3" s="49"/>
      <c r="K3" s="49"/>
      <c r="L3" s="49"/>
    </row>
    <row r="4" customFormat="false" ht="16" hidden="false" customHeight="false" outlineLevel="0" collapsed="false">
      <c r="B4" s="54" t="s">
        <v>43</v>
      </c>
      <c r="D4" s="49"/>
      <c r="E4" s="49"/>
      <c r="F4" s="49"/>
      <c r="G4" s="49"/>
      <c r="H4" s="49"/>
      <c r="J4" s="49"/>
      <c r="K4" s="49"/>
      <c r="L4" s="49"/>
    </row>
    <row r="5" customFormat="false" ht="16" hidden="false" customHeight="false" outlineLevel="0" collapsed="false">
      <c r="D5" s="49"/>
      <c r="E5" s="49"/>
      <c r="F5" s="49"/>
      <c r="G5" s="49"/>
      <c r="H5" s="49"/>
      <c r="J5" s="49"/>
      <c r="K5" s="49"/>
      <c r="L5" s="49"/>
    </row>
    <row r="6" customFormat="false" ht="16" hidden="false" customHeight="true" outlineLevel="0" collapsed="false">
      <c r="B6" s="55" t="s">
        <v>44</v>
      </c>
      <c r="D6" s="49"/>
      <c r="E6" s="49"/>
      <c r="F6" s="49"/>
      <c r="G6" s="49"/>
      <c r="H6" s="49"/>
      <c r="J6" s="49"/>
      <c r="K6" s="49"/>
      <c r="L6" s="49"/>
    </row>
    <row r="7" customFormat="false" ht="16" hidden="false" customHeight="false" outlineLevel="0" collapsed="false">
      <c r="B7" s="55"/>
      <c r="D7" s="49"/>
      <c r="E7" s="49"/>
      <c r="F7" s="49"/>
      <c r="G7" s="49"/>
      <c r="H7" s="49"/>
      <c r="J7" s="49"/>
      <c r="K7" s="49"/>
      <c r="L7" s="49"/>
    </row>
    <row r="8" customFormat="false" ht="16" hidden="false" customHeight="false" outlineLevel="0" collapsed="false">
      <c r="B8" s="56"/>
      <c r="D8" s="49"/>
      <c r="E8" s="49"/>
      <c r="F8" s="49"/>
      <c r="G8" s="49"/>
      <c r="H8" s="49"/>
      <c r="J8" s="49"/>
      <c r="K8" s="49"/>
      <c r="L8" s="49"/>
    </row>
    <row r="9" customFormat="false" ht="17" hidden="false" customHeight="false" outlineLevel="0" collapsed="false">
      <c r="B9" s="56" t="s">
        <v>45</v>
      </c>
      <c r="D9" s="49"/>
      <c r="E9" s="49"/>
      <c r="F9" s="49"/>
      <c r="G9" s="49"/>
      <c r="H9" s="49"/>
      <c r="J9" s="49"/>
      <c r="K9" s="49"/>
      <c r="L9" s="49"/>
    </row>
    <row r="10" customFormat="false" ht="16" hidden="false" customHeight="false" outlineLevel="0" collapsed="false">
      <c r="B10" s="56"/>
      <c r="D10" s="49"/>
      <c r="E10" s="49"/>
      <c r="F10" s="49"/>
      <c r="G10" s="49"/>
      <c r="H10" s="49"/>
      <c r="J10" s="49"/>
      <c r="K10" s="49"/>
      <c r="L10" s="49"/>
    </row>
    <row r="11" customFormat="false" ht="16" hidden="false" customHeight="true" outlineLevel="0" collapsed="false">
      <c r="B11" s="55" t="s">
        <v>46</v>
      </c>
      <c r="D11" s="49"/>
      <c r="E11" s="49"/>
      <c r="F11" s="49"/>
      <c r="G11" s="49"/>
      <c r="H11" s="49"/>
      <c r="J11" s="49"/>
      <c r="K11" s="49"/>
      <c r="L11" s="49"/>
    </row>
    <row r="12" customFormat="false" ht="16" hidden="false" customHeight="false" outlineLevel="0" collapsed="false">
      <c r="B12" s="55"/>
      <c r="D12" s="49"/>
      <c r="E12" s="49"/>
      <c r="F12" s="49"/>
      <c r="G12" s="49"/>
      <c r="H12" s="49"/>
      <c r="J12" s="49"/>
      <c r="K12" s="49"/>
      <c r="L12" s="49"/>
    </row>
    <row r="13" customFormat="false" ht="16" hidden="false" customHeight="false" outlineLevel="0" collapsed="false">
      <c r="B13" s="56"/>
      <c r="D13" s="49"/>
      <c r="E13" s="49"/>
      <c r="F13" s="49"/>
      <c r="G13" s="49"/>
      <c r="H13" s="49"/>
      <c r="J13" s="49"/>
      <c r="K13" s="49"/>
      <c r="L13" s="49"/>
    </row>
    <row r="14" customFormat="false" ht="17" hidden="false" customHeight="false" outlineLevel="0" collapsed="false">
      <c r="B14" s="56" t="s">
        <v>47</v>
      </c>
      <c r="D14" s="49"/>
      <c r="E14" s="49"/>
      <c r="F14" s="49"/>
      <c r="G14" s="49"/>
      <c r="H14" s="49"/>
      <c r="J14" s="49"/>
      <c r="K14" s="49"/>
      <c r="L14" s="49"/>
    </row>
    <row r="15" customFormat="false" ht="16" hidden="false" customHeight="false" outlineLevel="0" collapsed="false">
      <c r="B15" s="56"/>
      <c r="D15" s="49"/>
      <c r="E15" s="49"/>
      <c r="F15" s="49"/>
      <c r="G15" s="49"/>
      <c r="H15" s="49"/>
      <c r="J15" s="49"/>
      <c r="K15" s="49"/>
      <c r="L15" s="49"/>
    </row>
    <row r="16" customFormat="false" ht="16" hidden="false" customHeight="true" outlineLevel="0" collapsed="false">
      <c r="B16" s="55" t="s">
        <v>48</v>
      </c>
      <c r="D16" s="49"/>
      <c r="E16" s="49"/>
      <c r="F16" s="49"/>
      <c r="G16" s="49"/>
      <c r="H16" s="49"/>
      <c r="J16" s="49"/>
      <c r="K16" s="49"/>
      <c r="L16" s="49"/>
    </row>
    <row r="17" customFormat="false" ht="16" hidden="false" customHeight="false" outlineLevel="0" collapsed="false">
      <c r="B17" s="55"/>
      <c r="D17" s="49"/>
      <c r="E17" s="49"/>
      <c r="F17" s="49"/>
      <c r="G17" s="49"/>
      <c r="H17" s="49"/>
      <c r="J17" s="49"/>
      <c r="K17" s="49"/>
      <c r="L17" s="49"/>
    </row>
    <row r="18" customFormat="false" ht="16" hidden="false" customHeight="false" outlineLevel="0" collapsed="false">
      <c r="B18" s="56"/>
      <c r="D18" s="49"/>
      <c r="E18" s="49"/>
      <c r="F18" s="49"/>
      <c r="G18" s="49"/>
      <c r="H18" s="49"/>
      <c r="J18" s="49"/>
      <c r="K18" s="49"/>
      <c r="L18" s="49"/>
    </row>
    <row r="19" customFormat="false" ht="16" hidden="false" customHeight="true" outlineLevel="0" collapsed="false">
      <c r="B19" s="55" t="s">
        <v>49</v>
      </c>
      <c r="D19" s="49"/>
      <c r="E19" s="49"/>
      <c r="F19" s="49"/>
      <c r="G19" s="49"/>
      <c r="H19" s="49"/>
      <c r="J19" s="49"/>
      <c r="K19" s="49"/>
      <c r="L19" s="49"/>
    </row>
    <row r="20" customFormat="false" ht="16" hidden="false" customHeight="false" outlineLevel="0" collapsed="false">
      <c r="B20" s="55"/>
      <c r="D20" s="49"/>
      <c r="E20" s="49"/>
      <c r="F20" s="49"/>
      <c r="G20" s="49"/>
      <c r="H20" s="49"/>
      <c r="J20" s="49"/>
      <c r="K20" s="49"/>
      <c r="L20" s="49"/>
    </row>
    <row r="21" customFormat="false" ht="16" hidden="false" customHeight="false" outlineLevel="0" collapsed="false">
      <c r="D21" s="49"/>
      <c r="E21" s="49"/>
      <c r="F21" s="49"/>
      <c r="G21" s="49"/>
      <c r="H21" s="49"/>
      <c r="J21" s="49"/>
      <c r="K21" s="49"/>
      <c r="L21" s="49"/>
    </row>
    <row r="22" customFormat="false" ht="16" hidden="false" customHeight="true" outlineLevel="0" collapsed="false">
      <c r="B22" s="56" t="s">
        <v>50</v>
      </c>
      <c r="D22" s="49"/>
      <c r="E22" s="49"/>
      <c r="F22" s="49"/>
      <c r="G22" s="49"/>
      <c r="H22" s="49"/>
      <c r="J22" s="49"/>
      <c r="K22" s="49"/>
      <c r="L22" s="49"/>
    </row>
    <row r="23" customFormat="false" ht="16" hidden="false" customHeight="false" outlineLevel="0" collapsed="false">
      <c r="B23" s="56"/>
      <c r="D23" s="49"/>
      <c r="E23" s="49"/>
      <c r="F23" s="49"/>
      <c r="G23" s="49"/>
      <c r="H23" s="49"/>
      <c r="J23" s="49"/>
      <c r="K23" s="49"/>
      <c r="L23" s="49"/>
    </row>
    <row r="24" customFormat="false" ht="16" hidden="false" customHeight="false" outlineLevel="0" collapsed="false">
      <c r="B24" s="47" t="s">
        <v>51</v>
      </c>
      <c r="D24" s="49"/>
      <c r="E24" s="49"/>
      <c r="F24" s="49"/>
      <c r="G24" s="49"/>
      <c r="H24" s="49"/>
      <c r="J24" s="49"/>
      <c r="K24" s="49"/>
      <c r="L24" s="49"/>
    </row>
    <row r="25" customFormat="false" ht="16" hidden="false" customHeight="false" outlineLevel="0" collapsed="false">
      <c r="D25" s="49"/>
      <c r="E25" s="49"/>
      <c r="F25" s="49"/>
      <c r="G25" s="49"/>
      <c r="H25" s="49"/>
      <c r="J25" s="49"/>
      <c r="K25" s="49"/>
      <c r="L25" s="49"/>
    </row>
    <row r="26" customFormat="false" ht="16" hidden="false" customHeight="true" outlineLevel="0" collapsed="false">
      <c r="B26" s="55" t="s">
        <v>52</v>
      </c>
      <c r="D26" s="49"/>
      <c r="E26" s="49"/>
      <c r="F26" s="49"/>
      <c r="G26" s="49"/>
      <c r="H26" s="49"/>
      <c r="J26" s="49"/>
      <c r="K26" s="49"/>
      <c r="L26" s="49"/>
    </row>
  </sheetData>
  <mergeCells count="5">
    <mergeCell ref="B6:B7"/>
    <mergeCell ref="B11:B12"/>
    <mergeCell ref="B16:B17"/>
    <mergeCell ref="B19:B20"/>
    <mergeCell ref="B26:B2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4" topLeftCell="C15" activePane="bottomRight" state="frozen"/>
      <selection pane="topLeft" activeCell="A1" activeCellId="0" sqref="A1"/>
      <selection pane="topRight" activeCell="C1" activeCellId="0" sqref="C1"/>
      <selection pane="bottomLeft" activeCell="A15" activeCellId="0" sqref="A15"/>
      <selection pane="bottomRight" activeCell="E16" activeCellId="0" sqref="E16:E25"/>
    </sheetView>
  </sheetViews>
  <sheetFormatPr defaultRowHeight="16" zeroHeight="false" outlineLevelRow="0" outlineLevelCol="0"/>
  <cols>
    <col collapsed="false" customWidth="true" hidden="false" outlineLevel="0" max="1" min="1" style="49" width="16.16"/>
    <col collapsed="false" customWidth="true" hidden="false" outlineLevel="0" max="2" min="2" style="49" width="30.83"/>
    <col collapsed="false" customWidth="true" hidden="false" outlineLevel="0" max="3" min="3" style="57" width="13.16"/>
    <col collapsed="false" customWidth="true" hidden="false" outlineLevel="0" max="4" min="4" style="58" width="13.16"/>
    <col collapsed="false" customWidth="true" hidden="false" outlineLevel="0" max="5" min="5" style="0" width="28"/>
    <col collapsed="false" customWidth="true" hidden="false" outlineLevel="0" max="1025" min="6" style="0" width="10.61"/>
  </cols>
  <sheetData>
    <row r="1" s="62" customFormat="true" ht="31" hidden="false" customHeight="true" outlineLevel="0" collapsed="false">
      <c r="A1" s="59" t="s">
        <v>53</v>
      </c>
      <c r="B1" s="59"/>
      <c r="C1" s="60" t="s">
        <v>53</v>
      </c>
      <c r="D1" s="60"/>
      <c r="E1" s="61"/>
    </row>
    <row r="2" s="67" customFormat="true" ht="19" hidden="false" customHeight="false" outlineLevel="0" collapsed="false">
      <c r="A2" s="63"/>
      <c r="B2" s="63"/>
      <c r="C2" s="64" t="s">
        <v>54</v>
      </c>
      <c r="D2" s="65" t="s">
        <v>55</v>
      </c>
      <c r="E2" s="66"/>
    </row>
    <row r="3" customFormat="false" ht="117" hidden="false" customHeight="true" outlineLevel="0" collapsed="false">
      <c r="A3" s="68"/>
      <c r="B3" s="68"/>
      <c r="C3" s="69" t="s">
        <v>56</v>
      </c>
      <c r="D3" s="70" t="s">
        <v>57</v>
      </c>
      <c r="E3" s="69" t="s">
        <v>58</v>
      </c>
    </row>
    <row r="4" customFormat="false" ht="16" hidden="false" customHeight="false" outlineLevel="0" collapsed="false">
      <c r="A4" s="71"/>
      <c r="B4" s="71" t="s">
        <v>59</v>
      </c>
      <c r="C4" s="72"/>
      <c r="D4" s="73"/>
      <c r="E4" s="74" t="str">
        <f aca="false">IF(COUNTIF(D$15:INDEX($D:$D,COUNTA($B:$B)+14-COUNTA($B$1:$B$14)),"")&gt;0,"BLANK PRIORITIZATIONS","")</f>
        <v/>
      </c>
    </row>
    <row r="5" customFormat="false" ht="16" hidden="false" customHeight="false" outlineLevel="0" collapsed="false">
      <c r="A5" s="49" t="s">
        <v>60</v>
      </c>
      <c r="B5" s="49" t="s">
        <v>60</v>
      </c>
      <c r="C5" s="72" t="s">
        <v>61</v>
      </c>
      <c r="D5" s="73" t="s">
        <v>61</v>
      </c>
      <c r="E5" s="0" t="s">
        <v>60</v>
      </c>
    </row>
    <row r="6" customFormat="false" ht="16" hidden="false" customHeight="false" outlineLevel="0" collapsed="false">
      <c r="A6" s="49" t="s">
        <v>62</v>
      </c>
      <c r="B6" s="49" t="s">
        <v>62</v>
      </c>
      <c r="C6" s="72" t="s">
        <v>63</v>
      </c>
      <c r="D6" s="73" t="s">
        <v>64</v>
      </c>
      <c r="E6" s="0" t="s">
        <v>65</v>
      </c>
    </row>
    <row r="7" customFormat="false" ht="16" hidden="false" customHeight="false" outlineLevel="0" collapsed="false">
      <c r="A7" s="49" t="s">
        <v>66</v>
      </c>
      <c r="B7" s="49" t="s">
        <v>66</v>
      </c>
      <c r="C7" s="72" t="s">
        <v>67</v>
      </c>
      <c r="D7" s="73" t="s">
        <v>67</v>
      </c>
      <c r="E7" s="0" t="s">
        <v>66</v>
      </c>
    </row>
    <row r="8" customFormat="false" ht="16" hidden="false" customHeight="false" outlineLevel="0" collapsed="false">
      <c r="C8" s="72" t="s">
        <v>68</v>
      </c>
      <c r="D8" s="73" t="s">
        <v>68</v>
      </c>
    </row>
    <row r="9" customFormat="false" ht="16" hidden="false" customHeight="false" outlineLevel="0" collapsed="false">
      <c r="C9" s="72"/>
      <c r="D9" s="73"/>
    </row>
    <row r="10" customFormat="false" ht="16" hidden="false" customHeight="false" outlineLevel="0" collapsed="false">
      <c r="C10" s="72"/>
      <c r="D10" s="73"/>
    </row>
    <row r="11" customFormat="false" ht="16" hidden="false" customHeight="false" outlineLevel="0" collapsed="false">
      <c r="C11" s="72"/>
      <c r="D11" s="73"/>
    </row>
    <row r="12" customFormat="false" ht="16" hidden="false" customHeight="false" outlineLevel="0" collapsed="false">
      <c r="C12" s="72"/>
      <c r="D12" s="73"/>
    </row>
    <row r="13" customFormat="false" ht="16" hidden="false" customHeight="false" outlineLevel="0" collapsed="false">
      <c r="C13" s="72"/>
      <c r="D13" s="73"/>
    </row>
    <row r="14" customFormat="false" ht="16" hidden="false" customHeight="false" outlineLevel="0" collapsed="false">
      <c r="A14" s="75" t="s">
        <v>69</v>
      </c>
      <c r="B14" s="75" t="s">
        <v>70</v>
      </c>
      <c r="C14" s="76" t="s">
        <v>71</v>
      </c>
      <c r="D14" s="76" t="s">
        <v>72</v>
      </c>
      <c r="E14" s="77" t="s">
        <v>73</v>
      </c>
    </row>
    <row r="15" customFormat="false" ht="15" hidden="false" customHeight="false" outlineLevel="0" collapsed="false">
      <c r="A15" s="0" t="s">
        <v>74</v>
      </c>
      <c r="B15" s="0" t="s">
        <v>75</v>
      </c>
      <c r="D15" s="58" t="str">
        <f aca="false">IF(LEFT($B15,4)="_Mil","M",IF(SUM($C15)=0,"",$C15))</f>
        <v>M</v>
      </c>
      <c r="E15" s="72" t="str">
        <f aca="false">IF($D15=1,"Scale-up: Saturation",IF($D15=2,"Scale-up: Aggressive",IF($D15=4,"Sustained",IF($D15=5,"Centrally Supported",IF($D15=6,"Sustained:Commodities",IF($D15=7,"Attained",IF($D15=8,"Not PEPFAR Supported",IF($D15="M","Military",IF($D15="NA","Not a PSNU","INVALID")))))))))</f>
        <v>Military</v>
      </c>
    </row>
    <row r="16" customFormat="false" ht="15" hidden="false" customHeight="false" outlineLevel="0" collapsed="false">
      <c r="A16" s="0" t="s">
        <v>76</v>
      </c>
      <c r="B16" s="0" t="s">
        <v>77</v>
      </c>
      <c r="C16" s="78" t="n">
        <v>1</v>
      </c>
      <c r="D16" s="79" t="n">
        <f aca="false">IF(LEFT($B16,4)="_Mil","M",IF(SUM($C16)=0,"",$C16))</f>
        <v>1</v>
      </c>
      <c r="E16" s="80" t="str">
        <f aca="false">IF($D16=1,"Scale-up: Saturation",IF($D16=2,"Scale-up: Aggressive",IF($D16=4,"Sustained",IF($D16=5,"Centrally Supported",IF($D16=6,"Sustained:Commodities",IF($D16=7,"Attained",IF($D16=8,"Not PEPFAR Supported",IF($D16="M","Military",IF($D16="NA","Not a PSNU","INVALID")))))))))</f>
        <v>Scale-up: Saturation</v>
      </c>
    </row>
    <row r="17" customFormat="false" ht="15" hidden="false" customHeight="false" outlineLevel="0" collapsed="false">
      <c r="A17" s="0" t="s">
        <v>78</v>
      </c>
      <c r="B17" s="0" t="s">
        <v>79</v>
      </c>
      <c r="C17" s="78" t="n">
        <v>1</v>
      </c>
      <c r="D17" s="79" t="n">
        <f aca="false">IF(LEFT($B17,4)="_Mil","M",IF(SUM($C17)=0,"",$C17))</f>
        <v>1</v>
      </c>
      <c r="E17" s="80" t="str">
        <f aca="false">IF($D17=1,"Scale-up: Saturation",IF($D17=2,"Scale-up: Aggressive",IF($D17=4,"Sustained",IF($D17=5,"Centrally Supported",IF($D17=6,"Sustained:Commodities",IF($D17=7,"Attained",IF($D17=8,"Not PEPFAR Supported",IF($D17="M","Military",IF($D17="NA","Not a PSNU","INVALID")))))))))</f>
        <v>Scale-up: Saturation</v>
      </c>
    </row>
    <row r="18" customFormat="false" ht="15" hidden="false" customHeight="false" outlineLevel="0" collapsed="false">
      <c r="A18" s="81" t="s">
        <v>80</v>
      </c>
      <c r="B18" s="81" t="s">
        <v>81</v>
      </c>
      <c r="C18" s="78" t="n">
        <v>1</v>
      </c>
      <c r="D18" s="79" t="n">
        <f aca="false">IF(LEFT($B18,4)="_Mil","M",IF(SUM($C18)=0,"",$C18))</f>
        <v>1</v>
      </c>
      <c r="E18" s="80" t="str">
        <f aca="false">IF($D18=1,"Scale-up: Saturation",IF($D18=2,"Scale-up: Aggressive",IF($D18=4,"Sustained",IF($D18=5,"Centrally Supported",IF($D18=6,"Sustained:Commodities",IF($D18=7,"Attained",IF($D18=8,"Not PEPFAR Supported",IF($D18="M","Military",IF($D18="NA","Not a PSNU","INVALID")))))))))</f>
        <v>Scale-up: Saturation</v>
      </c>
    </row>
    <row r="19" customFormat="false" ht="15" hidden="false" customHeight="false" outlineLevel="0" collapsed="false">
      <c r="A19" s="0" t="s">
        <v>82</v>
      </c>
      <c r="B19" s="0" t="s">
        <v>83</v>
      </c>
      <c r="C19" s="78" t="n">
        <v>1</v>
      </c>
      <c r="D19" s="79" t="n">
        <f aca="false">IF(LEFT($B19,4)="_Mil","M",IF(SUM($C19)=0,"",$C19))</f>
        <v>1</v>
      </c>
      <c r="E19" s="0" t="str">
        <f aca="false">IF($D19=1,"Scale-up: Saturation",IF($D19=2,"Scale-up: Aggressive",IF($D19=4,"Sustained",IF($D19=5,"Centrally Supported",IF($D19=6,"Sustained:Commodities",IF($D19=7,"Attained",IF($D19=8,"Not PEPFAR Supported",IF($D19="M","Military",IF($D19="NA","Not a PSNU","INVALID")))))))))</f>
        <v>Scale-up: Saturation</v>
      </c>
    </row>
    <row r="20" customFormat="false" ht="15" hidden="false" customHeight="false" outlineLevel="0" collapsed="false">
      <c r="A20" s="0" t="s">
        <v>84</v>
      </c>
      <c r="B20" s="0" t="s">
        <v>85</v>
      </c>
      <c r="C20" s="78" t="n">
        <v>1</v>
      </c>
      <c r="D20" s="79" t="n">
        <f aca="false">IF(LEFT($B20,4)="_Mil","M",IF(SUM($C20)=0,"",$C20))</f>
        <v>1</v>
      </c>
      <c r="E20" s="0" t="str">
        <f aca="false">IF($D20=1,"Scale-up: Saturation",IF($D20=2,"Scale-up: Aggressive",IF($D20=4,"Sustained",IF($D20=5,"Centrally Supported",IF($D20=6,"Sustained:Commodities",IF($D20=7,"Attained",IF($D20=8,"Not PEPFAR Supported",IF($D20="M","Military",IF($D20="NA","Not a PSNU","INVALID")))))))))</f>
        <v>Scale-up: Saturation</v>
      </c>
    </row>
    <row r="21" customFormat="false" ht="15" hidden="false" customHeight="false" outlineLevel="0" collapsed="false">
      <c r="A21" s="0" t="s">
        <v>86</v>
      </c>
      <c r="B21" s="0" t="s">
        <v>87</v>
      </c>
      <c r="C21" s="78" t="n">
        <v>1</v>
      </c>
      <c r="D21" s="79" t="n">
        <f aca="false">IF(LEFT($B21,4)="_Mil","M",IF(SUM($C21)=0,"",$C21))</f>
        <v>1</v>
      </c>
      <c r="E21" s="0" t="str">
        <f aca="false">IF($D21=1,"Scale-up: Saturation",IF($D21=2,"Scale-up: Aggressive",IF($D21=4,"Sustained",IF($D21=5,"Centrally Supported",IF($D21=6,"Sustained:Commodities",IF($D21=7,"Attained",IF($D21=8,"Not PEPFAR Supported",IF($D21="M","Military",IF($D21="NA","Not a PSNU","INVALID")))))))))</f>
        <v>Scale-up: Saturation</v>
      </c>
    </row>
    <row r="22" customFormat="false" ht="15" hidden="false" customHeight="false" outlineLevel="0" collapsed="false">
      <c r="A22" s="0" t="s">
        <v>88</v>
      </c>
      <c r="B22" s="0" t="s">
        <v>89</v>
      </c>
      <c r="C22" s="78" t="n">
        <v>1</v>
      </c>
      <c r="D22" s="79" t="n">
        <f aca="false">IF(LEFT($B22,4)="_Mil","M",IF(SUM($C22)=0,"",$C22))</f>
        <v>1</v>
      </c>
      <c r="E22" s="0" t="str">
        <f aca="false">IF($D22=1,"Scale-up: Saturation",IF($D22=2,"Scale-up: Aggressive",IF($D22=4,"Sustained",IF($D22=5,"Centrally Supported",IF($D22=6,"Sustained:Commodities",IF($D22=7,"Attained",IF($D22=8,"Not PEPFAR Supported",IF($D22="M","Military",IF($D22="NA","Not a PSNU","INVALID")))))))))</f>
        <v>Scale-up: Saturation</v>
      </c>
    </row>
    <row r="23" customFormat="false" ht="15" hidden="false" customHeight="false" outlineLevel="0" collapsed="false">
      <c r="A23" s="0" t="s">
        <v>90</v>
      </c>
      <c r="B23" s="0" t="s">
        <v>91</v>
      </c>
      <c r="C23" s="78" t="n">
        <v>1</v>
      </c>
      <c r="D23" s="79" t="n">
        <f aca="false">IF(LEFT($B23,4)="_Mil","M",IF(SUM($C23)=0,"",$C23))</f>
        <v>1</v>
      </c>
      <c r="E23" s="0" t="str">
        <f aca="false">IF($D23=1,"Scale-up: Saturation",IF($D23=2,"Scale-up: Aggressive",IF($D23=4,"Sustained",IF($D23=5,"Centrally Supported",IF($D23=6,"Sustained:Commodities",IF($D23=7,"Attained",IF($D23=8,"Not PEPFAR Supported",IF($D23="M","Military",IF($D23="NA","Not a PSNU","INVALID")))))))))</f>
        <v>Scale-up: Saturation</v>
      </c>
    </row>
    <row r="24" customFormat="false" ht="15" hidden="false" customHeight="false" outlineLevel="0" collapsed="false">
      <c r="A24" s="0" t="s">
        <v>92</v>
      </c>
      <c r="B24" s="0" t="s">
        <v>93</v>
      </c>
      <c r="C24" s="78" t="n">
        <v>1</v>
      </c>
      <c r="D24" s="79" t="n">
        <f aca="false">IF(LEFT($B24,4)="_Mil","M",IF(SUM($C24)=0,"",$C24))</f>
        <v>1</v>
      </c>
      <c r="E24" s="0" t="str">
        <f aca="false">IF($D24=1,"Scale-up: Saturation",IF($D24=2,"Scale-up: Aggressive",IF($D24=4,"Sustained",IF($D24=5,"Centrally Supported",IF($D24=6,"Sustained:Commodities",IF($D24=7,"Attained",IF($D24=8,"Not PEPFAR Supported",IF($D24="M","Military",IF($D24="NA","Not a PSNU","INVALID")))))))))</f>
        <v>Scale-up: Saturation</v>
      </c>
    </row>
    <row r="25" customFormat="false" ht="15" hidden="false" customHeight="false" outlineLevel="0" collapsed="false">
      <c r="A25" s="0" t="s">
        <v>94</v>
      </c>
      <c r="B25" s="0" t="s">
        <v>95</v>
      </c>
      <c r="C25" s="78" t="n">
        <v>1</v>
      </c>
      <c r="D25" s="79" t="n">
        <f aca="false">IF(LEFT($B25,4)="_Mil","M",IF(SUM($C25)=0,"",$C25))</f>
        <v>1</v>
      </c>
      <c r="E25" s="0" t="str">
        <f aca="false">IF($D25=1,"Scale-up: Saturation",IF($D25=2,"Scale-up: Aggressive",IF($D25=4,"Sustained",IF($D25=5,"Centrally Supported",IF($D25=6,"Sustained:Commodities",IF($D25=7,"Attained",IF($D25=8,"Not PEPFAR Supported",IF($D25="M","Military",IF($D25="NA","Not a PSNU","INVALID")))))))))</f>
        <v>Scale-up: Saturation</v>
      </c>
    </row>
  </sheetData>
  <conditionalFormatting sqref="E4">
    <cfRule type="containsText" priority="2" operator="containsText" aboveAverage="0" equalAverage="0" bottom="0" percent="0" rank="0" text="BLANK PRIORITIZATIONS" dxfId="0"/>
  </conditionalFormatting>
  <conditionalFormatting sqref="C26:D1048576 C1:D15">
    <cfRule type="expression" priority="3" aboveAverage="0" equalAverage="0" bottom="0" percent="0" rank="0" text="" dxfId="1">
      <formula>AND(ROW(C1)&gt;14,$B1&lt;&gt;"",C1&lt;&gt;1,C1&lt;&gt;2,C1&lt;&gt;4,C1&lt;&gt;5,C1&lt;&gt;6,C1&lt;&gt;7,C1&lt;&gt;8,C1&lt;&gt;"M",C1&lt;&gt;"NA")</formula>
    </cfRule>
  </conditionalFormatting>
  <conditionalFormatting sqref="D26:D1048576 D1:D15">
    <cfRule type="expression" priority="4" aboveAverage="0" equalAverage="0" bottom="0" percent="0" rank="0" text="" dxfId="2">
      <formula>AND(ROW($D1)&gt;14,$D1="",$B1&lt;&gt;"")</formula>
    </cfRule>
    <cfRule type="expression" priority="5" aboveAverage="0" equalAverage="0" bottom="0" percent="0" rank="0" text="" dxfId="3">
      <formula>AND(ROW($D1)&gt;14,$D1&lt;&gt;$C1,$B1&lt;&gt;"")</formula>
    </cfRule>
  </conditionalFormatting>
  <conditionalFormatting sqref="C16:D25">
    <cfRule type="expression" priority="6" aboveAverage="0" equalAverage="0" bottom="0" percent="0" rank="0" text="" dxfId="4">
      <formula>AND(ROW(C16)&gt;14,$B16&lt;&gt;"",C16&lt;&gt;1,C16&lt;&gt;2,C16&lt;&gt;4,C16&lt;&gt;5,C16&lt;&gt;6,C16&lt;&gt;7,C16&lt;&gt;8,C16&lt;&gt;"M",C16&lt;&gt;"NA")</formula>
    </cfRule>
  </conditionalFormatting>
  <conditionalFormatting sqref="D16:D25">
    <cfRule type="expression" priority="7" aboveAverage="0" equalAverage="0" bottom="0" percent="0" rank="0" text="" dxfId="5">
      <formula>AND(ROW($D16)&gt;14,$D16="",$B16&lt;&gt;"")</formula>
    </cfRule>
    <cfRule type="expression" priority="8" aboveAverage="0" equalAverage="0" bottom="0" percent="0" rank="0" text="" dxfId="6">
      <formula>AND(ROW($D16)&gt;14,$D16&lt;&gt;$C16,$B16&lt;&gt;"")</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T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81" width="10.83"/>
    <col collapsed="false" customWidth="true" hidden="false" outlineLevel="0" max="4" min="4" style="81" width="7.84"/>
    <col collapsed="false" customWidth="true" hidden="true" outlineLevel="0" max="5" min="5" style="81" width="39"/>
    <col collapsed="false" customWidth="true" hidden="false" outlineLevel="0" max="6" min="6" style="79" width="13.16"/>
    <col collapsed="false" customWidth="true" hidden="false" outlineLevel="0" max="7" min="7" style="82" width="11.83"/>
    <col collapsed="false" customWidth="true" hidden="false" outlineLevel="0" max="8" min="8" style="79" width="11.83"/>
    <col collapsed="false" customWidth="true" hidden="false" outlineLevel="0" max="9" min="9" style="82" width="11.83"/>
    <col collapsed="false" customWidth="true" hidden="false" outlineLevel="0" max="10" min="10" style="83" width="11.83"/>
    <col collapsed="false" customWidth="true" hidden="false" outlineLevel="0" max="11" min="11" style="82" width="11.83"/>
    <col collapsed="false" customWidth="true" hidden="false" outlineLevel="0" max="12" min="12" style="79" width="11.83"/>
    <col collapsed="false" customWidth="true" hidden="false" outlineLevel="0" max="13" min="13" style="84" width="11.83"/>
    <col collapsed="false" customWidth="true" hidden="false" outlineLevel="0" max="14" min="14" style="79" width="11.83"/>
    <col collapsed="false" customWidth="true" hidden="false" outlineLevel="0" max="15" min="15" style="82" width="11.83"/>
    <col collapsed="false" customWidth="true" hidden="false" outlineLevel="0" max="16" min="16" style="79" width="11.83"/>
    <col collapsed="false" customWidth="true" hidden="false" outlineLevel="0" max="17" min="17" style="82" width="11.83"/>
    <col collapsed="false" customWidth="true" hidden="false" outlineLevel="0" max="18" min="18" style="79" width="11.83"/>
    <col collapsed="false" customWidth="true" hidden="false" outlineLevel="0" max="19" min="19" style="84" width="11.83"/>
    <col collapsed="false" customWidth="true" hidden="false" outlineLevel="0" max="20" min="20" style="85" width="11.83"/>
    <col collapsed="false" customWidth="true" hidden="false" outlineLevel="0" max="23" min="21" style="86" width="11.83"/>
    <col collapsed="false" customWidth="true" hidden="false" outlineLevel="0" max="24" min="24" style="87" width="11.83"/>
    <col collapsed="false" customWidth="true" hidden="false" outlineLevel="0" max="25" min="25" style="84" width="11.83"/>
    <col collapsed="false" customWidth="true" hidden="false" outlineLevel="0" max="26" min="26" style="87" width="11.83"/>
    <col collapsed="false" customWidth="true" hidden="false" outlineLevel="0" max="27" min="27" style="79" width="11.83"/>
    <col collapsed="false" customWidth="true" hidden="false" outlineLevel="0" max="28" min="28" style="88" width="11.83"/>
    <col collapsed="false" customWidth="true" hidden="false" outlineLevel="0" max="29" min="29" style="89" width="11.83"/>
    <col collapsed="false" customWidth="true" hidden="false" outlineLevel="0" max="30" min="30" style="90" width="11.83"/>
    <col collapsed="false" customWidth="true" hidden="false" outlineLevel="0" max="31" min="31" style="79" width="11.83"/>
    <col collapsed="false" customWidth="true" hidden="false" outlineLevel="0" max="32" min="32" style="91" width="11.83"/>
    <col collapsed="false" customWidth="true" hidden="false" outlineLevel="0" max="34" min="33" style="92" width="11.83"/>
    <col collapsed="false" customWidth="true" hidden="false" outlineLevel="0" max="38" min="35" style="93" width="11.83"/>
    <col collapsed="false" customWidth="true" hidden="false" outlineLevel="0" max="39" min="39" style="94" width="11.83"/>
    <col collapsed="false" customWidth="true" hidden="false" outlineLevel="0" max="40" min="40" style="95" width="11.83"/>
    <col collapsed="false" customWidth="true" hidden="false" outlineLevel="0" max="41" min="41" style="84" width="11.83"/>
    <col collapsed="false" customWidth="true" hidden="false" outlineLevel="0" max="42" min="42" style="79" width="11.83"/>
    <col collapsed="false" customWidth="true" hidden="false" outlineLevel="0" max="43" min="43" style="95" width="11.83"/>
    <col collapsed="false" customWidth="true" hidden="false" outlineLevel="0" max="45" min="44" style="87" width="11.83"/>
    <col collapsed="false" customWidth="true" hidden="false" outlineLevel="0" max="47" min="46" style="79" width="11.83"/>
    <col collapsed="false" customWidth="true" hidden="false" outlineLevel="0" max="48" min="48" style="93" width="11.83"/>
    <col collapsed="false" customWidth="true" hidden="false" outlineLevel="0" max="49" min="49" style="96" width="11.83"/>
    <col collapsed="false" customWidth="true" hidden="false" outlineLevel="0" max="52" min="50" style="78" width="11.83"/>
    <col collapsed="false" customWidth="true" hidden="false" outlineLevel="0" max="55" min="53" style="87" width="11.83"/>
    <col collapsed="false" customWidth="true" hidden="false" outlineLevel="0" max="63" min="56" style="90" width="11.83"/>
    <col collapsed="false" customWidth="true" hidden="false" outlineLevel="0" max="70" min="64" style="92" width="11.83"/>
    <col collapsed="false" customWidth="true" hidden="false" outlineLevel="0" max="71" min="71" style="91" width="11.83"/>
    <col collapsed="false" customWidth="true" hidden="false" outlineLevel="0" max="72" min="72" style="94" width="11.83"/>
    <col collapsed="false" customWidth="true" hidden="false" outlineLevel="0" max="78" min="73" style="0" width="10.61"/>
    <col collapsed="false" customWidth="true" hidden="false" outlineLevel="0" max="1025" min="79" style="25" width="10.83"/>
  </cols>
  <sheetData>
    <row r="1" s="62" customFormat="true" ht="31" hidden="false" customHeight="true" outlineLevel="0" collapsed="false">
      <c r="A1" s="97" t="s">
        <v>96</v>
      </c>
      <c r="B1" s="97"/>
      <c r="C1" s="97"/>
      <c r="D1" s="97"/>
      <c r="E1" s="97"/>
      <c r="F1" s="98" t="s">
        <v>97</v>
      </c>
      <c r="G1" s="99"/>
      <c r="H1" s="100"/>
      <c r="I1" s="101"/>
      <c r="J1" s="102"/>
      <c r="K1" s="101"/>
      <c r="L1" s="100"/>
      <c r="M1" s="103"/>
      <c r="N1" s="100"/>
      <c r="O1" s="101"/>
      <c r="P1" s="100"/>
      <c r="Q1" s="101"/>
      <c r="R1" s="98"/>
      <c r="S1" s="104"/>
      <c r="T1" s="105" t="s">
        <v>98</v>
      </c>
      <c r="U1" s="106"/>
      <c r="V1" s="106"/>
      <c r="W1" s="106"/>
      <c r="X1" s="107"/>
      <c r="Y1" s="104"/>
      <c r="Z1" s="107"/>
      <c r="AA1" s="100"/>
      <c r="AB1" s="106"/>
      <c r="AC1" s="108" t="s">
        <v>24</v>
      </c>
      <c r="AD1" s="109"/>
      <c r="AE1" s="100"/>
      <c r="AF1" s="110" t="s">
        <v>23</v>
      </c>
      <c r="AG1" s="111"/>
      <c r="AH1" s="111"/>
      <c r="AI1" s="112"/>
      <c r="AJ1" s="112"/>
      <c r="AK1" s="112"/>
      <c r="AL1" s="112"/>
      <c r="AM1" s="98"/>
      <c r="AN1" s="113" t="s">
        <v>25</v>
      </c>
      <c r="AO1" s="114"/>
      <c r="AP1" s="100"/>
      <c r="AQ1" s="113" t="s">
        <v>26</v>
      </c>
      <c r="AR1" s="107"/>
      <c r="AS1" s="107"/>
      <c r="AT1" s="100"/>
      <c r="AU1" s="100"/>
      <c r="AV1" s="112"/>
      <c r="AW1" s="115" t="s">
        <v>99</v>
      </c>
      <c r="AX1" s="116"/>
      <c r="AY1" s="116"/>
      <c r="AZ1" s="116"/>
      <c r="BA1" s="117"/>
      <c r="BB1" s="117"/>
      <c r="BC1" s="117"/>
      <c r="BD1" s="109"/>
      <c r="BE1" s="109"/>
      <c r="BF1" s="109"/>
      <c r="BG1" s="109"/>
      <c r="BH1" s="109"/>
      <c r="BI1" s="109"/>
      <c r="BJ1" s="109"/>
      <c r="BK1" s="109"/>
      <c r="BL1" s="111"/>
      <c r="BM1" s="111"/>
      <c r="BN1" s="111"/>
      <c r="BO1" s="111"/>
      <c r="BP1" s="111"/>
      <c r="BQ1" s="111"/>
      <c r="BR1" s="111"/>
      <c r="BS1" s="110" t="s">
        <v>15</v>
      </c>
      <c r="BT1" s="98"/>
    </row>
    <row r="2" s="137" customFormat="true" ht="19" hidden="false" customHeight="false" outlineLevel="0" collapsed="false">
      <c r="A2" s="118"/>
      <c r="B2" s="118"/>
      <c r="C2" s="118"/>
      <c r="D2" s="118"/>
      <c r="E2" s="118"/>
      <c r="F2" s="119" t="s">
        <v>54</v>
      </c>
      <c r="G2" s="120"/>
      <c r="H2" s="119"/>
      <c r="I2" s="120"/>
      <c r="J2" s="121"/>
      <c r="K2" s="120"/>
      <c r="L2" s="119"/>
      <c r="M2" s="122"/>
      <c r="N2" s="119"/>
      <c r="O2" s="120"/>
      <c r="P2" s="119"/>
      <c r="Q2" s="120"/>
      <c r="R2" s="119"/>
      <c r="S2" s="122"/>
      <c r="T2" s="123" t="s">
        <v>54</v>
      </c>
      <c r="U2" s="124"/>
      <c r="V2" s="124"/>
      <c r="W2" s="124"/>
      <c r="X2" s="125" t="s">
        <v>100</v>
      </c>
      <c r="Y2" s="122"/>
      <c r="Z2" s="125"/>
      <c r="AA2" s="126" t="s">
        <v>55</v>
      </c>
      <c r="AB2" s="127"/>
      <c r="AC2" s="128" t="s">
        <v>55</v>
      </c>
      <c r="AD2" s="129"/>
      <c r="AE2" s="126"/>
      <c r="AF2" s="130" t="s">
        <v>100</v>
      </c>
      <c r="AG2" s="131"/>
      <c r="AH2" s="131"/>
      <c r="AI2" s="132"/>
      <c r="AJ2" s="132"/>
      <c r="AK2" s="132" t="s">
        <v>54</v>
      </c>
      <c r="AL2" s="132"/>
      <c r="AM2" s="119" t="s">
        <v>55</v>
      </c>
      <c r="AN2" s="133" t="s">
        <v>100</v>
      </c>
      <c r="AO2" s="134"/>
      <c r="AP2" s="126" t="s">
        <v>55</v>
      </c>
      <c r="AQ2" s="133" t="s">
        <v>100</v>
      </c>
      <c r="AR2" s="125"/>
      <c r="AS2" s="125"/>
      <c r="AT2" s="126" t="s">
        <v>55</v>
      </c>
      <c r="AU2" s="126"/>
      <c r="AV2" s="132" t="s">
        <v>54</v>
      </c>
      <c r="AW2" s="135" t="s">
        <v>100</v>
      </c>
      <c r="AX2" s="132"/>
      <c r="AY2" s="136"/>
      <c r="AZ2" s="136"/>
      <c r="BA2" s="125"/>
      <c r="BB2" s="125"/>
      <c r="BC2" s="125"/>
      <c r="BD2" s="129" t="s">
        <v>55</v>
      </c>
      <c r="BE2" s="129"/>
      <c r="BF2" s="129"/>
      <c r="BG2" s="129"/>
      <c r="BH2" s="129"/>
      <c r="BI2" s="129"/>
      <c r="BJ2" s="129"/>
      <c r="BK2" s="129"/>
      <c r="BL2" s="131" t="s">
        <v>101</v>
      </c>
      <c r="BM2" s="131"/>
      <c r="BN2" s="131"/>
      <c r="BO2" s="131"/>
      <c r="BP2" s="131"/>
      <c r="BQ2" s="131"/>
      <c r="BR2" s="131"/>
      <c r="BS2" s="130" t="s">
        <v>100</v>
      </c>
      <c r="BT2" s="119" t="s">
        <v>55</v>
      </c>
    </row>
    <row r="3" customFormat="false" ht="117" hidden="false" customHeight="true" outlineLevel="0" collapsed="false">
      <c r="A3" s="138"/>
      <c r="B3" s="138"/>
      <c r="C3" s="138"/>
      <c r="D3" s="138"/>
      <c r="E3" s="138"/>
      <c r="F3" s="139" t="s">
        <v>102</v>
      </c>
      <c r="G3" s="140" t="s">
        <v>103</v>
      </c>
      <c r="H3" s="141" t="s">
        <v>104</v>
      </c>
      <c r="I3" s="140" t="s">
        <v>105</v>
      </c>
      <c r="J3" s="142" t="s">
        <v>106</v>
      </c>
      <c r="K3" s="143" t="s">
        <v>107</v>
      </c>
      <c r="L3" s="141" t="s">
        <v>108</v>
      </c>
      <c r="M3" s="144" t="s">
        <v>109</v>
      </c>
      <c r="N3" s="141" t="s">
        <v>110</v>
      </c>
      <c r="O3" s="140" t="s">
        <v>111</v>
      </c>
      <c r="P3" s="141" t="s">
        <v>112</v>
      </c>
      <c r="Q3" s="140" t="s">
        <v>113</v>
      </c>
      <c r="R3" s="141" t="s">
        <v>114</v>
      </c>
      <c r="S3" s="144" t="s">
        <v>115</v>
      </c>
      <c r="T3" s="145" t="s">
        <v>116</v>
      </c>
      <c r="U3" s="146" t="s">
        <v>117</v>
      </c>
      <c r="V3" s="147" t="s">
        <v>118</v>
      </c>
      <c r="W3" s="147" t="s">
        <v>119</v>
      </c>
      <c r="X3" s="148" t="s">
        <v>120</v>
      </c>
      <c r="Y3" s="144" t="s">
        <v>121</v>
      </c>
      <c r="Z3" s="149" t="s">
        <v>122</v>
      </c>
      <c r="AA3" s="150" t="s">
        <v>123</v>
      </c>
      <c r="AB3" s="151" t="s">
        <v>124</v>
      </c>
      <c r="AC3" s="152" t="s">
        <v>125</v>
      </c>
      <c r="AD3" s="150" t="s">
        <v>126</v>
      </c>
      <c r="AE3" s="153" t="s">
        <v>127</v>
      </c>
      <c r="AF3" s="154" t="s">
        <v>128</v>
      </c>
      <c r="AG3" s="155" t="s">
        <v>129</v>
      </c>
      <c r="AH3" s="155" t="s">
        <v>130</v>
      </c>
      <c r="AI3" s="156" t="s">
        <v>131</v>
      </c>
      <c r="AJ3" s="156" t="s">
        <v>132</v>
      </c>
      <c r="AK3" s="156" t="s">
        <v>133</v>
      </c>
      <c r="AL3" s="156" t="s">
        <v>134</v>
      </c>
      <c r="AM3" s="150" t="s">
        <v>135</v>
      </c>
      <c r="AN3" s="157" t="s">
        <v>136</v>
      </c>
      <c r="AO3" s="158" t="s">
        <v>137</v>
      </c>
      <c r="AP3" s="153" t="s">
        <v>138</v>
      </c>
      <c r="AQ3" s="159" t="s">
        <v>139</v>
      </c>
      <c r="AR3" s="160" t="s">
        <v>140</v>
      </c>
      <c r="AS3" s="160" t="s">
        <v>141</v>
      </c>
      <c r="AT3" s="153" t="s">
        <v>138</v>
      </c>
      <c r="AU3" s="153" t="s">
        <v>142</v>
      </c>
      <c r="AV3" s="156" t="s">
        <v>143</v>
      </c>
      <c r="AW3" s="157" t="s">
        <v>144</v>
      </c>
      <c r="AX3" s="161" t="s">
        <v>145</v>
      </c>
      <c r="AY3" s="161" t="s">
        <v>146</v>
      </c>
      <c r="AZ3" s="161" t="s">
        <v>147</v>
      </c>
      <c r="BA3" s="160" t="s">
        <v>148</v>
      </c>
      <c r="BB3" s="162" t="s">
        <v>149</v>
      </c>
      <c r="BC3" s="160" t="s">
        <v>150</v>
      </c>
      <c r="BD3" s="153" t="s">
        <v>151</v>
      </c>
      <c r="BE3" s="163" t="s">
        <v>152</v>
      </c>
      <c r="BF3" s="163" t="s">
        <v>153</v>
      </c>
      <c r="BG3" s="163" t="s">
        <v>154</v>
      </c>
      <c r="BH3" s="163" t="s">
        <v>155</v>
      </c>
      <c r="BI3" s="163" t="s">
        <v>156</v>
      </c>
      <c r="BJ3" s="163" t="s">
        <v>157</v>
      </c>
      <c r="BK3" s="163" t="s">
        <v>158</v>
      </c>
      <c r="BL3" s="164" t="s">
        <v>159</v>
      </c>
      <c r="BM3" s="161" t="s">
        <v>160</v>
      </c>
      <c r="BN3" s="161" t="s">
        <v>161</v>
      </c>
      <c r="BO3" s="161" t="s">
        <v>162</v>
      </c>
      <c r="BP3" s="161" t="s">
        <v>163</v>
      </c>
      <c r="BQ3" s="161" t="s">
        <v>164</v>
      </c>
      <c r="BR3" s="161" t="s">
        <v>165</v>
      </c>
      <c r="BS3" s="154" t="s">
        <v>166</v>
      </c>
      <c r="BT3" s="153" t="s">
        <v>167</v>
      </c>
    </row>
    <row r="4" customFormat="false" ht="16" hidden="false" customHeight="false" outlineLevel="0" collapsed="false">
      <c r="A4" s="165"/>
      <c r="B4" s="165"/>
      <c r="C4" s="165"/>
      <c r="D4" s="165" t="s">
        <v>59</v>
      </c>
      <c r="E4" s="165"/>
      <c r="F4" s="166" t="n">
        <f aca="false">SUBTOTAL(109,F$15:INDEX(F:F,COUNTA($B:$B)+14-COUNTA($B$1:$B$14)))</f>
        <v>0</v>
      </c>
      <c r="G4" s="167"/>
      <c r="H4" s="166" t="n">
        <f aca="false">SUBTOTAL(109,H$15:INDEX(H:H,COUNTA($B:$B)+14-COUNTA($B$1:$B$14)))</f>
        <v>0</v>
      </c>
      <c r="I4" s="167"/>
      <c r="J4" s="168"/>
      <c r="K4" s="167"/>
      <c r="L4" s="166" t="n">
        <f aca="false">SUBTOTAL(109,L$15:INDEX(L:L,COUNTA($B:$B)+14-COUNTA($B$1:$B$14)))</f>
        <v>0</v>
      </c>
      <c r="M4" s="169" t="str">
        <f aca="false">IF(OR(SUM($H4)&lt;=0,SUM($L4)&lt;=0),"",SUM($L4)/SUM($H4))</f>
        <v/>
      </c>
      <c r="N4" s="166" t="n">
        <f aca="false">SUBTOTAL(109,N$15:INDEX(N:N,COUNTA($B:$B)+14-COUNTA($B$1:$B$14)))</f>
        <v>0</v>
      </c>
      <c r="O4" s="167"/>
      <c r="P4" s="166" t="n">
        <f aca="false">SUBTOTAL(109,P$15:INDEX(P:P,COUNTA($B:$B)+14-COUNTA($B$1:$B$14)))</f>
        <v>0</v>
      </c>
      <c r="Q4" s="167"/>
      <c r="R4" s="166" t="n">
        <f aca="false">SUBTOTAL(109,R$15:INDEX(R:R,COUNTA($B:$B)+14-COUNTA($B$1:$B$14)))</f>
        <v>0</v>
      </c>
      <c r="S4" s="169" t="str">
        <f aca="false">IF(OR(SUM($P4)&lt;=0,SUM($R4)&lt;=0),"",SUM($R4)/$P4)</f>
        <v/>
      </c>
      <c r="T4" s="170" t="n">
        <f aca="false">SUBTOTAL(109,T$15:INDEX(T:T,COUNTA($B:$B)+14-COUNTA($B$1:$B$14)))</f>
        <v>0</v>
      </c>
      <c r="U4" s="170" t="n">
        <f aca="false">SUBTOTAL(109,U$15:INDEX(U:U,COUNTA($B:$B)+14-COUNTA($B$1:$B$14)))</f>
        <v>0</v>
      </c>
      <c r="V4" s="170" t="n">
        <f aca="false">SUBTOTAL(109,V$15:INDEX(V:V,COUNTA($B:$B)+14-COUNTA($B$1:$B$14)))</f>
        <v>0</v>
      </c>
      <c r="W4" s="171"/>
      <c r="X4" s="172"/>
      <c r="Y4" s="169"/>
      <c r="Z4" s="172"/>
      <c r="AA4" s="170" t="n">
        <f aca="false">SUBTOTAL(109,AA$15:INDEX(AA:AA,COUNTA($B:$B)+14-COUNTA($B$1:$B$14)))</f>
        <v>0</v>
      </c>
      <c r="AB4" s="170" t="n">
        <f aca="false">SUBTOTAL(109,AB$15:INDEX(AB:AB,COUNTA($B:$B)+14-COUNTA($B$1:$B$14)))</f>
        <v>0</v>
      </c>
      <c r="AC4" s="173" t="n">
        <f aca="false">SUBTOTAL(109,AC$15:INDEX(AC:AC,COUNTA($B:$B)+14-COUNTA($B$1:$B$14)))</f>
        <v>0</v>
      </c>
      <c r="AD4" s="174" t="n">
        <f aca="false">SUBTOTAL(109,AD$15:INDEX(AD:AD,COUNTA($B:$B)+14-COUNTA($B$1:$B$14)))</f>
        <v>0</v>
      </c>
      <c r="AE4" s="175" t="n">
        <f aca="false">SUBTOTAL(109,AE$15:INDEX(AE:AE,COUNTA($B:$B)+14-COUNTA($B$1:$B$14)))</f>
        <v>0</v>
      </c>
      <c r="AF4" s="176"/>
      <c r="AG4" s="177"/>
      <c r="AH4" s="177"/>
      <c r="AI4" s="178" t="n">
        <f aca="false">SUBTOTAL(109,AI$15:INDEX(AI:AI,COUNTA($B:$B)+14-COUNTA($B$1:$B$14)))</f>
        <v>0</v>
      </c>
      <c r="AJ4" s="178" t="n">
        <f aca="false">SUBTOTAL(109,AJ$15:INDEX(AJ:AJ,COUNTA($B:$B)+14-COUNTA($B$1:$B$14)))</f>
        <v>0</v>
      </c>
      <c r="AK4" s="178" t="n">
        <f aca="false">SUBTOTAL(109,AK$15:INDEX(AK:AK,COUNTA($B:$B)+14-COUNTA($B$1:$B$14)))</f>
        <v>0</v>
      </c>
      <c r="AL4" s="178" t="n">
        <f aca="false">SUBTOTAL(109,AL$15:INDEX(AL:AL,COUNTA($B:$B)+14-COUNTA($B$1:$B$14)))</f>
        <v>0</v>
      </c>
      <c r="AM4" s="166" t="n">
        <f aca="false">SUBTOTAL(109,AM$15:INDEX(AM:AM,COUNTA($B:$B)+14-COUNTA($B$1:$B$14)))</f>
        <v>0</v>
      </c>
      <c r="AN4" s="179"/>
      <c r="AO4" s="180"/>
      <c r="AP4" s="175" t="n">
        <f aca="false">SUBTOTAL(109,AP$15:INDEX(AP:AP,COUNTA($B:$B)+14-COUNTA($B$1:$B$14)))</f>
        <v>0</v>
      </c>
      <c r="AQ4" s="179"/>
      <c r="AR4" s="172" t="str">
        <f aca="false">IF(SUM($AP$4)=0,"",$AT$4/$AP$4)</f>
        <v/>
      </c>
      <c r="AS4" s="172"/>
      <c r="AT4" s="175" t="n">
        <f aca="false">SUBTOTAL(109,AT$15:INDEX(AT:AT,COUNTA($B:$B)+14-COUNTA($B$1:$B$14)))</f>
        <v>0</v>
      </c>
      <c r="AU4" s="175" t="n">
        <f aca="false">SUBTOTAL(109,AU$15:INDEX(AU:AU,COUNTA($B:$B)+14-COUNTA($B$1:$B$14)))</f>
        <v>0</v>
      </c>
      <c r="AV4" s="178" t="n">
        <f aca="false">SUBTOTAL(109,AV$15:INDEX(AV:AV,COUNTA($B:$B)+14-COUNTA($B$1:$B$14)))</f>
        <v>0</v>
      </c>
      <c r="AW4" s="181"/>
      <c r="AX4" s="182" t="n">
        <f aca="false">SUBTOTAL(109,AX$15:INDEX(AX:AX,COUNTA($B:$B)+14-COUNTA($B$1:$B$14)))</f>
        <v>0</v>
      </c>
      <c r="AY4" s="182" t="n">
        <f aca="false">SUBTOTAL(109,AY$15:INDEX(AY:AY,COUNTA($B:$B)+14-COUNTA($B$1:$B$14)))</f>
        <v>0</v>
      </c>
      <c r="AZ4" s="182"/>
      <c r="BA4" s="172"/>
      <c r="BB4" s="172"/>
      <c r="BC4" s="172"/>
      <c r="BD4" s="174" t="n">
        <f aca="false">SUBTOTAL(109,BD$15:INDEX(BD:BD,COUNTA($B:$B)+14-COUNTA($B$1:$B$14)))</f>
        <v>0</v>
      </c>
      <c r="BE4" s="174" t="n">
        <f aca="false">SUBTOTAL(109,BE$15:INDEX(BE:BE,COUNTA($B:$B)+14-COUNTA($B$1:$B$14)))</f>
        <v>0</v>
      </c>
      <c r="BF4" s="166" t="n">
        <f aca="false">SUBTOTAL(109,BF$15:INDEX(BF:BF,COUNTA($B:$B)+14-COUNTA($B$1:$B$14)))</f>
        <v>0</v>
      </c>
      <c r="BG4" s="166" t="n">
        <f aca="false">SUBTOTAL(109,BG$15:INDEX(BG:BG,COUNTA($B:$B)+14-COUNTA($B$1:$B$14)))</f>
        <v>0</v>
      </c>
      <c r="BH4" s="175" t="n">
        <f aca="false">SUBTOTAL(109,BH$15:INDEX(BH:BH,COUNTA($B:$B)+14-COUNTA($B$1:$B$14)))</f>
        <v>0</v>
      </c>
      <c r="BI4" s="175" t="n">
        <f aca="false">SUBTOTAL(109,BI$15:INDEX(BI:BI,COUNTA($B:$B)+14-COUNTA($B$1:$B$14)))</f>
        <v>0</v>
      </c>
      <c r="BJ4" s="175" t="n">
        <f aca="false">SUBTOTAL(109,BJ$15:INDEX(BJ:BJ,COUNTA($B:$B)+14-COUNTA($B$1:$B$14)))</f>
        <v>0</v>
      </c>
      <c r="BK4" s="174" t="n">
        <f aca="false">SUBTOTAL(109,BK$15:INDEX(BK:BK,COUNTA($B:$B)+14-COUNTA($B$1:$B$14)))</f>
        <v>0</v>
      </c>
      <c r="BL4" s="177"/>
      <c r="BM4" s="177"/>
      <c r="BN4" s="177"/>
      <c r="BO4" s="177"/>
      <c r="BP4" s="177"/>
      <c r="BQ4" s="177"/>
      <c r="BR4" s="177"/>
      <c r="BS4" s="176"/>
      <c r="BT4" s="174" t="n">
        <f aca="false">SUBTOTAL(109,BT$15:INDEX(BT:BT,COUNTA($B:$B)+14-COUNTA($B$1:$B$14)))</f>
        <v>0</v>
      </c>
    </row>
    <row r="5" customFormat="false" ht="16" hidden="false" customHeight="false" outlineLevel="0" collapsed="false">
      <c r="A5" s="81" t="s">
        <v>60</v>
      </c>
      <c r="B5" s="81" t="s">
        <v>60</v>
      </c>
      <c r="C5" s="81" t="s">
        <v>60</v>
      </c>
      <c r="D5" s="81" t="s">
        <v>60</v>
      </c>
      <c r="E5" s="81" t="s">
        <v>60</v>
      </c>
      <c r="F5" s="79" t="s">
        <v>61</v>
      </c>
      <c r="G5" s="82" t="s">
        <v>60</v>
      </c>
      <c r="H5" s="79" t="s">
        <v>61</v>
      </c>
      <c r="I5" s="82" t="s">
        <v>60</v>
      </c>
      <c r="J5" s="83" t="s">
        <v>61</v>
      </c>
      <c r="K5" s="82" t="s">
        <v>60</v>
      </c>
      <c r="L5" s="79" t="s">
        <v>168</v>
      </c>
      <c r="M5" s="84" t="s">
        <v>60</v>
      </c>
      <c r="N5" s="79" t="s">
        <v>168</v>
      </c>
      <c r="O5" s="82" t="s">
        <v>60</v>
      </c>
      <c r="P5" s="79" t="s">
        <v>168</v>
      </c>
      <c r="Q5" s="82" t="s">
        <v>60</v>
      </c>
      <c r="R5" s="79" t="s">
        <v>168</v>
      </c>
      <c r="S5" s="84" t="s">
        <v>60</v>
      </c>
      <c r="T5" s="85" t="s">
        <v>169</v>
      </c>
      <c r="U5" s="86" t="s">
        <v>169</v>
      </c>
      <c r="V5" s="86" t="s">
        <v>60</v>
      </c>
      <c r="W5" s="86" t="s">
        <v>60</v>
      </c>
      <c r="X5" s="87" t="s">
        <v>60</v>
      </c>
      <c r="Y5" s="84" t="s">
        <v>60</v>
      </c>
      <c r="Z5" s="87" t="s">
        <v>60</v>
      </c>
      <c r="AA5" s="79" t="s">
        <v>168</v>
      </c>
      <c r="AB5" s="88" t="s">
        <v>60</v>
      </c>
      <c r="AC5" s="183" t="s">
        <v>60</v>
      </c>
      <c r="AD5" s="184" t="s">
        <v>60</v>
      </c>
      <c r="AE5" s="79" t="s">
        <v>169</v>
      </c>
      <c r="AF5" s="91" t="s">
        <v>60</v>
      </c>
      <c r="AG5" s="92" t="s">
        <v>60</v>
      </c>
      <c r="AH5" s="92" t="s">
        <v>60</v>
      </c>
      <c r="AI5" s="93" t="s">
        <v>60</v>
      </c>
      <c r="AJ5" s="93" t="s">
        <v>60</v>
      </c>
      <c r="AK5" s="93" t="s">
        <v>169</v>
      </c>
      <c r="AL5" s="93" t="s">
        <v>169</v>
      </c>
      <c r="AM5" s="94" t="s">
        <v>169</v>
      </c>
      <c r="AN5" s="95" t="s">
        <v>60</v>
      </c>
      <c r="AO5" s="84" t="s">
        <v>60</v>
      </c>
      <c r="AP5" s="79" t="s">
        <v>169</v>
      </c>
      <c r="AQ5" s="95" t="s">
        <v>60</v>
      </c>
      <c r="AR5" s="87" t="s">
        <v>60</v>
      </c>
      <c r="AS5" s="87" t="s">
        <v>60</v>
      </c>
      <c r="AT5" s="79" t="s">
        <v>169</v>
      </c>
      <c r="AU5" s="79" t="s">
        <v>168</v>
      </c>
      <c r="AV5" s="93" t="s">
        <v>60</v>
      </c>
      <c r="AW5" s="96" t="s">
        <v>60</v>
      </c>
      <c r="AX5" s="78" t="s">
        <v>60</v>
      </c>
      <c r="AY5" s="78" t="s">
        <v>60</v>
      </c>
      <c r="AZ5" s="78" t="s">
        <v>60</v>
      </c>
      <c r="BA5" s="87" t="s">
        <v>60</v>
      </c>
      <c r="BB5" s="87" t="s">
        <v>60</v>
      </c>
      <c r="BC5" s="87" t="s">
        <v>60</v>
      </c>
      <c r="BD5" s="90" t="s">
        <v>60</v>
      </c>
      <c r="BE5" s="79" t="s">
        <v>60</v>
      </c>
      <c r="BF5" s="79" t="s">
        <v>60</v>
      </c>
      <c r="BG5" s="79" t="s">
        <v>60</v>
      </c>
      <c r="BH5" s="79" t="s">
        <v>60</v>
      </c>
      <c r="BI5" s="79" t="s">
        <v>60</v>
      </c>
      <c r="BJ5" s="79" t="s">
        <v>60</v>
      </c>
      <c r="BK5" s="79" t="s">
        <v>60</v>
      </c>
      <c r="BL5" s="92" t="s">
        <v>60</v>
      </c>
      <c r="BM5" s="92" t="s">
        <v>60</v>
      </c>
      <c r="BN5" s="92" t="s">
        <v>60</v>
      </c>
      <c r="BO5" s="92" t="s">
        <v>60</v>
      </c>
      <c r="BP5" s="92" t="s">
        <v>60</v>
      </c>
      <c r="BQ5" s="92" t="s">
        <v>60</v>
      </c>
      <c r="BR5" s="92" t="s">
        <v>60</v>
      </c>
      <c r="BS5" s="91" t="s">
        <v>60</v>
      </c>
      <c r="BT5" s="94" t="s">
        <v>168</v>
      </c>
    </row>
    <row r="6" customFormat="false" ht="16" hidden="false" customHeight="false" outlineLevel="0" collapsed="false">
      <c r="A6" s="81" t="s">
        <v>62</v>
      </c>
      <c r="B6" s="81" t="s">
        <v>62</v>
      </c>
      <c r="C6" s="81" t="s">
        <v>62</v>
      </c>
      <c r="D6" s="81" t="s">
        <v>62</v>
      </c>
      <c r="E6" s="81" t="s">
        <v>62</v>
      </c>
      <c r="F6" s="79" t="s">
        <v>64</v>
      </c>
      <c r="G6" s="82" t="s">
        <v>65</v>
      </c>
      <c r="H6" s="79" t="s">
        <v>64</v>
      </c>
      <c r="I6" s="82" t="s">
        <v>65</v>
      </c>
      <c r="J6" s="83" t="s">
        <v>64</v>
      </c>
      <c r="K6" s="82" t="s">
        <v>65</v>
      </c>
      <c r="L6" s="79" t="s">
        <v>64</v>
      </c>
      <c r="M6" s="84" t="s">
        <v>65</v>
      </c>
      <c r="N6" s="79" t="s">
        <v>170</v>
      </c>
      <c r="O6" s="82" t="s">
        <v>65</v>
      </c>
      <c r="P6" s="79" t="s">
        <v>64</v>
      </c>
      <c r="Q6" s="82" t="s">
        <v>65</v>
      </c>
      <c r="R6" s="79" t="s">
        <v>64</v>
      </c>
      <c r="S6" s="84" t="s">
        <v>65</v>
      </c>
      <c r="T6" s="85" t="s">
        <v>63</v>
      </c>
      <c r="U6" s="86" t="s">
        <v>63</v>
      </c>
      <c r="V6" s="86" t="s">
        <v>65</v>
      </c>
      <c r="W6" s="86" t="s">
        <v>65</v>
      </c>
      <c r="X6" s="87" t="s">
        <v>171</v>
      </c>
      <c r="Y6" s="84" t="s">
        <v>65</v>
      </c>
      <c r="Z6" s="87" t="s">
        <v>171</v>
      </c>
      <c r="AA6" s="79" t="s">
        <v>64</v>
      </c>
      <c r="AB6" s="88" t="s">
        <v>65</v>
      </c>
      <c r="AC6" s="183" t="s">
        <v>65</v>
      </c>
      <c r="AD6" s="184" t="s">
        <v>65</v>
      </c>
      <c r="AE6" s="79" t="s">
        <v>64</v>
      </c>
      <c r="AF6" s="91" t="s">
        <v>171</v>
      </c>
      <c r="AG6" s="92" t="s">
        <v>171</v>
      </c>
      <c r="AH6" s="92" t="s">
        <v>171</v>
      </c>
      <c r="AI6" s="93" t="s">
        <v>65</v>
      </c>
      <c r="AJ6" s="93" t="s">
        <v>65</v>
      </c>
      <c r="AK6" s="93" t="s">
        <v>63</v>
      </c>
      <c r="AL6" s="93" t="s">
        <v>63</v>
      </c>
      <c r="AM6" s="94" t="s">
        <v>64</v>
      </c>
      <c r="AN6" s="95" t="s">
        <v>171</v>
      </c>
      <c r="AO6" s="84" t="s">
        <v>171</v>
      </c>
      <c r="AP6" s="79" t="s">
        <v>64</v>
      </c>
      <c r="AQ6" s="95" t="s">
        <v>172</v>
      </c>
      <c r="AR6" s="87" t="s">
        <v>171</v>
      </c>
      <c r="AS6" s="87" t="s">
        <v>171</v>
      </c>
      <c r="AT6" s="79" t="s">
        <v>64</v>
      </c>
      <c r="AU6" s="79" t="s">
        <v>64</v>
      </c>
      <c r="AV6" s="93" t="s">
        <v>65</v>
      </c>
      <c r="AW6" s="96" t="s">
        <v>171</v>
      </c>
      <c r="AX6" s="78" t="s">
        <v>65</v>
      </c>
      <c r="AY6" s="78" t="s">
        <v>65</v>
      </c>
      <c r="AZ6" s="78" t="s">
        <v>172</v>
      </c>
      <c r="BA6" s="87" t="s">
        <v>171</v>
      </c>
      <c r="BB6" s="87" t="s">
        <v>171</v>
      </c>
      <c r="BC6" s="87" t="s">
        <v>171</v>
      </c>
      <c r="BD6" s="90" t="s">
        <v>65</v>
      </c>
      <c r="BE6" s="79" t="s">
        <v>65</v>
      </c>
      <c r="BF6" s="79" t="s">
        <v>65</v>
      </c>
      <c r="BG6" s="79" t="s">
        <v>65</v>
      </c>
      <c r="BH6" s="79" t="s">
        <v>65</v>
      </c>
      <c r="BI6" s="79" t="s">
        <v>65</v>
      </c>
      <c r="BJ6" s="79" t="s">
        <v>65</v>
      </c>
      <c r="BK6" s="79" t="s">
        <v>65</v>
      </c>
      <c r="BL6" s="92" t="s">
        <v>65</v>
      </c>
      <c r="BM6" s="92" t="s">
        <v>65</v>
      </c>
      <c r="BN6" s="92" t="s">
        <v>65</v>
      </c>
      <c r="BO6" s="92" t="s">
        <v>65</v>
      </c>
      <c r="BP6" s="92" t="s">
        <v>65</v>
      </c>
      <c r="BQ6" s="92" t="s">
        <v>65</v>
      </c>
      <c r="BR6" s="92" t="s">
        <v>65</v>
      </c>
      <c r="BS6" s="91" t="s">
        <v>171</v>
      </c>
      <c r="BT6" s="94" t="s">
        <v>64</v>
      </c>
    </row>
    <row r="7" customFormat="false" ht="16" hidden="false" customHeight="false" outlineLevel="0" collapsed="false">
      <c r="A7" s="81" t="s">
        <v>66</v>
      </c>
      <c r="B7" s="81" t="s">
        <v>66</v>
      </c>
      <c r="C7" s="81" t="s">
        <v>66</v>
      </c>
      <c r="D7" s="81" t="s">
        <v>66</v>
      </c>
      <c r="E7" s="81" t="s">
        <v>66</v>
      </c>
      <c r="F7" s="79" t="s">
        <v>67</v>
      </c>
      <c r="G7" s="82" t="s">
        <v>173</v>
      </c>
      <c r="H7" s="79" t="s">
        <v>67</v>
      </c>
      <c r="I7" s="82" t="s">
        <v>173</v>
      </c>
      <c r="J7" s="83" t="s">
        <v>173</v>
      </c>
      <c r="K7" s="82" t="s">
        <v>173</v>
      </c>
      <c r="L7" s="79" t="s">
        <v>67</v>
      </c>
      <c r="M7" s="84" t="s">
        <v>173</v>
      </c>
      <c r="N7" s="79" t="s">
        <v>67</v>
      </c>
      <c r="O7" s="82" t="s">
        <v>173</v>
      </c>
      <c r="P7" s="79" t="s">
        <v>67</v>
      </c>
      <c r="Q7" s="82" t="s">
        <v>173</v>
      </c>
      <c r="R7" s="79" t="s">
        <v>67</v>
      </c>
      <c r="S7" s="84" t="s">
        <v>173</v>
      </c>
      <c r="T7" s="85" t="s">
        <v>67</v>
      </c>
      <c r="U7" s="86" t="s">
        <v>67</v>
      </c>
      <c r="V7" s="86" t="s">
        <v>67</v>
      </c>
      <c r="W7" s="86" t="s">
        <v>173</v>
      </c>
      <c r="X7" s="87" t="s">
        <v>173</v>
      </c>
      <c r="Y7" s="84" t="s">
        <v>173</v>
      </c>
      <c r="Z7" s="87" t="s">
        <v>173</v>
      </c>
      <c r="AA7" s="79" t="s">
        <v>67</v>
      </c>
      <c r="AB7" s="88" t="s">
        <v>67</v>
      </c>
      <c r="AC7" s="183" t="s">
        <v>67</v>
      </c>
      <c r="AD7" s="184" t="s">
        <v>67</v>
      </c>
      <c r="AE7" s="79" t="s">
        <v>67</v>
      </c>
      <c r="AF7" s="91" t="s">
        <v>173</v>
      </c>
      <c r="AG7" s="92" t="s">
        <v>173</v>
      </c>
      <c r="AH7" s="92" t="s">
        <v>173</v>
      </c>
      <c r="AI7" s="93" t="s">
        <v>67</v>
      </c>
      <c r="AJ7" s="93" t="s">
        <v>67</v>
      </c>
      <c r="AK7" s="93" t="s">
        <v>67</v>
      </c>
      <c r="AL7" s="93" t="s">
        <v>67</v>
      </c>
      <c r="AM7" s="94" t="s">
        <v>67</v>
      </c>
      <c r="AN7" s="95" t="s">
        <v>173</v>
      </c>
      <c r="AO7" s="84" t="s">
        <v>173</v>
      </c>
      <c r="AP7" s="79" t="s">
        <v>67</v>
      </c>
      <c r="AQ7" s="95" t="s">
        <v>173</v>
      </c>
      <c r="AR7" s="87" t="s">
        <v>173</v>
      </c>
      <c r="AS7" s="87" t="s">
        <v>173</v>
      </c>
      <c r="AT7" s="79" t="s">
        <v>67</v>
      </c>
      <c r="AU7" s="79" t="s">
        <v>67</v>
      </c>
      <c r="AV7" s="93" t="s">
        <v>67</v>
      </c>
      <c r="AW7" s="96" t="s">
        <v>173</v>
      </c>
      <c r="AX7" s="78" t="s">
        <v>67</v>
      </c>
      <c r="AY7" s="78" t="s">
        <v>67</v>
      </c>
      <c r="AZ7" s="78" t="s">
        <v>173</v>
      </c>
      <c r="BA7" s="87" t="s">
        <v>173</v>
      </c>
      <c r="BB7" s="87" t="s">
        <v>173</v>
      </c>
      <c r="BC7" s="87" t="s">
        <v>173</v>
      </c>
      <c r="BD7" s="90" t="s">
        <v>67</v>
      </c>
      <c r="BE7" s="79" t="s">
        <v>67</v>
      </c>
      <c r="BF7" s="79" t="s">
        <v>67</v>
      </c>
      <c r="BG7" s="79" t="s">
        <v>67</v>
      </c>
      <c r="BH7" s="79" t="s">
        <v>67</v>
      </c>
      <c r="BI7" s="79" t="s">
        <v>67</v>
      </c>
      <c r="BJ7" s="79" t="s">
        <v>67</v>
      </c>
      <c r="BK7" s="79" t="s">
        <v>67</v>
      </c>
      <c r="BL7" s="92" t="s">
        <v>173</v>
      </c>
      <c r="BM7" s="92" t="s">
        <v>173</v>
      </c>
      <c r="BN7" s="92" t="s">
        <v>173</v>
      </c>
      <c r="BO7" s="92" t="s">
        <v>173</v>
      </c>
      <c r="BP7" s="92" t="s">
        <v>173</v>
      </c>
      <c r="BQ7" s="92" t="s">
        <v>173</v>
      </c>
      <c r="BR7" s="92" t="s">
        <v>173</v>
      </c>
      <c r="BS7" s="91" t="s">
        <v>173</v>
      </c>
      <c r="BT7" s="94" t="s">
        <v>67</v>
      </c>
    </row>
    <row r="8" customFormat="false" ht="16" hidden="false" customHeight="false" outlineLevel="0" collapsed="false">
      <c r="F8" s="79" t="s">
        <v>174</v>
      </c>
      <c r="H8" s="79" t="s">
        <v>175</v>
      </c>
      <c r="J8" s="83" t="s">
        <v>176</v>
      </c>
      <c r="L8" s="79" t="s">
        <v>177</v>
      </c>
      <c r="N8" s="79" t="s">
        <v>178</v>
      </c>
      <c r="P8" s="79" t="s">
        <v>179</v>
      </c>
      <c r="R8" s="79" t="s">
        <v>180</v>
      </c>
      <c r="T8" s="85" t="s">
        <v>181</v>
      </c>
      <c r="U8" s="86" t="s">
        <v>182</v>
      </c>
      <c r="AA8" s="185" t="s">
        <v>179</v>
      </c>
      <c r="AE8" s="79" t="s">
        <v>182</v>
      </c>
      <c r="AK8" s="93" t="s">
        <v>183</v>
      </c>
      <c r="AL8" s="93" t="s">
        <v>184</v>
      </c>
      <c r="AM8" s="94" t="s">
        <v>184</v>
      </c>
      <c r="AP8" s="79" t="s">
        <v>185</v>
      </c>
      <c r="AT8" s="79" t="s">
        <v>186</v>
      </c>
      <c r="AU8" s="79" t="s">
        <v>180</v>
      </c>
      <c r="BF8" s="79"/>
      <c r="BH8" s="79"/>
      <c r="BI8" s="79"/>
      <c r="BJ8" s="79"/>
      <c r="BT8" s="94" t="s">
        <v>177</v>
      </c>
    </row>
    <row r="9" customFormat="false" ht="16" hidden="false" customHeight="false" outlineLevel="0" collapsed="false">
      <c r="T9" s="85" t="s">
        <v>187</v>
      </c>
      <c r="U9" s="86" t="s">
        <v>188</v>
      </c>
      <c r="AA9" s="185"/>
      <c r="AE9" s="79" t="s">
        <v>188</v>
      </c>
      <c r="AK9" s="93" t="s">
        <v>189</v>
      </c>
      <c r="AL9" s="93" t="s">
        <v>190</v>
      </c>
      <c r="AM9" s="94" t="s">
        <v>190</v>
      </c>
      <c r="AP9" s="79" t="s">
        <v>191</v>
      </c>
      <c r="AT9" s="79" t="s">
        <v>192</v>
      </c>
      <c r="BF9" s="79"/>
      <c r="BH9" s="79"/>
      <c r="BI9" s="79"/>
      <c r="BJ9" s="79"/>
    </row>
    <row r="10" customFormat="false" ht="16" hidden="false" customHeight="false" outlineLevel="0" collapsed="false">
      <c r="H10" s="79" t="s">
        <v>193</v>
      </c>
      <c r="L10" s="79" t="s">
        <v>193</v>
      </c>
      <c r="N10" s="79" t="s">
        <v>193</v>
      </c>
      <c r="P10" s="79" t="s">
        <v>193</v>
      </c>
      <c r="R10" s="79" t="s">
        <v>193</v>
      </c>
      <c r="T10" s="85" t="s">
        <v>193</v>
      </c>
      <c r="U10" s="86" t="s">
        <v>193</v>
      </c>
      <c r="AA10" s="185" t="s">
        <v>193</v>
      </c>
      <c r="AE10" s="79" t="s">
        <v>193</v>
      </c>
      <c r="AK10" s="93" t="s">
        <v>193</v>
      </c>
      <c r="AL10" s="93" t="s">
        <v>193</v>
      </c>
      <c r="AM10" s="94" t="s">
        <v>193</v>
      </c>
      <c r="AP10" s="79" t="s">
        <v>194</v>
      </c>
      <c r="AT10" s="79" t="s">
        <v>194</v>
      </c>
      <c r="AU10" s="79" t="s">
        <v>193</v>
      </c>
      <c r="BF10" s="79"/>
      <c r="BH10" s="79"/>
      <c r="BI10" s="79"/>
      <c r="BJ10" s="79"/>
      <c r="BT10" s="94" t="s">
        <v>193</v>
      </c>
    </row>
    <row r="11" customFormat="false" ht="16" hidden="false" customHeight="false" outlineLevel="0" collapsed="false">
      <c r="F11" s="79" t="s">
        <v>195</v>
      </c>
      <c r="G11" s="82" t="s">
        <v>195</v>
      </c>
      <c r="H11" s="79" t="s">
        <v>195</v>
      </c>
      <c r="I11" s="82" t="s">
        <v>195</v>
      </c>
      <c r="J11" s="83" t="s">
        <v>195</v>
      </c>
      <c r="K11" s="82" t="s">
        <v>195</v>
      </c>
      <c r="L11" s="79" t="s">
        <v>195</v>
      </c>
      <c r="M11" s="84" t="s">
        <v>195</v>
      </c>
      <c r="N11" s="79" t="s">
        <v>195</v>
      </c>
      <c r="O11" s="82" t="s">
        <v>195</v>
      </c>
      <c r="P11" s="79" t="s">
        <v>195</v>
      </c>
      <c r="Q11" s="82" t="s">
        <v>195</v>
      </c>
      <c r="R11" s="79" t="s">
        <v>195</v>
      </c>
      <c r="S11" s="84" t="s">
        <v>195</v>
      </c>
      <c r="T11" s="85" t="s">
        <v>195</v>
      </c>
      <c r="U11" s="86" t="s">
        <v>195</v>
      </c>
      <c r="V11" s="86" t="s">
        <v>195</v>
      </c>
      <c r="W11" s="86" t="s">
        <v>195</v>
      </c>
      <c r="X11" s="87" t="s">
        <v>195</v>
      </c>
      <c r="Y11" s="84" t="s">
        <v>195</v>
      </c>
      <c r="Z11" s="87" t="s">
        <v>195</v>
      </c>
      <c r="AA11" s="79" t="s">
        <v>195</v>
      </c>
      <c r="AB11" s="88" t="s">
        <v>195</v>
      </c>
      <c r="AC11" s="89" t="s">
        <v>196</v>
      </c>
      <c r="AD11" s="90" t="s">
        <v>195</v>
      </c>
      <c r="AE11" s="79" t="s">
        <v>195</v>
      </c>
      <c r="AF11" s="91" t="s">
        <v>197</v>
      </c>
      <c r="AG11" s="92" t="s">
        <v>195</v>
      </c>
      <c r="AH11" s="92" t="s">
        <v>195</v>
      </c>
      <c r="AI11" s="93" t="s">
        <v>195</v>
      </c>
      <c r="AJ11" s="93" t="s">
        <v>195</v>
      </c>
      <c r="AK11" s="93" t="s">
        <v>195</v>
      </c>
      <c r="AL11" s="93" t="s">
        <v>195</v>
      </c>
      <c r="AM11" s="94" t="s">
        <v>195</v>
      </c>
      <c r="AN11" s="95" t="s">
        <v>195</v>
      </c>
      <c r="AO11" s="84" t="s">
        <v>195</v>
      </c>
      <c r="AP11" s="79" t="s">
        <v>195</v>
      </c>
      <c r="AQ11" s="95" t="s">
        <v>195</v>
      </c>
      <c r="AR11" s="87" t="s">
        <v>195</v>
      </c>
      <c r="AS11" s="87" t="s">
        <v>195</v>
      </c>
      <c r="AT11" s="79" t="s">
        <v>195</v>
      </c>
      <c r="AU11" s="79" t="s">
        <v>195</v>
      </c>
      <c r="AV11" s="93" t="s">
        <v>195</v>
      </c>
      <c r="AW11" s="96" t="s">
        <v>195</v>
      </c>
      <c r="AX11" s="78" t="s">
        <v>195</v>
      </c>
      <c r="AY11" s="78" t="s">
        <v>195</v>
      </c>
      <c r="AZ11" s="78" t="s">
        <v>195</v>
      </c>
      <c r="BA11" s="87" t="s">
        <v>195</v>
      </c>
      <c r="BB11" s="87" t="s">
        <v>197</v>
      </c>
      <c r="BC11" s="87" t="s">
        <v>197</v>
      </c>
      <c r="BD11" s="90" t="s">
        <v>195</v>
      </c>
      <c r="BE11" s="90" t="s">
        <v>197</v>
      </c>
      <c r="BF11" s="79" t="s">
        <v>198</v>
      </c>
      <c r="BG11" s="90" t="s">
        <v>198</v>
      </c>
      <c r="BH11" s="79" t="s">
        <v>197</v>
      </c>
      <c r="BI11" s="79" t="s">
        <v>199</v>
      </c>
      <c r="BJ11" s="79" t="s">
        <v>196</v>
      </c>
      <c r="BK11" s="90" t="s">
        <v>195</v>
      </c>
      <c r="BL11" s="92" t="s">
        <v>197</v>
      </c>
      <c r="BM11" s="92" t="s">
        <v>198</v>
      </c>
      <c r="BN11" s="92" t="s">
        <v>198</v>
      </c>
      <c r="BO11" s="92" t="s">
        <v>197</v>
      </c>
      <c r="BP11" s="92" t="s">
        <v>199</v>
      </c>
      <c r="BQ11" s="92" t="s">
        <v>196</v>
      </c>
      <c r="BR11" s="92" t="s">
        <v>197</v>
      </c>
      <c r="BS11" s="91" t="s">
        <v>195</v>
      </c>
      <c r="BT11" s="94" t="s">
        <v>195</v>
      </c>
    </row>
    <row r="12" customFormat="false" ht="16" hidden="false" customHeight="false" outlineLevel="0" collapsed="false">
      <c r="F12" s="79" t="s">
        <v>200</v>
      </c>
      <c r="G12" s="82" t="s">
        <v>200</v>
      </c>
      <c r="H12" s="79" t="s">
        <v>200</v>
      </c>
      <c r="I12" s="82" t="s">
        <v>200</v>
      </c>
      <c r="J12" s="83" t="s">
        <v>200</v>
      </c>
      <c r="K12" s="82" t="s">
        <v>200</v>
      </c>
      <c r="L12" s="79" t="s">
        <v>200</v>
      </c>
      <c r="M12" s="84" t="s">
        <v>200</v>
      </c>
      <c r="N12" s="79" t="s">
        <v>200</v>
      </c>
      <c r="O12" s="82" t="s">
        <v>200</v>
      </c>
      <c r="P12" s="79" t="s">
        <v>200</v>
      </c>
      <c r="Q12" s="82" t="s">
        <v>200</v>
      </c>
      <c r="R12" s="79" t="s">
        <v>200</v>
      </c>
      <c r="S12" s="84" t="s">
        <v>200</v>
      </c>
      <c r="T12" s="85" t="s">
        <v>200</v>
      </c>
      <c r="U12" s="86" t="s">
        <v>200</v>
      </c>
      <c r="V12" s="86" t="s">
        <v>200</v>
      </c>
      <c r="W12" s="86" t="s">
        <v>200</v>
      </c>
      <c r="X12" s="87" t="s">
        <v>200</v>
      </c>
      <c r="Y12" s="84" t="s">
        <v>200</v>
      </c>
      <c r="Z12" s="87" t="s">
        <v>200</v>
      </c>
      <c r="AA12" s="79" t="s">
        <v>200</v>
      </c>
      <c r="AB12" s="88" t="s">
        <v>200</v>
      </c>
      <c r="AC12" s="89" t="s">
        <v>200</v>
      </c>
      <c r="AD12" s="90" t="s">
        <v>200</v>
      </c>
      <c r="AE12" s="79" t="s">
        <v>200</v>
      </c>
      <c r="AF12" s="91" t="s">
        <v>200</v>
      </c>
      <c r="AG12" s="92" t="s">
        <v>200</v>
      </c>
      <c r="AH12" s="92" t="s">
        <v>200</v>
      </c>
      <c r="AI12" s="93" t="s">
        <v>200</v>
      </c>
      <c r="AJ12" s="93" t="s">
        <v>200</v>
      </c>
      <c r="AK12" s="93" t="s">
        <v>200</v>
      </c>
      <c r="AL12" s="93" t="s">
        <v>200</v>
      </c>
      <c r="AM12" s="94" t="s">
        <v>200</v>
      </c>
      <c r="AN12" s="95" t="s">
        <v>200</v>
      </c>
      <c r="AO12" s="84" t="s">
        <v>200</v>
      </c>
      <c r="AP12" s="79" t="s">
        <v>200</v>
      </c>
      <c r="AQ12" s="95" t="s">
        <v>200</v>
      </c>
      <c r="AR12" s="87" t="s">
        <v>200</v>
      </c>
      <c r="AS12" s="87" t="s">
        <v>200</v>
      </c>
      <c r="AT12" s="79" t="s">
        <v>200</v>
      </c>
      <c r="AU12" s="79" t="s">
        <v>200</v>
      </c>
      <c r="AV12" s="93" t="s">
        <v>200</v>
      </c>
      <c r="AW12" s="96" t="s">
        <v>200</v>
      </c>
      <c r="AX12" s="78" t="s">
        <v>200</v>
      </c>
      <c r="AY12" s="78" t="s">
        <v>200</v>
      </c>
      <c r="AZ12" s="78" t="s">
        <v>200</v>
      </c>
      <c r="BA12" s="87" t="s">
        <v>200</v>
      </c>
      <c r="BB12" s="87" t="s">
        <v>200</v>
      </c>
      <c r="BC12" s="87" t="s">
        <v>200</v>
      </c>
      <c r="BD12" s="90" t="s">
        <v>200</v>
      </c>
      <c r="BE12" s="90" t="s">
        <v>200</v>
      </c>
      <c r="BF12" s="79" t="s">
        <v>201</v>
      </c>
      <c r="BG12" s="90" t="s">
        <v>201</v>
      </c>
      <c r="BH12" s="79" t="s">
        <v>200</v>
      </c>
      <c r="BI12" s="79" t="s">
        <v>202</v>
      </c>
      <c r="BJ12" s="79" t="s">
        <v>200</v>
      </c>
      <c r="BK12" s="90" t="s">
        <v>200</v>
      </c>
      <c r="BL12" s="92" t="s">
        <v>200</v>
      </c>
      <c r="BM12" s="92" t="s">
        <v>201</v>
      </c>
      <c r="BN12" s="92" t="s">
        <v>201</v>
      </c>
      <c r="BO12" s="92" t="s">
        <v>200</v>
      </c>
      <c r="BP12" s="92" t="s">
        <v>202</v>
      </c>
      <c r="BQ12" s="92" t="s">
        <v>200</v>
      </c>
      <c r="BR12" s="92" t="s">
        <v>200</v>
      </c>
      <c r="BS12" s="91" t="s">
        <v>200</v>
      </c>
      <c r="BT12" s="94" t="s">
        <v>200</v>
      </c>
    </row>
    <row r="13" customFormat="false" ht="16" hidden="false" customHeight="false" outlineLevel="0" collapsed="false">
      <c r="BF13" s="79"/>
      <c r="BH13" s="79"/>
      <c r="BI13" s="79"/>
      <c r="BJ13" s="79"/>
    </row>
    <row r="14" s="80" customFormat="true" ht="16" hidden="false" customHeight="false" outlineLevel="0" collapsed="false">
      <c r="A14" s="186" t="s">
        <v>69</v>
      </c>
      <c r="B14" s="186" t="s">
        <v>70</v>
      </c>
      <c r="C14" s="75" t="s">
        <v>203</v>
      </c>
      <c r="D14" s="75" t="s">
        <v>204</v>
      </c>
      <c r="E14" s="75" t="s">
        <v>40</v>
      </c>
      <c r="F14" s="187" t="s">
        <v>205</v>
      </c>
      <c r="G14" s="188" t="s">
        <v>206</v>
      </c>
      <c r="H14" s="187" t="s">
        <v>207</v>
      </c>
      <c r="I14" s="188" t="s">
        <v>208</v>
      </c>
      <c r="J14" s="189" t="s">
        <v>209</v>
      </c>
      <c r="K14" s="188" t="s">
        <v>210</v>
      </c>
      <c r="L14" s="187" t="s">
        <v>211</v>
      </c>
      <c r="M14" s="190" t="s">
        <v>212</v>
      </c>
      <c r="N14" s="187" t="s">
        <v>213</v>
      </c>
      <c r="O14" s="188" t="s">
        <v>214</v>
      </c>
      <c r="P14" s="187" t="s">
        <v>215</v>
      </c>
      <c r="Q14" s="188" t="s">
        <v>216</v>
      </c>
      <c r="R14" s="187" t="s">
        <v>217</v>
      </c>
      <c r="S14" s="190" t="s">
        <v>218</v>
      </c>
      <c r="T14" s="191" t="s">
        <v>219</v>
      </c>
      <c r="U14" s="192" t="s">
        <v>220</v>
      </c>
      <c r="V14" s="192" t="s">
        <v>221</v>
      </c>
      <c r="W14" s="193" t="s">
        <v>222</v>
      </c>
      <c r="X14" s="193" t="s">
        <v>223</v>
      </c>
      <c r="Y14" s="190" t="s">
        <v>224</v>
      </c>
      <c r="Z14" s="193" t="s">
        <v>225</v>
      </c>
      <c r="AA14" s="194" t="s">
        <v>226</v>
      </c>
      <c r="AB14" s="192" t="s">
        <v>227</v>
      </c>
      <c r="AC14" s="195" t="s">
        <v>228</v>
      </c>
      <c r="AD14" s="196" t="s">
        <v>229</v>
      </c>
      <c r="AE14" s="194" t="s">
        <v>230</v>
      </c>
      <c r="AF14" s="197" t="s">
        <v>231</v>
      </c>
      <c r="AG14" s="198" t="s">
        <v>232</v>
      </c>
      <c r="AH14" s="198" t="s">
        <v>233</v>
      </c>
      <c r="AI14" s="199" t="s">
        <v>234</v>
      </c>
      <c r="AJ14" s="199" t="s">
        <v>235</v>
      </c>
      <c r="AK14" s="199" t="s">
        <v>236</v>
      </c>
      <c r="AL14" s="199" t="s">
        <v>237</v>
      </c>
      <c r="AM14" s="200" t="s">
        <v>238</v>
      </c>
      <c r="AN14" s="201" t="s">
        <v>239</v>
      </c>
      <c r="AO14" s="202" t="s">
        <v>240</v>
      </c>
      <c r="AP14" s="194" t="s">
        <v>241</v>
      </c>
      <c r="AQ14" s="201" t="s">
        <v>242</v>
      </c>
      <c r="AR14" s="193" t="s">
        <v>243</v>
      </c>
      <c r="AS14" s="193" t="s">
        <v>244</v>
      </c>
      <c r="AT14" s="194" t="s">
        <v>245</v>
      </c>
      <c r="AU14" s="194" t="s">
        <v>246</v>
      </c>
      <c r="AV14" s="199" t="s">
        <v>247</v>
      </c>
      <c r="AW14" s="203" t="s">
        <v>248</v>
      </c>
      <c r="AX14" s="204" t="s">
        <v>249</v>
      </c>
      <c r="AY14" s="204" t="s">
        <v>250</v>
      </c>
      <c r="AZ14" s="204" t="s">
        <v>251</v>
      </c>
      <c r="BA14" s="205" t="s">
        <v>252</v>
      </c>
      <c r="BB14" s="205" t="s">
        <v>253</v>
      </c>
      <c r="BC14" s="205" t="s">
        <v>254</v>
      </c>
      <c r="BD14" s="196" t="s">
        <v>255</v>
      </c>
      <c r="BE14" s="196" t="s">
        <v>256</v>
      </c>
      <c r="BF14" s="206" t="s">
        <v>257</v>
      </c>
      <c r="BG14" s="206" t="s">
        <v>258</v>
      </c>
      <c r="BH14" s="190" t="s">
        <v>259</v>
      </c>
      <c r="BI14" s="190" t="s">
        <v>260</v>
      </c>
      <c r="BJ14" s="187" t="s">
        <v>261</v>
      </c>
      <c r="BK14" s="196" t="s">
        <v>262</v>
      </c>
      <c r="BL14" s="198" t="s">
        <v>263</v>
      </c>
      <c r="BM14" s="198" t="s">
        <v>264</v>
      </c>
      <c r="BN14" s="198" t="s">
        <v>265</v>
      </c>
      <c r="BO14" s="198" t="s">
        <v>266</v>
      </c>
      <c r="BP14" s="198" t="s">
        <v>267</v>
      </c>
      <c r="BQ14" s="198" t="s">
        <v>268</v>
      </c>
      <c r="BR14" s="198" t="s">
        <v>269</v>
      </c>
      <c r="BS14" s="197" t="s">
        <v>270</v>
      </c>
      <c r="BT14" s="200" t="s">
        <v>271</v>
      </c>
    </row>
    <row r="15" customFormat="false" ht="16" hidden="false" customHeight="false" outlineLevel="0" collapsed="false">
      <c r="E15" s="81" t="str">
        <f aca="false">B15&amp;"|"&amp;C15&amp;"|"&amp;D15</f>
        <v>||</v>
      </c>
      <c r="F15" s="79" t="str">
        <f aca="false">_xlfn.IFNA(ROUND(INDEX(Spectrum!$N:$N,MATCH(RIGHT($B15,13)&amp;"|"&amp;$C15&amp;"|"&amp;$D15&amp;"|"&amp;F$14&amp;"|"&amp;"CY2021Q3",Spectrum!$Q:$Q,0)),0),"")</f>
        <v/>
      </c>
      <c r="G15" s="82" t="str">
        <f aca="false">_xlfn.IFNA(INDEX(Spectrum!$P:$P,MATCH(RIGHT($B15,13)&amp;"|"&amp;$C15&amp;"|"&amp;$D15&amp;"|"&amp;F$14&amp;"|"&amp;"CY2021Q3",Spectrum!$Q:$Q,0)),"")</f>
        <v/>
      </c>
      <c r="H15" s="94" t="str">
        <f aca="false">_xlfn.IFNA(ROUND(INDEX(Spectrum!$N:$N,MATCH(RIGHT($B15,13)&amp;"|"&amp;$C15&amp;"|"&amp;$D15&amp;"|"&amp;H$14&amp;"|"&amp;"CY2021Q3",Spectrum!$Q:$Q,0)),0),"")</f>
        <v/>
      </c>
      <c r="I15" s="82" t="str">
        <f aca="false">_xlfn.IFNA(INDEX(Spectrum!$P:$P,MATCH(RIGHT($B15,13)&amp;"|"&amp;$C15&amp;"|"&amp;$D15&amp;"|"&amp;H$14&amp;"|"&amp;"CY2021Q3",Spectrum!$Q:$Q,0)),"")</f>
        <v/>
      </c>
      <c r="J15" s="207" t="str">
        <f aca="false">_xlfn.IFNA(INDEX(Spectrum!$N:$N,MATCH(RIGHT($B15,13)&amp;"|"&amp;$C15&amp;"|"&amp;$D15&amp;"|"&amp;J$14&amp;"|"&amp;"CY2021Q3",Spectrum!$Q:$Q,0)),"")</f>
        <v/>
      </c>
      <c r="K15" s="82" t="str">
        <f aca="false">_xlfn.IFNA(INDEX(Spectrum!$P:$P,MATCH(RIGHT($B15,13)&amp;"|"&amp;$C15&amp;"|"&amp;$D15&amp;"|"&amp;J$14&amp;"|"&amp;"CY2021Q3",Spectrum!$Q:$Q,0)),"")</f>
        <v/>
      </c>
      <c r="L15" s="94" t="str">
        <f aca="false">_xlfn.IFNA(ROUND(INDEX(Spectrum!$N:$N,MATCH(RIGHT($B15,13)&amp;"|"&amp;$C15&amp;"|"&amp;$D15&amp;"|"&amp;L$14&amp;"|"&amp;"CY2021Q3",Spectrum!$Q:$Q,0)),0),"")</f>
        <v/>
      </c>
      <c r="M15" s="208" t="str">
        <f aca="false">IF(OR(SUM($H15)&lt;=0,SUM($L15)&lt;=0),"",SUM($L15)/$H15)</f>
        <v/>
      </c>
      <c r="N15" s="79" t="str">
        <f aca="false">_xlfn.IFNA(ROUND(INDEX(Spectrum!$N:$N,MATCH(RIGHT($B15,13)&amp;"|"&amp;$C15&amp;"|"&amp;$D15&amp;"|"&amp;N$14&amp;"|"&amp;"CY2020Q4",Spectrum!$Q:$Q,0)),0),"")</f>
        <v/>
      </c>
      <c r="O15" s="82" t="str">
        <f aca="false">_xlfn.IFNA(INDEX(Spectrum!$P:$P,MATCH(RIGHT($B15,13)&amp;"|"&amp;$C15&amp;"|"&amp;$D15&amp;"|"&amp;N$14&amp;"|"&amp;"CY2020Q4",Spectrum!$Q:$Q,0)),"")</f>
        <v/>
      </c>
      <c r="P15" s="79" t="str">
        <f aca="false">_xlfn.IFNA(ROUND(INDEX(Spectrum!$N:$N,MATCH(RIGHT($B15,13)&amp;"|"&amp;$C15&amp;"|"&amp;$D15&amp;"|"&amp;P$14&amp;"|"&amp;"CY2021Q3",Spectrum!$Q:$Q,0)),0),"")</f>
        <v/>
      </c>
      <c r="Q15" s="82" t="str">
        <f aca="false">_xlfn.IFNA(INDEX(Spectrum!$P:$P,MATCH(RIGHT($B15,13)&amp;"|"&amp;$C15&amp;"|"&amp;$D15&amp;"|"&amp;P$14&amp;"|"&amp;"CY2021Q3",Spectrum!$Q:$Q,0)),"")</f>
        <v/>
      </c>
      <c r="R15" s="94"/>
      <c r="S15" s="208" t="str">
        <f aca="false">IF(OR(SUM($P15)&lt;=0,SUM($R15)&lt;=0),"",SUM($R15)/$P15)</f>
        <v/>
      </c>
      <c r="V15" s="86" t="str">
        <f aca="false">IF($U15-$T15=0,"",$U15-$T15)</f>
        <v/>
      </c>
      <c r="W15" s="208" t="str">
        <f aca="false">IF(LEFT($B15,4)="_Mil","",IFERROR(MIN(IF(SUM($N15)&lt;=0,SUM($U15)/SUM($P15),SUM($T15)/SUM($N15)),1),""))</f>
        <v/>
      </c>
      <c r="X15" s="208" t="str">
        <f aca="false">$W15</f>
        <v/>
      </c>
      <c r="Y15" s="208" t="str">
        <f aca="false">IFERROR(1/(1/INDEX(Spectrum!$N:$N,MATCH(RIGHT($B15,13)&amp;"|"&amp;$C15&amp;"|"&amp;$D15&amp;"|"&amp;Y$14&amp;"|"&amp;"CY2021Q3",Spectrum!$Q:$Q,0))),IF(SUM($H15)=0,"",MAX(SUM($P15),SUM($U15))/SUM($H15)))</f>
        <v/>
      </c>
      <c r="Z15" s="208" t="str">
        <f aca="false">IF(SUM($Y15)=0,"",MAX(SUM($Y15),90%))</f>
        <v/>
      </c>
      <c r="AA15" s="94" t="n">
        <f aca="false">IF(LEFT($B15,4)="_Mil","",ROUND(MAX(SUM($U15),SUM($P15))+IF(SUM($Z15)=0,0,MAX(SUM($Z15)-SUM($Y15),0)*SUM($H15)),0))</f>
        <v>0</v>
      </c>
      <c r="AB15" s="88" t="str">
        <f aca="false">IF(SUM($AA15)=0,"",ROUND(MAX(SUM($AA15)-MAX(SUM($P15),SUM($U15)),0),0))</f>
        <v/>
      </c>
      <c r="AC15" s="89" t="str">
        <f aca="false">IF($C15="&lt;01",IFERROR(ROUND(INDEX(EID!$N:$N,MATCH($B15,EID!$B:$B,0))/2,0),""),"")</f>
        <v/>
      </c>
      <c r="AD15" s="90" t="str">
        <f aca="false">IF($C15="&lt;01",IF(SUM($AC15)=0,"",ROUND(SUM($AC15)/$AG15,0)),IF(SUM($AB15)=0,"",ROUND(MAX($X15,0)*SUM($AB15),0)))</f>
        <v/>
      </c>
      <c r="AE15" s="79" t="str">
        <f aca="false">IF(AND(SUM($AD15)=0,SUM($U15)=0),"",ROUND(IF($C15="&lt;01",0,SUM($U15))+SUM($AD15),0))</f>
        <v/>
      </c>
      <c r="AF15" s="91" t="n">
        <f aca="false">IF($C15="&lt;01","",100%)</f>
        <v>1</v>
      </c>
      <c r="AG15" s="92" t="n">
        <v>0.98</v>
      </c>
      <c r="AH15" s="92" t="n">
        <v>0.98</v>
      </c>
      <c r="AI15" s="93" t="str">
        <f aca="false">IF(OR($C15="&lt;01",SUM($U15)=0),"",ROUND(SUM($U15)*(1-$AH15),0))</f>
        <v/>
      </c>
      <c r="AJ15" s="93" t="str">
        <f aca="false">IF(AND(SUM($AE15)=0,SUM($U15)=0),"",IF($C15="&lt;01",SUM($AD15),SUM($AE15) - ROUND(SUM($U15)*$AH15,0)))</f>
        <v/>
      </c>
      <c r="AM15" s="94" t="str">
        <f aca="false">IF(AND(SUM($AD15)=0,SUM($U15)=0),"",IF($C15="&lt;01",SUM($AD15),ROUND(ROUND(SUM($AJ15)*$AF15,0)/$AG15,0)))</f>
        <v/>
      </c>
      <c r="AN15" s="92" t="n">
        <v>0.7</v>
      </c>
      <c r="AO15" s="84" t="n">
        <v>1</v>
      </c>
      <c r="AP15" s="79" t="str">
        <f aca="false">IF(AND(SUM($U15)=0,SUM($AM15)=0),"",ROUND((SUM($AM15)*$AN15+IF($C15="&lt;01",0,$U15))*$AO15,0))</f>
        <v/>
      </c>
      <c r="AR15" s="87" t="n">
        <v>0.95</v>
      </c>
      <c r="AS15" s="87" t="n">
        <v>0.95</v>
      </c>
      <c r="AT15" s="79" t="str">
        <f aca="false">IF(SUM($AP15)=0,"",ROUND(SUM($AP15)*$AR15,0))</f>
        <v/>
      </c>
      <c r="AU15" s="79" t="n">
        <f aca="false">IF(LEFT($B15,4)="_Mil","",ROUND(SUM($AA15)*SUM($AS15),0))</f>
        <v>0</v>
      </c>
      <c r="AV15" s="93" t="str">
        <f aca="false">IF(SUM($AU15)&lt;=0,"",MAX(SUM($AU15)-SUM($R15),0))</f>
        <v/>
      </c>
      <c r="AW15" s="96" t="n">
        <v>0</v>
      </c>
      <c r="AX15" s="78" t="str">
        <f aca="false">IF(SUM($AM15)=0,"",ROUND(SUM($AM15)*SUM($AW15),0))</f>
        <v/>
      </c>
      <c r="AY15" s="78" t="str">
        <f aca="false">IF(SUM($AM15)=0,"",SUM($AM15)-SUM($AX15))</f>
        <v/>
      </c>
      <c r="BA15" s="87" t="n">
        <v>0.95</v>
      </c>
      <c r="BC15" s="87" t="str">
        <f aca="false">IF(OR(SUM($AM15)&lt;=0,$C15="&lt;01"),"",MAX(IF(OR(SUM($Y15)&lt;70%,LEFT($B15,4)="_Mil"),30%,IF(SUM($Y15)&gt;=80%,75%,50%)),SUM($BB15)))</f>
        <v/>
      </c>
      <c r="BD15" s="90" t="str">
        <f aca="false">IF($C15="&lt;01",IFERROR(ROUND(INDEX(EID!$M:$M,MATCH($B15,EID!$B:$B,0)),0)/2,""),IF(SUM($AY15)=0,"",ROUND(SUM($AY15)/SUM($BA15),0)))</f>
        <v/>
      </c>
      <c r="BE15" s="90" t="str">
        <f aca="false">IF($C15="&lt;01","",IF(SUM($BD15)=0,"",ROUND(SUM($BD15)*SUM($BC15),0)))</f>
        <v/>
      </c>
      <c r="BF15" s="90" t="str">
        <f aca="false">_xlfn.IFNA(INDEX(PMTCT!$AE:$AE,MATCH($E15,PMTCT!$E:$E,0)),"")</f>
        <v/>
      </c>
      <c r="BG15" s="90" t="str">
        <f aca="false">_xlfn.IFNA(INDEX(PMTCT!$AU:$AU,MATCH($E15,PMTCT!$E:$E,0)),"")</f>
        <v/>
      </c>
      <c r="BH15" s="90" t="str">
        <f aca="false">_xlfn.IFNA(INDEX(TB!$Q:$Q,MATCH($E15,TB!$E:$E,0)),"")</f>
        <v/>
      </c>
      <c r="BI15" s="90" t="str">
        <f aca="false">_xlfn.IFNA(INDEX(VMMC!$AC:$AC,MATCH($E15,VMMC!$E:$E,0)),"")</f>
        <v/>
      </c>
      <c r="BJ15" s="90" t="str">
        <f aca="false">IF($C15="&lt;01",$BD15,"")</f>
        <v/>
      </c>
      <c r="BK15" s="90" t="str">
        <f aca="false">IF(SUM($BD15)=0,"",($BD15)-SUM($BE15:$BJ15))</f>
        <v/>
      </c>
      <c r="BL15" s="92" t="str">
        <f aca="false">IF(OR(SUM($BD15)=0,SUM($BE15)=0),"",SUM($BE15)/$BD15)</f>
        <v/>
      </c>
      <c r="BM15" s="92" t="str">
        <f aca="false">IF(OR(SUM($BD15)=0,SUM($BF15)=0),"",SUM($BF15)/$BD15)</f>
        <v/>
      </c>
      <c r="BN15" s="92" t="str">
        <f aca="false">IF(OR(SUM($BD15)=0,SUM($BG15)=0),"",SUM($BG15)/$BD15)</f>
        <v/>
      </c>
      <c r="BO15" s="92" t="str">
        <f aca="false">IF(OR(SUM($BD15)=0,SUM($BH15)=0),"",SUM($BH15)/$BD15)</f>
        <v/>
      </c>
      <c r="BP15" s="92" t="str">
        <f aca="false">IF(OR(SUM($BD15)=0,SUM($BI15)=0),"",SUM($BI15)/$BD15)</f>
        <v/>
      </c>
      <c r="BQ15" s="92" t="str">
        <f aca="false">IF(AND($C15="&lt;01",SUM($BJ15)&lt;&gt;0),$BJ15/SUM($BD15),"")</f>
        <v/>
      </c>
      <c r="BR15" s="92" t="str">
        <f aca="false">IF(OR(SUM($BD15)=0,SUM($BK15)=0),"",SUM($BK15)/$BD15)</f>
        <v/>
      </c>
      <c r="BS15" s="91" t="str">
        <f aca="false">IF(SUM($X15)&lt;=0,"",$X15)</f>
        <v/>
      </c>
      <c r="BT15" s="94" t="n">
        <f aca="false">IF(LEFT($B15,4)="_Mil","",MAX(SUM($L15)+ROUND(SUM($BD15)/IF(SUM($BS15)&lt;=0,1,SUM($BS15)),0),0))</f>
        <v>0</v>
      </c>
    </row>
  </sheetData>
  <conditionalFormatting sqref="AO1:AO1048576 AF1:AF1048576">
    <cfRule type="expression" priority="2" aboveAverage="0" equalAverage="0" bottom="0" percent="0" rank="0" text="" dxfId="0">
      <formula>AND(ROW(AF1)&gt;14,ISNUMBER(AF1),ROUND(AF1,2)&lt;100%)</formula>
    </cfRule>
  </conditionalFormatting>
  <conditionalFormatting sqref="AW1:AW1048576">
    <cfRule type="expression" priority="3" aboveAverage="0" equalAverage="0" bottom="0" percent="0" rank="0" text="" dxfId="1">
      <formula>AND(ISNUMBER($AW1),ROUND($AW1,2)&gt;0)</formula>
    </cfRule>
  </conditionalFormatting>
  <conditionalFormatting sqref="W1:AB1048576 F1:S1048576 AU1:AV1048576 BT1:BT1048576">
    <cfRule type="expression" priority="4" aboveAverage="0" equalAverage="0" bottom="0" percent="0" rank="0" text="" dxfId="2">
      <formula>LEFT($B1,4)="_Mil"</formula>
    </cfRule>
  </conditionalFormatting>
  <conditionalFormatting sqref="G1:G1048576 I1:I1048576 K1:K1048576 Q1:Q1048576 O1:O1048576">
    <cfRule type="expression" priority="5" aboveAverage="0" equalAverage="0" bottom="0" percent="0" rank="0" text="" dxfId="3">
      <formula>AND(ISNUMBER(G1),ISNUMBER(F1),G1&lt;20%)</formula>
    </cfRule>
    <cfRule type="expression" priority="6" aboveAverage="0" equalAverage="0" bottom="0" percent="0" rank="0" text="" dxfId="4">
      <formula>AND(ISNUMBER(G1),G1&gt;=40%)</formula>
    </cfRule>
    <cfRule type="expression" priority="7" aboveAverage="0" equalAverage="0" bottom="0" percent="0" rank="0" text="" dxfId="5">
      <formula>AND(ISNUMBER(G1),G1&gt;=20%,G1&lt;40%)</formula>
    </cfRule>
  </conditionalFormatting>
  <conditionalFormatting sqref="V1:V3 V5:V1048576">
    <cfRule type="cellIs" priority="8" operator="lessThan" aboveAverage="0" equalAverage="0" bottom="0" percent="0" rank="0" text="" dxfId="6">
      <formula>0</formula>
    </cfRule>
  </conditionalFormatting>
  <conditionalFormatting sqref="W1:W1048576">
    <cfRule type="containsText" priority="9" operator="containsText" aboveAverage="0" equalAverage="0" bottom="0" percent="0" rank="0" text="SUBNAT not reported" dxfId="7"/>
  </conditionalFormatting>
  <conditionalFormatting sqref="AC1:AC1048576 BJ1:BJ1048576 BQ1:BQ1048576">
    <cfRule type="expression" priority="10" aboveAverage="0" equalAverage="0" bottom="0" percent="0" rank="0" text="" dxfId="8">
      <formula>AND(ROW(AC1)&gt;14,$B1&lt;&gt;"",NOT($C1="&lt;01"))</formula>
    </cfRule>
  </conditionalFormatting>
  <conditionalFormatting sqref="BB1:BC1048576 BE1:BI1048576 BL1:BP1048576 AF1:AF1048576">
    <cfRule type="expression" priority="11" aboveAverage="0" equalAverage="0" bottom="0" percent="0" rank="0" text="" dxfId="9">
      <formula>AND($C1="&lt;01",ROW(AF1)&gt;14,$B1&lt;&gt;"")</formula>
    </cfRule>
  </conditionalFormatting>
  <conditionalFormatting sqref="BF1:BG1048576 BM1:BN1048576">
    <cfRule type="expression" priority="12" aboveAverage="0" equalAverage="0" bottom="0" percent="0" rank="0" text="" dxfId="10">
      <formula>AND(ROW(BF1)&gt;14,$B1&lt;&gt;"",OR($C1="&lt;01",$C1="01-04",$C1="05-09"))</formula>
    </cfRule>
  </conditionalFormatting>
  <conditionalFormatting sqref="BI1:BI1048576 BP1:BP1048576">
    <cfRule type="expression" priority="13" aboveAverage="0" equalAverage="0" bottom="0" percent="0" rank="0" text="" dxfId="11">
      <formula>AND(ROW(BB1)&gt;14,$B1&lt;&gt;"",$D1&lt;&gt;"Male")</formula>
    </cfRule>
    <cfRule type="expression" priority="14" aboveAverage="0" equalAverage="0" bottom="0" percent="0" rank="0" text="" dxfId="12">
      <formula>AND(ROW(AY1)&gt;14,$B1&lt;&gt;"",OR($C1="&lt;01",$C1="01-04",$C1="05-09",$C1="10-14"))</formula>
    </cfRule>
  </conditionalFormatting>
  <conditionalFormatting sqref="BF1:BG1048576 BM1:BN1048576">
    <cfRule type="expression" priority="15" aboveAverage="0" equalAverage="0" bottom="0" percent="0" rank="0" text="" dxfId="13">
      <formula>AND(ROW(AX1)&gt;14,$B1&lt;&gt;"",$D1&lt;&gt;"Female")</formula>
    </cfRule>
  </conditionalFormatting>
  <conditionalFormatting sqref="F1:F1048576 J1:J1048576 P1:P1048576 H1:H1048576 N1:N1048576">
    <cfRule type="expression" priority="16" aboveAverage="0" equalAverage="0" bottom="0" percent="0" rank="0" text="" dxfId="14">
      <formula>AND(ISNUMBER(G1),ISNUMBER(F1),G1&gt;=40%)</formula>
    </cfRule>
    <cfRule type="expression" priority="17" aboveAverage="0" equalAverage="0" bottom="0" percent="0" rank="0" text="" dxfId="15">
      <formula>AND(ISNUMBER(G1),ISNUMBER(F1),G1&gt;=20%,G1&lt;40%)</formula>
    </cfRule>
    <cfRule type="expression" priority="18" aboveAverage="0" equalAverage="0" bottom="0" percent="0" rank="0" text="" dxfId="16">
      <formula>AND(ISNUMBER(G1),ISNUMBER(F1),G1&lt;20%)</formula>
    </cfRule>
  </conditionalFormatting>
  <conditionalFormatting sqref="X1:X1048576">
    <cfRule type="expression" priority="19" aboveAverage="0" equalAverage="0" bottom="0" percent="0" rank="0" text="" dxfId="17">
      <formula>AND(ROW($X1)&gt;14,$X1&lt;&gt;$W1)</formula>
    </cfRule>
  </conditionalFormatting>
  <conditionalFormatting sqref="AG1:AH1048576">
    <cfRule type="expression" priority="20" aboveAverage="0" equalAverage="0" bottom="0" percent="0" rank="0" text="" dxfId="18">
      <formula>AND(ROW(AG1)&gt;14,ISNUMBER(AG1),AG1&lt;98%)</formula>
    </cfRule>
  </conditionalFormatting>
  <conditionalFormatting sqref="AN1:AN1048576">
    <cfRule type="expression" priority="21" aboveAverage="0" equalAverage="0" bottom="0" percent="0" rank="0" text="" dxfId="19">
      <formula>AND(ROW($AN1)&gt;14,ISNUMBER($AN1),ROUND($AN1,2)&lt;70%)</formula>
    </cfRule>
  </conditionalFormatting>
  <conditionalFormatting sqref="BA1:BA1048576 AR1:AS1048576">
    <cfRule type="expression" priority="22" aboveAverage="0" equalAverage="0" bottom="0" percent="0" rank="0" text="" dxfId="20">
      <formula>AND(ROW(AR1)&gt;14,ISNUMBER(AR1),ROUND(AR1,2)&lt;95%)</formula>
    </cfRule>
  </conditionalFormatting>
  <conditionalFormatting sqref="Z1:Z1048576">
    <cfRule type="expression" priority="23" aboveAverage="0" equalAverage="0" bottom="0" percent="0" rank="0" text="" dxfId="21">
      <formula>AND(ROW($Z1)&gt;14,$Z1&lt;&gt;$Y1)</formula>
    </cfRule>
  </conditionalFormatting>
  <conditionalFormatting sqref="AF1:AH1048576 AN1:AO1048576 AQ1:AS1048576 AW1:AW1048576 BA1:BA1048576 BC1:BC1048576 BL1:BS1048576 W1:X1048576">
    <cfRule type="expression" priority="24" aboveAverage="0" equalAverage="0" bottom="0" percent="0" rank="0" text="" dxfId="22">
      <formula>AND(ROW(W1)&gt;14,OR(ROUND(W1,2)&gt;100%,ROUND(W1,2)&lt;0))</formula>
    </cfRule>
  </conditionalFormatting>
  <conditionalFormatting sqref="BC1:BC1048576">
    <cfRule type="expression" priority="25" aboveAverage="0" equalAverage="0" bottom="0" percent="0" rank="0" text="" dxfId="23">
      <formula>AND(ISNUMBER($BC1),OR(AND(OR(SUM($Y1)&lt;70%,LEFT($B1,4)="_Mil"),SUM($BC1)&lt;30%),AND(OR(SUM($Y1)&gt;=70%,SUM($Y1)&lt;80%),SUM($BC1)&lt;50%),AND(SUM($Y1)&gt;=80%,SUM($BC1)&lt;75%)))</formula>
    </cfRule>
  </conditionalFormatting>
  <conditionalFormatting sqref="BD1:BR1048576">
    <cfRule type="expression" priority="26" aboveAverage="0" equalAverage="0" bottom="0" percent="0" rank="0" text="" dxfId="24">
      <formula>AND(ROW($BK1)&gt;14,$B1&lt;&gt;"",$C1="&lt;01",OR(SUM($BK1)&lt;&gt;0,SUM($BR1)&lt;&gt;0))</formula>
    </cfRule>
    <cfRule type="expression" priority="27" aboveAverage="0" equalAverage="0" bottom="0" percent="0" rank="0" text="" dxfId="25">
      <formula>AND(ROW(BD1)&gt;14,$B1&lt;&gt;"",OR(SUM($BK1)&lt;0,SUM($BR1)&lt;0))</formula>
    </cfRule>
  </conditionalFormatting>
  <conditionalFormatting sqref="BE1:BR1048576">
    <cfRule type="expression" priority="28" aboveAverage="0" equalAverage="0" bottom="0" percent="0" rank="0" text="" dxfId="26">
      <formula>AND(ROW(BE1)&gt;14,ISNUMBER(BE1),SUM($BD1)=0,SUM(BE1)&lt;&gt;0)</formula>
    </cfRule>
  </conditionalFormatting>
  <conditionalFormatting sqref="T4">
    <cfRule type="expression" priority="29" aboveAverage="0" equalAverage="0" bottom="0" percent="0" rank="0" text="" dxfId="27">
      <formula>LEFT($B4,4)="_Mil"</formula>
    </cfRule>
  </conditionalFormatting>
  <conditionalFormatting sqref="U4:V4">
    <cfRule type="expression" priority="30" aboveAverage="0" equalAverage="0" bottom="0" percent="0" rank="0" text="" dxfId="28">
      <formula>LEFT($B4,4)="_Mil"</formula>
    </cfRule>
  </conditionalFormatting>
  <hyperlinks>
    <hyperlink ref="AC3" location="EID!N:N" display="PMTCT_HEI_POS Linked to ART (FY22)"/>
    <hyperlink ref="BE3" location="HTS!N:U" display="HTS_INDEX (FY22)"/>
    <hyperlink ref="BF3" location="PMTCT!AB:AB" display="PMTCT_STAT New Positives (FY22)"/>
    <hyperlink ref="BG3" location="PMTCT!AJ:AJ" display="HTS_TST Post ANC1 New Positives (FY22)"/>
    <hyperlink ref="BH3" location="TB!Q:Q" display="TB_STAT New Positives (FY22)"/>
    <hyperlink ref="BI3" location="VMMC!AC:AC" display="VMMC Tested Positives (FY22)"/>
    <hyperlink ref="BJ3" location="EID!M:M" display="PMTCT_HEI_POS"/>
    <hyperlink ref="BK3" location="HTS!M:M" display="HTS_TST_POS from All Other Modalities (FY2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B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25" width="16.16"/>
    <col collapsed="false" customWidth="true" hidden="false" outlineLevel="0" max="2" min="2" style="81" width="30.83"/>
    <col collapsed="false" customWidth="true" hidden="false" outlineLevel="0" max="3" min="3" style="81" width="10.83"/>
    <col collapsed="false" customWidth="true" hidden="false" outlineLevel="0" max="4" min="4" style="81" width="7.84"/>
    <col collapsed="false" customWidth="true" hidden="true" outlineLevel="0" max="5" min="5" style="81" width="15.51"/>
    <col collapsed="false" customWidth="true" hidden="false" outlineLevel="0" max="7" min="6" style="93" width="11.83"/>
    <col collapsed="false" customWidth="true" hidden="false" outlineLevel="0" max="8" min="8" style="209" width="11.83"/>
    <col collapsed="false" customWidth="true" hidden="false" outlineLevel="0" max="9" min="9" style="93" width="11.83"/>
    <col collapsed="false" customWidth="true" hidden="false" outlineLevel="0" max="10" min="10" style="92" width="11.83"/>
    <col collapsed="false" customWidth="true" hidden="false" outlineLevel="0" max="17" min="11" style="94" width="11.83"/>
    <col collapsed="false" customWidth="true" hidden="false" outlineLevel="0" max="18" min="18" style="210" width="11.83"/>
    <col collapsed="false" customWidth="true" hidden="false" outlineLevel="0" max="19" min="19" style="92" width="11.83"/>
    <col collapsed="false" customWidth="true" hidden="false" outlineLevel="0" max="20" min="20" style="88" width="11.83"/>
    <col collapsed="false" customWidth="true" hidden="false" outlineLevel="0" max="21" min="21" style="91" width="11.83"/>
    <col collapsed="false" customWidth="true" hidden="false" outlineLevel="0" max="22" min="22" style="92" width="11.83"/>
    <col collapsed="false" customWidth="true" hidden="false" outlineLevel="0" max="23" min="23" style="88" width="11.83"/>
    <col collapsed="false" customWidth="true" hidden="false" outlineLevel="0" max="24" min="24" style="91" width="11.83"/>
    <col collapsed="false" customWidth="true" hidden="false" outlineLevel="0" max="28" min="25" style="92" width="11.83"/>
    <col collapsed="false" customWidth="true" hidden="false" outlineLevel="0" max="29" min="29" style="79" width="11.83"/>
    <col collapsed="false" customWidth="true" hidden="false" outlineLevel="0" max="30" min="30" style="211" width="11.83"/>
    <col collapsed="false" customWidth="true" hidden="false" outlineLevel="0" max="32" min="31" style="79" width="11.83"/>
    <col collapsed="false" customWidth="true" hidden="false" outlineLevel="0" max="33" min="33" style="89" width="11.83"/>
    <col collapsed="false" customWidth="true" hidden="false" outlineLevel="0" max="36" min="34" style="79" width="11.83"/>
    <col collapsed="false" customWidth="true" hidden="false" outlineLevel="0" max="37" min="37" style="212" width="11.83"/>
    <col collapsed="false" customWidth="true" hidden="false" outlineLevel="0" max="38" min="38" style="90" width="11.83"/>
    <col collapsed="false" customWidth="true" hidden="false" outlineLevel="0" max="39" min="39" style="79" width="11.83"/>
    <col collapsed="false" customWidth="true" hidden="false" outlineLevel="0" max="40" min="40" style="89" width="11.83"/>
    <col collapsed="false" customWidth="true" hidden="false" outlineLevel="0" max="41" min="41" style="90" width="11.83"/>
    <col collapsed="false" customWidth="true" hidden="false" outlineLevel="0" max="42" min="42" style="79" width="11.83"/>
    <col collapsed="false" customWidth="true" hidden="false" outlineLevel="0" max="43" min="43" style="213" width="11.83"/>
    <col collapsed="false" customWidth="true" hidden="false" outlineLevel="0" max="46" min="44" style="92" width="11.83"/>
    <col collapsed="false" customWidth="true" hidden="false" outlineLevel="0" max="47" min="47" style="90" width="11.83"/>
    <col collapsed="false" customWidth="true" hidden="false" outlineLevel="0" max="48" min="48" style="79" width="11.83"/>
    <col collapsed="false" customWidth="true" hidden="false" outlineLevel="0" max="49" min="49" style="78" width="11.83"/>
    <col collapsed="false" customWidth="true" hidden="false" outlineLevel="0" max="50" min="50" style="213" width="11.83"/>
    <col collapsed="false" customWidth="true" hidden="false" outlineLevel="0" max="51" min="51" style="214" width="11.83"/>
    <col collapsed="false" customWidth="true" hidden="false" outlineLevel="0" max="56" min="52" style="208" width="11.83"/>
    <col collapsed="false" customWidth="true" hidden="false" outlineLevel="0" max="1025" min="57" style="25" width="10.83"/>
  </cols>
  <sheetData>
    <row r="1" s="215" customFormat="true" ht="31" hidden="false" customHeight="true" outlineLevel="0" collapsed="false">
      <c r="A1" s="97" t="s">
        <v>272</v>
      </c>
      <c r="C1" s="97"/>
      <c r="D1" s="97"/>
      <c r="E1" s="97"/>
      <c r="F1" s="98" t="s">
        <v>97</v>
      </c>
      <c r="G1" s="112"/>
      <c r="H1" s="216"/>
      <c r="I1" s="112"/>
      <c r="J1" s="111"/>
      <c r="K1" s="98"/>
      <c r="L1" s="98"/>
      <c r="M1" s="98"/>
      <c r="N1" s="98"/>
      <c r="O1" s="98"/>
      <c r="P1" s="98"/>
      <c r="Q1" s="98"/>
      <c r="R1" s="217" t="s">
        <v>273</v>
      </c>
      <c r="S1" s="218"/>
      <c r="T1" s="106"/>
      <c r="U1" s="110" t="s">
        <v>274</v>
      </c>
      <c r="V1" s="218"/>
      <c r="W1" s="106"/>
      <c r="X1" s="110" t="s">
        <v>275</v>
      </c>
      <c r="Y1" s="218"/>
      <c r="Z1" s="218"/>
      <c r="AA1" s="218"/>
      <c r="AB1" s="218"/>
      <c r="AC1" s="100"/>
      <c r="AD1" s="100"/>
      <c r="AE1" s="100"/>
      <c r="AF1" s="100"/>
      <c r="AG1" s="108" t="s">
        <v>276</v>
      </c>
      <c r="AH1" s="100"/>
      <c r="AI1" s="100"/>
      <c r="AJ1" s="100"/>
      <c r="AK1" s="110" t="s">
        <v>277</v>
      </c>
      <c r="AL1" s="98"/>
      <c r="AM1" s="98"/>
      <c r="AN1" s="217" t="s">
        <v>278</v>
      </c>
      <c r="AO1" s="98"/>
      <c r="AP1" s="98"/>
      <c r="AQ1" s="108" t="s">
        <v>279</v>
      </c>
      <c r="AR1" s="218"/>
      <c r="AS1" s="218"/>
      <c r="AT1" s="218"/>
      <c r="AU1" s="109"/>
      <c r="AV1" s="100"/>
      <c r="AW1" s="100"/>
      <c r="AX1" s="108" t="s">
        <v>280</v>
      </c>
      <c r="AY1" s="109"/>
      <c r="AZ1" s="219"/>
      <c r="BA1" s="219"/>
      <c r="BB1" s="219"/>
      <c r="BC1" s="219"/>
      <c r="BD1" s="219"/>
    </row>
    <row r="2" s="137" customFormat="true" ht="19" hidden="false" customHeight="true" outlineLevel="0" collapsed="false">
      <c r="A2" s="220" t="s">
        <v>281</v>
      </c>
      <c r="B2" s="220"/>
      <c r="D2" s="118"/>
      <c r="E2" s="118"/>
      <c r="F2" s="132" t="s">
        <v>54</v>
      </c>
      <c r="G2" s="132"/>
      <c r="H2" s="120"/>
      <c r="I2" s="132"/>
      <c r="J2" s="131"/>
      <c r="K2" s="119"/>
      <c r="L2" s="119"/>
      <c r="M2" s="119"/>
      <c r="N2" s="119"/>
      <c r="O2" s="119"/>
      <c r="P2" s="119"/>
      <c r="Q2" s="119"/>
      <c r="R2" s="221" t="s">
        <v>54</v>
      </c>
      <c r="S2" s="131" t="s">
        <v>100</v>
      </c>
      <c r="T2" s="127" t="s">
        <v>55</v>
      </c>
      <c r="U2" s="130" t="s">
        <v>54</v>
      </c>
      <c r="V2" s="131" t="s">
        <v>100</v>
      </c>
      <c r="W2" s="127" t="s">
        <v>55</v>
      </c>
      <c r="X2" s="130" t="s">
        <v>100</v>
      </c>
      <c r="Y2" s="131"/>
      <c r="Z2" s="131"/>
      <c r="AA2" s="131"/>
      <c r="AB2" s="131"/>
      <c r="AC2" s="126" t="s">
        <v>55</v>
      </c>
      <c r="AD2" s="222"/>
      <c r="AE2" s="126"/>
      <c r="AF2" s="126"/>
      <c r="AG2" s="128" t="s">
        <v>55</v>
      </c>
      <c r="AH2" s="126"/>
      <c r="AI2" s="126"/>
      <c r="AJ2" s="126"/>
      <c r="AK2" s="130" t="s">
        <v>100</v>
      </c>
      <c r="AL2" s="129" t="s">
        <v>55</v>
      </c>
      <c r="AM2" s="126"/>
      <c r="AN2" s="128"/>
      <c r="AO2" s="129"/>
      <c r="AP2" s="126"/>
      <c r="AQ2" s="223" t="s">
        <v>100</v>
      </c>
      <c r="AR2" s="131"/>
      <c r="AS2" s="131"/>
      <c r="AT2" s="131"/>
      <c r="AU2" s="129" t="s">
        <v>55</v>
      </c>
      <c r="AV2" s="126"/>
      <c r="AW2" s="131"/>
      <c r="AX2" s="223" t="s">
        <v>101</v>
      </c>
      <c r="AY2" s="224"/>
      <c r="AZ2" s="122"/>
      <c r="BA2" s="122"/>
      <c r="BB2" s="122"/>
      <c r="BC2" s="122"/>
      <c r="BD2" s="122"/>
    </row>
    <row r="3" customFormat="false" ht="117" hidden="false" customHeight="true" outlineLevel="0" collapsed="false">
      <c r="A3" s="220"/>
      <c r="B3" s="220"/>
      <c r="D3" s="138"/>
      <c r="E3" s="138"/>
      <c r="F3" s="225" t="s">
        <v>282</v>
      </c>
      <c r="G3" s="225" t="s">
        <v>104</v>
      </c>
      <c r="H3" s="226" t="s">
        <v>106</v>
      </c>
      <c r="I3" s="225" t="s">
        <v>112</v>
      </c>
      <c r="J3" s="227" t="s">
        <v>121</v>
      </c>
      <c r="K3" s="141" t="s">
        <v>283</v>
      </c>
      <c r="L3" s="141" t="s">
        <v>284</v>
      </c>
      <c r="M3" s="141" t="s">
        <v>285</v>
      </c>
      <c r="N3" s="141" t="s">
        <v>286</v>
      </c>
      <c r="O3" s="141" t="s">
        <v>287</v>
      </c>
      <c r="P3" s="141" t="s">
        <v>288</v>
      </c>
      <c r="Q3" s="141" t="s">
        <v>289</v>
      </c>
      <c r="R3" s="228" t="s">
        <v>290</v>
      </c>
      <c r="S3" s="155" t="s">
        <v>291</v>
      </c>
      <c r="T3" s="151" t="s">
        <v>292</v>
      </c>
      <c r="U3" s="229" t="s">
        <v>293</v>
      </c>
      <c r="V3" s="155" t="s">
        <v>294</v>
      </c>
      <c r="W3" s="151" t="s">
        <v>295</v>
      </c>
      <c r="X3" s="154" t="s">
        <v>296</v>
      </c>
      <c r="Y3" s="164" t="s">
        <v>297</v>
      </c>
      <c r="Z3" s="155" t="s">
        <v>298</v>
      </c>
      <c r="AA3" s="164" t="s">
        <v>299</v>
      </c>
      <c r="AB3" s="155" t="s">
        <v>300</v>
      </c>
      <c r="AC3" s="230" t="s">
        <v>301</v>
      </c>
      <c r="AD3" s="153" t="s">
        <v>302</v>
      </c>
      <c r="AE3" s="163" t="s">
        <v>303</v>
      </c>
      <c r="AF3" s="153" t="s">
        <v>304</v>
      </c>
      <c r="AG3" s="231" t="s">
        <v>305</v>
      </c>
      <c r="AH3" s="153" t="s">
        <v>306</v>
      </c>
      <c r="AI3" s="153" t="s">
        <v>307</v>
      </c>
      <c r="AJ3" s="153" t="s">
        <v>308</v>
      </c>
      <c r="AK3" s="232" t="s">
        <v>309</v>
      </c>
      <c r="AL3" s="150" t="s">
        <v>310</v>
      </c>
      <c r="AM3" s="233" t="s">
        <v>311</v>
      </c>
      <c r="AN3" s="234" t="s">
        <v>312</v>
      </c>
      <c r="AO3" s="235" t="s">
        <v>313</v>
      </c>
      <c r="AP3" s="236" t="s">
        <v>314</v>
      </c>
      <c r="AQ3" s="237" t="s">
        <v>315</v>
      </c>
      <c r="AR3" s="238" t="s">
        <v>316</v>
      </c>
      <c r="AS3" s="239" t="s">
        <v>317</v>
      </c>
      <c r="AT3" s="238" t="s">
        <v>309</v>
      </c>
      <c r="AU3" s="163" t="s">
        <v>318</v>
      </c>
      <c r="AV3" s="233" t="s">
        <v>319</v>
      </c>
      <c r="AW3" s="240" t="s">
        <v>320</v>
      </c>
      <c r="AX3" s="241" t="s">
        <v>321</v>
      </c>
      <c r="AY3" s="225" t="s">
        <v>322</v>
      </c>
      <c r="AZ3" s="227" t="s">
        <v>323</v>
      </c>
      <c r="BA3" s="227" t="s">
        <v>161</v>
      </c>
      <c r="BB3" s="227" t="s">
        <v>159</v>
      </c>
      <c r="BC3" s="227" t="s">
        <v>162</v>
      </c>
      <c r="BD3" s="227" t="s">
        <v>165</v>
      </c>
    </row>
    <row r="4" customFormat="false" ht="16" hidden="false" customHeight="false" outlineLevel="0" collapsed="false">
      <c r="B4" s="165"/>
      <c r="C4" s="165"/>
      <c r="D4" s="165" t="s">
        <v>59</v>
      </c>
      <c r="E4" s="165"/>
      <c r="F4" s="178" t="n">
        <f aca="false">SUBTOTAL(109,F$15:INDEX(F:F,COUNTA($B:$B)+14-COUNTA($B$1:$B$14)))</f>
        <v>0</v>
      </c>
      <c r="G4" s="178" t="n">
        <f aca="false">SUBTOTAL(109,G$15:INDEX(G:G,COUNTA($B:$B)+14-COUNTA($B$1:$B$14)))</f>
        <v>0</v>
      </c>
      <c r="H4" s="167"/>
      <c r="I4" s="178" t="n">
        <f aca="false">SUBTOTAL(109,I$15:INDEX(I:I,COUNTA($B:$B)+14-COUNTA($B$1:$B$14)))</f>
        <v>0</v>
      </c>
      <c r="J4" s="177"/>
      <c r="K4" s="166" t="n">
        <f aca="false">SUBTOTAL(109,K$15:INDEX(K:K,COUNTA($B:$B)+14-COUNTA($B$1:$B$14)))</f>
        <v>0</v>
      </c>
      <c r="L4" s="166" t="n">
        <f aca="false">SUBTOTAL(109,L$15:INDEX(L:L,COUNTA($B:$B)+14-COUNTA($B$1:$B$14)))</f>
        <v>0</v>
      </c>
      <c r="M4" s="166" t="n">
        <f aca="false">SUBTOTAL(109,M$15:INDEX(M:M,COUNTA($B:$B)+14-COUNTA($B$1:$B$14)))</f>
        <v>0</v>
      </c>
      <c r="N4" s="166" t="n">
        <f aca="false">SUBTOTAL(109,N$15:INDEX(N:N,COUNTA($B:$B)+14-COUNTA($B$1:$B$14)))</f>
        <v>0</v>
      </c>
      <c r="O4" s="166" t="n">
        <f aca="false">SUBTOTAL(109,O$15:INDEX(O:O,COUNTA($B:$B)+14-COUNTA($B$1:$B$14)))</f>
        <v>0</v>
      </c>
      <c r="P4" s="166" t="n">
        <f aca="false">SUBTOTAL(109,P$15:INDEX(P:P,COUNTA($B:$B)+14-COUNTA($B$1:$B$14)))</f>
        <v>0</v>
      </c>
      <c r="Q4" s="166" t="n">
        <f aca="false">SUBTOTAL(109,Q$15:INDEX(Q:Q,COUNTA($B:$B)+14-COUNTA($B$1:$B$14)))</f>
        <v>0</v>
      </c>
      <c r="R4" s="242" t="n">
        <f aca="false">SUBTOTAL(109,R$15:INDEX(R:R,COUNTA($B:$B)+14-COUNTA($B$1:$B$14)))</f>
        <v>0</v>
      </c>
      <c r="S4" s="177"/>
      <c r="T4" s="243" t="n">
        <f aca="false">SUBTOTAL(109,T$15:INDEX(T:T,COUNTA($B:$B)+14-COUNTA($B$1:$B$14)))</f>
        <v>0</v>
      </c>
      <c r="U4" s="176"/>
      <c r="V4" s="177"/>
      <c r="W4" s="243" t="n">
        <f aca="false">SUBTOTAL(109,W$15:INDEX(W:W,COUNTA($B:$B)+14-COUNTA($B$1:$B$14)))</f>
        <v>0</v>
      </c>
      <c r="X4" s="176" t="str">
        <f aca="false">IF(SUM($T$4)=0,"",SUM($AC$4)/(SUM($T$4)))</f>
        <v/>
      </c>
      <c r="Y4" s="177"/>
      <c r="Z4" s="177" t="str">
        <f aca="false">IF(SUM($AC$4)=0,"",SUM($AD$4)/(SUM($AC$4)))</f>
        <v/>
      </c>
      <c r="AA4" s="177"/>
      <c r="AB4" s="177" t="str">
        <f aca="false">IF(SUM($AC$4)=0,"",SUM($AE$4)/(SUM($AC$4)-SUM($AD$4)))</f>
        <v/>
      </c>
      <c r="AC4" s="166" t="n">
        <f aca="false">SUBTOTAL(109,AC$15:INDEX(AC:AC,COUNTA($B:$B)+14-COUNTA($B$1:$B$14)))</f>
        <v>0</v>
      </c>
      <c r="AD4" s="244" t="n">
        <f aca="false">IF(COUNTIF(AD$15:INDEX($AD:$AD,COUNTA($B:$B)+14-COUNTA($B$1:$B$14)),"&lt;0")&gt;0,"RESOLVE NEGATIVES",SUBTOTAL(109,AD$15:INDEX(AD:AD,COUNTA($B:$B)+14-COUNTA($B$1:$B$14))))</f>
        <v>0</v>
      </c>
      <c r="AE4" s="166" t="n">
        <f aca="false">SUBTOTAL(109,AE$15:INDEX(AE:AE,COUNTA($B:$B)+14-COUNTA($B$1:$B$14)))</f>
        <v>0</v>
      </c>
      <c r="AF4" s="166" t="n">
        <f aca="false">SUBTOTAL(109,AF$15:INDEX(AF:AF,COUNTA($B:$B)+14-COUNTA($B$1:$B$14)))</f>
        <v>0</v>
      </c>
      <c r="AG4" s="245" t="n">
        <f aca="false">SUBTOTAL(109,AG$15:INDEX(AG:AG,COUNTA($B:$B)+14-COUNTA($B$1:$B$14)))</f>
        <v>0</v>
      </c>
      <c r="AH4" s="166" t="n">
        <f aca="false">SUBTOTAL(109,AH$15:INDEX(AH:AH,COUNTA($B:$B)+14-COUNTA($B$1:$B$14)))</f>
        <v>0</v>
      </c>
      <c r="AI4" s="166" t="n">
        <f aca="false">SUBTOTAL(109,AI$15:INDEX(AI:AI,COUNTA($B:$B)+14-COUNTA($B$1:$B$14)))</f>
        <v>0</v>
      </c>
      <c r="AJ4" s="166" t="n">
        <f aca="false">SUBTOTAL(109,AJ$15:INDEX(AJ:AJ,COUNTA($B:$B)+14-COUNTA($B$1:$B$14)))</f>
        <v>0</v>
      </c>
      <c r="AK4" s="176"/>
      <c r="AL4" s="166" t="n">
        <f aca="false">SUBTOTAL(109,AL$15:INDEX(AL:AL,COUNTA($B:$B)+14-COUNTA($B$1:$B$14)))</f>
        <v>0</v>
      </c>
      <c r="AM4" s="166" t="n">
        <f aca="false">SUBTOTAL(109,AM$15:INDEX(AM:AM,COUNTA($B:$B)+14-COUNTA($B$1:$B$14)))</f>
        <v>0</v>
      </c>
      <c r="AN4" s="245" t="n">
        <f aca="false">SUBTOTAL(109,AN$15:INDEX(AN:AN,COUNTA($B:$B)+14-COUNTA($B$1:$B$14)))</f>
        <v>0</v>
      </c>
      <c r="AO4" s="166" t="n">
        <f aca="false">SUBTOTAL(109,AO$15:INDEX(AO:AO,COUNTA($B:$B)+14-COUNTA($B$1:$B$14)))</f>
        <v>0</v>
      </c>
      <c r="AP4" s="166" t="n">
        <f aca="false">SUBTOTAL(109,AP$15:INDEX(AP:AP,COUNTA($B:$B)+14-COUNTA($B$1:$B$14)))</f>
        <v>0</v>
      </c>
      <c r="AQ4" s="242" t="n">
        <f aca="false">SUBTOTAL(109,AQ$15:INDEX(AQ:AQ,COUNTA($B:$B)+14-COUNTA($B$1:$B$14)))</f>
        <v>0</v>
      </c>
      <c r="AR4" s="246"/>
      <c r="AS4" s="246"/>
      <c r="AT4" s="246"/>
      <c r="AU4" s="166" t="n">
        <f aca="false">SUBTOTAL(109,AU$15:INDEX(AU:AU,COUNTA($B:$B)+14-COUNTA($B$1:$B$14)))</f>
        <v>0</v>
      </c>
      <c r="AV4" s="166" t="n">
        <f aca="false">SUBTOTAL(109,AV$15:INDEX(AV:AV,COUNTA($B:$B)+14-COUNTA($B$1:$B$14)))</f>
        <v>0</v>
      </c>
      <c r="AW4" s="178" t="n">
        <f aca="false">SUBTOTAL(109,AW$15:INDEX(AW:AW,COUNTA($B:$B)+14-COUNTA($B$1:$B$14)))</f>
        <v>0</v>
      </c>
      <c r="AX4" s="242" t="n">
        <f aca="false">SUBTOTAL(109,AX$15:INDEX(AX:AX,COUNTA($B:$B)+14-COUNTA($B$1:$B$14)))</f>
        <v>0</v>
      </c>
      <c r="AY4" s="178" t="n">
        <f aca="false">SUBTOTAL(109,AY$15:INDEX(AY:AY,COUNTA($B:$B)+14-COUNTA($B$1:$B$14)))</f>
        <v>0</v>
      </c>
    </row>
    <row r="5" customFormat="false" ht="16" hidden="false" customHeight="false" outlineLevel="0" collapsed="false">
      <c r="A5" s="25" t="s">
        <v>60</v>
      </c>
      <c r="B5" s="81" t="s">
        <v>60</v>
      </c>
      <c r="C5" s="81" t="s">
        <v>60</v>
      </c>
      <c r="D5" s="81" t="s">
        <v>60</v>
      </c>
      <c r="E5" s="81" t="s">
        <v>60</v>
      </c>
      <c r="F5" s="78" t="s">
        <v>60</v>
      </c>
      <c r="G5" s="78" t="s">
        <v>60</v>
      </c>
      <c r="H5" s="209" t="s">
        <v>60</v>
      </c>
      <c r="I5" s="78" t="s">
        <v>60</v>
      </c>
      <c r="J5" s="92" t="s">
        <v>60</v>
      </c>
      <c r="K5" s="79" t="s">
        <v>168</v>
      </c>
      <c r="L5" s="79" t="s">
        <v>168</v>
      </c>
      <c r="M5" s="79" t="s">
        <v>168</v>
      </c>
      <c r="N5" s="79" t="s">
        <v>168</v>
      </c>
      <c r="O5" s="79" t="s">
        <v>168</v>
      </c>
      <c r="P5" s="79" t="s">
        <v>168</v>
      </c>
      <c r="Q5" s="79" t="s">
        <v>168</v>
      </c>
      <c r="R5" s="213" t="s">
        <v>169</v>
      </c>
      <c r="S5" s="92" t="s">
        <v>60</v>
      </c>
      <c r="T5" s="79" t="s">
        <v>169</v>
      </c>
      <c r="U5" s="91" t="s">
        <v>60</v>
      </c>
      <c r="V5" s="92" t="s">
        <v>60</v>
      </c>
      <c r="W5" s="79" t="s">
        <v>168</v>
      </c>
      <c r="X5" s="91" t="s">
        <v>60</v>
      </c>
      <c r="Y5" s="92" t="s">
        <v>60</v>
      </c>
      <c r="Z5" s="92" t="s">
        <v>60</v>
      </c>
      <c r="AA5" s="92" t="s">
        <v>60</v>
      </c>
      <c r="AB5" s="92" t="s">
        <v>60</v>
      </c>
      <c r="AC5" s="79" t="s">
        <v>60</v>
      </c>
      <c r="AD5" s="211" t="s">
        <v>169</v>
      </c>
      <c r="AE5" s="79" t="s">
        <v>169</v>
      </c>
      <c r="AF5" s="79" t="s">
        <v>169</v>
      </c>
      <c r="AG5" s="89" t="s">
        <v>60</v>
      </c>
      <c r="AH5" s="79" t="s">
        <v>168</v>
      </c>
      <c r="AI5" s="79" t="s">
        <v>168</v>
      </c>
      <c r="AJ5" s="79" t="s">
        <v>168</v>
      </c>
      <c r="AK5" s="91" t="s">
        <v>60</v>
      </c>
      <c r="AL5" s="90" t="s">
        <v>169</v>
      </c>
      <c r="AM5" s="79" t="s">
        <v>169</v>
      </c>
      <c r="AN5" s="89" t="s">
        <v>168</v>
      </c>
      <c r="AO5" s="90" t="s">
        <v>168</v>
      </c>
      <c r="AP5" s="79" t="s">
        <v>168</v>
      </c>
      <c r="AQ5" s="213" t="s">
        <v>60</v>
      </c>
      <c r="AR5" s="92" t="s">
        <v>60</v>
      </c>
      <c r="AS5" s="92" t="s">
        <v>60</v>
      </c>
      <c r="AT5" s="92" t="s">
        <v>60</v>
      </c>
      <c r="AU5" s="90" t="s">
        <v>169</v>
      </c>
      <c r="AV5" s="79" t="s">
        <v>169</v>
      </c>
      <c r="AW5" s="78" t="s">
        <v>60</v>
      </c>
      <c r="AX5" s="213" t="s">
        <v>60</v>
      </c>
      <c r="AY5" s="214" t="s">
        <v>60</v>
      </c>
      <c r="AZ5" s="208" t="s">
        <v>60</v>
      </c>
      <c r="BA5" s="208" t="s">
        <v>60</v>
      </c>
      <c r="BB5" s="208" t="s">
        <v>60</v>
      </c>
      <c r="BC5" s="208" t="s">
        <v>60</v>
      </c>
      <c r="BD5" s="208" t="s">
        <v>60</v>
      </c>
    </row>
    <row r="6" customFormat="false" ht="16" hidden="false" customHeight="false" outlineLevel="0" collapsed="false">
      <c r="A6" s="25" t="s">
        <v>62</v>
      </c>
      <c r="B6" s="81" t="s">
        <v>62</v>
      </c>
      <c r="C6" s="81" t="s">
        <v>62</v>
      </c>
      <c r="D6" s="81" t="s">
        <v>62</v>
      </c>
      <c r="E6" s="81" t="s">
        <v>62</v>
      </c>
      <c r="F6" s="78" t="s">
        <v>65</v>
      </c>
      <c r="G6" s="78" t="s">
        <v>65</v>
      </c>
      <c r="H6" s="209" t="s">
        <v>65</v>
      </c>
      <c r="I6" s="78" t="s">
        <v>65</v>
      </c>
      <c r="J6" s="92" t="s">
        <v>65</v>
      </c>
      <c r="K6" s="79" t="s">
        <v>64</v>
      </c>
      <c r="L6" s="79" t="s">
        <v>64</v>
      </c>
      <c r="M6" s="79" t="s">
        <v>64</v>
      </c>
      <c r="N6" s="79" t="s">
        <v>64</v>
      </c>
      <c r="O6" s="79" t="s">
        <v>64</v>
      </c>
      <c r="P6" s="79" t="s">
        <v>64</v>
      </c>
      <c r="Q6" s="79" t="s">
        <v>64</v>
      </c>
      <c r="R6" s="213" t="s">
        <v>63</v>
      </c>
      <c r="S6" s="92" t="s">
        <v>171</v>
      </c>
      <c r="T6" s="79" t="s">
        <v>64</v>
      </c>
      <c r="U6" s="91" t="s">
        <v>65</v>
      </c>
      <c r="V6" s="92" t="s">
        <v>171</v>
      </c>
      <c r="W6" s="79" t="s">
        <v>64</v>
      </c>
      <c r="X6" s="91" t="s">
        <v>171</v>
      </c>
      <c r="Y6" s="92" t="s">
        <v>172</v>
      </c>
      <c r="Z6" s="92" t="s">
        <v>171</v>
      </c>
      <c r="AA6" s="92" t="s">
        <v>172</v>
      </c>
      <c r="AB6" s="92" t="s">
        <v>171</v>
      </c>
      <c r="AC6" s="79" t="s">
        <v>65</v>
      </c>
      <c r="AD6" s="211" t="s">
        <v>64</v>
      </c>
      <c r="AE6" s="79" t="s">
        <v>64</v>
      </c>
      <c r="AF6" s="79" t="s">
        <v>64</v>
      </c>
      <c r="AG6" s="89" t="s">
        <v>65</v>
      </c>
      <c r="AH6" s="79" t="s">
        <v>64</v>
      </c>
      <c r="AI6" s="79" t="s">
        <v>64</v>
      </c>
      <c r="AJ6" s="79" t="s">
        <v>64</v>
      </c>
      <c r="AK6" s="91" t="s">
        <v>171</v>
      </c>
      <c r="AL6" s="90" t="s">
        <v>64</v>
      </c>
      <c r="AM6" s="79" t="s">
        <v>64</v>
      </c>
      <c r="AN6" s="89" t="s">
        <v>64</v>
      </c>
      <c r="AO6" s="90" t="s">
        <v>64</v>
      </c>
      <c r="AP6" s="79" t="s">
        <v>64</v>
      </c>
      <c r="AQ6" s="213" t="s">
        <v>65</v>
      </c>
      <c r="AR6" s="92" t="s">
        <v>172</v>
      </c>
      <c r="AS6" s="92" t="s">
        <v>171</v>
      </c>
      <c r="AT6" s="92" t="s">
        <v>171</v>
      </c>
      <c r="AU6" s="90" t="s">
        <v>64</v>
      </c>
      <c r="AV6" s="79" t="s">
        <v>64</v>
      </c>
      <c r="AW6" s="78" t="s">
        <v>65</v>
      </c>
      <c r="AX6" s="213" t="s">
        <v>65</v>
      </c>
      <c r="AY6" s="214" t="s">
        <v>65</v>
      </c>
      <c r="AZ6" s="208" t="s">
        <v>65</v>
      </c>
      <c r="BA6" s="208" t="s">
        <v>65</v>
      </c>
      <c r="BB6" s="208" t="s">
        <v>65</v>
      </c>
      <c r="BC6" s="208" t="s">
        <v>65</v>
      </c>
      <c r="BD6" s="208" t="s">
        <v>65</v>
      </c>
    </row>
    <row r="7" customFormat="false" ht="16" hidden="false" customHeight="false" outlineLevel="0" collapsed="false">
      <c r="A7" s="25" t="s">
        <v>66</v>
      </c>
      <c r="B7" s="81" t="s">
        <v>66</v>
      </c>
      <c r="C7" s="81" t="s">
        <v>66</v>
      </c>
      <c r="D7" s="81" t="s">
        <v>66</v>
      </c>
      <c r="E7" s="81" t="s">
        <v>66</v>
      </c>
      <c r="F7" s="78" t="s">
        <v>67</v>
      </c>
      <c r="G7" s="78" t="s">
        <v>67</v>
      </c>
      <c r="H7" s="209" t="s">
        <v>173</v>
      </c>
      <c r="I7" s="78" t="s">
        <v>67</v>
      </c>
      <c r="J7" s="92" t="s">
        <v>173</v>
      </c>
      <c r="K7" s="79" t="s">
        <v>67</v>
      </c>
      <c r="L7" s="79" t="s">
        <v>67</v>
      </c>
      <c r="M7" s="79" t="s">
        <v>67</v>
      </c>
      <c r="N7" s="79" t="s">
        <v>67</v>
      </c>
      <c r="O7" s="79" t="s">
        <v>67</v>
      </c>
      <c r="P7" s="79" t="s">
        <v>67</v>
      </c>
      <c r="Q7" s="79" t="s">
        <v>67</v>
      </c>
      <c r="R7" s="213" t="s">
        <v>67</v>
      </c>
      <c r="S7" s="92" t="s">
        <v>173</v>
      </c>
      <c r="T7" s="79" t="s">
        <v>67</v>
      </c>
      <c r="U7" s="91" t="s">
        <v>173</v>
      </c>
      <c r="V7" s="92" t="s">
        <v>173</v>
      </c>
      <c r="W7" s="79" t="s">
        <v>67</v>
      </c>
      <c r="X7" s="91" t="s">
        <v>173</v>
      </c>
      <c r="Y7" s="92" t="s">
        <v>173</v>
      </c>
      <c r="Z7" s="92" t="s">
        <v>173</v>
      </c>
      <c r="AA7" s="92" t="s">
        <v>173</v>
      </c>
      <c r="AB7" s="92" t="s">
        <v>173</v>
      </c>
      <c r="AC7" s="79" t="s">
        <v>67</v>
      </c>
      <c r="AD7" s="211" t="s">
        <v>67</v>
      </c>
      <c r="AE7" s="79" t="s">
        <v>67</v>
      </c>
      <c r="AF7" s="79" t="s">
        <v>67</v>
      </c>
      <c r="AG7" s="89" t="s">
        <v>67</v>
      </c>
      <c r="AH7" s="79" t="s">
        <v>67</v>
      </c>
      <c r="AI7" s="79" t="s">
        <v>67</v>
      </c>
      <c r="AJ7" s="79" t="s">
        <v>67</v>
      </c>
      <c r="AK7" s="91" t="s">
        <v>173</v>
      </c>
      <c r="AL7" s="90" t="s">
        <v>67</v>
      </c>
      <c r="AM7" s="79" t="s">
        <v>67</v>
      </c>
      <c r="AN7" s="89" t="s">
        <v>67</v>
      </c>
      <c r="AO7" s="90" t="s">
        <v>67</v>
      </c>
      <c r="AP7" s="79" t="s">
        <v>67</v>
      </c>
      <c r="AQ7" s="213" t="s">
        <v>67</v>
      </c>
      <c r="AR7" s="92" t="s">
        <v>173</v>
      </c>
      <c r="AS7" s="92" t="s">
        <v>173</v>
      </c>
      <c r="AT7" s="92" t="s">
        <v>173</v>
      </c>
      <c r="AU7" s="90" t="s">
        <v>67</v>
      </c>
      <c r="AV7" s="79" t="s">
        <v>67</v>
      </c>
      <c r="AW7" s="78" t="s">
        <v>67</v>
      </c>
      <c r="AX7" s="213" t="s">
        <v>67</v>
      </c>
      <c r="AY7" s="214" t="s">
        <v>67</v>
      </c>
      <c r="AZ7" s="208" t="s">
        <v>173</v>
      </c>
      <c r="BA7" s="208" t="s">
        <v>173</v>
      </c>
      <c r="BB7" s="208" t="s">
        <v>173</v>
      </c>
      <c r="BC7" s="208" t="s">
        <v>173</v>
      </c>
      <c r="BD7" s="208" t="s">
        <v>173</v>
      </c>
    </row>
    <row r="8" customFormat="false" ht="16" hidden="false" customHeight="false" outlineLevel="0" collapsed="false">
      <c r="F8" s="78"/>
      <c r="G8" s="78"/>
      <c r="I8" s="78"/>
      <c r="K8" s="247" t="s">
        <v>324</v>
      </c>
      <c r="L8" s="247" t="s">
        <v>325</v>
      </c>
      <c r="M8" s="247" t="s">
        <v>325</v>
      </c>
      <c r="N8" s="247" t="s">
        <v>325</v>
      </c>
      <c r="O8" s="247" t="s">
        <v>326</v>
      </c>
      <c r="P8" s="247" t="s">
        <v>327</v>
      </c>
      <c r="Q8" s="247" t="s">
        <v>327</v>
      </c>
      <c r="R8" s="213" t="s">
        <v>328</v>
      </c>
      <c r="T8" s="79" t="s">
        <v>328</v>
      </c>
      <c r="W8" s="185" t="s">
        <v>324</v>
      </c>
      <c r="AD8" s="211" t="s">
        <v>329</v>
      </c>
      <c r="AE8" s="79" t="s">
        <v>329</v>
      </c>
      <c r="AF8" s="79" t="s">
        <v>329</v>
      </c>
      <c r="AH8" s="79" t="s">
        <v>325</v>
      </c>
      <c r="AI8" s="79" t="s">
        <v>325</v>
      </c>
      <c r="AJ8" s="79" t="s">
        <v>325</v>
      </c>
      <c r="AK8" s="91"/>
      <c r="AL8" s="90" t="s">
        <v>330</v>
      </c>
      <c r="AM8" s="185" t="s">
        <v>330</v>
      </c>
      <c r="AN8" s="248" t="s">
        <v>326</v>
      </c>
      <c r="AO8" s="249" t="s">
        <v>327</v>
      </c>
      <c r="AP8" s="185" t="s">
        <v>327</v>
      </c>
      <c r="AU8" s="90" t="s">
        <v>331</v>
      </c>
      <c r="AV8" s="79" t="s">
        <v>331</v>
      </c>
    </row>
    <row r="9" customFormat="false" ht="16" hidden="false" customHeight="false" outlineLevel="0" collapsed="false">
      <c r="F9" s="78"/>
      <c r="G9" s="78"/>
      <c r="I9" s="78"/>
      <c r="K9" s="185"/>
      <c r="L9" s="185"/>
      <c r="M9" s="185"/>
      <c r="N9" s="185"/>
      <c r="O9" s="185"/>
      <c r="P9" s="185"/>
      <c r="Q9" s="185"/>
      <c r="R9" s="213" t="s">
        <v>332</v>
      </c>
      <c r="T9" s="79" t="s">
        <v>332</v>
      </c>
      <c r="W9" s="185"/>
      <c r="AD9" s="211" t="s">
        <v>333</v>
      </c>
      <c r="AE9" s="79" t="s">
        <v>333</v>
      </c>
      <c r="AF9" s="79" t="s">
        <v>333</v>
      </c>
      <c r="AK9" s="91"/>
      <c r="AL9" s="90" t="s">
        <v>334</v>
      </c>
      <c r="AM9" s="185" t="s">
        <v>334</v>
      </c>
      <c r="AN9" s="248"/>
      <c r="AO9" s="249"/>
      <c r="AP9" s="185"/>
      <c r="AU9" s="90" t="s">
        <v>335</v>
      </c>
      <c r="AV9" s="79" t="s">
        <v>335</v>
      </c>
    </row>
    <row r="10" customFormat="false" ht="16" hidden="false" customHeight="false" outlineLevel="0" collapsed="false">
      <c r="F10" s="78"/>
      <c r="G10" s="78"/>
      <c r="I10" s="78"/>
      <c r="K10" s="247"/>
      <c r="L10" s="247" t="s">
        <v>336</v>
      </c>
      <c r="M10" s="247" t="s">
        <v>337</v>
      </c>
      <c r="N10" s="247" t="s">
        <v>338</v>
      </c>
      <c r="O10" s="247" t="s">
        <v>193</v>
      </c>
      <c r="P10" s="247" t="s">
        <v>339</v>
      </c>
      <c r="Q10" s="247" t="s">
        <v>340</v>
      </c>
      <c r="R10" s="213"/>
      <c r="T10" s="79"/>
      <c r="W10" s="185"/>
      <c r="AD10" s="211" t="s">
        <v>336</v>
      </c>
      <c r="AE10" s="79" t="s">
        <v>337</v>
      </c>
      <c r="AF10" s="79" t="s">
        <v>338</v>
      </c>
      <c r="AH10" s="185" t="s">
        <v>336</v>
      </c>
      <c r="AI10" s="185" t="s">
        <v>337</v>
      </c>
      <c r="AJ10" s="185" t="s">
        <v>338</v>
      </c>
      <c r="AK10" s="91"/>
      <c r="AL10" s="90" t="s">
        <v>339</v>
      </c>
      <c r="AM10" s="185" t="s">
        <v>340</v>
      </c>
      <c r="AN10" s="248" t="s">
        <v>193</v>
      </c>
      <c r="AO10" s="249" t="s">
        <v>339</v>
      </c>
      <c r="AP10" s="185" t="s">
        <v>340</v>
      </c>
      <c r="AU10" s="90" t="s">
        <v>193</v>
      </c>
      <c r="AV10" s="79" t="s">
        <v>341</v>
      </c>
    </row>
    <row r="11" customFormat="false" ht="16" hidden="false" customHeight="false" outlineLevel="0" collapsed="false">
      <c r="F11" s="78" t="s">
        <v>198</v>
      </c>
      <c r="G11" s="78" t="s">
        <v>198</v>
      </c>
      <c r="H11" s="209" t="s">
        <v>198</v>
      </c>
      <c r="I11" s="78" t="s">
        <v>198</v>
      </c>
      <c r="J11" s="92" t="s">
        <v>198</v>
      </c>
      <c r="K11" s="79" t="s">
        <v>198</v>
      </c>
      <c r="L11" s="79" t="s">
        <v>198</v>
      </c>
      <c r="M11" s="79" t="s">
        <v>198</v>
      </c>
      <c r="N11" s="79" t="s">
        <v>198</v>
      </c>
      <c r="O11" s="79" t="s">
        <v>198</v>
      </c>
      <c r="P11" s="79" t="s">
        <v>198</v>
      </c>
      <c r="Q11" s="79" t="s">
        <v>198</v>
      </c>
      <c r="R11" s="213" t="s">
        <v>198</v>
      </c>
      <c r="S11" s="92" t="s">
        <v>198</v>
      </c>
      <c r="T11" s="79" t="s">
        <v>198</v>
      </c>
      <c r="U11" s="91" t="s">
        <v>198</v>
      </c>
      <c r="V11" s="92" t="s">
        <v>198</v>
      </c>
      <c r="W11" s="79" t="s">
        <v>198</v>
      </c>
      <c r="X11" s="91" t="s">
        <v>198</v>
      </c>
      <c r="Y11" s="92" t="s">
        <v>198</v>
      </c>
      <c r="Z11" s="92" t="s">
        <v>198</v>
      </c>
      <c r="AA11" s="92" t="s">
        <v>198</v>
      </c>
      <c r="AB11" s="92" t="s">
        <v>198</v>
      </c>
      <c r="AC11" s="79" t="s">
        <v>198</v>
      </c>
      <c r="AD11" s="211" t="s">
        <v>198</v>
      </c>
      <c r="AE11" s="79" t="s">
        <v>198</v>
      </c>
      <c r="AF11" s="79" t="s">
        <v>198</v>
      </c>
      <c r="AG11" s="89" t="s">
        <v>198</v>
      </c>
      <c r="AH11" s="79" t="s">
        <v>198</v>
      </c>
      <c r="AI11" s="79" t="s">
        <v>198</v>
      </c>
      <c r="AJ11" s="79" t="s">
        <v>198</v>
      </c>
      <c r="AK11" s="91" t="s">
        <v>198</v>
      </c>
      <c r="AL11" s="90" t="s">
        <v>198</v>
      </c>
      <c r="AM11" s="79" t="s">
        <v>198</v>
      </c>
      <c r="AN11" s="89" t="s">
        <v>198</v>
      </c>
      <c r="AO11" s="90" t="s">
        <v>198</v>
      </c>
      <c r="AP11" s="79" t="s">
        <v>198</v>
      </c>
      <c r="AQ11" s="213" t="s">
        <v>198</v>
      </c>
      <c r="AR11" s="92" t="s">
        <v>198</v>
      </c>
      <c r="AS11" s="92" t="s">
        <v>198</v>
      </c>
      <c r="AT11" s="92" t="s">
        <v>198</v>
      </c>
      <c r="AU11" s="90" t="s">
        <v>198</v>
      </c>
      <c r="AV11" s="79" t="s">
        <v>198</v>
      </c>
      <c r="AW11" s="78" t="s">
        <v>198</v>
      </c>
      <c r="AX11" s="213" t="s">
        <v>198</v>
      </c>
      <c r="AY11" s="214" t="s">
        <v>198</v>
      </c>
      <c r="AZ11" s="208" t="s">
        <v>198</v>
      </c>
      <c r="BA11" s="208" t="s">
        <v>198</v>
      </c>
      <c r="BB11" s="208" t="s">
        <v>198</v>
      </c>
      <c r="BC11" s="208" t="s">
        <v>198</v>
      </c>
      <c r="BD11" s="208" t="s">
        <v>198</v>
      </c>
    </row>
    <row r="12" customFormat="false" ht="16" hidden="false" customHeight="false" outlineLevel="0" collapsed="false">
      <c r="F12" s="78" t="s">
        <v>201</v>
      </c>
      <c r="G12" s="78" t="s">
        <v>201</v>
      </c>
      <c r="H12" s="209" t="s">
        <v>201</v>
      </c>
      <c r="I12" s="78" t="s">
        <v>201</v>
      </c>
      <c r="J12" s="92" t="s">
        <v>201</v>
      </c>
      <c r="K12" s="79" t="s">
        <v>201</v>
      </c>
      <c r="L12" s="79" t="s">
        <v>201</v>
      </c>
      <c r="M12" s="79" t="s">
        <v>201</v>
      </c>
      <c r="N12" s="79" t="s">
        <v>201</v>
      </c>
      <c r="O12" s="79" t="s">
        <v>201</v>
      </c>
      <c r="P12" s="79" t="s">
        <v>201</v>
      </c>
      <c r="Q12" s="79" t="s">
        <v>201</v>
      </c>
      <c r="R12" s="213" t="s">
        <v>201</v>
      </c>
      <c r="S12" s="92" t="s">
        <v>201</v>
      </c>
      <c r="T12" s="79" t="s">
        <v>201</v>
      </c>
      <c r="U12" s="91" t="s">
        <v>201</v>
      </c>
      <c r="V12" s="92" t="s">
        <v>201</v>
      </c>
      <c r="W12" s="79" t="s">
        <v>201</v>
      </c>
      <c r="X12" s="91" t="s">
        <v>201</v>
      </c>
      <c r="Y12" s="92" t="s">
        <v>201</v>
      </c>
      <c r="Z12" s="92" t="s">
        <v>201</v>
      </c>
      <c r="AA12" s="92" t="s">
        <v>201</v>
      </c>
      <c r="AB12" s="92" t="s">
        <v>201</v>
      </c>
      <c r="AC12" s="79" t="s">
        <v>201</v>
      </c>
      <c r="AD12" s="211" t="s">
        <v>201</v>
      </c>
      <c r="AE12" s="79" t="s">
        <v>201</v>
      </c>
      <c r="AF12" s="79" t="s">
        <v>201</v>
      </c>
      <c r="AG12" s="89" t="s">
        <v>201</v>
      </c>
      <c r="AH12" s="79" t="s">
        <v>201</v>
      </c>
      <c r="AI12" s="79" t="s">
        <v>201</v>
      </c>
      <c r="AJ12" s="79" t="s">
        <v>201</v>
      </c>
      <c r="AK12" s="91" t="s">
        <v>201</v>
      </c>
      <c r="AL12" s="90" t="s">
        <v>201</v>
      </c>
      <c r="AM12" s="79" t="s">
        <v>201</v>
      </c>
      <c r="AN12" s="89" t="s">
        <v>201</v>
      </c>
      <c r="AO12" s="90" t="s">
        <v>201</v>
      </c>
      <c r="AP12" s="79" t="s">
        <v>201</v>
      </c>
      <c r="AQ12" s="213" t="s">
        <v>201</v>
      </c>
      <c r="AR12" s="92" t="s">
        <v>201</v>
      </c>
      <c r="AS12" s="92" t="s">
        <v>201</v>
      </c>
      <c r="AT12" s="92" t="s">
        <v>201</v>
      </c>
      <c r="AU12" s="90" t="s">
        <v>201</v>
      </c>
      <c r="AV12" s="79" t="s">
        <v>201</v>
      </c>
      <c r="AW12" s="78" t="s">
        <v>201</v>
      </c>
      <c r="AX12" s="213" t="s">
        <v>201</v>
      </c>
      <c r="AY12" s="214" t="s">
        <v>201</v>
      </c>
      <c r="AZ12" s="208" t="s">
        <v>201</v>
      </c>
      <c r="BA12" s="208" t="s">
        <v>201</v>
      </c>
      <c r="BB12" s="208" t="s">
        <v>201</v>
      </c>
      <c r="BC12" s="208" t="s">
        <v>201</v>
      </c>
      <c r="BD12" s="208" t="s">
        <v>201</v>
      </c>
    </row>
    <row r="13" customFormat="false" ht="16" hidden="false" customHeight="false" outlineLevel="0" collapsed="false">
      <c r="F13" s="78"/>
      <c r="G13" s="78"/>
      <c r="I13" s="78"/>
      <c r="K13" s="79"/>
      <c r="L13" s="79"/>
      <c r="M13" s="79"/>
      <c r="N13" s="79"/>
      <c r="O13" s="79"/>
      <c r="P13" s="79"/>
      <c r="Q13" s="79"/>
      <c r="R13" s="213"/>
      <c r="T13" s="79"/>
      <c r="W13" s="79"/>
      <c r="AK13" s="91"/>
    </row>
    <row r="14" customFormat="false" ht="16" hidden="false" customHeight="false" outlineLevel="0" collapsed="false">
      <c r="A14" s="75" t="s">
        <v>69</v>
      </c>
      <c r="B14" s="75" t="s">
        <v>70</v>
      </c>
      <c r="C14" s="75" t="s">
        <v>203</v>
      </c>
      <c r="D14" s="75" t="s">
        <v>204</v>
      </c>
      <c r="E14" s="75" t="s">
        <v>40</v>
      </c>
      <c r="F14" s="190" t="s">
        <v>205</v>
      </c>
      <c r="G14" s="190" t="s">
        <v>207</v>
      </c>
      <c r="H14" s="188" t="s">
        <v>209</v>
      </c>
      <c r="I14" s="190" t="s">
        <v>215</v>
      </c>
      <c r="J14" s="250" t="s">
        <v>224</v>
      </c>
      <c r="K14" s="187" t="s">
        <v>342</v>
      </c>
      <c r="L14" s="187" t="s">
        <v>343</v>
      </c>
      <c r="M14" s="187" t="s">
        <v>344</v>
      </c>
      <c r="N14" s="187" t="s">
        <v>345</v>
      </c>
      <c r="O14" s="187" t="s">
        <v>346</v>
      </c>
      <c r="P14" s="187" t="s">
        <v>347</v>
      </c>
      <c r="Q14" s="187" t="s">
        <v>348</v>
      </c>
      <c r="R14" s="251" t="s">
        <v>349</v>
      </c>
      <c r="S14" s="206" t="s">
        <v>350</v>
      </c>
      <c r="T14" s="206" t="s">
        <v>351</v>
      </c>
      <c r="U14" s="252" t="s">
        <v>352</v>
      </c>
      <c r="V14" s="206" t="s">
        <v>353</v>
      </c>
      <c r="W14" s="206" t="s">
        <v>354</v>
      </c>
      <c r="X14" s="252" t="s">
        <v>355</v>
      </c>
      <c r="Y14" s="250" t="s">
        <v>356</v>
      </c>
      <c r="Z14" s="206" t="s">
        <v>357</v>
      </c>
      <c r="AA14" s="250" t="s">
        <v>358</v>
      </c>
      <c r="AB14" s="206" t="s">
        <v>359</v>
      </c>
      <c r="AC14" s="253" t="s">
        <v>360</v>
      </c>
      <c r="AD14" s="206" t="s">
        <v>361</v>
      </c>
      <c r="AE14" s="206" t="s">
        <v>257</v>
      </c>
      <c r="AF14" s="206" t="s">
        <v>362</v>
      </c>
      <c r="AG14" s="252" t="s">
        <v>363</v>
      </c>
      <c r="AH14" s="206" t="s">
        <v>364</v>
      </c>
      <c r="AI14" s="206" t="s">
        <v>365</v>
      </c>
      <c r="AJ14" s="206" t="s">
        <v>366</v>
      </c>
      <c r="AK14" s="254" t="s">
        <v>367</v>
      </c>
      <c r="AL14" s="206" t="s">
        <v>368</v>
      </c>
      <c r="AM14" s="206" t="s">
        <v>369</v>
      </c>
      <c r="AN14" s="252" t="s">
        <v>370</v>
      </c>
      <c r="AO14" s="255" t="s">
        <v>371</v>
      </c>
      <c r="AP14" s="206" t="s">
        <v>372</v>
      </c>
      <c r="AQ14" s="252" t="s">
        <v>373</v>
      </c>
      <c r="AR14" s="250" t="s">
        <v>374</v>
      </c>
      <c r="AS14" s="250" t="s">
        <v>375</v>
      </c>
      <c r="AT14" s="250" t="s">
        <v>376</v>
      </c>
      <c r="AU14" s="253" t="s">
        <v>258</v>
      </c>
      <c r="AV14" s="253" t="s">
        <v>377</v>
      </c>
      <c r="AW14" s="206" t="s">
        <v>378</v>
      </c>
      <c r="AX14" s="252" t="s">
        <v>379</v>
      </c>
      <c r="AY14" s="256" t="s">
        <v>380</v>
      </c>
      <c r="AZ14" s="257" t="s">
        <v>264</v>
      </c>
      <c r="BA14" s="257" t="s">
        <v>265</v>
      </c>
      <c r="BB14" s="257" t="s">
        <v>263</v>
      </c>
      <c r="BC14" s="257" t="s">
        <v>266</v>
      </c>
      <c r="BD14" s="257" t="s">
        <v>269</v>
      </c>
    </row>
    <row r="15" customFormat="false" ht="16" hidden="false" customHeight="false" outlineLevel="0" collapsed="false">
      <c r="E15" s="81" t="str">
        <f aca="false">B15&amp;"|"&amp;C15&amp;"|"&amp;D15</f>
        <v>||</v>
      </c>
      <c r="F15" s="93" t="str">
        <f aca="false">_xlfn.IFNA(INDEX(Cascade!$F:$F,MATCH($E15,Cascade!$E:$E,0)),"")</f>
        <v/>
      </c>
      <c r="G15" s="93" t="str">
        <f aca="false">_xlfn.IFNA(INDEX(Cascade!$H:$H,MATCH($E15,Cascade!$E:$E,0)),"")</f>
        <v/>
      </c>
      <c r="H15" s="209" t="str">
        <f aca="false">_xlfn.IFNA(INDEX(Cascade!$J:$J,MATCH($E15,Cascade!$E:$E,0)),"")</f>
        <v/>
      </c>
      <c r="I15" s="93" t="str">
        <f aca="false">_xlfn.IFNA(INDEX(Cascade!$P:$P,MATCH($E15,Cascade!$E:$E,0)),"")</f>
        <v/>
      </c>
      <c r="J15" s="92" t="str">
        <f aca="false">_xlfn.IFNA(INDEX(Cascade!$Y:$Y,MATCH($E15,Cascade!$E:$E,0)),"")</f>
        <v/>
      </c>
      <c r="K15" s="94" t="str">
        <f aca="false">_xlfn.IFNA(ROUND(INDEX(Spectrum!$N:$N,MATCH(RIGHT($B15,13)&amp;"|"&amp;$C15&amp;"|"&amp;$D15&amp;"|"&amp;K$14&amp;"|"&amp;"CY2021Q3",Spectrum!$Q:$Q,0)),0),"")</f>
        <v/>
      </c>
      <c r="L15" s="94" t="str">
        <f aca="false">_xlfn.IFNA(ROUND(INDEX(Spectrum!$N:$N,MATCH(RIGHT($B15,13)&amp;"|"&amp;$C15&amp;"|"&amp;$D15&amp;"|"&amp;L$14&amp;"|"&amp;"CY2021Q3",Spectrum!$Q:$Q,0)),0),"")</f>
        <v/>
      </c>
      <c r="M15" s="94" t="str">
        <f aca="false">_xlfn.IFNA(ROUND(INDEX(Spectrum!$N:$N,MATCH(RIGHT($B15,13)&amp;"|"&amp;$C15&amp;"|"&amp;$D15&amp;"|"&amp;M$14&amp;"|"&amp;"CY2021Q3",Spectrum!$Q:$Q,0)),0),"")</f>
        <v/>
      </c>
      <c r="N15" s="94" t="str">
        <f aca="false">_xlfn.IFNA(ROUND(INDEX(Spectrum!$N:$N,MATCH(RIGHT($B15,13)&amp;"|"&amp;$C15&amp;"|"&amp;$D15&amp;"|"&amp;N$14&amp;"|"&amp;"CY2021Q3",Spectrum!$Q:$Q,0)),0),"")</f>
        <v/>
      </c>
      <c r="O15" s="94" t="str">
        <f aca="false">_xlfn.IFNA(ROUND(INDEX(Spectrum!$N:$N,MATCH(RIGHT($B15,13)&amp;"|"&amp;$C15&amp;"|"&amp;$D15&amp;"|"&amp;O$14&amp;"|"&amp;"CY2021Q3",Spectrum!$Q:$Q,0)),0),"")</f>
        <v/>
      </c>
      <c r="P15" s="94" t="str">
        <f aca="false">_xlfn.IFNA(ROUND(INDEX(Spectrum!$N:$N,MATCH(RIGHT($B15,13)&amp;"|"&amp;$C15&amp;"|"&amp;$D15&amp;"|"&amp;P$14&amp;"|"&amp;"CY2021Q3",Spectrum!$Q:$Q,0)),0),"")</f>
        <v/>
      </c>
      <c r="Q15" s="94" t="str">
        <f aca="false">_xlfn.IFNA(ROUND(INDEX(Spectrum!$N:$N,MATCH(RIGHT($B15,13)&amp;"|"&amp;$C15&amp;"|"&amp;$D15&amp;"|"&amp;Q$14&amp;"|"&amp;"CY2021Q3",Spectrum!$Q:$Q,0)),0),"")</f>
        <v/>
      </c>
      <c r="S15" s="92" t="str">
        <f aca="false">IF(SUM($R15)&lt;=0,"",0%)</f>
        <v/>
      </c>
      <c r="T15" s="88" t="str">
        <f aca="false">IF(SUM($R15)&lt;=0,"",ROUND(MIN($R15,$K15)*(1+$S15),0))</f>
        <v/>
      </c>
      <c r="U15" s="91" t="str">
        <f aca="false">IF(SUM($K15)=0,IF(SUM($R15)=0,"",1),MIN(SUM($R15)/SUM($K15),1))</f>
        <v/>
      </c>
      <c r="V15" s="92" t="str">
        <f aca="false">$U15</f>
        <v/>
      </c>
      <c r="W15" s="88" t="str">
        <f aca="false">IF(SUM($T15)=0,"",ROUND(SUM($T15)/IF(SUM($V15)=0,1,SUM($V15)),0))</f>
        <v/>
      </c>
      <c r="X15" s="91" t="n">
        <v>1</v>
      </c>
      <c r="Z15" s="92" t="str">
        <f aca="false">IF(OR(SUM($K15)&lt;=0,SUM($L15)&lt;=0),IF(SUM($Y15)&lt;=0,"",$Y15),SUM($L15)/$K15)</f>
        <v/>
      </c>
      <c r="AB15" s="92" t="str">
        <f aca="false">IF(OR((SUM($K15)-SUM($L15))&lt;=0,SUM($M15)&lt;=0),IF(SUM($AA15)&lt;=0,"",$AA15),SUM($M15)/($K15-SUM($L15)))</f>
        <v/>
      </c>
      <c r="AC15" s="79" t="str">
        <f aca="false">IF(SUM($T15)&lt;=0,"",ROUND(SUM($T15)*$X15,0))</f>
        <v/>
      </c>
      <c r="AD15" s="79" t="str">
        <f aca="false">IF(SUM($AC15)&lt;=0,"",ROUND($AC15*SUM($Z15),0))</f>
        <v/>
      </c>
      <c r="AE15" s="79" t="str">
        <f aca="false">IF(SUM($T15)&lt;=0,"",ROUND(($AC15-$AD15)*SUM($AB15),0))</f>
        <v/>
      </c>
      <c r="AF15" s="79" t="str">
        <f aca="false">IF(SUM($AC15)&lt;=0,"",ROUND($AC15-$AD15-$AE15,0))</f>
        <v/>
      </c>
      <c r="AG15" s="89" t="str">
        <f aca="false">IF(SUM($W15)&lt;=0,"",ROUND(SUM($W15)*$X15,0))</f>
        <v/>
      </c>
      <c r="AH15" s="79" t="str">
        <f aca="false">IF(SUM($AG15)&lt;=0,"",ROUND($AG15*SUM($Z15),0))</f>
        <v/>
      </c>
      <c r="AI15" s="79" t="str">
        <f aca="false">IF(SUM($W15)&lt;=0,"",ROUND(($AG15-$AH15)*SUM($AB15),0))</f>
        <v/>
      </c>
      <c r="AJ15" s="79" t="str">
        <f aca="false">IF(SUM($AG15)&lt;=0,"",ROUND($AG15-$AH15-$AI15,0))</f>
        <v/>
      </c>
      <c r="AK15" s="91" t="n">
        <f aca="false">_xlfn.IFNA(INDEX(Cascade!$BA:$BA,MATCH($E15,Cascade!$E:$E,0)),"")</f>
        <v>0.95</v>
      </c>
      <c r="AL15" s="90" t="str">
        <f aca="false">IF(SUM($AD15)&lt;=0,"",$AD15)</f>
        <v/>
      </c>
      <c r="AM15" s="79" t="str">
        <f aca="false">IF(SUM($AE15)&lt;=0,"",ROUND($AE15*$AK15,0))</f>
        <v/>
      </c>
      <c r="AN15" s="89" t="str">
        <f aca="false">IF(AND(SUM($AH15)=0,SUM($AI15)=0),"",SUM($AH15)+SUM($AI15))</f>
        <v/>
      </c>
      <c r="AO15" s="90" t="str">
        <f aca="false">IF(SUM($AH15)&lt;=0,"",$AH15)</f>
        <v/>
      </c>
      <c r="AP15" s="79" t="str">
        <f aca="false">IF(SUM($AI15)&lt;=0,"",ROUND($AI15*$AK15,0))</f>
        <v/>
      </c>
      <c r="AQ15" s="213" t="str">
        <f aca="false">IF(SUM($T15,$AD15,$AE15)&lt;=0,"",MAX(SUM($T15,-$AD15,-$AE15),$AF15))</f>
        <v/>
      </c>
      <c r="AR15" s="258"/>
      <c r="AS15" s="258" t="str">
        <f aca="false">IF(SUM(AR15)=0,"",$AR15)</f>
        <v/>
      </c>
      <c r="AT15" s="258" t="n">
        <v>0.95</v>
      </c>
      <c r="AU15" s="90" t="str">
        <f aca="false">IF(SUM($AQ15)&lt;=0,"",ROUND(SUM($AQ15)*SUM($AS15),0))</f>
        <v/>
      </c>
      <c r="AV15" s="79" t="str">
        <f aca="false">IF(SUM($AQ15)&lt;=0,"",$AQ15-$AU15)</f>
        <v/>
      </c>
      <c r="AW15" s="78" t="str">
        <f aca="false">IF(SUM($AU15)&lt;=0,"",ROUND($AU15*$AT15,0))</f>
        <v/>
      </c>
      <c r="AX15" s="213" t="str">
        <f aca="false">IF(SUM($AE15,$AD15,$AU15)&lt;=0,"",SUM($AE15,$AD15,$AU15))</f>
        <v/>
      </c>
      <c r="AY15" s="214" t="str">
        <f aca="false">_xlfn.IFNA(INDEX(Cascade!$BD:$BD,MATCH($E15,Cascade!$E:$E,0)),"")</f>
        <v/>
      </c>
      <c r="AZ15" s="208" t="str">
        <f aca="false">IFERROR(IF(SUM($AE15)&lt;=0,"",$AE15/$AY15),"")</f>
        <v/>
      </c>
      <c r="BA15" s="208" t="str">
        <f aca="false">IFERROR(IF(SUM($AU15)&lt;=0,"",$AU15/$AY15),"")</f>
        <v/>
      </c>
      <c r="BB15" s="208" t="str">
        <f aca="false">_xlfn.IFNA(INDEX(Cascade!$BL:$BL,MATCH($E15,Cascade!$E:$E,0)),"")</f>
        <v/>
      </c>
      <c r="BC15" s="208" t="str">
        <f aca="false">_xlfn.IFNA(INDEX(Cascade!$BO:$BO,MATCH($E15,Cascade!$E:$E,0)),"")</f>
        <v/>
      </c>
      <c r="BD15" s="208" t="str">
        <f aca="false">_xlfn.IFNA(INDEX(Cascade!$BR:$BR,MATCH($E15,Cascade!$E:$E,0)),"")</f>
        <v/>
      </c>
    </row>
  </sheetData>
  <mergeCells count="1">
    <mergeCell ref="A2:B3"/>
  </mergeCells>
  <conditionalFormatting sqref="AK1:AK1048576 AR1:AT1048576 AZ1:BD1048576 X1:AB1048576 S1:S1048576 U1:V1048576">
    <cfRule type="expression" priority="2" aboveAverage="0" equalAverage="0" bottom="0" percent="0" rank="0" text="" dxfId="0">
      <formula>AND(ISNUMBER(S1),OR(S1&gt;1,S1&lt;0))</formula>
    </cfRule>
  </conditionalFormatting>
  <conditionalFormatting sqref="S1:S1048576">
    <cfRule type="expression" priority="3" aboveAverage="0" equalAverage="0" bottom="0" percent="0" rank="0" text="" dxfId="1">
      <formula>AND(ISNUMBER($S1),ROUND($S1,2)&lt;&gt;0)</formula>
    </cfRule>
  </conditionalFormatting>
  <conditionalFormatting sqref="AK1:AK1048576 AT1:AT1048576">
    <cfRule type="expression" priority="4" aboveAverage="0" equalAverage="0" bottom="0" percent="0" rank="0" text="" dxfId="2">
      <formula>AND(ISNUMBER(AK1),ROUND(AK1,2)&lt;0.95)</formula>
    </cfRule>
  </conditionalFormatting>
  <conditionalFormatting sqref="Z1:Z1048576">
    <cfRule type="expression" priority="5" aboveAverage="0" equalAverage="0" bottom="0" percent="0" rank="0" text="" dxfId="3">
      <formula>AND(ISNUMBER(Z1),ROUND(Z1,2)&gt;=0.75)</formula>
    </cfRule>
  </conditionalFormatting>
  <conditionalFormatting sqref="X1:X1048576">
    <cfRule type="expression" priority="6" aboveAverage="0" equalAverage="0" bottom="0" percent="0" rank="0" text="" dxfId="4">
      <formula>AND(ROW($X1)&gt;14,ISNUMBER($X1),$X1&lt;100%)</formula>
    </cfRule>
  </conditionalFormatting>
  <conditionalFormatting sqref="AX1:BD1048576">
    <cfRule type="expression" priority="7" aboveAverage="0" equalAverage="0" bottom="0" percent="0" rank="0" text="" dxfId="5">
      <formula>AND(ROW($BD1)&gt;14,$BD1&lt;0)</formula>
    </cfRule>
  </conditionalFormatting>
  <conditionalFormatting sqref="AB1:AB1048576">
    <cfRule type="expression" priority="8" aboveAverage="0" equalAverage="0" bottom="0" percent="0" rank="0" text="" dxfId="6">
      <formula>AND(ROW($AB1)&gt;14,ROUND($AB1,2)&gt;10%)</formula>
    </cfRule>
  </conditionalFormatting>
  <conditionalFormatting sqref="F1:Q1048576">
    <cfRule type="expression" priority="9" aboveAverage="0" equalAverage="0" bottom="0" percent="0" rank="0" text="" dxfId="7">
      <formula>AND(ROW(F1)&gt;14,LEFT(B1,4)="_Mil")</formula>
    </cfRule>
  </conditionalFormatting>
  <conditionalFormatting sqref="T1:T1048576 W1:W1048576">
    <cfRule type="expression" priority="10" aboveAverage="0" equalAverage="0" bottom="0" percent="0" rank="0" text="" dxfId="8">
      <formula>AND(ROW($T1)&gt;14,ISNUMBER($T1),$R1&gt;$K1)</formula>
    </cfRule>
  </conditionalFormatting>
  <hyperlinks>
    <hyperlink ref="F3" location="Cascade!F:F" display="Host Country Est. Female Population (FY21)"/>
    <hyperlink ref="G3" location="Cascade!H:H" display="Host Country Est. PLHIV (FY21)"/>
    <hyperlink ref="H3" location="Cascade!J:J" display="Host Country Est. HIV Prevalence (FY21) (%)"/>
    <hyperlink ref="I3" location="Cascade!P:P" display="Host Country Est. TX_CURR_SUBNAT (FY21)"/>
    <hyperlink ref="J3" location="Cascade!Y:Y" display="Host Country Est. ART Coverage (FY21) (%)"/>
    <hyperlink ref="AE3" location="Cascade!BF:BF" display="Newly Tested, Positive"/>
    <hyperlink ref="AU3" location="Cascade!BG:BG" display="Positive"/>
    <hyperlink ref="AX3" location="EID!E:E" display="Total PMTCT: Positives (From ANC1 &amp; Post ANC1)"/>
    <hyperlink ref="AY3" location="Cascade!BD:BD" display="Total HTS_TST_POS (FY22)"/>
    <hyperlink ref="AZ3" location="PMTCT!AB:AB" display="Total Positives from PMTCT_STAT ANC1 (FY22) (%)"/>
    <hyperlink ref="BA3" location="PMTCT!AJ:AJ" display="Total Positives from PMTCT Post ANC1 (FY22) (%)"/>
    <hyperlink ref="BB3" location="Cascade!BL:BL" display="Total Positives from HTS_INDEX (FY22) (%)"/>
    <hyperlink ref="BC3" location="Cascade!BO:BO" display="Total Positives from TB_STAT (FY22) (%)"/>
    <hyperlink ref="BD3" location="Cascade!BR:BR" display="Total Positives from All Other Modalities (FY22)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4" topLeftCell="C15" activePane="bottomRight" state="frozen"/>
      <selection pane="topLeft" activeCell="A1" activeCellId="0" sqref="A1"/>
      <selection pane="topRight" activeCell="C1" activeCellId="0" sqref="C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208" width="11.83"/>
    <col collapsed="false" customWidth="true" hidden="false" outlineLevel="0" max="4" min="4" style="84" width="11.83"/>
    <col collapsed="false" customWidth="true" hidden="false" outlineLevel="0" max="5" min="5" style="78" width="11.83"/>
    <col collapsed="false" customWidth="true" hidden="false" outlineLevel="0" max="7" min="6" style="79" width="11.83"/>
    <col collapsed="false" customWidth="true" hidden="false" outlineLevel="0" max="8" min="8" style="91" width="11.83"/>
    <col collapsed="false" customWidth="true" hidden="false" outlineLevel="0" max="12" min="9" style="92" width="11.83"/>
    <col collapsed="false" customWidth="true" hidden="false" outlineLevel="0" max="14" min="13" style="78" width="11.83"/>
    <col collapsed="false" customWidth="true" hidden="false" outlineLevel="0" max="1025" min="15" style="25" width="10.83"/>
  </cols>
  <sheetData>
    <row r="1" s="62" customFormat="true" ht="31" hidden="false" customHeight="true" outlineLevel="0" collapsed="false">
      <c r="A1" s="97" t="s">
        <v>381</v>
      </c>
      <c r="B1" s="97"/>
      <c r="C1" s="219" t="s">
        <v>382</v>
      </c>
      <c r="D1" s="114"/>
      <c r="E1" s="100"/>
      <c r="F1" s="100"/>
      <c r="G1" s="100"/>
      <c r="H1" s="218" t="s">
        <v>383</v>
      </c>
      <c r="I1" s="218"/>
      <c r="J1" s="218"/>
      <c r="K1" s="218"/>
      <c r="L1" s="218"/>
      <c r="M1" s="98"/>
      <c r="N1" s="98"/>
    </row>
    <row r="2" s="131" customFormat="true" ht="19" hidden="false" customHeight="false" outlineLevel="0" collapsed="false">
      <c r="A2" s="63"/>
      <c r="B2" s="63"/>
      <c r="C2" s="122" t="s">
        <v>100</v>
      </c>
      <c r="D2" s="122"/>
      <c r="E2" s="132"/>
      <c r="F2" s="119" t="s">
        <v>55</v>
      </c>
      <c r="G2" s="119"/>
      <c r="H2" s="131" t="s">
        <v>100</v>
      </c>
      <c r="M2" s="132" t="s">
        <v>54</v>
      </c>
      <c r="N2" s="132"/>
    </row>
    <row r="3" customFormat="false" ht="117" hidden="false" customHeight="true" outlineLevel="0" collapsed="false">
      <c r="A3" s="138"/>
      <c r="B3" s="138"/>
      <c r="C3" s="259" t="s">
        <v>384</v>
      </c>
      <c r="D3" s="259" t="s">
        <v>385</v>
      </c>
      <c r="E3" s="225" t="s">
        <v>386</v>
      </c>
      <c r="F3" s="153" t="s">
        <v>387</v>
      </c>
      <c r="G3" s="153" t="s">
        <v>388</v>
      </c>
      <c r="H3" s="232" t="s">
        <v>389</v>
      </c>
      <c r="I3" s="239" t="s">
        <v>390</v>
      </c>
      <c r="J3" s="238" t="s">
        <v>391</v>
      </c>
      <c r="K3" s="239" t="s">
        <v>392</v>
      </c>
      <c r="L3" s="238" t="s">
        <v>393</v>
      </c>
      <c r="M3" s="225" t="s">
        <v>394</v>
      </c>
      <c r="N3" s="225" t="s">
        <v>395</v>
      </c>
    </row>
    <row r="4" customFormat="false" ht="16" hidden="false" customHeight="false" outlineLevel="0" collapsed="false">
      <c r="A4" s="165"/>
      <c r="B4" s="165" t="s">
        <v>59</v>
      </c>
      <c r="C4" s="169"/>
      <c r="D4" s="169"/>
      <c r="E4" s="178" t="n">
        <f aca="false">SUBTOTAL(109,E$15:INDEX(E:E,COUNTA($B:$B)+14-COUNTA($B$1:$B$14)))</f>
        <v>0</v>
      </c>
      <c r="F4" s="175" t="n">
        <f aca="false">SUBTOTAL(109,F$15:INDEX(F:F,COUNTA($B:$B)+14-COUNTA($B$1:$B$14)))</f>
        <v>0</v>
      </c>
      <c r="G4" s="175" t="n">
        <f aca="false">SUBTOTAL(109,G$15:INDEX(G:G,COUNTA($B:$B)+14-COUNTA($B$1:$B$14)))</f>
        <v>0</v>
      </c>
      <c r="H4" s="176"/>
      <c r="I4" s="177"/>
      <c r="J4" s="177"/>
      <c r="K4" s="177"/>
      <c r="L4" s="177"/>
      <c r="M4" s="182" t="n">
        <f aca="false">SUBTOTAL(109,M$15:INDEX(M:M,COUNTA($B:$B)+14-COUNTA($B$1:$B$14)))</f>
        <v>0</v>
      </c>
      <c r="N4" s="182" t="n">
        <f aca="false">SUBTOTAL(109,N$15:INDEX(N:N,COUNTA($B:$B)+14-COUNTA($B$1:$B$14)))</f>
        <v>0</v>
      </c>
    </row>
    <row r="5" customFormat="false" ht="16" hidden="false" customHeight="false" outlineLevel="0" collapsed="false">
      <c r="A5" s="81" t="s">
        <v>60</v>
      </c>
      <c r="B5" s="81" t="s">
        <v>60</v>
      </c>
      <c r="C5" s="84" t="s">
        <v>60</v>
      </c>
      <c r="D5" s="84" t="s">
        <v>60</v>
      </c>
      <c r="E5" s="78" t="s">
        <v>60</v>
      </c>
      <c r="F5" s="79" t="s">
        <v>169</v>
      </c>
      <c r="G5" s="79" t="s">
        <v>169</v>
      </c>
      <c r="H5" s="91" t="s">
        <v>60</v>
      </c>
      <c r="I5" s="92" t="s">
        <v>60</v>
      </c>
      <c r="J5" s="92" t="s">
        <v>60</v>
      </c>
      <c r="K5" s="92" t="s">
        <v>60</v>
      </c>
      <c r="L5" s="92" t="s">
        <v>60</v>
      </c>
      <c r="M5" s="78" t="s">
        <v>60</v>
      </c>
      <c r="N5" s="78" t="s">
        <v>60</v>
      </c>
    </row>
    <row r="6" customFormat="false" ht="16" hidden="false" customHeight="false" outlineLevel="0" collapsed="false">
      <c r="A6" s="81" t="s">
        <v>62</v>
      </c>
      <c r="B6" s="81" t="s">
        <v>62</v>
      </c>
      <c r="C6" s="84" t="s">
        <v>171</v>
      </c>
      <c r="D6" s="84" t="s">
        <v>171</v>
      </c>
      <c r="E6" s="78" t="s">
        <v>65</v>
      </c>
      <c r="F6" s="79" t="s">
        <v>64</v>
      </c>
      <c r="G6" s="79" t="s">
        <v>64</v>
      </c>
      <c r="H6" s="91" t="s">
        <v>172</v>
      </c>
      <c r="I6" s="92" t="s">
        <v>171</v>
      </c>
      <c r="J6" s="92" t="s">
        <v>172</v>
      </c>
      <c r="K6" s="92" t="s">
        <v>171</v>
      </c>
      <c r="L6" s="92" t="s">
        <v>171</v>
      </c>
      <c r="M6" s="78" t="s">
        <v>65</v>
      </c>
      <c r="N6" s="78" t="s">
        <v>65</v>
      </c>
    </row>
    <row r="7" customFormat="false" ht="16" hidden="false" customHeight="false" outlineLevel="0" collapsed="false">
      <c r="A7" s="81" t="s">
        <v>66</v>
      </c>
      <c r="B7" s="81" t="s">
        <v>66</v>
      </c>
      <c r="C7" s="84" t="s">
        <v>173</v>
      </c>
      <c r="D7" s="84" t="s">
        <v>173</v>
      </c>
      <c r="E7" s="78" t="s">
        <v>67</v>
      </c>
      <c r="F7" s="79" t="s">
        <v>67</v>
      </c>
      <c r="G7" s="79" t="s">
        <v>67</v>
      </c>
      <c r="H7" s="91" t="s">
        <v>173</v>
      </c>
      <c r="I7" s="92" t="s">
        <v>173</v>
      </c>
      <c r="J7" s="92" t="s">
        <v>173</v>
      </c>
      <c r="K7" s="92" t="s">
        <v>173</v>
      </c>
      <c r="L7" s="92" t="s">
        <v>173</v>
      </c>
      <c r="M7" s="78" t="s">
        <v>67</v>
      </c>
      <c r="N7" s="78" t="s">
        <v>67</v>
      </c>
    </row>
    <row r="8" customFormat="false" ht="16" hidden="false" customHeight="false" outlineLevel="0" collapsed="false">
      <c r="C8" s="84"/>
      <c r="F8" s="79" t="s">
        <v>396</v>
      </c>
      <c r="G8" s="79" t="s">
        <v>396</v>
      </c>
    </row>
    <row r="9" customFormat="false" ht="16" hidden="false" customHeight="false" outlineLevel="0" collapsed="false">
      <c r="C9" s="84"/>
      <c r="F9" s="79" t="s">
        <v>397</v>
      </c>
      <c r="G9" s="79" t="s">
        <v>397</v>
      </c>
    </row>
    <row r="10" customFormat="false" ht="16" hidden="false" customHeight="false" outlineLevel="0" collapsed="false">
      <c r="C10" s="84"/>
      <c r="F10" s="79" t="s">
        <v>398</v>
      </c>
      <c r="G10" s="79" t="s">
        <v>399</v>
      </c>
    </row>
    <row r="11" customFormat="false" ht="16" hidden="false" customHeight="false" outlineLevel="0" collapsed="false">
      <c r="C11" s="84"/>
    </row>
    <row r="12" customFormat="false" ht="16" hidden="false" customHeight="false" outlineLevel="0" collapsed="false">
      <c r="C12" s="84"/>
    </row>
    <row r="13" customFormat="false" ht="16" hidden="false" customHeight="false" outlineLevel="0" collapsed="false">
      <c r="C13" s="84"/>
    </row>
    <row r="14" customFormat="false" ht="16" hidden="false" customHeight="false" outlineLevel="0" collapsed="false">
      <c r="A14" s="75" t="s">
        <v>69</v>
      </c>
      <c r="B14" s="75" t="s">
        <v>70</v>
      </c>
      <c r="C14" s="190" t="s">
        <v>400</v>
      </c>
      <c r="D14" s="190" t="s">
        <v>401</v>
      </c>
      <c r="E14" s="190" t="s">
        <v>402</v>
      </c>
      <c r="F14" s="190" t="s">
        <v>403</v>
      </c>
      <c r="G14" s="190" t="s">
        <v>404</v>
      </c>
      <c r="H14" s="251" t="s">
        <v>405</v>
      </c>
      <c r="I14" s="190" t="s">
        <v>406</v>
      </c>
      <c r="J14" s="190" t="s">
        <v>407</v>
      </c>
      <c r="K14" s="190" t="s">
        <v>408</v>
      </c>
      <c r="L14" s="190" t="s">
        <v>409</v>
      </c>
      <c r="M14" s="190" t="s">
        <v>261</v>
      </c>
      <c r="N14" s="190" t="s">
        <v>228</v>
      </c>
    </row>
    <row r="15" customFormat="false" ht="16" hidden="false" customHeight="false" outlineLevel="0" collapsed="false">
      <c r="C15" s="208" t="n">
        <v>0.8</v>
      </c>
      <c r="D15" s="208" t="n">
        <v>0.95</v>
      </c>
      <c r="E15" s="93" t="n">
        <f aca="false">SUMIF(PMTCT!$B:$B,$B15,PMTCT!$AX:$AX)</f>
        <v>0</v>
      </c>
      <c r="F15" s="79" t="str">
        <f aca="false">IF(SUM($E15)&lt;=0,"",ROUND($E15*$C15,0))</f>
        <v/>
      </c>
      <c r="G15" s="79" t="str">
        <f aca="false">IF(SUM($E15)&lt;=0,"",ROUND($E15*$D15,0)-$F15)</f>
        <v/>
      </c>
      <c r="I15" s="92" t="str">
        <f aca="false">IF(SUM($H15)=0,"",$H15)</f>
        <v/>
      </c>
      <c r="K15" s="92" t="str">
        <f aca="false">IF(SUM($J15)=0,"",$J15)</f>
        <v/>
      </c>
      <c r="L15" s="92" t="n">
        <v>0.95</v>
      </c>
      <c r="M15" s="78" t="str">
        <f aca="false">IF(AND(SUM($F15)=0,SUM($G15)=0),"",ROUND(SUM(SUM($F15)*SUM($I15),SUM($G15)*SUM($K15)),0))</f>
        <v/>
      </c>
      <c r="N15" s="78" t="str">
        <f aca="false">IF(ISNUMBER($M15),ROUND($M15*$L15,0),"")</f>
        <v/>
      </c>
    </row>
  </sheetData>
  <conditionalFormatting sqref="D1:D1048576 L1:L1048576">
    <cfRule type="expression" priority="2" aboveAverage="0" equalAverage="0" bottom="0" percent="0" rank="0" text="" dxfId="0">
      <formula>AND(ISNUMBER(D1),D1&lt;0.95)</formula>
    </cfRule>
  </conditionalFormatting>
  <conditionalFormatting sqref="C1:C1048576">
    <cfRule type="expression" priority="3" aboveAverage="0" equalAverage="0" bottom="0" percent="0" rank="0" text="" dxfId="1">
      <formula>AND(ISNUMBER(C1),ROUND(C1,2)&lt;0.8)</formula>
    </cfRule>
  </conditionalFormatting>
  <conditionalFormatting sqref="C1:D1048576 H1:L1048576">
    <cfRule type="expression" priority="4" aboveAverage="0" equalAverage="0" bottom="0" percent="0" rank="0" text="" dxfId="2">
      <formula>AND(ISNUMBER(C1),OR(C1&gt;1,C1&lt;0))</formula>
    </cfRule>
  </conditionalFormatting>
  <conditionalFormatting sqref="H1:J1048576">
    <cfRule type="expression" priority="5" aboveAverage="0" equalAverage="0" bottom="0" percent="0" rank="0" text="" dxfId="3">
      <formula>AND(SUM(E1)&gt;0,H1="")</formula>
    </cfRule>
  </conditionalFormatting>
  <conditionalFormatting sqref="K1:K1048576">
    <cfRule type="expression" priority="6" aboveAverage="0" equalAverage="0" bottom="0" percent="0" rank="0" text="" dxfId="4">
      <formula>AND(SUM(G1)&gt;0,K1="")</formula>
    </cfRule>
  </conditionalFormatting>
  <hyperlinks>
    <hyperlink ref="E3" location="PMTCT!AM:AM" display="Est. # infants born to HIV-positive women"/>
    <hyperlink ref="M3" location="Cascade!BJ:BJ" display="Total HIV infected infants identified"/>
    <hyperlink ref="N3" location="Cascade!AC:AC" display="HIV infected infants confirmed initiated AR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81" width="10.83"/>
    <col collapsed="false" customWidth="true" hidden="false" outlineLevel="0" max="4" min="4" style="81" width="7.84"/>
    <col collapsed="false" customWidth="true" hidden="true" outlineLevel="0" max="5" min="5" style="81" width="7"/>
    <col collapsed="false" customWidth="true" hidden="false" outlineLevel="0" max="6" min="6" style="78" width="11.83"/>
    <col collapsed="false" customWidth="true" hidden="false" outlineLevel="0" max="7" min="7" style="92" width="11.83"/>
    <col collapsed="false" customWidth="true" hidden="false" outlineLevel="0" max="8" min="8" style="79" width="11.83"/>
    <col collapsed="false" customWidth="true" hidden="false" outlineLevel="0" max="9" min="9" style="210" width="11.83"/>
    <col collapsed="false" customWidth="true" hidden="false" outlineLevel="0" max="14" min="10" style="92" width="11.83"/>
    <col collapsed="false" customWidth="true" hidden="false" outlineLevel="0" max="18" min="15" style="79" width="11.83"/>
    <col collapsed="false" customWidth="true" hidden="false" outlineLevel="0" max="19" min="19" style="91" width="11.83"/>
    <col collapsed="false" customWidth="true" hidden="false" outlineLevel="0" max="20" min="20" style="90" width="11.83"/>
    <col collapsed="false" customWidth="true" hidden="false" outlineLevel="0" max="21" min="21" style="79" width="11.83"/>
    <col collapsed="false" customWidth="true" hidden="false" outlineLevel="0" max="22" min="22" style="213" width="11.83"/>
    <col collapsed="false" customWidth="true" hidden="false" outlineLevel="0" max="28" min="23" style="92" width="11.83"/>
    <col collapsed="false" customWidth="true" hidden="false" outlineLevel="0" max="1025" min="29" style="25" width="10.83"/>
  </cols>
  <sheetData>
    <row r="1" s="62" customFormat="true" ht="31" hidden="false" customHeight="true" outlineLevel="0" collapsed="false">
      <c r="A1" s="97" t="s">
        <v>410</v>
      </c>
      <c r="B1" s="97"/>
      <c r="C1" s="97"/>
      <c r="D1" s="97"/>
      <c r="E1" s="97"/>
      <c r="F1" s="100" t="s">
        <v>411</v>
      </c>
      <c r="G1" s="218"/>
      <c r="H1" s="100"/>
      <c r="I1" s="217" t="s">
        <v>412</v>
      </c>
      <c r="J1" s="218"/>
      <c r="K1" s="218"/>
      <c r="L1" s="218"/>
      <c r="M1" s="218"/>
      <c r="N1" s="218"/>
      <c r="O1" s="100"/>
      <c r="P1" s="100"/>
      <c r="Q1" s="100"/>
      <c r="R1" s="100"/>
      <c r="S1" s="110" t="s">
        <v>413</v>
      </c>
      <c r="T1" s="109"/>
      <c r="U1" s="100"/>
      <c r="V1" s="108" t="s">
        <v>280</v>
      </c>
      <c r="W1" s="111"/>
      <c r="X1" s="111"/>
      <c r="Y1" s="111"/>
      <c r="Z1" s="111"/>
      <c r="AA1" s="111"/>
      <c r="AB1" s="111"/>
    </row>
    <row r="2" s="137" customFormat="true" ht="20" hidden="false" customHeight="true" outlineLevel="0" collapsed="false">
      <c r="A2" s="220" t="s">
        <v>414</v>
      </c>
      <c r="B2" s="220"/>
      <c r="C2" s="118"/>
      <c r="D2" s="118"/>
      <c r="E2" s="118"/>
      <c r="F2" s="136" t="s">
        <v>54</v>
      </c>
      <c r="G2" s="131" t="s">
        <v>100</v>
      </c>
      <c r="H2" s="126" t="s">
        <v>55</v>
      </c>
      <c r="I2" s="221" t="s">
        <v>54</v>
      </c>
      <c r="J2" s="131" t="s">
        <v>100</v>
      </c>
      <c r="K2" s="131"/>
      <c r="L2" s="131"/>
      <c r="M2" s="131"/>
      <c r="N2" s="131"/>
      <c r="O2" s="126" t="s">
        <v>55</v>
      </c>
      <c r="P2" s="126"/>
      <c r="Q2" s="126"/>
      <c r="R2" s="126"/>
      <c r="S2" s="130" t="s">
        <v>100</v>
      </c>
      <c r="T2" s="129" t="s">
        <v>55</v>
      </c>
      <c r="U2" s="126"/>
      <c r="V2" s="223" t="s">
        <v>101</v>
      </c>
      <c r="W2" s="131"/>
      <c r="X2" s="131"/>
      <c r="Y2" s="131"/>
      <c r="Z2" s="131"/>
      <c r="AA2" s="131"/>
      <c r="AB2" s="131"/>
    </row>
    <row r="3" customFormat="false" ht="117" hidden="false" customHeight="true" outlineLevel="0" collapsed="false">
      <c r="A3" s="220"/>
      <c r="B3" s="220"/>
      <c r="C3" s="138"/>
      <c r="D3" s="138"/>
      <c r="E3" s="138"/>
      <c r="F3" s="161" t="s">
        <v>290</v>
      </c>
      <c r="G3" s="155" t="s">
        <v>415</v>
      </c>
      <c r="H3" s="153" t="s">
        <v>416</v>
      </c>
      <c r="I3" s="228" t="s">
        <v>417</v>
      </c>
      <c r="J3" s="155" t="s">
        <v>418</v>
      </c>
      <c r="K3" s="164" t="s">
        <v>419</v>
      </c>
      <c r="L3" s="155" t="s">
        <v>420</v>
      </c>
      <c r="M3" s="164" t="s">
        <v>421</v>
      </c>
      <c r="N3" s="155" t="s">
        <v>422</v>
      </c>
      <c r="O3" s="230" t="s">
        <v>423</v>
      </c>
      <c r="P3" s="153" t="s">
        <v>302</v>
      </c>
      <c r="Q3" s="163" t="s">
        <v>303</v>
      </c>
      <c r="R3" s="236" t="s">
        <v>304</v>
      </c>
      <c r="S3" s="229" t="s">
        <v>309</v>
      </c>
      <c r="T3" s="150" t="s">
        <v>310</v>
      </c>
      <c r="U3" s="236" t="s">
        <v>311</v>
      </c>
      <c r="V3" s="241" t="s">
        <v>322</v>
      </c>
      <c r="W3" s="227" t="s">
        <v>162</v>
      </c>
      <c r="X3" s="227" t="s">
        <v>159</v>
      </c>
      <c r="Y3" s="227" t="s">
        <v>424</v>
      </c>
      <c r="Z3" s="227" t="s">
        <v>425</v>
      </c>
      <c r="AA3" s="227" t="s">
        <v>163</v>
      </c>
      <c r="AB3" s="227" t="s">
        <v>165</v>
      </c>
    </row>
    <row r="4" customFormat="false" ht="16" hidden="false" customHeight="false" outlineLevel="0" collapsed="false">
      <c r="A4" s="165"/>
      <c r="B4" s="165"/>
      <c r="C4" s="165"/>
      <c r="D4" s="165" t="s">
        <v>59</v>
      </c>
      <c r="E4" s="165"/>
      <c r="F4" s="182" t="n">
        <f aca="false">SUBTOTAL(109,F$15:INDEX(F:F,COUNTA($B:$B)+14-COUNTA($B$1:$B$14)))</f>
        <v>0</v>
      </c>
      <c r="G4" s="177"/>
      <c r="H4" s="175" t="n">
        <f aca="false">SUBTOTAL(109,H$15:INDEX(H:H,COUNTA($B:$B)+14-COUNTA($B$1:$B$14)))</f>
        <v>0</v>
      </c>
      <c r="I4" s="242" t="n">
        <f aca="false">SUBTOTAL(109,I$15:INDEX(I:I,COUNTA($B:$B)+14-COUNTA($B$1:$B$14)))</f>
        <v>0</v>
      </c>
      <c r="J4" s="177"/>
      <c r="K4" s="177"/>
      <c r="L4" s="177"/>
      <c r="M4" s="177"/>
      <c r="N4" s="177"/>
      <c r="O4" s="175" t="n">
        <f aca="false">SUBTOTAL(109,O$15:INDEX($O:$O,COUNTA($B:$B)+14-COUNTA($B$1:$B$14)))</f>
        <v>0</v>
      </c>
      <c r="P4" s="175" t="n">
        <f aca="false">SUBTOTAL(109,P$15:INDEX(P:P,COUNTA($B:$B)+14-COUNTA($B$1:$B$14)))</f>
        <v>0</v>
      </c>
      <c r="Q4" s="175" t="n">
        <f aca="false">SUBTOTAL(109,Q$15:INDEX(Q:Q,COUNTA($B:$B)+14-COUNTA($B$1:$B$14)))</f>
        <v>0</v>
      </c>
      <c r="R4" s="175" t="n">
        <f aca="false">SUBTOTAL(109,R$15:INDEX(R:R,COUNTA($B:$B)+14-COUNTA($B$1:$B$14)))</f>
        <v>0</v>
      </c>
      <c r="S4" s="176"/>
      <c r="T4" s="174" t="n">
        <f aca="false">SUBTOTAL(109,T$15:INDEX(T:T,COUNTA($B:$B)+14-COUNTA($B$1:$B$14)))</f>
        <v>0</v>
      </c>
      <c r="U4" s="175" t="n">
        <f aca="false">SUBTOTAL(109,U$15:INDEX(U:U,COUNTA($B:$B)+14-COUNTA($B$1:$B$14)))</f>
        <v>0</v>
      </c>
      <c r="V4" s="260" t="n">
        <f aca="false">SUBTOTAL(109,V$15:INDEX(V:V,COUNTA($B:$B)+14-COUNTA($B$1:$B$14)))</f>
        <v>0</v>
      </c>
      <c r="W4" s="177"/>
      <c r="X4" s="177"/>
      <c r="Y4" s="177"/>
      <c r="Z4" s="177"/>
      <c r="AA4" s="177"/>
      <c r="AB4" s="177"/>
    </row>
    <row r="5" customFormat="false" ht="16" hidden="false" customHeight="true" outlineLevel="0" collapsed="false">
      <c r="A5" s="81" t="s">
        <v>60</v>
      </c>
      <c r="B5" s="81" t="s">
        <v>60</v>
      </c>
      <c r="C5" s="81" t="s">
        <v>60</v>
      </c>
      <c r="D5" s="81" t="s">
        <v>60</v>
      </c>
      <c r="E5" s="81" t="s">
        <v>60</v>
      </c>
      <c r="F5" s="78" t="s">
        <v>169</v>
      </c>
      <c r="G5" s="92" t="s">
        <v>60</v>
      </c>
      <c r="H5" s="79" t="s">
        <v>169</v>
      </c>
      <c r="I5" s="210" t="s">
        <v>169</v>
      </c>
      <c r="J5" s="92" t="s">
        <v>60</v>
      </c>
      <c r="K5" s="92" t="s">
        <v>60</v>
      </c>
      <c r="L5" s="92" t="s">
        <v>60</v>
      </c>
      <c r="M5" s="92" t="s">
        <v>60</v>
      </c>
      <c r="N5" s="92" t="s">
        <v>60</v>
      </c>
      <c r="O5" s="79" t="s">
        <v>60</v>
      </c>
      <c r="P5" s="79" t="s">
        <v>169</v>
      </c>
      <c r="Q5" s="79" t="s">
        <v>169</v>
      </c>
      <c r="R5" s="79" t="s">
        <v>169</v>
      </c>
      <c r="S5" s="91" t="s">
        <v>60</v>
      </c>
      <c r="T5" s="90" t="s">
        <v>169</v>
      </c>
      <c r="U5" s="79" t="s">
        <v>169</v>
      </c>
      <c r="V5" s="213" t="s">
        <v>60</v>
      </c>
      <c r="W5" s="92" t="s">
        <v>60</v>
      </c>
      <c r="X5" s="92" t="s">
        <v>60</v>
      </c>
      <c r="Y5" s="92" t="s">
        <v>60</v>
      </c>
      <c r="Z5" s="92" t="s">
        <v>60</v>
      </c>
      <c r="AA5" s="92" t="s">
        <v>60</v>
      </c>
      <c r="AB5" s="92" t="s">
        <v>60</v>
      </c>
    </row>
    <row r="6" customFormat="false" ht="16" hidden="false" customHeight="true" outlineLevel="0" collapsed="false">
      <c r="A6" s="81" t="s">
        <v>62</v>
      </c>
      <c r="B6" s="81" t="s">
        <v>62</v>
      </c>
      <c r="C6" s="81" t="s">
        <v>62</v>
      </c>
      <c r="D6" s="81" t="s">
        <v>62</v>
      </c>
      <c r="E6" s="81" t="s">
        <v>62</v>
      </c>
      <c r="F6" s="78" t="s">
        <v>63</v>
      </c>
      <c r="G6" s="92" t="s">
        <v>171</v>
      </c>
      <c r="H6" s="79" t="s">
        <v>64</v>
      </c>
      <c r="I6" s="210" t="s">
        <v>63</v>
      </c>
      <c r="J6" s="92" t="s">
        <v>171</v>
      </c>
      <c r="K6" s="92" t="s">
        <v>172</v>
      </c>
      <c r="L6" s="92" t="s">
        <v>171</v>
      </c>
      <c r="M6" s="92" t="s">
        <v>172</v>
      </c>
      <c r="N6" s="92" t="s">
        <v>171</v>
      </c>
      <c r="O6" s="79" t="s">
        <v>65</v>
      </c>
      <c r="P6" s="79" t="s">
        <v>64</v>
      </c>
      <c r="Q6" s="79" t="s">
        <v>64</v>
      </c>
      <c r="R6" s="79" t="s">
        <v>64</v>
      </c>
      <c r="S6" s="91" t="s">
        <v>65</v>
      </c>
      <c r="T6" s="90" t="s">
        <v>64</v>
      </c>
      <c r="U6" s="79" t="s">
        <v>64</v>
      </c>
      <c r="V6" s="213" t="s">
        <v>65</v>
      </c>
      <c r="W6" s="92" t="s">
        <v>65</v>
      </c>
      <c r="X6" s="92" t="s">
        <v>65</v>
      </c>
      <c r="Y6" s="92" t="s">
        <v>65</v>
      </c>
      <c r="Z6" s="92" t="s">
        <v>65</v>
      </c>
      <c r="AA6" s="92" t="s">
        <v>65</v>
      </c>
      <c r="AB6" s="92" t="s">
        <v>65</v>
      </c>
    </row>
    <row r="7" customFormat="false" ht="16" hidden="false" customHeight="false" outlineLevel="0" collapsed="false">
      <c r="A7" s="81" t="s">
        <v>66</v>
      </c>
      <c r="B7" s="81" t="s">
        <v>66</v>
      </c>
      <c r="C7" s="81" t="s">
        <v>66</v>
      </c>
      <c r="D7" s="81" t="s">
        <v>66</v>
      </c>
      <c r="E7" s="81" t="s">
        <v>66</v>
      </c>
      <c r="F7" s="78" t="s">
        <v>67</v>
      </c>
      <c r="G7" s="92" t="s">
        <v>173</v>
      </c>
      <c r="H7" s="79" t="s">
        <v>67</v>
      </c>
      <c r="I7" s="210" t="s">
        <v>67</v>
      </c>
      <c r="J7" s="92" t="s">
        <v>173</v>
      </c>
      <c r="K7" s="92" t="s">
        <v>173</v>
      </c>
      <c r="L7" s="92" t="s">
        <v>173</v>
      </c>
      <c r="M7" s="92" t="s">
        <v>173</v>
      </c>
      <c r="N7" s="92" t="s">
        <v>173</v>
      </c>
      <c r="O7" s="79" t="s">
        <v>67</v>
      </c>
      <c r="P7" s="79" t="s">
        <v>67</v>
      </c>
      <c r="Q7" s="79" t="s">
        <v>67</v>
      </c>
      <c r="R7" s="79" t="s">
        <v>67</v>
      </c>
      <c r="S7" s="91" t="s">
        <v>173</v>
      </c>
      <c r="T7" s="90" t="s">
        <v>67</v>
      </c>
      <c r="U7" s="79" t="s">
        <v>67</v>
      </c>
      <c r="V7" s="213" t="s">
        <v>67</v>
      </c>
      <c r="W7" s="92" t="s">
        <v>173</v>
      </c>
      <c r="X7" s="92" t="s">
        <v>173</v>
      </c>
      <c r="Y7" s="92" t="s">
        <v>173</v>
      </c>
      <c r="Z7" s="92" t="s">
        <v>173</v>
      </c>
      <c r="AA7" s="92" t="s">
        <v>173</v>
      </c>
      <c r="AB7" s="92" t="s">
        <v>173</v>
      </c>
    </row>
    <row r="8" customFormat="false" ht="16" hidden="false" customHeight="false" outlineLevel="0" collapsed="false">
      <c r="F8" s="78" t="s">
        <v>426</v>
      </c>
      <c r="H8" s="79" t="s">
        <v>426</v>
      </c>
      <c r="I8" s="210" t="s">
        <v>427</v>
      </c>
      <c r="P8" s="79" t="s">
        <v>427</v>
      </c>
      <c r="Q8" s="79" t="s">
        <v>427</v>
      </c>
      <c r="R8" s="79" t="s">
        <v>427</v>
      </c>
      <c r="T8" s="249" t="s">
        <v>428</v>
      </c>
      <c r="U8" s="185" t="s">
        <v>428</v>
      </c>
      <c r="V8" s="261"/>
    </row>
    <row r="9" customFormat="false" ht="16" hidden="false" customHeight="false" outlineLevel="0" collapsed="false">
      <c r="F9" s="78" t="s">
        <v>429</v>
      </c>
      <c r="H9" s="79" t="s">
        <v>429</v>
      </c>
      <c r="I9" s="210" t="s">
        <v>430</v>
      </c>
      <c r="P9" s="79" t="s">
        <v>430</v>
      </c>
      <c r="Q9" s="79" t="s">
        <v>430</v>
      </c>
      <c r="R9" s="79" t="s">
        <v>430</v>
      </c>
      <c r="T9" s="249" t="s">
        <v>431</v>
      </c>
      <c r="U9" s="185" t="s">
        <v>431</v>
      </c>
      <c r="V9" s="261"/>
    </row>
    <row r="10" customFormat="false" ht="16" hidden="false" customHeight="false" outlineLevel="0" collapsed="false">
      <c r="I10" s="210" t="s">
        <v>337</v>
      </c>
      <c r="P10" s="79" t="s">
        <v>336</v>
      </c>
      <c r="Q10" s="79" t="s">
        <v>337</v>
      </c>
      <c r="R10" s="79" t="s">
        <v>338</v>
      </c>
      <c r="T10" s="90" t="s">
        <v>339</v>
      </c>
      <c r="U10" s="79" t="s">
        <v>340</v>
      </c>
    </row>
    <row r="11" customFormat="false" ht="16" hidden="false" customHeight="false" outlineLevel="0" collapsed="false">
      <c r="F11" s="78" t="s">
        <v>197</v>
      </c>
      <c r="G11" s="92" t="s">
        <v>197</v>
      </c>
      <c r="H11" s="79" t="s">
        <v>197</v>
      </c>
      <c r="I11" s="210" t="s">
        <v>197</v>
      </c>
      <c r="J11" s="92" t="s">
        <v>197</v>
      </c>
      <c r="K11" s="92" t="s">
        <v>197</v>
      </c>
      <c r="L11" s="92" t="s">
        <v>197</v>
      </c>
      <c r="M11" s="92" t="s">
        <v>197</v>
      </c>
      <c r="N11" s="92" t="s">
        <v>197</v>
      </c>
      <c r="O11" s="79" t="s">
        <v>197</v>
      </c>
      <c r="P11" s="79" t="s">
        <v>197</v>
      </c>
      <c r="Q11" s="79" t="s">
        <v>197</v>
      </c>
      <c r="R11" s="79" t="s">
        <v>197</v>
      </c>
      <c r="S11" s="91" t="s">
        <v>197</v>
      </c>
      <c r="T11" s="90" t="s">
        <v>197</v>
      </c>
      <c r="U11" s="79" t="s">
        <v>197</v>
      </c>
      <c r="V11" s="213" t="s">
        <v>197</v>
      </c>
      <c r="W11" s="92" t="s">
        <v>197</v>
      </c>
      <c r="X11" s="92" t="s">
        <v>197</v>
      </c>
      <c r="Y11" s="92" t="s">
        <v>198</v>
      </c>
      <c r="Z11" s="92" t="s">
        <v>198</v>
      </c>
      <c r="AA11" s="92" t="s">
        <v>199</v>
      </c>
      <c r="AB11" s="92" t="s">
        <v>197</v>
      </c>
    </row>
    <row r="12" customFormat="false" ht="16" hidden="false" customHeight="false" outlineLevel="0" collapsed="false">
      <c r="F12" s="78" t="s">
        <v>200</v>
      </c>
      <c r="G12" s="92" t="s">
        <v>200</v>
      </c>
      <c r="H12" s="79" t="s">
        <v>200</v>
      </c>
      <c r="I12" s="210" t="s">
        <v>200</v>
      </c>
      <c r="J12" s="92" t="s">
        <v>200</v>
      </c>
      <c r="K12" s="92" t="s">
        <v>200</v>
      </c>
      <c r="L12" s="92" t="s">
        <v>200</v>
      </c>
      <c r="M12" s="92" t="s">
        <v>200</v>
      </c>
      <c r="N12" s="92" t="s">
        <v>200</v>
      </c>
      <c r="O12" s="79" t="s">
        <v>200</v>
      </c>
      <c r="P12" s="79" t="s">
        <v>200</v>
      </c>
      <c r="Q12" s="79" t="s">
        <v>200</v>
      </c>
      <c r="R12" s="79" t="s">
        <v>200</v>
      </c>
      <c r="S12" s="91" t="s">
        <v>200</v>
      </c>
      <c r="T12" s="90" t="s">
        <v>200</v>
      </c>
      <c r="U12" s="79" t="s">
        <v>200</v>
      </c>
      <c r="V12" s="213" t="s">
        <v>200</v>
      </c>
      <c r="W12" s="92" t="s">
        <v>200</v>
      </c>
      <c r="X12" s="92" t="s">
        <v>200</v>
      </c>
      <c r="Y12" s="92" t="s">
        <v>201</v>
      </c>
      <c r="Z12" s="92" t="s">
        <v>201</v>
      </c>
      <c r="AA12" s="92" t="s">
        <v>202</v>
      </c>
      <c r="AB12" s="92" t="s">
        <v>200</v>
      </c>
    </row>
    <row r="14" customFormat="false" ht="16" hidden="false" customHeight="false" outlineLevel="0" collapsed="false">
      <c r="A14" s="75" t="s">
        <v>69</v>
      </c>
      <c r="B14" s="75" t="s">
        <v>70</v>
      </c>
      <c r="C14" s="75" t="s">
        <v>203</v>
      </c>
      <c r="D14" s="75" t="s">
        <v>204</v>
      </c>
      <c r="E14" s="75" t="s">
        <v>40</v>
      </c>
      <c r="F14" s="190" t="s">
        <v>432</v>
      </c>
      <c r="G14" s="190" t="s">
        <v>433</v>
      </c>
      <c r="H14" s="190" t="s">
        <v>434</v>
      </c>
      <c r="I14" s="251" t="s">
        <v>435</v>
      </c>
      <c r="J14" s="190" t="s">
        <v>436</v>
      </c>
      <c r="K14" s="190" t="s">
        <v>437</v>
      </c>
      <c r="L14" s="190" t="s">
        <v>438</v>
      </c>
      <c r="M14" s="190" t="s">
        <v>439</v>
      </c>
      <c r="N14" s="190" t="s">
        <v>440</v>
      </c>
      <c r="O14" s="187" t="s">
        <v>441</v>
      </c>
      <c r="P14" s="187" t="s">
        <v>442</v>
      </c>
      <c r="Q14" s="187" t="s">
        <v>259</v>
      </c>
      <c r="R14" s="187" t="s">
        <v>443</v>
      </c>
      <c r="S14" s="254" t="s">
        <v>444</v>
      </c>
      <c r="T14" s="190" t="s">
        <v>445</v>
      </c>
      <c r="U14" s="190" t="s">
        <v>446</v>
      </c>
      <c r="V14" s="251" t="s">
        <v>380</v>
      </c>
      <c r="W14" s="250" t="s">
        <v>266</v>
      </c>
      <c r="X14" s="250" t="s">
        <v>263</v>
      </c>
      <c r="Y14" s="250" t="s">
        <v>264</v>
      </c>
      <c r="Z14" s="250" t="s">
        <v>265</v>
      </c>
      <c r="AA14" s="250" t="s">
        <v>267</v>
      </c>
      <c r="AB14" s="250" t="s">
        <v>269</v>
      </c>
    </row>
    <row r="15" customFormat="false" ht="16" hidden="false" customHeight="false" outlineLevel="0" collapsed="false">
      <c r="E15" s="81" t="str">
        <f aca="false">B15&amp;"|"&amp;C15&amp;"|"&amp;D15</f>
        <v>||</v>
      </c>
      <c r="G15" s="92" t="str">
        <f aca="false">IF(SUM($F15)&lt;=0,"",0%)</f>
        <v/>
      </c>
      <c r="H15" s="79" t="str">
        <f aca="false">IF(SUM($F15)&lt;=0,"",$F15*(1+$G15))</f>
        <v/>
      </c>
      <c r="J15" s="92" t="str">
        <f aca="false">IF(SUM($H15)&lt;=0,"",100%)</f>
        <v/>
      </c>
      <c r="L15" s="92" t="str">
        <f aca="false">IF(SUM($K15)=0,"",$K15)</f>
        <v/>
      </c>
      <c r="N15" s="92" t="str">
        <f aca="false">IF(SUM($M15)=0,"",$M15)</f>
        <v/>
      </c>
      <c r="O15" s="79" t="str">
        <f aca="false">IF(SUM($H15)&lt;=0,"",ROUND(SUM($H15)*SUM($J15),0))</f>
        <v/>
      </c>
      <c r="P15" s="79" t="str">
        <f aca="false">IF(SUM($O15)&lt;=0,"",ROUND(SUM($O15)*SUM($L15),0))</f>
        <v/>
      </c>
      <c r="Q15" s="79" t="str">
        <f aca="false">IF(SUM($O15)&lt;=0,"",ROUND((SUM($O15)-SUM($P15))*SUM($N15),0))</f>
        <v/>
      </c>
      <c r="R15" s="79" t="str">
        <f aca="false">IF(SUM($O15)&lt;=0,"",ROUND(SUM($O15)-SUM($P15)-SUM($Q15),0))</f>
        <v/>
      </c>
      <c r="S15" s="91" t="n">
        <f aca="false">_xlfn.IFNA(INDEX(Cascade!$BA:$BA,MATCH($E15,Cascade!$E:$E,0)),"")</f>
        <v>0.95</v>
      </c>
      <c r="T15" s="90" t="str">
        <f aca="false">IF(SUM($P15)&lt;=0,"",$P15)</f>
        <v/>
      </c>
      <c r="U15" s="79" t="str">
        <f aca="false">IF(SUM($Q15)&lt;=0,"",ROUND($Q15*$S15,0))</f>
        <v/>
      </c>
      <c r="V15" s="213" t="str">
        <f aca="false">_xlfn.IFNA(INDEX(Cascade!$BD:$BD,MATCH($E15,Cascade!$E:$E,0)),"")</f>
        <v/>
      </c>
      <c r="W15" s="92" t="str">
        <f aca="false">IF(OR(SUM($V15)&lt;=0,SUM($Q15)=0),"",SUM($Q15)/$V15)</f>
        <v/>
      </c>
      <c r="X15" s="92" t="str">
        <f aca="false">_xlfn.IFNA(INDEX(Cascade!$BL:$BL,MATCH($E15,Cascade!$E:$E,0)),"")</f>
        <v/>
      </c>
      <c r="Y15" s="92" t="str">
        <f aca="false">_xlfn.IFNA(INDEX(Cascade!$BM:$BM,MATCH($E15,Cascade!$E:$E,0)),"")</f>
        <v/>
      </c>
      <c r="Z15" s="92" t="str">
        <f aca="false">_xlfn.IFNA(INDEX(Cascade!$BN:$BN,MATCH($E15,Cascade!$E:$E,0)),"")</f>
        <v/>
      </c>
      <c r="AA15" s="92" t="str">
        <f aca="false">_xlfn.IFNA(INDEX(Cascade!$BP:$BP,MATCH($E15,Cascade!$E:$E,0)),"")</f>
        <v/>
      </c>
      <c r="AB15" s="92" t="str">
        <f aca="false">_xlfn.IFNA(INDEX(Cascade!$BR:$BR,MATCH($E15,Cascade!$E:$E,0)),"")</f>
        <v/>
      </c>
    </row>
  </sheetData>
  <mergeCells count="1">
    <mergeCell ref="A2:B3"/>
  </mergeCells>
  <conditionalFormatting sqref="G1:G1048576">
    <cfRule type="expression" priority="2" aboveAverage="0" equalAverage="0" bottom="0" percent="0" rank="0" text="" dxfId="0">
      <formula>AND(ISNUMBER(G1),G1&gt;0)</formula>
    </cfRule>
  </conditionalFormatting>
  <conditionalFormatting sqref="Q1:Q1048576">
    <cfRule type="expression" priority="3" aboveAverage="0" equalAverage="0" bottom="0" percent="0" rank="0" text="" dxfId="1">
      <formula>AND(ISNUMBER($Q1),ROUND($Q1,2)&gt;ROUND($I1,2))</formula>
    </cfRule>
  </conditionalFormatting>
  <conditionalFormatting sqref="J1:K1048576">
    <cfRule type="expression" priority="4" aboveAverage="0" equalAverage="0" bottom="0" percent="0" rank="0" text="" dxfId="2">
      <formula>AND(ISNUMBER($J1),$J1&lt;1)</formula>
    </cfRule>
  </conditionalFormatting>
  <conditionalFormatting sqref="L1:M1048576">
    <cfRule type="expression" priority="5" aboveAverage="0" equalAverage="0" bottom="0" percent="0" rank="0" text="" dxfId="3">
      <formula>AND(ISNUMBER($L1),ROUND($L1,2)&gt;=0.75)</formula>
    </cfRule>
  </conditionalFormatting>
  <conditionalFormatting sqref="S1:S1048576">
    <cfRule type="expression" priority="6" aboveAverage="0" equalAverage="0" bottom="0" percent="0" rank="0" text="" dxfId="4">
      <formula>AND(ISNUMBER(S1),S1&lt;0.95)</formula>
    </cfRule>
  </conditionalFormatting>
  <conditionalFormatting sqref="Y1:Z1048576">
    <cfRule type="expression" priority="7" aboveAverage="0" equalAverage="0" bottom="0" percent="0" rank="0" text="" dxfId="5">
      <formula>AND(ROW(Y1)&gt;14,$B1&lt;&gt;"",$D1&lt;&gt;"Female")</formula>
    </cfRule>
    <cfRule type="expression" priority="8" aboveAverage="0" equalAverage="0" bottom="0" percent="0" rank="0" text="" dxfId="6">
      <formula>AND(ROW(Y1)&gt;14,$B1&lt;&gt;"",OR($C1="&lt;01",$C1="01-04",$C1="05-09"))</formula>
    </cfRule>
  </conditionalFormatting>
  <conditionalFormatting sqref="AA1:AA1048576">
    <cfRule type="expression" priority="9" aboveAverage="0" equalAverage="0" bottom="0" percent="0" rank="0" text="" dxfId="7">
      <formula>AND(ROW(AA1)&gt;14,$B1&lt;&gt;"",OR($C1="&lt;01",$C1="01-04",$C1="05-09",$C1="10-14"))</formula>
    </cfRule>
    <cfRule type="expression" priority="10" aboveAverage="0" equalAverage="0" bottom="0" percent="0" rank="0" text="" dxfId="8">
      <formula>AND(ROW(AA1)&gt;14,$B1&lt;&gt;"",$D1&lt;&gt;"Male")</formula>
    </cfRule>
  </conditionalFormatting>
  <conditionalFormatting sqref="V1:AB1048576">
    <cfRule type="expression" priority="11" aboveAverage="0" equalAverage="0" bottom="0" percent="0" rank="0" text="" dxfId="9">
      <formula>AND(ROW($AB1)&gt;14,$AB1&lt;0)</formula>
    </cfRule>
  </conditionalFormatting>
  <conditionalFormatting sqref="G1:G1048576 J1:N1048576 S1:S1048576 W1:AB1048576">
    <cfRule type="expression" priority="12" aboveAverage="0" equalAverage="0" bottom="0" percent="0" rank="0" text="" dxfId="10">
      <formula>AND(ISNUMBER(G1),OR(G1&gt;1,G1&lt;0))</formula>
    </cfRule>
  </conditionalFormatting>
  <conditionalFormatting sqref="N1:N1048576">
    <cfRule type="expression" priority="13" aboveAverage="0" equalAverage="0" bottom="0" percent="0" rank="0" text="" dxfId="11">
      <formula>AND(ISNUMBER($N1),$N1&gt;10%)</formula>
    </cfRule>
  </conditionalFormatting>
  <hyperlinks>
    <hyperlink ref="Q3" location="Cascade!BH:BH" display="Newly Tested, Positive"/>
    <hyperlink ref="V3" location="Cascade!BD:BD" display="Total HTS_TST_POS (FY22)"/>
    <hyperlink ref="W3" location="TB!Q:Q" display="Total Positives from TB_STAT (FY22) (%)"/>
    <hyperlink ref="X3" location="Cascade!BL:BL" display="Total Positives from HTS_INDEX (FY22) (%)"/>
    <hyperlink ref="Y3" location="Cascade!BM:BM" display="Total Positives from PMTCT_STAT (FY22) (%)"/>
    <hyperlink ref="Z3" location="Cascade!BN:BN" display="Total Positives from Post ANC1 (FY22) (%)"/>
    <hyperlink ref="AA3" location="Cascade!BP:BP" display="Total Positives from VMMC (FY22) (%)"/>
    <hyperlink ref="AB3" location="Cascade!BR:BR" display="Total Positives from All Other Modalities (FY22)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81" width="10.83"/>
    <col collapsed="false" customWidth="true" hidden="false" outlineLevel="0" max="4" min="4" style="81" width="7.84"/>
    <col collapsed="false" customWidth="true" hidden="true" outlineLevel="0" max="5" min="5" style="81" width="7"/>
    <col collapsed="false" customWidth="true" hidden="false" outlineLevel="0" max="7" min="6" style="79" width="11.83"/>
    <col collapsed="false" customWidth="true" hidden="false" outlineLevel="0" max="8" min="8" style="262" width="11.83"/>
    <col collapsed="false" customWidth="true" hidden="false" outlineLevel="0" max="9" min="9" style="79" width="11.83"/>
    <col collapsed="false" customWidth="true" hidden="false" outlineLevel="0" max="10" min="10" style="262" width="11.83"/>
    <col collapsed="false" customWidth="true" hidden="false" outlineLevel="0" max="11" min="11" style="90" width="11.83"/>
    <col collapsed="false" customWidth="true" hidden="false" outlineLevel="0" max="12" min="12" style="79" width="11.83"/>
    <col collapsed="false" customWidth="true" hidden="false" outlineLevel="0" max="14" min="13" style="92" width="11.83"/>
    <col collapsed="false" customWidth="true" hidden="false" outlineLevel="0" max="16" min="15" style="94" width="11.83"/>
    <col collapsed="false" customWidth="true" hidden="false" outlineLevel="0" max="17" min="17" style="89" width="11.83"/>
    <col collapsed="false" customWidth="true" hidden="false" outlineLevel="0" max="18" min="18" style="78" width="11.83"/>
    <col collapsed="false" customWidth="true" hidden="false" outlineLevel="0" max="24" min="19" style="92" width="11.83"/>
    <col collapsed="false" customWidth="true" hidden="false" outlineLevel="0" max="25" min="25" style="208" width="11.83"/>
    <col collapsed="false" customWidth="true" hidden="false" outlineLevel="0" max="26" min="26" style="92" width="11.83"/>
    <col collapsed="false" customWidth="true" hidden="false" outlineLevel="0" max="31" min="27" style="79" width="11.83"/>
    <col collapsed="false" customWidth="true" hidden="false" outlineLevel="0" max="32" min="32" style="213" width="11.83"/>
    <col collapsed="false" customWidth="true" hidden="false" outlineLevel="0" max="36" min="33" style="92" width="11.83"/>
    <col collapsed="false" customWidth="true" hidden="false" outlineLevel="0" max="1025" min="37" style="25" width="10.83"/>
  </cols>
  <sheetData>
    <row r="1" s="62" customFormat="true" ht="31" hidden="false" customHeight="true" outlineLevel="0" collapsed="false">
      <c r="A1" s="97" t="s">
        <v>447</v>
      </c>
      <c r="B1" s="97"/>
      <c r="C1" s="97"/>
      <c r="D1" s="97"/>
      <c r="E1" s="97"/>
      <c r="F1" s="108" t="s">
        <v>448</v>
      </c>
      <c r="G1" s="109"/>
      <c r="H1" s="218"/>
      <c r="I1" s="109"/>
      <c r="J1" s="218"/>
      <c r="K1" s="109"/>
      <c r="L1" s="100"/>
      <c r="M1" s="218"/>
      <c r="N1" s="218"/>
      <c r="O1" s="98"/>
      <c r="P1" s="98"/>
      <c r="Q1" s="108" t="s">
        <v>449</v>
      </c>
      <c r="R1" s="116"/>
      <c r="S1" s="111"/>
      <c r="T1" s="111"/>
      <c r="U1" s="111"/>
      <c r="V1" s="111"/>
      <c r="W1" s="111"/>
      <c r="X1" s="111"/>
      <c r="Y1" s="104"/>
      <c r="Z1" s="111"/>
      <c r="AA1" s="100"/>
      <c r="AB1" s="100"/>
      <c r="AC1" s="100"/>
      <c r="AD1" s="100"/>
      <c r="AE1" s="100"/>
      <c r="AF1" s="108" t="s">
        <v>280</v>
      </c>
      <c r="AG1" s="111"/>
      <c r="AH1" s="111"/>
      <c r="AI1" s="111"/>
      <c r="AJ1" s="111"/>
    </row>
    <row r="2" s="137" customFormat="true" ht="19" hidden="false" customHeight="true" outlineLevel="0" collapsed="false">
      <c r="A2" s="220" t="s">
        <v>450</v>
      </c>
      <c r="B2" s="220"/>
      <c r="C2" s="118"/>
      <c r="D2" s="118"/>
      <c r="E2" s="118"/>
      <c r="F2" s="223" t="s">
        <v>54</v>
      </c>
      <c r="G2" s="224"/>
      <c r="H2" s="131"/>
      <c r="I2" s="224"/>
      <c r="J2" s="131"/>
      <c r="K2" s="129"/>
      <c r="L2" s="126"/>
      <c r="M2" s="131"/>
      <c r="N2" s="131" t="s">
        <v>100</v>
      </c>
      <c r="O2" s="119" t="s">
        <v>55</v>
      </c>
      <c r="P2" s="119"/>
      <c r="Q2" s="223" t="s">
        <v>54</v>
      </c>
      <c r="R2" s="136"/>
      <c r="S2" s="131"/>
      <c r="T2" s="131" t="s">
        <v>100</v>
      </c>
      <c r="U2" s="131"/>
      <c r="V2" s="131"/>
      <c r="W2" s="131"/>
      <c r="X2" s="131"/>
      <c r="Y2" s="122"/>
      <c r="Z2" s="131"/>
      <c r="AA2" s="126" t="s">
        <v>55</v>
      </c>
      <c r="AB2" s="126"/>
      <c r="AC2" s="126"/>
      <c r="AD2" s="126"/>
      <c r="AE2" s="136"/>
      <c r="AF2" s="223" t="s">
        <v>101</v>
      </c>
      <c r="AG2" s="131"/>
      <c r="AH2" s="131"/>
      <c r="AI2" s="131"/>
      <c r="AJ2" s="131"/>
    </row>
    <row r="3" customFormat="false" ht="117" hidden="false" customHeight="true" outlineLevel="0" collapsed="false">
      <c r="A3" s="220"/>
      <c r="B3" s="220"/>
      <c r="C3" s="138"/>
      <c r="D3" s="138"/>
      <c r="E3" s="138"/>
      <c r="F3" s="225" t="s">
        <v>451</v>
      </c>
      <c r="G3" s="225" t="s">
        <v>104</v>
      </c>
      <c r="H3" s="227" t="s">
        <v>106</v>
      </c>
      <c r="I3" s="225" t="s">
        <v>112</v>
      </c>
      <c r="J3" s="227" t="s">
        <v>452</v>
      </c>
      <c r="K3" s="263" t="s">
        <v>453</v>
      </c>
      <c r="L3" s="263" t="s">
        <v>454</v>
      </c>
      <c r="M3" s="164" t="s">
        <v>455</v>
      </c>
      <c r="N3" s="155" t="s">
        <v>456</v>
      </c>
      <c r="O3" s="264" t="s">
        <v>457</v>
      </c>
      <c r="P3" s="264" t="s">
        <v>458</v>
      </c>
      <c r="Q3" s="159" t="s">
        <v>459</v>
      </c>
      <c r="R3" s="161" t="s">
        <v>460</v>
      </c>
      <c r="S3" s="164" t="s">
        <v>461</v>
      </c>
      <c r="T3" s="155" t="s">
        <v>462</v>
      </c>
      <c r="U3" s="155" t="s">
        <v>463</v>
      </c>
      <c r="V3" s="164" t="s">
        <v>464</v>
      </c>
      <c r="W3" s="155" t="s">
        <v>465</v>
      </c>
      <c r="X3" s="164" t="s">
        <v>466</v>
      </c>
      <c r="Y3" s="259" t="s">
        <v>422</v>
      </c>
      <c r="Z3" s="164" t="s">
        <v>309</v>
      </c>
      <c r="AA3" s="153" t="s">
        <v>467</v>
      </c>
      <c r="AB3" s="153" t="s">
        <v>468</v>
      </c>
      <c r="AC3" s="163" t="s">
        <v>469</v>
      </c>
      <c r="AD3" s="236" t="s">
        <v>470</v>
      </c>
      <c r="AE3" s="236" t="s">
        <v>471</v>
      </c>
      <c r="AF3" s="241" t="s">
        <v>322</v>
      </c>
      <c r="AG3" s="227" t="s">
        <v>472</v>
      </c>
      <c r="AH3" s="227" t="s">
        <v>159</v>
      </c>
      <c r="AI3" s="227" t="s">
        <v>162</v>
      </c>
      <c r="AJ3" s="227" t="s">
        <v>165</v>
      </c>
    </row>
    <row r="4" customFormat="false" ht="16" hidden="false" customHeight="false" outlineLevel="0" collapsed="false">
      <c r="A4" s="165"/>
      <c r="B4" s="165"/>
      <c r="C4" s="165"/>
      <c r="D4" s="165" t="s">
        <v>59</v>
      </c>
      <c r="E4" s="165"/>
      <c r="F4" s="182" t="n">
        <f aca="false">SUBTOTAL(109,F$15:INDEX(F:F,COUNTA($B:$B)+14-COUNTA($B$1:$B$14)))</f>
        <v>0</v>
      </c>
      <c r="G4" s="178" t="n">
        <f aca="false">SUBTOTAL(109,G$15:INDEX(G:G,COUNTA($B:$B)+14-COUNTA($B$1:$B$14)))</f>
        <v>0</v>
      </c>
      <c r="H4" s="177" t="str">
        <f aca="false">IF(SUM($F$4)=0,"",SUM($G$4)/$F$4)</f>
        <v/>
      </c>
      <c r="I4" s="178" t="n">
        <f aca="false">SUBTOTAL(109,I$15:INDEX(I:I,COUNTA($B:$B)+14-COUNTA($B$1:$B$14)))</f>
        <v>0</v>
      </c>
      <c r="J4" s="177" t="str">
        <f aca="false">IF(SUM($G$4)=0,"",SUM($I$4)/$G$4)</f>
        <v/>
      </c>
      <c r="K4" s="174" t="n">
        <f aca="false">SUBTOTAL(109,K$15:INDEX(K:K,COUNTA($B:$B)+14-COUNTA($B$1:$B$14)))</f>
        <v>0</v>
      </c>
      <c r="L4" s="174" t="n">
        <f aca="false">SUBTOTAL(109,L$15:INDEX(L:L,COUNTA($B:$B)+14-COUNTA($B$1:$B$14)))</f>
        <v>0</v>
      </c>
      <c r="M4" s="177"/>
      <c r="N4" s="177"/>
      <c r="O4" s="166" t="n">
        <f aca="false">SUBTOTAL(109,O$15:INDEX(O:O,COUNTA($B:$B)+14-COUNTA($B$1:$B$14)))</f>
        <v>0</v>
      </c>
      <c r="P4" s="166" t="n">
        <f aca="false">SUBTOTAL(109,P$15:INDEX(P:P,COUNTA($B:$B)+14-COUNTA($B$1:$B$14)))</f>
        <v>0</v>
      </c>
      <c r="Q4" s="260" t="n">
        <f aca="false">SUBTOTAL(109,Q$15:INDEX(Q:Q,COUNTA($B:$B)+14-COUNTA($B$1:$B$14)))</f>
        <v>0</v>
      </c>
      <c r="R4" s="182" t="n">
        <f aca="false">SUBTOTAL(109,R$15:INDEX(R:R,COUNTA($B:$B)+14-COUNTA($B$1:$B$14)))</f>
        <v>0</v>
      </c>
      <c r="S4" s="177"/>
      <c r="T4" s="177"/>
      <c r="U4" s="177"/>
      <c r="V4" s="177"/>
      <c r="W4" s="177"/>
      <c r="X4" s="177"/>
      <c r="Y4" s="169"/>
      <c r="Z4" s="177"/>
      <c r="AA4" s="175" t="n">
        <f aca="false">SUBTOTAL(109,AA$15:INDEX(AA:AA,COUNTA($B:$B)+14-COUNTA($B$1:$B$14)))</f>
        <v>0</v>
      </c>
      <c r="AB4" s="175" t="n">
        <f aca="false">SUBTOTAL(109,AB$15:INDEX(AB:AB,COUNTA($B:$B)+14-COUNTA($B$1:$B$14)))</f>
        <v>0</v>
      </c>
      <c r="AC4" s="175" t="n">
        <f aca="false">SUBTOTAL(109,AC$15:INDEX(AC:AC,COUNTA($B:$B)+14-COUNTA($B$1:$B$14)))</f>
        <v>0</v>
      </c>
      <c r="AD4" s="175" t="n">
        <f aca="false">SUBTOTAL(109,AD$15:INDEX(AD:AD,COUNTA($B:$B)+14-COUNTA($B$1:$B$14)))</f>
        <v>0</v>
      </c>
      <c r="AE4" s="182" t="n">
        <f aca="false">SUBTOTAL(109,AE$15:INDEX(AE:AE,COUNTA($B:$B)+14-COUNTA($B$1:$B$14)))</f>
        <v>0</v>
      </c>
      <c r="AF4" s="182" t="n">
        <f aca="false">SUBTOTAL(109,AF$15:INDEX(AF:AF,COUNTA($B:$B)+14-COUNTA($B$1:$B$14)))</f>
        <v>0</v>
      </c>
      <c r="AG4" s="177"/>
      <c r="AH4" s="177"/>
      <c r="AI4" s="177"/>
      <c r="AJ4" s="177"/>
    </row>
    <row r="5" customFormat="false" ht="16" hidden="false" customHeight="false" outlineLevel="0" collapsed="false">
      <c r="A5" s="81" t="s">
        <v>60</v>
      </c>
      <c r="B5" s="81" t="s">
        <v>60</v>
      </c>
      <c r="C5" s="81" t="s">
        <v>60</v>
      </c>
      <c r="D5" s="81" t="s">
        <v>60</v>
      </c>
      <c r="E5" s="81" t="s">
        <v>60</v>
      </c>
      <c r="F5" s="78" t="s">
        <v>60</v>
      </c>
      <c r="G5" s="78" t="s">
        <v>60</v>
      </c>
      <c r="H5" s="92" t="s">
        <v>60</v>
      </c>
      <c r="I5" s="78" t="s">
        <v>60</v>
      </c>
      <c r="J5" s="92" t="s">
        <v>60</v>
      </c>
      <c r="K5" s="90" t="s">
        <v>168</v>
      </c>
      <c r="L5" s="90" t="s">
        <v>168</v>
      </c>
      <c r="M5" s="92" t="s">
        <v>60</v>
      </c>
      <c r="N5" s="92" t="s">
        <v>60</v>
      </c>
      <c r="O5" s="94" t="s">
        <v>168</v>
      </c>
      <c r="P5" s="94" t="s">
        <v>168</v>
      </c>
      <c r="Q5" s="213" t="s">
        <v>169</v>
      </c>
      <c r="R5" s="78" t="s">
        <v>169</v>
      </c>
      <c r="S5" s="92" t="s">
        <v>60</v>
      </c>
      <c r="T5" s="92" t="s">
        <v>60</v>
      </c>
      <c r="U5" s="92" t="s">
        <v>60</v>
      </c>
      <c r="V5" s="92" t="s">
        <v>60</v>
      </c>
      <c r="W5" s="92" t="s">
        <v>60</v>
      </c>
      <c r="X5" s="92" t="s">
        <v>60</v>
      </c>
      <c r="Y5" s="208" t="s">
        <v>60</v>
      </c>
      <c r="Z5" s="92" t="s">
        <v>60</v>
      </c>
      <c r="AA5" s="79" t="s">
        <v>60</v>
      </c>
      <c r="AB5" s="79" t="s">
        <v>169</v>
      </c>
      <c r="AC5" s="79" t="s">
        <v>169</v>
      </c>
      <c r="AD5" s="79" t="s">
        <v>169</v>
      </c>
      <c r="AE5" s="78" t="s">
        <v>60</v>
      </c>
      <c r="AF5" s="213" t="s">
        <v>60</v>
      </c>
      <c r="AG5" s="92" t="s">
        <v>60</v>
      </c>
      <c r="AH5" s="92" t="s">
        <v>60</v>
      </c>
      <c r="AI5" s="92" t="s">
        <v>60</v>
      </c>
      <c r="AJ5" s="92" t="s">
        <v>60</v>
      </c>
    </row>
    <row r="6" customFormat="false" ht="16" hidden="false" customHeight="false" outlineLevel="0" collapsed="false">
      <c r="A6" s="81" t="s">
        <v>62</v>
      </c>
      <c r="B6" s="81" t="s">
        <v>62</v>
      </c>
      <c r="C6" s="81" t="s">
        <v>62</v>
      </c>
      <c r="D6" s="81" t="s">
        <v>62</v>
      </c>
      <c r="E6" s="81" t="s">
        <v>62</v>
      </c>
      <c r="F6" s="78" t="s">
        <v>65</v>
      </c>
      <c r="G6" s="78" t="s">
        <v>65</v>
      </c>
      <c r="H6" s="92" t="s">
        <v>65</v>
      </c>
      <c r="I6" s="78" t="s">
        <v>65</v>
      </c>
      <c r="J6" s="92" t="s">
        <v>65</v>
      </c>
      <c r="K6" s="90" t="s">
        <v>64</v>
      </c>
      <c r="L6" s="90" t="s">
        <v>64</v>
      </c>
      <c r="M6" s="92" t="s">
        <v>65</v>
      </c>
      <c r="N6" s="92" t="s">
        <v>65</v>
      </c>
      <c r="O6" s="94" t="s">
        <v>64</v>
      </c>
      <c r="P6" s="94" t="s">
        <v>64</v>
      </c>
      <c r="Q6" s="213" t="s">
        <v>63</v>
      </c>
      <c r="R6" s="78" t="s">
        <v>63</v>
      </c>
      <c r="S6" s="92" t="s">
        <v>65</v>
      </c>
      <c r="T6" s="92" t="s">
        <v>171</v>
      </c>
      <c r="U6" s="92" t="s">
        <v>171</v>
      </c>
      <c r="V6" s="92" t="s">
        <v>172</v>
      </c>
      <c r="W6" s="92" t="s">
        <v>171</v>
      </c>
      <c r="X6" s="92" t="s">
        <v>172</v>
      </c>
      <c r="Y6" s="208" t="s">
        <v>171</v>
      </c>
      <c r="Z6" s="92" t="s">
        <v>171</v>
      </c>
      <c r="AA6" s="79" t="s">
        <v>65</v>
      </c>
      <c r="AB6" s="79" t="s">
        <v>64</v>
      </c>
      <c r="AC6" s="79" t="s">
        <v>64</v>
      </c>
      <c r="AD6" s="79" t="s">
        <v>64</v>
      </c>
      <c r="AE6" s="78" t="s">
        <v>65</v>
      </c>
      <c r="AF6" s="213" t="s">
        <v>65</v>
      </c>
      <c r="AG6" s="92" t="s">
        <v>65</v>
      </c>
      <c r="AH6" s="92" t="s">
        <v>65</v>
      </c>
      <c r="AI6" s="92" t="s">
        <v>65</v>
      </c>
      <c r="AJ6" s="92" t="s">
        <v>65</v>
      </c>
    </row>
    <row r="7" customFormat="false" ht="16" hidden="false" customHeight="false" outlineLevel="0" collapsed="false">
      <c r="A7" s="81" t="s">
        <v>66</v>
      </c>
      <c r="B7" s="81" t="s">
        <v>66</v>
      </c>
      <c r="C7" s="81" t="s">
        <v>66</v>
      </c>
      <c r="D7" s="81" t="s">
        <v>66</v>
      </c>
      <c r="E7" s="81" t="s">
        <v>66</v>
      </c>
      <c r="F7" s="78" t="s">
        <v>67</v>
      </c>
      <c r="G7" s="78" t="s">
        <v>67</v>
      </c>
      <c r="H7" s="92" t="s">
        <v>173</v>
      </c>
      <c r="I7" s="78" t="s">
        <v>67</v>
      </c>
      <c r="J7" s="92" t="s">
        <v>173</v>
      </c>
      <c r="K7" s="90" t="s">
        <v>67</v>
      </c>
      <c r="L7" s="90" t="s">
        <v>67</v>
      </c>
      <c r="M7" s="92" t="s">
        <v>173</v>
      </c>
      <c r="N7" s="92" t="s">
        <v>173</v>
      </c>
      <c r="O7" s="94" t="s">
        <v>67</v>
      </c>
      <c r="P7" s="94" t="s">
        <v>67</v>
      </c>
      <c r="Q7" s="213" t="s">
        <v>67</v>
      </c>
      <c r="R7" s="78" t="s">
        <v>67</v>
      </c>
      <c r="S7" s="92" t="s">
        <v>173</v>
      </c>
      <c r="T7" s="92" t="s">
        <v>173</v>
      </c>
      <c r="U7" s="92" t="s">
        <v>173</v>
      </c>
      <c r="V7" s="92" t="s">
        <v>173</v>
      </c>
      <c r="W7" s="92" t="s">
        <v>173</v>
      </c>
      <c r="X7" s="92" t="s">
        <v>173</v>
      </c>
      <c r="Y7" s="208" t="s">
        <v>173</v>
      </c>
      <c r="Z7" s="92" t="s">
        <v>173</v>
      </c>
      <c r="AA7" s="79" t="s">
        <v>67</v>
      </c>
      <c r="AB7" s="79" t="s">
        <v>67</v>
      </c>
      <c r="AC7" s="79" t="s">
        <v>67</v>
      </c>
      <c r="AD7" s="79" t="s">
        <v>67</v>
      </c>
      <c r="AE7" s="78" t="s">
        <v>67</v>
      </c>
      <c r="AF7" s="213" t="s">
        <v>67</v>
      </c>
      <c r="AG7" s="92" t="s">
        <v>173</v>
      </c>
      <c r="AH7" s="92" t="s">
        <v>173</v>
      </c>
      <c r="AI7" s="92" t="s">
        <v>173</v>
      </c>
      <c r="AJ7" s="92" t="s">
        <v>173</v>
      </c>
    </row>
    <row r="8" customFormat="false" ht="16" hidden="false" customHeight="false" outlineLevel="0" collapsed="false">
      <c r="F8" s="78"/>
      <c r="G8" s="78"/>
      <c r="H8" s="92"/>
      <c r="I8" s="78"/>
      <c r="J8" s="92"/>
      <c r="K8" s="90" t="s">
        <v>473</v>
      </c>
      <c r="L8" s="90" t="s">
        <v>474</v>
      </c>
      <c r="O8" s="94" t="s">
        <v>474</v>
      </c>
      <c r="P8" s="94" t="s">
        <v>473</v>
      </c>
      <c r="Q8" s="261" t="s">
        <v>475</v>
      </c>
      <c r="R8" s="78" t="s">
        <v>476</v>
      </c>
      <c r="AB8" s="79" t="s">
        <v>477</v>
      </c>
      <c r="AC8" s="79" t="s">
        <v>477</v>
      </c>
      <c r="AD8" s="79" t="s">
        <v>477</v>
      </c>
      <c r="AE8" s="78"/>
    </row>
    <row r="9" customFormat="false" ht="16" hidden="false" customHeight="false" outlineLevel="0" collapsed="false">
      <c r="F9" s="78"/>
      <c r="G9" s="78"/>
      <c r="H9" s="92"/>
      <c r="I9" s="78"/>
      <c r="J9" s="92"/>
      <c r="L9" s="90"/>
      <c r="Q9" s="261" t="s">
        <v>478</v>
      </c>
      <c r="R9" s="78" t="s">
        <v>479</v>
      </c>
      <c r="AB9" s="79" t="s">
        <v>480</v>
      </c>
      <c r="AC9" s="79" t="s">
        <v>480</v>
      </c>
      <c r="AD9" s="79" t="s">
        <v>480</v>
      </c>
      <c r="AE9" s="78"/>
    </row>
    <row r="10" customFormat="false" ht="16" hidden="false" customHeight="false" outlineLevel="0" collapsed="false">
      <c r="F10" s="78"/>
      <c r="G10" s="78"/>
      <c r="H10" s="92"/>
      <c r="I10" s="78"/>
      <c r="J10" s="92"/>
      <c r="L10" s="90"/>
      <c r="Q10" s="213"/>
      <c r="AB10" s="79" t="s">
        <v>481</v>
      </c>
      <c r="AC10" s="79" t="s">
        <v>193</v>
      </c>
      <c r="AD10" s="79" t="s">
        <v>341</v>
      </c>
      <c r="AE10" s="78"/>
    </row>
    <row r="11" customFormat="false" ht="16" hidden="false" customHeight="false" outlineLevel="0" collapsed="false">
      <c r="F11" s="78" t="s">
        <v>199</v>
      </c>
      <c r="G11" s="78" t="s">
        <v>199</v>
      </c>
      <c r="H11" s="92" t="s">
        <v>199</v>
      </c>
      <c r="I11" s="78" t="s">
        <v>199</v>
      </c>
      <c r="J11" s="92" t="s">
        <v>199</v>
      </c>
      <c r="K11" s="90" t="s">
        <v>199</v>
      </c>
      <c r="L11" s="90" t="s">
        <v>199</v>
      </c>
      <c r="M11" s="92" t="s">
        <v>199</v>
      </c>
      <c r="N11" s="265" t="s">
        <v>199</v>
      </c>
      <c r="O11" s="94" t="s">
        <v>199</v>
      </c>
      <c r="P11" s="94" t="s">
        <v>199</v>
      </c>
      <c r="Q11" s="213" t="s">
        <v>199</v>
      </c>
      <c r="R11" s="78" t="s">
        <v>199</v>
      </c>
      <c r="S11" s="92" t="s">
        <v>199</v>
      </c>
      <c r="T11" s="92" t="s">
        <v>199</v>
      </c>
      <c r="U11" s="92" t="s">
        <v>199</v>
      </c>
      <c r="V11" s="92" t="s">
        <v>199</v>
      </c>
      <c r="W11" s="92" t="s">
        <v>199</v>
      </c>
      <c r="X11" s="92" t="s">
        <v>199</v>
      </c>
      <c r="Y11" s="208" t="s">
        <v>199</v>
      </c>
      <c r="Z11" s="265" t="s">
        <v>199</v>
      </c>
      <c r="AA11" s="79" t="s">
        <v>199</v>
      </c>
      <c r="AB11" s="79" t="s">
        <v>199</v>
      </c>
      <c r="AC11" s="79" t="s">
        <v>199</v>
      </c>
      <c r="AD11" s="79" t="s">
        <v>199</v>
      </c>
      <c r="AE11" s="78" t="s">
        <v>199</v>
      </c>
      <c r="AF11" s="213" t="s">
        <v>199</v>
      </c>
      <c r="AG11" s="92" t="s">
        <v>199</v>
      </c>
      <c r="AH11" s="92" t="s">
        <v>199</v>
      </c>
      <c r="AI11" s="92" t="s">
        <v>199</v>
      </c>
      <c r="AJ11" s="92" t="s">
        <v>199</v>
      </c>
    </row>
    <row r="12" customFormat="false" ht="16" hidden="false" customHeight="false" outlineLevel="0" collapsed="false">
      <c r="F12" s="78" t="s">
        <v>202</v>
      </c>
      <c r="G12" s="78" t="s">
        <v>202</v>
      </c>
      <c r="H12" s="92" t="s">
        <v>202</v>
      </c>
      <c r="I12" s="78" t="s">
        <v>202</v>
      </c>
      <c r="J12" s="92" t="s">
        <v>202</v>
      </c>
      <c r="K12" s="90" t="s">
        <v>202</v>
      </c>
      <c r="L12" s="90" t="s">
        <v>202</v>
      </c>
      <c r="M12" s="92" t="s">
        <v>202</v>
      </c>
      <c r="N12" s="92" t="s">
        <v>202</v>
      </c>
      <c r="O12" s="94" t="s">
        <v>202</v>
      </c>
      <c r="P12" s="94" t="s">
        <v>202</v>
      </c>
      <c r="Q12" s="213" t="s">
        <v>202</v>
      </c>
      <c r="R12" s="78" t="s">
        <v>202</v>
      </c>
      <c r="S12" s="92" t="s">
        <v>202</v>
      </c>
      <c r="T12" s="92" t="s">
        <v>202</v>
      </c>
      <c r="U12" s="92" t="s">
        <v>202</v>
      </c>
      <c r="V12" s="92" t="s">
        <v>202</v>
      </c>
      <c r="W12" s="92" t="s">
        <v>202</v>
      </c>
      <c r="X12" s="92" t="s">
        <v>202</v>
      </c>
      <c r="Y12" s="208" t="s">
        <v>202</v>
      </c>
      <c r="Z12" s="92" t="s">
        <v>202</v>
      </c>
      <c r="AA12" s="79" t="s">
        <v>202</v>
      </c>
      <c r="AB12" s="79" t="s">
        <v>202</v>
      </c>
      <c r="AC12" s="79" t="s">
        <v>202</v>
      </c>
      <c r="AD12" s="79" t="s">
        <v>202</v>
      </c>
      <c r="AE12" s="78" t="s">
        <v>202</v>
      </c>
      <c r="AF12" s="213" t="s">
        <v>202</v>
      </c>
      <c r="AG12" s="92" t="s">
        <v>202</v>
      </c>
      <c r="AH12" s="92" t="s">
        <v>202</v>
      </c>
      <c r="AI12" s="92" t="s">
        <v>202</v>
      </c>
      <c r="AJ12" s="92" t="s">
        <v>202</v>
      </c>
    </row>
    <row r="13" customFormat="false" ht="16" hidden="false" customHeight="false" outlineLevel="0" collapsed="false">
      <c r="F13" s="78"/>
      <c r="G13" s="78"/>
      <c r="H13" s="92"/>
      <c r="I13" s="78"/>
      <c r="J13" s="92"/>
      <c r="L13" s="90"/>
      <c r="Q13" s="213"/>
      <c r="AE13" s="78"/>
    </row>
    <row r="14" customFormat="false" ht="16" hidden="false" customHeight="false" outlineLevel="0" collapsed="false">
      <c r="A14" s="75" t="s">
        <v>69</v>
      </c>
      <c r="B14" s="75" t="s">
        <v>70</v>
      </c>
      <c r="C14" s="75" t="s">
        <v>203</v>
      </c>
      <c r="D14" s="75" t="s">
        <v>204</v>
      </c>
      <c r="E14" s="75" t="s">
        <v>40</v>
      </c>
      <c r="F14" s="190" t="s">
        <v>205</v>
      </c>
      <c r="G14" s="190" t="s">
        <v>207</v>
      </c>
      <c r="H14" s="250" t="s">
        <v>209</v>
      </c>
      <c r="I14" s="190" t="s">
        <v>215</v>
      </c>
      <c r="J14" s="250" t="s">
        <v>224</v>
      </c>
      <c r="K14" s="187" t="s">
        <v>482</v>
      </c>
      <c r="L14" s="187" t="s">
        <v>483</v>
      </c>
      <c r="M14" s="250" t="s">
        <v>484</v>
      </c>
      <c r="N14" s="190" t="s">
        <v>485</v>
      </c>
      <c r="O14" s="187" t="s">
        <v>486</v>
      </c>
      <c r="P14" s="187" t="s">
        <v>487</v>
      </c>
      <c r="Q14" s="251" t="s">
        <v>488</v>
      </c>
      <c r="R14" s="190" t="s">
        <v>489</v>
      </c>
      <c r="S14" s="250" t="s">
        <v>490</v>
      </c>
      <c r="T14" s="250" t="s">
        <v>491</v>
      </c>
      <c r="U14" s="250" t="s">
        <v>492</v>
      </c>
      <c r="V14" s="250" t="s">
        <v>493</v>
      </c>
      <c r="W14" s="250" t="s">
        <v>494</v>
      </c>
      <c r="X14" s="250" t="s">
        <v>495</v>
      </c>
      <c r="Y14" s="257" t="s">
        <v>496</v>
      </c>
      <c r="Z14" s="190" t="s">
        <v>497</v>
      </c>
      <c r="AA14" s="187" t="s">
        <v>498</v>
      </c>
      <c r="AB14" s="187" t="s">
        <v>499</v>
      </c>
      <c r="AC14" s="187" t="s">
        <v>260</v>
      </c>
      <c r="AD14" s="187" t="s">
        <v>500</v>
      </c>
      <c r="AE14" s="190" t="s">
        <v>501</v>
      </c>
      <c r="AF14" s="251" t="s">
        <v>380</v>
      </c>
      <c r="AG14" s="250" t="s">
        <v>267</v>
      </c>
      <c r="AH14" s="250" t="s">
        <v>263</v>
      </c>
      <c r="AI14" s="250" t="s">
        <v>266</v>
      </c>
      <c r="AJ14" s="250" t="s">
        <v>269</v>
      </c>
    </row>
    <row r="15" customFormat="false" ht="16" hidden="false" customHeight="false" outlineLevel="0" collapsed="false">
      <c r="E15" s="81" t="str">
        <f aca="false">B15&amp;"|"&amp;C15&amp;"|"&amp;D15</f>
        <v>||</v>
      </c>
      <c r="F15" s="93" t="str">
        <f aca="false">_xlfn.IFNA(INDEX(Cascade!$F:$F,MATCH($E15,Cascade!$E:$E,0)),"")</f>
        <v/>
      </c>
      <c r="G15" s="93" t="str">
        <f aca="false">_xlfn.IFNA(INDEX(Cascade!$H:$H,MATCH($E15,Cascade!$E:$E,0)),"")</f>
        <v/>
      </c>
      <c r="H15" s="92" t="str">
        <f aca="false">_xlfn.IFNA(INDEX(Cascade!$J:$J,MATCH($E15,Cascade!$E:$E,0)),"")</f>
        <v/>
      </c>
      <c r="I15" s="93" t="str">
        <f aca="false">_xlfn.IFNA(INDEX(Cascade!$P:$P,MATCH($E15,Cascade!$E:$E,0)),"")</f>
        <v/>
      </c>
      <c r="J15" s="92" t="str">
        <f aca="false">_xlfn.IFNA(INDEX(Cascade!$Y:$Y,MATCH($E15,Cascade!$E:$E,0)),"")</f>
        <v/>
      </c>
      <c r="K15" s="90" t="str">
        <f aca="false">_xlfn.IFNA(ROUND(INDEX(Spectrum!$N:$N,MATCH(RIGHT($B15,13)&amp;"|"&amp;$C15&amp;"|"&amp;$D15&amp;"|"&amp;K$14&amp;"|"&amp;"CY2021Q3",Spectrum!$Q:$Q,0)),0),"")</f>
        <v/>
      </c>
      <c r="L15" s="90" t="str">
        <f aca="false">_xlfn.IFNA(ROUND(INDEX(Spectrum!$N:$N,MATCH(RIGHT($B15,13)&amp;"|"&amp;$C15&amp;"|"&amp;$D15&amp;"|"&amp;L$14&amp;"|"&amp;"CY2021Q3",Spectrum!$Q:$Q,0)),0),"")</f>
        <v/>
      </c>
      <c r="M15" s="92" t="str">
        <f aca="false">IF(OR(LEFT($B15,4)="_Mil",SUM($F15)&lt;=0),"",SUM($L15)/$F15)</f>
        <v/>
      </c>
      <c r="N15" s="92" t="n">
        <f aca="false">IF(LEFT($B15,4)="_Mil","",80%)</f>
        <v>0.8</v>
      </c>
      <c r="O15" s="94" t="str">
        <f aca="false">IF(LEFT($B15,4)="_Mil","",IF(SUM($F15)=0,"",ROUND(SUM($F15)*SUM($N15),0)))</f>
        <v/>
      </c>
      <c r="P15" s="94" t="str">
        <f aca="false">IF(LEFT($B15,4)="_Mil","",IF(SUM($F15)=0,"",ROUND(MAX(SUM($O15)-SUM($L15),0),0)))</f>
        <v/>
      </c>
      <c r="S15" s="92" t="str">
        <f aca="false">IF(LEFT($B15,4)="_Mil","",IF(SUM($K15)&lt;=0,"",SUM($R15)/$K15))</f>
        <v/>
      </c>
      <c r="T15" s="92" t="str">
        <f aca="false">IF(SUM($S15)&lt;=0,"",$S15)</f>
        <v/>
      </c>
      <c r="U15" s="92" t="str">
        <f aca="false">IF(LEFT($B15,4)="_Mil",0,"")</f>
        <v/>
      </c>
      <c r="W15" s="92" t="str">
        <f aca="false">IF(SUM($V15)=0,"",$V15)</f>
        <v/>
      </c>
      <c r="Y15" s="208" t="str">
        <f aca="false">IF(SUM($X15)=0,"",$X15)</f>
        <v/>
      </c>
      <c r="Z15" s="92" t="n">
        <f aca="false">_xlfn.IFNA(INDEX(Cascade!$BA:$BA,MATCH($E15,Cascade!$E:$E,0)),"")</f>
        <v>0.95</v>
      </c>
      <c r="AA15" s="79" t="str">
        <f aca="false">IF(LEFT($B15,4)="_Mil",IF(SUM($R15)=0,"",ROUND(SUM($R15)*(1+$U15),0)),IF(SUM($P15)=0,"",ROUND(SUM($T15)*SUM($P15),0)))</f>
        <v/>
      </c>
      <c r="AB15" s="79" t="str">
        <f aca="false">IF(SUM($AA15)&lt;=0,"",ROUND($AA15*$W15,0))</f>
        <v/>
      </c>
      <c r="AC15" s="79" t="str">
        <f aca="false">IF(SUM($AA15)&lt;=0,"",ROUND((SUM($AA15)-SUM($AB15))*SUM($Y15),0))</f>
        <v/>
      </c>
      <c r="AD15" s="79" t="str">
        <f aca="false">IF(SUM($AA15)&lt;=0,"",$AA15-$AB15-$AC15)</f>
        <v/>
      </c>
      <c r="AE15" s="78" t="str">
        <f aca="false">IF(SUM($AC15)&lt;=0,"",ROUND($AC15*$Z15,0))</f>
        <v/>
      </c>
      <c r="AF15" s="213" t="str">
        <f aca="false">_xlfn.IFNA(INDEX(Cascade!$BD:$BD,MATCH($E15,Cascade!$E:$E,0)),"")</f>
        <v/>
      </c>
      <c r="AG15" s="92" t="str">
        <f aca="false">IF(SUM($AF15)&lt;=0,"",SUM($AC15)/$AF15)</f>
        <v/>
      </c>
      <c r="AH15" s="92" t="str">
        <f aca="false">_xlfn.IFNA(INDEX(Cascade!$BL:$BL,MATCH($E15,Cascade!$E:$E,0)),"")</f>
        <v/>
      </c>
      <c r="AI15" s="92" t="str">
        <f aca="false">_xlfn.IFNA(INDEX(Cascade!$BO:$BO,MATCH($E15,Cascade!$E:$E,0)),"")</f>
        <v/>
      </c>
      <c r="AJ15" s="92" t="str">
        <f aca="false">_xlfn.IFNA(INDEX(Cascade!$BR:$BR,MATCH($E15,Cascade!$E:$E,0)),"")</f>
        <v/>
      </c>
    </row>
  </sheetData>
  <mergeCells count="1">
    <mergeCell ref="A2:B3"/>
  </mergeCells>
  <conditionalFormatting sqref="F1:P1048576 S1:T1048576">
    <cfRule type="expression" priority="2" aboveAverage="0" equalAverage="0" bottom="0" percent="0" rank="0" text="" dxfId="0">
      <formula>LEFT($B1,4)="_Mil"</formula>
    </cfRule>
  </conditionalFormatting>
  <conditionalFormatting sqref="N1:N1048576">
    <cfRule type="expression" priority="3" aboveAverage="0" equalAverage="0" bottom="0" percent="0" rank="0" text="" dxfId="1">
      <formula>AND(ISNUMBER($N1),ROW($N1)&gt;14,OR(ROUND($N1,2)&lt;0.8,ROUND($N1,2)&gt;1))</formula>
    </cfRule>
  </conditionalFormatting>
  <conditionalFormatting sqref="Y1:Y1048576">
    <cfRule type="expression" priority="4" aboveAverage="0" equalAverage="0" bottom="0" percent="0" rank="0" text="" dxfId="2">
      <formula>AND(ROW($Y1)&gt;14,SUM($Y1)&gt;0.01)</formula>
    </cfRule>
  </conditionalFormatting>
  <conditionalFormatting sqref="T1:Z1048576 AG1:AJ1048576">
    <cfRule type="expression" priority="5" aboveAverage="0" equalAverage="0" bottom="0" percent="0" rank="0" text="" dxfId="3">
      <formula>AND(ROW(T1)&gt;14,OR(SUM(T1)&gt;1,SUM(T1)&lt;0))</formula>
    </cfRule>
  </conditionalFormatting>
  <conditionalFormatting sqref="AF1:AJ1048576">
    <cfRule type="expression" priority="6" aboveAverage="0" equalAverage="0" bottom="0" percent="0" rank="0" text="" dxfId="4">
      <formula>AND(ROW($AJ1)&gt;14,$AJ1&lt;0)</formula>
    </cfRule>
  </conditionalFormatting>
  <conditionalFormatting sqref="Z1:Z1048576">
    <cfRule type="expression" priority="7" aboveAverage="0" equalAverage="0" bottom="0" percent="0" rank="0" text="" dxfId="5">
      <formula>AND(ROW($Z1)&gt;14,ISNUMBER($Z1),$Z1&lt;95%)</formula>
    </cfRule>
  </conditionalFormatting>
  <conditionalFormatting sqref="O1:O1048576">
    <cfRule type="expression" priority="8" aboveAverage="0" equalAverage="0" bottom="0" percent="0" rank="0" text="" dxfId="6">
      <formula>AND(ISNUMBER($O1),ROW($O1)&gt;14,$O1&lt;$L1)</formula>
    </cfRule>
  </conditionalFormatting>
  <conditionalFormatting sqref="U1:U1048576">
    <cfRule type="expression" priority="9" aboveAverage="0" equalAverage="0" bottom="0" percent="0" rank="0" text="" dxfId="7">
      <formula>AND(ROW($U1)&gt;14,$E1&lt;&gt;"",LEFT($B1,4)&lt;&gt;"_Mil")</formula>
    </cfRule>
  </conditionalFormatting>
  <hyperlinks>
    <hyperlink ref="F3" location="Cascade!F:F" display="Host Country Est. Male Population (FY21)"/>
    <hyperlink ref="G3" location="Cascade!H:H" display="Host Country Est. PLHIV (FY21)"/>
    <hyperlink ref="H3" location="Cascade!J:J" display="Host Country Est. HIV Prevalence (FY21) (%)"/>
    <hyperlink ref="I3" location="Cascade!P:P" display="Host Country Est. TX_CURR_SUBNAT (FY21)"/>
    <hyperlink ref="J3" location="Cascade!Y:Y" display="Host Country Est. Art Coverage (FY21) (%)"/>
    <hyperlink ref="AC3" location="Cascade!BI:BI" display="HIV Positive"/>
    <hyperlink ref="AF3" location="Cascade!BD:BD" display="Total HTS_TST_POS (FY22)"/>
    <hyperlink ref="AG3" location="VMMC!AC:AC" display="Total Positives from VMMC_CIRC (FY22) (%)"/>
    <hyperlink ref="AH3" location="Cascade!BL:BL" display="Total Positives from HTS_INDEX (FY22) (%)"/>
    <hyperlink ref="AI3" location="Cascade!BO:BO" display="Total Positives from TB_STAT (FY22) (%)"/>
    <hyperlink ref="AJ3" location="Cascade!BR:BR" display="Total Positives from All Other Modalities (FY22)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Y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81" width="10.83"/>
    <col collapsed="false" customWidth="true" hidden="false" outlineLevel="0" max="4" min="4" style="81" width="7.84"/>
    <col collapsed="false" customWidth="true" hidden="true" outlineLevel="0" max="5" min="5" style="81" width="7"/>
    <col collapsed="false" customWidth="true" hidden="false" outlineLevel="0" max="6" min="6" style="91" width="11.83"/>
    <col collapsed="false" customWidth="true" hidden="false" outlineLevel="0" max="13" min="7" style="214" width="11.83"/>
    <col collapsed="false" customWidth="true" hidden="false" outlineLevel="0" max="14" min="14" style="91" width="11.83"/>
    <col collapsed="false" customWidth="true" hidden="false" outlineLevel="0" max="16" min="15" style="92" width="11.83"/>
    <col collapsed="false" customWidth="true" hidden="false" outlineLevel="0" max="20" min="17" style="94" width="11.83"/>
    <col collapsed="false" customWidth="true" hidden="false" outlineLevel="0" max="21" min="21" style="92" width="11.83"/>
    <col collapsed="false" customWidth="true" hidden="false" outlineLevel="0" max="22" min="22" style="91" width="11.83"/>
    <col collapsed="false" customWidth="true" hidden="false" outlineLevel="0" max="37" min="23" style="92" width="11.83"/>
    <col collapsed="false" customWidth="true" hidden="false" outlineLevel="0" max="38" min="38" style="91" width="11.83"/>
    <col collapsed="false" customWidth="true" hidden="false" outlineLevel="0" max="40" min="39" style="79" width="11.83"/>
    <col collapsed="false" customWidth="true" hidden="false" outlineLevel="0" max="41" min="41" style="91" width="11.83"/>
    <col collapsed="false" customWidth="true" hidden="false" outlineLevel="0" max="43" min="42" style="79" width="11.83"/>
    <col collapsed="false" customWidth="true" hidden="false" outlineLevel="0" max="44" min="44" style="91" width="11.83"/>
    <col collapsed="false" customWidth="true" hidden="false" outlineLevel="0" max="46" min="45" style="79" width="11.83"/>
    <col collapsed="false" customWidth="true" hidden="false" outlineLevel="0" max="47" min="47" style="91" width="11.83"/>
    <col collapsed="false" customWidth="true" hidden="false" outlineLevel="0" max="49" min="48" style="79" width="11.83"/>
    <col collapsed="false" customWidth="true" hidden="false" outlineLevel="0" max="50" min="50" style="91" width="11.83"/>
    <col collapsed="false" customWidth="true" hidden="false" outlineLevel="0" max="52" min="51" style="79" width="11.83"/>
    <col collapsed="false" customWidth="true" hidden="false" outlineLevel="0" max="53" min="53" style="91" width="11.83"/>
    <col collapsed="false" customWidth="true" hidden="false" outlineLevel="0" max="55" min="54" style="79" width="11.83"/>
    <col collapsed="false" customWidth="true" hidden="false" outlineLevel="0" max="56" min="56" style="91" width="11.83"/>
    <col collapsed="false" customWidth="true" hidden="false" outlineLevel="0" max="58" min="57" style="79" width="11.83"/>
    <col collapsed="false" customWidth="true" hidden="false" outlineLevel="0" max="59" min="59" style="91" width="11.83"/>
    <col collapsed="false" customWidth="true" hidden="false" outlineLevel="0" max="61" min="60" style="79" width="11.83"/>
    <col collapsed="false" customWidth="true" hidden="false" outlineLevel="0" max="62" min="62" style="91" width="11.83"/>
    <col collapsed="false" customWidth="true" hidden="false" outlineLevel="0" max="64" min="63" style="79" width="11.83"/>
    <col collapsed="false" customWidth="true" hidden="false" outlineLevel="0" max="65" min="65" style="210" width="11.83"/>
    <col collapsed="false" customWidth="true" hidden="false" outlineLevel="0" max="71" min="66" style="93" width="11.83"/>
    <col collapsed="false" customWidth="true" hidden="false" outlineLevel="0" max="73" min="72" style="94" width="11.83"/>
    <col collapsed="false" customWidth="true" hidden="false" outlineLevel="0" max="74" min="74" style="92" width="11.83"/>
    <col collapsed="false" customWidth="true" hidden="false" outlineLevel="0" max="75" min="75" style="213" width="11.83"/>
    <col collapsed="false" customWidth="true" hidden="false" outlineLevel="0" max="76" min="76" style="92" width="11.83"/>
    <col collapsed="false" customWidth="true" hidden="false" outlineLevel="0" max="77" min="77" style="79" width="11.83"/>
    <col collapsed="false" customWidth="true" hidden="false" outlineLevel="0" max="1025" min="78" style="25" width="10.83"/>
  </cols>
  <sheetData>
    <row r="1" s="62" customFormat="true" ht="31" hidden="false" customHeight="true" outlineLevel="0" collapsed="false">
      <c r="A1" s="97" t="s">
        <v>502</v>
      </c>
      <c r="B1" s="97"/>
      <c r="C1" s="97"/>
      <c r="D1" s="97"/>
      <c r="E1" s="97"/>
      <c r="F1" s="110" t="s">
        <v>503</v>
      </c>
      <c r="G1" s="109"/>
      <c r="H1" s="109"/>
      <c r="I1" s="109"/>
      <c r="J1" s="109"/>
      <c r="K1" s="109"/>
      <c r="L1" s="109"/>
      <c r="M1" s="109"/>
      <c r="N1" s="217" t="s">
        <v>504</v>
      </c>
      <c r="O1" s="218"/>
      <c r="P1" s="218"/>
      <c r="Q1" s="98"/>
      <c r="R1" s="98"/>
      <c r="S1" s="98"/>
      <c r="T1" s="98"/>
      <c r="U1" s="111"/>
      <c r="V1" s="110" t="s">
        <v>505</v>
      </c>
      <c r="W1" s="218"/>
      <c r="X1" s="218"/>
      <c r="Y1" s="218"/>
      <c r="Z1" s="218"/>
      <c r="AA1" s="218"/>
      <c r="AB1" s="218"/>
      <c r="AC1" s="218"/>
      <c r="AD1" s="218"/>
      <c r="AE1" s="218"/>
      <c r="AF1" s="218"/>
      <c r="AG1" s="218"/>
      <c r="AH1" s="218"/>
      <c r="AI1" s="218"/>
      <c r="AJ1" s="218"/>
      <c r="AK1" s="218"/>
      <c r="AL1" s="110" t="s">
        <v>506</v>
      </c>
      <c r="AM1" s="100"/>
      <c r="AN1" s="100"/>
      <c r="AO1" s="110" t="s">
        <v>507</v>
      </c>
      <c r="AP1" s="100"/>
      <c r="AQ1" s="100"/>
      <c r="AR1" s="110" t="s">
        <v>508</v>
      </c>
      <c r="AS1" s="100"/>
      <c r="AT1" s="100"/>
      <c r="AU1" s="110" t="s">
        <v>509</v>
      </c>
      <c r="AV1" s="100"/>
      <c r="AW1" s="100"/>
      <c r="AX1" s="110" t="s">
        <v>510</v>
      </c>
      <c r="AY1" s="100"/>
      <c r="AZ1" s="100"/>
      <c r="BA1" s="110" t="s">
        <v>511</v>
      </c>
      <c r="BB1" s="100"/>
      <c r="BC1" s="100"/>
      <c r="BD1" s="110" t="s">
        <v>512</v>
      </c>
      <c r="BE1" s="100"/>
      <c r="BF1" s="100"/>
      <c r="BG1" s="110" t="s">
        <v>513</v>
      </c>
      <c r="BH1" s="100"/>
      <c r="BI1" s="100"/>
      <c r="BJ1" s="110" t="s">
        <v>514</v>
      </c>
      <c r="BK1" s="100"/>
      <c r="BL1" s="100"/>
      <c r="BM1" s="217" t="s">
        <v>515</v>
      </c>
      <c r="BN1" s="98"/>
      <c r="BO1" s="98"/>
      <c r="BP1" s="98"/>
      <c r="BQ1" s="98"/>
      <c r="BR1" s="98"/>
      <c r="BS1" s="98"/>
      <c r="BT1" s="98"/>
      <c r="BU1" s="98"/>
      <c r="BV1" s="111"/>
      <c r="BW1" s="217" t="s">
        <v>516</v>
      </c>
      <c r="BX1" s="218"/>
      <c r="BY1" s="100"/>
    </row>
    <row r="2" s="137" customFormat="true" ht="19" hidden="false" customHeight="true" outlineLevel="0" collapsed="false">
      <c r="A2" s="220" t="s">
        <v>517</v>
      </c>
      <c r="B2" s="220"/>
      <c r="C2" s="118"/>
      <c r="D2" s="118"/>
      <c r="E2" s="118"/>
      <c r="F2" s="130" t="s">
        <v>54</v>
      </c>
      <c r="G2" s="224"/>
      <c r="H2" s="224"/>
      <c r="I2" s="224"/>
      <c r="J2" s="224"/>
      <c r="K2" s="224"/>
      <c r="L2" s="224"/>
      <c r="M2" s="224"/>
      <c r="N2" s="221" t="s">
        <v>100</v>
      </c>
      <c r="O2" s="131"/>
      <c r="P2" s="131"/>
      <c r="Q2" s="119" t="s">
        <v>55</v>
      </c>
      <c r="R2" s="119"/>
      <c r="S2" s="119"/>
      <c r="T2" s="119"/>
      <c r="U2" s="131" t="s">
        <v>54</v>
      </c>
      <c r="V2" s="130" t="s">
        <v>54</v>
      </c>
      <c r="W2" s="131"/>
      <c r="X2" s="131"/>
      <c r="Y2" s="131"/>
      <c r="Z2" s="131"/>
      <c r="AA2" s="131"/>
      <c r="AB2" s="131" t="s">
        <v>100</v>
      </c>
      <c r="AC2" s="131"/>
      <c r="AD2" s="131"/>
      <c r="AE2" s="131"/>
      <c r="AF2" s="131"/>
      <c r="AG2" s="131"/>
      <c r="AH2" s="131"/>
      <c r="AI2" s="131"/>
      <c r="AJ2" s="131"/>
      <c r="AK2" s="131" t="s">
        <v>101</v>
      </c>
      <c r="AL2" s="130" t="s">
        <v>100</v>
      </c>
      <c r="AM2" s="126" t="s">
        <v>55</v>
      </c>
      <c r="AN2" s="126"/>
      <c r="AO2" s="130" t="s">
        <v>100</v>
      </c>
      <c r="AP2" s="126" t="s">
        <v>55</v>
      </c>
      <c r="AQ2" s="126"/>
      <c r="AR2" s="130" t="s">
        <v>100</v>
      </c>
      <c r="AS2" s="126" t="s">
        <v>55</v>
      </c>
      <c r="AT2" s="126"/>
      <c r="AU2" s="130" t="s">
        <v>100</v>
      </c>
      <c r="AV2" s="126" t="s">
        <v>55</v>
      </c>
      <c r="AW2" s="126"/>
      <c r="AX2" s="130" t="s">
        <v>100</v>
      </c>
      <c r="AY2" s="126" t="s">
        <v>55</v>
      </c>
      <c r="AZ2" s="126"/>
      <c r="BA2" s="130" t="s">
        <v>100</v>
      </c>
      <c r="BB2" s="126" t="s">
        <v>55</v>
      </c>
      <c r="BC2" s="126"/>
      <c r="BD2" s="130" t="s">
        <v>100</v>
      </c>
      <c r="BE2" s="126" t="s">
        <v>55</v>
      </c>
      <c r="BF2" s="126"/>
      <c r="BG2" s="130" t="s">
        <v>100</v>
      </c>
      <c r="BH2" s="126" t="s">
        <v>55</v>
      </c>
      <c r="BI2" s="126"/>
      <c r="BJ2" s="130" t="s">
        <v>100</v>
      </c>
      <c r="BK2" s="126" t="s">
        <v>55</v>
      </c>
      <c r="BL2" s="126"/>
      <c r="BM2" s="221" t="s">
        <v>101</v>
      </c>
      <c r="BN2" s="132"/>
      <c r="BO2" s="132"/>
      <c r="BP2" s="132" t="s">
        <v>54</v>
      </c>
      <c r="BQ2" s="132"/>
      <c r="BR2" s="132"/>
      <c r="BS2" s="132"/>
      <c r="BT2" s="119" t="s">
        <v>55</v>
      </c>
      <c r="BU2" s="119"/>
      <c r="BV2" s="131"/>
      <c r="BW2" s="223" t="s">
        <v>54</v>
      </c>
      <c r="BX2" s="131" t="s">
        <v>100</v>
      </c>
      <c r="BY2" s="126" t="s">
        <v>55</v>
      </c>
    </row>
    <row r="3" customFormat="false" ht="117" hidden="false" customHeight="true" outlineLevel="0" collapsed="false">
      <c r="A3" s="220"/>
      <c r="B3" s="220"/>
      <c r="C3" s="138"/>
      <c r="D3" s="138"/>
      <c r="E3" s="138"/>
      <c r="F3" s="266" t="s">
        <v>518</v>
      </c>
      <c r="G3" s="225" t="s">
        <v>322</v>
      </c>
      <c r="H3" s="225" t="s">
        <v>152</v>
      </c>
      <c r="I3" s="225" t="s">
        <v>153</v>
      </c>
      <c r="J3" s="225" t="s">
        <v>154</v>
      </c>
      <c r="K3" s="225" t="s">
        <v>155</v>
      </c>
      <c r="L3" s="225" t="s">
        <v>519</v>
      </c>
      <c r="M3" s="225" t="s">
        <v>158</v>
      </c>
      <c r="N3" s="154" t="s">
        <v>520</v>
      </c>
      <c r="O3" s="155" t="s">
        <v>521</v>
      </c>
      <c r="P3" s="155" t="s">
        <v>522</v>
      </c>
      <c r="Q3" s="153" t="s">
        <v>523</v>
      </c>
      <c r="R3" s="153" t="s">
        <v>524</v>
      </c>
      <c r="S3" s="153" t="s">
        <v>525</v>
      </c>
      <c r="T3" s="153" t="s">
        <v>526</v>
      </c>
      <c r="U3" s="164" t="s">
        <v>527</v>
      </c>
      <c r="V3" s="266" t="s">
        <v>528</v>
      </c>
      <c r="W3" s="227" t="s">
        <v>529</v>
      </c>
      <c r="X3" s="227" t="s">
        <v>530</v>
      </c>
      <c r="Y3" s="227" t="s">
        <v>531</v>
      </c>
      <c r="Z3" s="227" t="s">
        <v>532</v>
      </c>
      <c r="AA3" s="227" t="s">
        <v>533</v>
      </c>
      <c r="AB3" s="267" t="s">
        <v>534</v>
      </c>
      <c r="AC3" s="267" t="s">
        <v>535</v>
      </c>
      <c r="AD3" s="267" t="s">
        <v>536</v>
      </c>
      <c r="AE3" s="267" t="s">
        <v>537</v>
      </c>
      <c r="AF3" s="267" t="s">
        <v>538</v>
      </c>
      <c r="AG3" s="267" t="s">
        <v>539</v>
      </c>
      <c r="AH3" s="267" t="s">
        <v>540</v>
      </c>
      <c r="AI3" s="267" t="s">
        <v>541</v>
      </c>
      <c r="AJ3" s="267" t="s">
        <v>542</v>
      </c>
      <c r="AK3" s="164" t="s">
        <v>543</v>
      </c>
      <c r="AL3" s="154" t="s">
        <v>317</v>
      </c>
      <c r="AM3" s="163" t="s">
        <v>318</v>
      </c>
      <c r="AN3" s="153" t="s">
        <v>319</v>
      </c>
      <c r="AO3" s="154" t="s">
        <v>317</v>
      </c>
      <c r="AP3" s="163" t="s">
        <v>318</v>
      </c>
      <c r="AQ3" s="153" t="s">
        <v>319</v>
      </c>
      <c r="AR3" s="154" t="s">
        <v>317</v>
      </c>
      <c r="AS3" s="163" t="s">
        <v>318</v>
      </c>
      <c r="AT3" s="153" t="s">
        <v>319</v>
      </c>
      <c r="AU3" s="154" t="s">
        <v>317</v>
      </c>
      <c r="AV3" s="163" t="s">
        <v>318</v>
      </c>
      <c r="AW3" s="153" t="s">
        <v>319</v>
      </c>
      <c r="AX3" s="154" t="s">
        <v>317</v>
      </c>
      <c r="AY3" s="163" t="s">
        <v>318</v>
      </c>
      <c r="AZ3" s="153" t="s">
        <v>319</v>
      </c>
      <c r="BA3" s="154" t="s">
        <v>317</v>
      </c>
      <c r="BB3" s="163" t="s">
        <v>318</v>
      </c>
      <c r="BC3" s="153" t="s">
        <v>319</v>
      </c>
      <c r="BD3" s="154" t="s">
        <v>317</v>
      </c>
      <c r="BE3" s="163" t="s">
        <v>318</v>
      </c>
      <c r="BF3" s="153" t="s">
        <v>319</v>
      </c>
      <c r="BG3" s="154" t="s">
        <v>317</v>
      </c>
      <c r="BH3" s="163" t="s">
        <v>318</v>
      </c>
      <c r="BI3" s="153" t="s">
        <v>319</v>
      </c>
      <c r="BJ3" s="154" t="s">
        <v>317</v>
      </c>
      <c r="BK3" s="163" t="s">
        <v>318</v>
      </c>
      <c r="BL3" s="153" t="s">
        <v>319</v>
      </c>
      <c r="BM3" s="241" t="s">
        <v>544</v>
      </c>
      <c r="BN3" s="156" t="s">
        <v>545</v>
      </c>
      <c r="BO3" s="156" t="s">
        <v>546</v>
      </c>
      <c r="BP3" s="225" t="s">
        <v>547</v>
      </c>
      <c r="BQ3" s="225" t="s">
        <v>548</v>
      </c>
      <c r="BR3" s="225" t="s">
        <v>549</v>
      </c>
      <c r="BS3" s="225" t="s">
        <v>550</v>
      </c>
      <c r="BT3" s="264" t="s">
        <v>551</v>
      </c>
      <c r="BU3" s="264" t="s">
        <v>552</v>
      </c>
      <c r="BV3" s="164" t="s">
        <v>553</v>
      </c>
      <c r="BW3" s="159" t="s">
        <v>554</v>
      </c>
      <c r="BX3" s="155" t="s">
        <v>555</v>
      </c>
      <c r="BY3" s="153" t="s">
        <v>556</v>
      </c>
    </row>
    <row r="4" customFormat="false" ht="16" hidden="false" customHeight="false" outlineLevel="0" collapsed="false">
      <c r="A4" s="165"/>
      <c r="B4" s="165"/>
      <c r="C4" s="165"/>
      <c r="D4" s="165" t="s">
        <v>59</v>
      </c>
      <c r="E4" s="165"/>
      <c r="F4" s="176"/>
      <c r="G4" s="170" t="n">
        <f aca="false">SUBTOTAL(109,G$15:INDEX(G:G,COUNTA($B:$B)+14-COUNTA($B$1:$B$14)))</f>
        <v>0</v>
      </c>
      <c r="H4" s="170" t="n">
        <f aca="false">SUBTOTAL(109,H$15:INDEX(H:H,COUNTA($B:$B)+14-COUNTA($B$1:$B$14)))</f>
        <v>0</v>
      </c>
      <c r="I4" s="170" t="n">
        <f aca="false">SUBTOTAL(109,I$15:INDEX(I:I,COUNTA($B:$B)+14-COUNTA($B$1:$B$14)))</f>
        <v>0</v>
      </c>
      <c r="J4" s="170" t="n">
        <f aca="false">SUBTOTAL(109,J$15:INDEX(J:J,COUNTA($B:$B)+14-COUNTA($B$1:$B$14)))</f>
        <v>0</v>
      </c>
      <c r="K4" s="170" t="n">
        <f aca="false">SUBTOTAL(109,K$15:INDEX(K:K,COUNTA($B:$B)+14-COUNTA($B$1:$B$14)))</f>
        <v>0</v>
      </c>
      <c r="L4" s="170" t="n">
        <f aca="false">SUBTOTAL(109,L$15:INDEX(L:L,COUNTA($B:$B)+14-COUNTA($B$1:$B$14)))</f>
        <v>0</v>
      </c>
      <c r="M4" s="170" t="n">
        <f aca="false">SUBTOTAL(109,M$15:INDEX(M:M,COUNTA($B:$B)+14-COUNTA($B$1:$B$14)))</f>
        <v>0</v>
      </c>
      <c r="N4" s="176" t="str">
        <f aca="false">IF(SUM($H$4)&gt;0,$Q$4/$H$4,"")</f>
        <v/>
      </c>
      <c r="O4" s="177" t="n">
        <f aca="false">IF(SUM($Q$4:$R$4)=0,0,SUM($Q$4)/SUM($Q$4:$R$4))</f>
        <v>0</v>
      </c>
      <c r="P4" s="177" t="n">
        <f aca="false">IF(SUM($S$4:$T$4)=0,0,SUM($S$4)/SUM($S$4:$T$4))</f>
        <v>0</v>
      </c>
      <c r="Q4" s="175" t="n">
        <f aca="false">SUBTOTAL(109,Q$15:INDEX(Q:Q,COUNTA($B:$B)+14-COUNTA($B$1:$B$14)))</f>
        <v>0</v>
      </c>
      <c r="R4" s="175" t="n">
        <f aca="false">SUBTOTAL(109,R$15:INDEX(R:R,COUNTA($B:$B)+14-COUNTA($B$1:$B$14)))</f>
        <v>0</v>
      </c>
      <c r="S4" s="175" t="n">
        <f aca="false">SUBTOTAL(109,S$15:INDEX(S:S,COUNTA($B:$B)+14-COUNTA($B$1:$B$14)))</f>
        <v>0</v>
      </c>
      <c r="T4" s="175" t="n">
        <f aca="false">SUBTOTAL(109,T$15:INDEX(T:T,COUNTA($B:$B)+14-COUNTA($B$1:$B$14)))</f>
        <v>0</v>
      </c>
      <c r="U4" s="177" t="str">
        <f aca="false">IF(SUM($G$4)=0,"",(SUM($Q4)+SUM($S4))/SUM($G$4))</f>
        <v/>
      </c>
      <c r="V4" s="176" t="str">
        <f aca="false">IF(OR(SUM($Q$4)=0,SUM($G$4)=0),"",SUM($Q$4)/SUM($G$4))</f>
        <v/>
      </c>
      <c r="W4" s="177" t="str">
        <f aca="false">IF(OR(SUM($S$4)=0,SUM($G$4)=0),"",SUM($S$4)/SUM($G$4))</f>
        <v/>
      </c>
      <c r="X4" s="177" t="str">
        <f aca="false">IF(OR(SUM($G$4)=0,SUM($I$4)=0),"",SUM($I$4)/SUM($G$4))</f>
        <v/>
      </c>
      <c r="Y4" s="177" t="str">
        <f aca="false">IF(OR(SUM($G$4)=0,SUM($J$4)=0),"",SUM($J$4)/SUM($G$4))</f>
        <v/>
      </c>
      <c r="Z4" s="177" t="str">
        <f aca="false">IF(OR(SUM($G$4)=0,SUM($K$4)=0),"",SUM($K$4)/SUM($G$4))</f>
        <v/>
      </c>
      <c r="AA4" s="177" t="str">
        <f aca="false">IF(OR(SUM($G$4)=0,SUM($L$4)=0),"",SUM($L$4)/SUM($G$4))</f>
        <v/>
      </c>
      <c r="AB4" s="177" t="str">
        <f aca="false">IF(OR(SUM($G$4)=0,SUM($AM$4)=0),"",SUM($AM$4)/SUM($G$4))</f>
        <v/>
      </c>
      <c r="AC4" s="177" t="str">
        <f aca="false">IF(OR(SUM($G$4)=0,SUM($AP$4)=0),"",SUM($AP$4)/SUM($G$4))</f>
        <v/>
      </c>
      <c r="AD4" s="177" t="str">
        <f aca="false">IF(OR(SUM($G$4)=0,SUM($AS$4)=0),"",SUM($AS$4)/SUM($G$4))</f>
        <v/>
      </c>
      <c r="AE4" s="177" t="str">
        <f aca="false">IF(OR(SUM($G$4)=0,SUM($AV$4)=0),"",SUM($AV$4)/SUM($G$4))</f>
        <v/>
      </c>
      <c r="AF4" s="177" t="str">
        <f aca="false">IF(OR(SUM($G$4)=0,SUM($AY$4)=0),"",SUM($AY$4)/SUM($G$4))</f>
        <v/>
      </c>
      <c r="AG4" s="177" t="str">
        <f aca="false">IF(OR(SUM($G$4)=0,SUM($BB$4)=0),"",SUM($BB$4)/SUM($G$4))</f>
        <v/>
      </c>
      <c r="AH4" s="177" t="str">
        <f aca="false">IF(OR(SUM($G$4)=0,SUM($BE$4)=0),"",SUM($BE$4)/SUM($G$4))</f>
        <v/>
      </c>
      <c r="AI4" s="177" t="str">
        <f aca="false">IF(OR(SUM($G$4)=0,SUM($BH$4)=0),"",SUM($BH$4)/SUM($G$4))</f>
        <v/>
      </c>
      <c r="AJ4" s="177" t="str">
        <f aca="false">IF(OR(SUM($G$4)=0,SUM($BK$4)=0),"",SUM($BK$4)/SUM($G$4))</f>
        <v/>
      </c>
      <c r="AK4" s="177" t="str">
        <f aca="false">IF(SUM($G4)=0,"",SUM($V4:$AJ4))</f>
        <v/>
      </c>
      <c r="AL4" s="176" t="str">
        <f aca="false">IF(SUM(AM4:AN4)&gt;0,AM4/(SUM(AM4:AN4)),"")</f>
        <v/>
      </c>
      <c r="AM4" s="175" t="n">
        <f aca="false">SUBTOTAL(109,AM$15:INDEX(AM:AM,COUNTA($B:$B)+14-COUNTA($B$1:$B$14)))</f>
        <v>0</v>
      </c>
      <c r="AN4" s="175" t="n">
        <f aca="false">SUBTOTAL(109,AN$15:INDEX(AN:AN,COUNTA($B:$B)+14-COUNTA($B$1:$B$14)))</f>
        <v>0</v>
      </c>
      <c r="AO4" s="176" t="str">
        <f aca="false">IF(SUM(AP4:AQ4)&gt;0,AP4/(SUM(AP4:AQ4)),"")</f>
        <v/>
      </c>
      <c r="AP4" s="175" t="n">
        <f aca="false">SUBTOTAL(109,AP$15:INDEX(AP:AP,COUNTA($B:$B)+14-COUNTA($B$1:$B$14)))</f>
        <v>0</v>
      </c>
      <c r="AQ4" s="175" t="n">
        <f aca="false">SUBTOTAL(109,AQ$15:INDEX(AQ:AQ,COUNTA($B:$B)+14-COUNTA($B$1:$B$14)))</f>
        <v>0</v>
      </c>
      <c r="AR4" s="176" t="str">
        <f aca="false">IF(SUM(AS4:AT4)&gt;0,AS4/(SUM(AS4:AT4)),"")</f>
        <v/>
      </c>
      <c r="AS4" s="175" t="n">
        <f aca="false">SUBTOTAL(109,AS$15:INDEX(AS:AS,COUNTA($B:$B)+14-COUNTA($B$1:$B$14)))</f>
        <v>0</v>
      </c>
      <c r="AT4" s="175" t="n">
        <f aca="false">SUBTOTAL(109,AT$15:INDEX(AT:AT,COUNTA($B:$B)+14-COUNTA($B$1:$B$14)))</f>
        <v>0</v>
      </c>
      <c r="AU4" s="176" t="str">
        <f aca="false">IF(SUM(AV4:AW4)&gt;0,AV4/(SUM(AV4:AW4)),"")</f>
        <v/>
      </c>
      <c r="AV4" s="175" t="n">
        <f aca="false">SUBTOTAL(109,AV$15:INDEX(AV:AV,COUNTA($B:$B)+14-COUNTA($B$1:$B$14)))</f>
        <v>0</v>
      </c>
      <c r="AW4" s="175" t="n">
        <f aca="false">SUBTOTAL(109,AW$15:INDEX(AW:AW,COUNTA($B:$B)+14-COUNTA($B$1:$B$14)))</f>
        <v>0</v>
      </c>
      <c r="AX4" s="176" t="str">
        <f aca="false">IF(SUM(AY4:AZ4)&gt;0,AY4/(SUM(AY4:AZ4)),"")</f>
        <v/>
      </c>
      <c r="AY4" s="175" t="n">
        <f aca="false">SUBTOTAL(109,AY$15:INDEX(AY:AY,COUNTA($B:$B)+14-COUNTA($B$1:$B$14)))</f>
        <v>0</v>
      </c>
      <c r="AZ4" s="175" t="n">
        <f aca="false">SUBTOTAL(109,AZ$15:INDEX(AZ:AZ,COUNTA($B:$B)+14-COUNTA($B$1:$B$14)))</f>
        <v>0</v>
      </c>
      <c r="BA4" s="176" t="str">
        <f aca="false">IF(SUM(BB4:BC4)&gt;0,BB4/(SUM(BB4:BC4)),"")</f>
        <v/>
      </c>
      <c r="BB4" s="175" t="n">
        <f aca="false">SUBTOTAL(109,BB$15:INDEX(BB:BB,COUNTA($B:$B)+14-COUNTA($B$1:$B$14)))</f>
        <v>0</v>
      </c>
      <c r="BC4" s="175" t="n">
        <f aca="false">SUBTOTAL(109,BC$15:INDEX(BC:BC,COUNTA($B:$B)+14-COUNTA($B$1:$B$14)))</f>
        <v>0</v>
      </c>
      <c r="BD4" s="176" t="str">
        <f aca="false">IF(SUM(BE4:BF4)&gt;0,BE4/(SUM(BE4:BF4)),"")</f>
        <v/>
      </c>
      <c r="BE4" s="175" t="n">
        <f aca="false">SUBTOTAL(109,BE$15:INDEX(BE:BE,COUNTA($B:$B)+14-COUNTA($B$1:$B$14)))</f>
        <v>0</v>
      </c>
      <c r="BF4" s="175" t="n">
        <f aca="false">SUBTOTAL(109,BF$15:INDEX(BF:BF,COUNTA($B:$B)+14-COUNTA($B$1:$B$14)))</f>
        <v>0</v>
      </c>
      <c r="BG4" s="176" t="str">
        <f aca="false">IF(SUM(BH4:BI4)&gt;0,BH4/(SUM(BH4:BI4)),"")</f>
        <v/>
      </c>
      <c r="BH4" s="175" t="n">
        <f aca="false">SUBTOTAL(109,BH$15:INDEX(BH:BH,COUNTA($B:$B)+14-COUNTA($B$1:$B$14)))</f>
        <v>0</v>
      </c>
      <c r="BI4" s="175" t="n">
        <f aca="false">SUBTOTAL(109,BI$15:INDEX(BI:BI,COUNTA($B:$B)+14-COUNTA($B$1:$B$14)))</f>
        <v>0</v>
      </c>
      <c r="BJ4" s="176" t="str">
        <f aca="false">IF(SUM(BK4:BL4)&gt;0,BK4/(SUM(BK4:BL4)),"")</f>
        <v/>
      </c>
      <c r="BK4" s="175" t="n">
        <f aca="false">SUBTOTAL(109,BK$15:INDEX(BK:BK,COUNTA($B:$B)+14-COUNTA($B$1:$B$14)))</f>
        <v>0</v>
      </c>
      <c r="BL4" s="175" t="n">
        <f aca="false">SUBTOTAL(109,BL$15:INDEX(BL:BL,COUNTA($B:$B)+14-COUNTA($B$1:$B$14)))</f>
        <v>0</v>
      </c>
      <c r="BM4" s="260" t="n">
        <f aca="false">SUBTOTAL(109,BM$15:INDEX(BM:BM,COUNTA($B:$B)+14-COUNTA($B$1:$B$14)))</f>
        <v>0</v>
      </c>
      <c r="BN4" s="170" t="n">
        <f aca="false">SUBTOTAL(109,BN$15:INDEX(BN:BN,COUNTA($B:$B)+14-COUNTA($B$1:$B$14)))</f>
        <v>0</v>
      </c>
      <c r="BO4" s="170" t="n">
        <f aca="false">SUBTOTAL(109,BO$15:INDEX(BO:BO,COUNTA($B:$B)+14-COUNTA($B$1:$B$14)))</f>
        <v>0</v>
      </c>
      <c r="BP4" s="170" t="n">
        <f aca="false">SUBTOTAL(109,BP$15:INDEX(BP:BP,COUNTA($B:$B)+14-COUNTA($B$1:$B$14)))</f>
        <v>0</v>
      </c>
      <c r="BQ4" s="170" t="n">
        <f aca="false">SUBTOTAL(109,BQ$15:INDEX(BQ:BQ,COUNTA($B:$B)+14-COUNTA($B$1:$B$14)))</f>
        <v>0</v>
      </c>
      <c r="BR4" s="170" t="n">
        <f aca="false">SUBTOTAL(109,BR$15:INDEX(BR:BR,COUNTA($B:$B)+14-COUNTA($B$1:$B$14)))</f>
        <v>0</v>
      </c>
      <c r="BS4" s="170" t="n">
        <f aca="false">SUBTOTAL(109,BS$15:INDEX(BS:BS,COUNTA($B:$B)+14-COUNTA($B$1:$B$14)))</f>
        <v>0</v>
      </c>
      <c r="BT4" s="174" t="n">
        <f aca="false">SUBTOTAL(109,BT$15:INDEX(BT:BT,COUNTA($B:$B)+14-COUNTA($B$1:$B$14)))</f>
        <v>0</v>
      </c>
      <c r="BU4" s="175" t="n">
        <f aca="false">SUBTOTAL(109,BU$15:INDEX(BU:BU,COUNTA($B:$B)+14-COUNTA($B$1:$B$14)))</f>
        <v>0</v>
      </c>
      <c r="BV4" s="177" t="str">
        <f aca="false">IF(BU4&lt;&gt;0,BN4/BU4,"")</f>
        <v/>
      </c>
      <c r="BW4" s="260" t="n">
        <f aca="false">SUBTOTAL(109,BW$15:INDEX(BW:BW,COUNTA($B:$B)+14-COUNTA($B$1:$B$14)))</f>
        <v>0</v>
      </c>
      <c r="BX4" s="177"/>
      <c r="BY4" s="175" t="n">
        <f aca="false">SUBTOTAL(109,BY$15:INDEX(BY:BY,COUNTA($B:$B)+14-COUNTA($B$1:$B$14)))</f>
        <v>0</v>
      </c>
    </row>
    <row r="5" customFormat="false" ht="16" hidden="false" customHeight="false" outlineLevel="0" collapsed="false">
      <c r="A5" s="81" t="s">
        <v>60</v>
      </c>
      <c r="B5" s="81" t="s">
        <v>60</v>
      </c>
      <c r="C5" s="81" t="s">
        <v>60</v>
      </c>
      <c r="D5" s="81" t="s">
        <v>60</v>
      </c>
      <c r="E5" s="81" t="s">
        <v>60</v>
      </c>
      <c r="F5" s="91" t="s">
        <v>60</v>
      </c>
      <c r="G5" s="214" t="s">
        <v>60</v>
      </c>
      <c r="H5" s="214" t="s">
        <v>60</v>
      </c>
      <c r="I5" s="214" t="s">
        <v>60</v>
      </c>
      <c r="J5" s="214" t="s">
        <v>60</v>
      </c>
      <c r="K5" s="214" t="s">
        <v>60</v>
      </c>
      <c r="L5" s="214" t="s">
        <v>60</v>
      </c>
      <c r="M5" s="214" t="s">
        <v>60</v>
      </c>
      <c r="N5" s="91" t="s">
        <v>60</v>
      </c>
      <c r="O5" s="92" t="s">
        <v>60</v>
      </c>
      <c r="P5" s="92" t="s">
        <v>60</v>
      </c>
      <c r="Q5" s="79" t="s">
        <v>169</v>
      </c>
      <c r="R5" s="79" t="s">
        <v>169</v>
      </c>
      <c r="S5" s="79" t="s">
        <v>169</v>
      </c>
      <c r="T5" s="79" t="s">
        <v>169</v>
      </c>
      <c r="U5" s="92" t="s">
        <v>60</v>
      </c>
      <c r="V5" s="91" t="s">
        <v>60</v>
      </c>
      <c r="W5" s="92" t="s">
        <v>60</v>
      </c>
      <c r="X5" s="92" t="s">
        <v>60</v>
      </c>
      <c r="Y5" s="92" t="s">
        <v>60</v>
      </c>
      <c r="Z5" s="92" t="s">
        <v>60</v>
      </c>
      <c r="AA5" s="92" t="s">
        <v>60</v>
      </c>
      <c r="AB5" s="92" t="s">
        <v>60</v>
      </c>
      <c r="AC5" s="92" t="s">
        <v>60</v>
      </c>
      <c r="AD5" s="92" t="s">
        <v>60</v>
      </c>
      <c r="AE5" s="92" t="s">
        <v>60</v>
      </c>
      <c r="AF5" s="92" t="s">
        <v>60</v>
      </c>
      <c r="AG5" s="92" t="s">
        <v>60</v>
      </c>
      <c r="AH5" s="92" t="s">
        <v>60</v>
      </c>
      <c r="AI5" s="92" t="s">
        <v>60</v>
      </c>
      <c r="AJ5" s="92" t="s">
        <v>60</v>
      </c>
      <c r="AK5" s="92" t="s">
        <v>60</v>
      </c>
      <c r="AL5" s="91" t="s">
        <v>60</v>
      </c>
      <c r="AM5" s="79" t="s">
        <v>169</v>
      </c>
      <c r="AN5" s="79" t="s">
        <v>169</v>
      </c>
      <c r="AO5" s="91" t="s">
        <v>60</v>
      </c>
      <c r="AP5" s="79" t="s">
        <v>169</v>
      </c>
      <c r="AQ5" s="79" t="s">
        <v>169</v>
      </c>
      <c r="AR5" s="91" t="s">
        <v>60</v>
      </c>
      <c r="AS5" s="79" t="s">
        <v>169</v>
      </c>
      <c r="AT5" s="79" t="s">
        <v>169</v>
      </c>
      <c r="AU5" s="91" t="s">
        <v>60</v>
      </c>
      <c r="AV5" s="79" t="s">
        <v>169</v>
      </c>
      <c r="AW5" s="79" t="s">
        <v>169</v>
      </c>
      <c r="AX5" s="91" t="s">
        <v>60</v>
      </c>
      <c r="AY5" s="79" t="s">
        <v>169</v>
      </c>
      <c r="AZ5" s="79" t="s">
        <v>169</v>
      </c>
      <c r="BA5" s="91" t="s">
        <v>60</v>
      </c>
      <c r="BB5" s="79" t="s">
        <v>169</v>
      </c>
      <c r="BC5" s="79" t="s">
        <v>169</v>
      </c>
      <c r="BD5" s="91" t="s">
        <v>60</v>
      </c>
      <c r="BE5" s="79" t="s">
        <v>169</v>
      </c>
      <c r="BF5" s="79" t="s">
        <v>169</v>
      </c>
      <c r="BG5" s="91" t="s">
        <v>60</v>
      </c>
      <c r="BH5" s="79" t="s">
        <v>169</v>
      </c>
      <c r="BI5" s="79" t="s">
        <v>169</v>
      </c>
      <c r="BJ5" s="91" t="s">
        <v>60</v>
      </c>
      <c r="BK5" s="79" t="s">
        <v>169</v>
      </c>
      <c r="BL5" s="79" t="s">
        <v>169</v>
      </c>
      <c r="BM5" s="213" t="s">
        <v>60</v>
      </c>
      <c r="BN5" s="214" t="s">
        <v>60</v>
      </c>
      <c r="BO5" s="214" t="s">
        <v>60</v>
      </c>
      <c r="BP5" s="214" t="s">
        <v>60</v>
      </c>
      <c r="BQ5" s="214" t="s">
        <v>60</v>
      </c>
      <c r="BR5" s="214" t="s">
        <v>60</v>
      </c>
      <c r="BS5" s="214" t="s">
        <v>60</v>
      </c>
      <c r="BT5" s="90" t="s">
        <v>60</v>
      </c>
      <c r="BU5" s="79" t="s">
        <v>60</v>
      </c>
      <c r="BV5" s="92" t="s">
        <v>60</v>
      </c>
      <c r="BW5" s="213" t="s">
        <v>169</v>
      </c>
      <c r="BX5" s="92" t="s">
        <v>60</v>
      </c>
      <c r="BY5" s="79" t="s">
        <v>169</v>
      </c>
    </row>
    <row r="6" customFormat="false" ht="16" hidden="false" customHeight="false" outlineLevel="0" collapsed="false">
      <c r="A6" s="81" t="s">
        <v>62</v>
      </c>
      <c r="B6" s="81" t="s">
        <v>62</v>
      </c>
      <c r="C6" s="81" t="s">
        <v>62</v>
      </c>
      <c r="D6" s="81" t="s">
        <v>62</v>
      </c>
      <c r="E6" s="81" t="s">
        <v>62</v>
      </c>
      <c r="F6" s="91" t="s">
        <v>65</v>
      </c>
      <c r="G6" s="214" t="s">
        <v>65</v>
      </c>
      <c r="H6" s="214" t="s">
        <v>65</v>
      </c>
      <c r="I6" s="214" t="s">
        <v>65</v>
      </c>
      <c r="J6" s="214" t="s">
        <v>65</v>
      </c>
      <c r="K6" s="214" t="s">
        <v>65</v>
      </c>
      <c r="L6" s="214" t="s">
        <v>65</v>
      </c>
      <c r="M6" s="214" t="s">
        <v>65</v>
      </c>
      <c r="N6" s="91" t="s">
        <v>172</v>
      </c>
      <c r="O6" s="92" t="s">
        <v>172</v>
      </c>
      <c r="P6" s="92" t="s">
        <v>172</v>
      </c>
      <c r="Q6" s="79" t="s">
        <v>64</v>
      </c>
      <c r="R6" s="79" t="s">
        <v>64</v>
      </c>
      <c r="S6" s="79" t="s">
        <v>64</v>
      </c>
      <c r="T6" s="79" t="s">
        <v>64</v>
      </c>
      <c r="U6" s="92" t="s">
        <v>65</v>
      </c>
      <c r="V6" s="91" t="s">
        <v>65</v>
      </c>
      <c r="W6" s="92" t="s">
        <v>65</v>
      </c>
      <c r="X6" s="92" t="s">
        <v>65</v>
      </c>
      <c r="Y6" s="92" t="s">
        <v>65</v>
      </c>
      <c r="Z6" s="92" t="s">
        <v>65</v>
      </c>
      <c r="AA6" s="92" t="s">
        <v>65</v>
      </c>
      <c r="AB6" s="92" t="s">
        <v>172</v>
      </c>
      <c r="AC6" s="92" t="s">
        <v>172</v>
      </c>
      <c r="AD6" s="92" t="s">
        <v>172</v>
      </c>
      <c r="AE6" s="92" t="s">
        <v>172</v>
      </c>
      <c r="AF6" s="92" t="s">
        <v>172</v>
      </c>
      <c r="AG6" s="92" t="s">
        <v>172</v>
      </c>
      <c r="AH6" s="92" t="s">
        <v>172</v>
      </c>
      <c r="AI6" s="92" t="s">
        <v>172</v>
      </c>
      <c r="AJ6" s="92" t="s">
        <v>172</v>
      </c>
      <c r="AK6" s="92" t="s">
        <v>65</v>
      </c>
      <c r="AL6" s="91" t="s">
        <v>172</v>
      </c>
      <c r="AM6" s="79" t="s">
        <v>64</v>
      </c>
      <c r="AN6" s="79" t="s">
        <v>64</v>
      </c>
      <c r="AO6" s="91" t="s">
        <v>172</v>
      </c>
      <c r="AP6" s="79" t="s">
        <v>64</v>
      </c>
      <c r="AQ6" s="79" t="s">
        <v>64</v>
      </c>
      <c r="AR6" s="91" t="s">
        <v>172</v>
      </c>
      <c r="AS6" s="79" t="s">
        <v>64</v>
      </c>
      <c r="AT6" s="79" t="s">
        <v>64</v>
      </c>
      <c r="AU6" s="91" t="s">
        <v>172</v>
      </c>
      <c r="AV6" s="79" t="s">
        <v>64</v>
      </c>
      <c r="AW6" s="79" t="s">
        <v>64</v>
      </c>
      <c r="AX6" s="91" t="s">
        <v>172</v>
      </c>
      <c r="AY6" s="79" t="s">
        <v>64</v>
      </c>
      <c r="AZ6" s="79" t="s">
        <v>64</v>
      </c>
      <c r="BA6" s="91" t="s">
        <v>172</v>
      </c>
      <c r="BB6" s="79" t="s">
        <v>64</v>
      </c>
      <c r="BC6" s="79" t="s">
        <v>64</v>
      </c>
      <c r="BD6" s="91" t="s">
        <v>172</v>
      </c>
      <c r="BE6" s="79" t="s">
        <v>64</v>
      </c>
      <c r="BF6" s="79" t="s">
        <v>64</v>
      </c>
      <c r="BG6" s="91" t="s">
        <v>172</v>
      </c>
      <c r="BH6" s="79" t="s">
        <v>64</v>
      </c>
      <c r="BI6" s="79" t="s">
        <v>64</v>
      </c>
      <c r="BJ6" s="91" t="s">
        <v>172</v>
      </c>
      <c r="BK6" s="79" t="s">
        <v>64</v>
      </c>
      <c r="BL6" s="79" t="s">
        <v>64</v>
      </c>
      <c r="BM6" s="213" t="s">
        <v>65</v>
      </c>
      <c r="BN6" s="214" t="s">
        <v>65</v>
      </c>
      <c r="BO6" s="214" t="s">
        <v>65</v>
      </c>
      <c r="BP6" s="214" t="s">
        <v>65</v>
      </c>
      <c r="BQ6" s="214" t="s">
        <v>65</v>
      </c>
      <c r="BR6" s="214" t="s">
        <v>65</v>
      </c>
      <c r="BS6" s="214" t="s">
        <v>65</v>
      </c>
      <c r="BT6" s="90" t="s">
        <v>65</v>
      </c>
      <c r="BU6" s="79" t="s">
        <v>65</v>
      </c>
      <c r="BV6" s="92" t="s">
        <v>65</v>
      </c>
      <c r="BW6" s="213" t="s">
        <v>63</v>
      </c>
      <c r="BX6" s="92" t="s">
        <v>171</v>
      </c>
      <c r="BY6" s="79" t="s">
        <v>64</v>
      </c>
    </row>
    <row r="7" customFormat="false" ht="16" hidden="false" customHeight="false" outlineLevel="0" collapsed="false">
      <c r="A7" s="81" t="s">
        <v>66</v>
      </c>
      <c r="B7" s="81" t="s">
        <v>66</v>
      </c>
      <c r="C7" s="81" t="s">
        <v>66</v>
      </c>
      <c r="D7" s="81" t="s">
        <v>66</v>
      </c>
      <c r="E7" s="81" t="s">
        <v>66</v>
      </c>
      <c r="F7" s="91" t="s">
        <v>173</v>
      </c>
      <c r="G7" s="214" t="s">
        <v>67</v>
      </c>
      <c r="H7" s="214" t="s">
        <v>67</v>
      </c>
      <c r="I7" s="214" t="s">
        <v>67</v>
      </c>
      <c r="J7" s="214" t="s">
        <v>67</v>
      </c>
      <c r="K7" s="214" t="s">
        <v>67</v>
      </c>
      <c r="L7" s="214" t="s">
        <v>67</v>
      </c>
      <c r="M7" s="214" t="s">
        <v>67</v>
      </c>
      <c r="N7" s="91" t="s">
        <v>173</v>
      </c>
      <c r="O7" s="92" t="s">
        <v>173</v>
      </c>
      <c r="P7" s="92" t="s">
        <v>173</v>
      </c>
      <c r="Q7" s="79" t="s">
        <v>67</v>
      </c>
      <c r="R7" s="79" t="s">
        <v>67</v>
      </c>
      <c r="S7" s="79" t="s">
        <v>67</v>
      </c>
      <c r="T7" s="79" t="s">
        <v>67</v>
      </c>
      <c r="U7" s="92" t="s">
        <v>173</v>
      </c>
      <c r="V7" s="91" t="s">
        <v>173</v>
      </c>
      <c r="W7" s="92" t="s">
        <v>173</v>
      </c>
      <c r="X7" s="92" t="s">
        <v>173</v>
      </c>
      <c r="Y7" s="92" t="s">
        <v>173</v>
      </c>
      <c r="Z7" s="92" t="s">
        <v>173</v>
      </c>
      <c r="AA7" s="92" t="s">
        <v>173</v>
      </c>
      <c r="AB7" s="92" t="s">
        <v>173</v>
      </c>
      <c r="AC7" s="92" t="s">
        <v>173</v>
      </c>
      <c r="AD7" s="92" t="s">
        <v>173</v>
      </c>
      <c r="AE7" s="92" t="s">
        <v>173</v>
      </c>
      <c r="AF7" s="92" t="s">
        <v>173</v>
      </c>
      <c r="AG7" s="92" t="s">
        <v>173</v>
      </c>
      <c r="AH7" s="92" t="s">
        <v>173</v>
      </c>
      <c r="AI7" s="92" t="s">
        <v>173</v>
      </c>
      <c r="AJ7" s="92" t="s">
        <v>173</v>
      </c>
      <c r="AK7" s="92" t="s">
        <v>173</v>
      </c>
      <c r="AL7" s="91" t="s">
        <v>173</v>
      </c>
      <c r="AM7" s="79" t="s">
        <v>67</v>
      </c>
      <c r="AN7" s="79" t="s">
        <v>67</v>
      </c>
      <c r="AO7" s="91" t="s">
        <v>173</v>
      </c>
      <c r="AP7" s="79" t="s">
        <v>67</v>
      </c>
      <c r="AQ7" s="79" t="s">
        <v>67</v>
      </c>
      <c r="AR7" s="91" t="s">
        <v>173</v>
      </c>
      <c r="AS7" s="79" t="s">
        <v>67</v>
      </c>
      <c r="AT7" s="79" t="s">
        <v>67</v>
      </c>
      <c r="AU7" s="91" t="s">
        <v>173</v>
      </c>
      <c r="AV7" s="79" t="s">
        <v>67</v>
      </c>
      <c r="AW7" s="79" t="s">
        <v>67</v>
      </c>
      <c r="AX7" s="91" t="s">
        <v>173</v>
      </c>
      <c r="AY7" s="79" t="s">
        <v>67</v>
      </c>
      <c r="AZ7" s="79" t="s">
        <v>67</v>
      </c>
      <c r="BA7" s="91" t="s">
        <v>173</v>
      </c>
      <c r="BB7" s="79" t="s">
        <v>67</v>
      </c>
      <c r="BC7" s="79" t="s">
        <v>67</v>
      </c>
      <c r="BD7" s="91" t="s">
        <v>173</v>
      </c>
      <c r="BE7" s="79" t="s">
        <v>67</v>
      </c>
      <c r="BF7" s="79" t="s">
        <v>67</v>
      </c>
      <c r="BG7" s="91" t="s">
        <v>173</v>
      </c>
      <c r="BH7" s="79" t="s">
        <v>67</v>
      </c>
      <c r="BI7" s="79" t="s">
        <v>67</v>
      </c>
      <c r="BJ7" s="91" t="s">
        <v>173</v>
      </c>
      <c r="BK7" s="79" t="s">
        <v>67</v>
      </c>
      <c r="BL7" s="79" t="s">
        <v>67</v>
      </c>
      <c r="BM7" s="213" t="s">
        <v>67</v>
      </c>
      <c r="BN7" s="214" t="s">
        <v>67</v>
      </c>
      <c r="BO7" s="214" t="s">
        <v>67</v>
      </c>
      <c r="BP7" s="214" t="s">
        <v>67</v>
      </c>
      <c r="BQ7" s="214" t="s">
        <v>67</v>
      </c>
      <c r="BR7" s="214" t="s">
        <v>67</v>
      </c>
      <c r="BS7" s="214" t="s">
        <v>67</v>
      </c>
      <c r="BT7" s="90" t="s">
        <v>67</v>
      </c>
      <c r="BU7" s="79" t="s">
        <v>67</v>
      </c>
      <c r="BV7" s="92" t="s">
        <v>173</v>
      </c>
      <c r="BW7" s="213" t="s">
        <v>67</v>
      </c>
      <c r="BX7" s="92" t="s">
        <v>173</v>
      </c>
      <c r="BY7" s="79" t="s">
        <v>67</v>
      </c>
    </row>
    <row r="8" customFormat="false" ht="16" hidden="false" customHeight="false" outlineLevel="0" collapsed="false">
      <c r="Q8" s="79" t="s">
        <v>557</v>
      </c>
      <c r="R8" s="79" t="s">
        <v>557</v>
      </c>
      <c r="S8" s="79" t="s">
        <v>558</v>
      </c>
      <c r="T8" s="79" t="s">
        <v>558</v>
      </c>
      <c r="AM8" s="79" t="s">
        <v>559</v>
      </c>
      <c r="AN8" s="79" t="s">
        <v>559</v>
      </c>
      <c r="AP8" s="79" t="s">
        <v>560</v>
      </c>
      <c r="AQ8" s="79" t="s">
        <v>560</v>
      </c>
      <c r="AS8" s="79" t="s">
        <v>561</v>
      </c>
      <c r="AT8" s="79" t="s">
        <v>561</v>
      </c>
      <c r="AV8" s="79" t="s">
        <v>562</v>
      </c>
      <c r="AW8" s="79" t="s">
        <v>562</v>
      </c>
      <c r="AY8" s="79" t="s">
        <v>563</v>
      </c>
      <c r="AZ8" s="79" t="s">
        <v>563</v>
      </c>
      <c r="BB8" s="79" t="s">
        <v>564</v>
      </c>
      <c r="BC8" s="79" t="s">
        <v>564</v>
      </c>
      <c r="BE8" s="79" t="s">
        <v>565</v>
      </c>
      <c r="BF8" s="79" t="s">
        <v>565</v>
      </c>
      <c r="BH8" s="79" t="s">
        <v>566</v>
      </c>
      <c r="BI8" s="79" t="s">
        <v>566</v>
      </c>
      <c r="BK8" s="79" t="s">
        <v>567</v>
      </c>
      <c r="BL8" s="79" t="s">
        <v>567</v>
      </c>
      <c r="BM8" s="213"/>
      <c r="BN8" s="214"/>
      <c r="BO8" s="214"/>
      <c r="BP8" s="214"/>
      <c r="BQ8" s="214"/>
      <c r="BR8" s="214"/>
      <c r="BS8" s="214"/>
      <c r="BT8" s="90"/>
      <c r="BU8" s="79"/>
      <c r="BW8" s="268" t="s">
        <v>568</v>
      </c>
      <c r="BY8" s="185" t="s">
        <v>568</v>
      </c>
    </row>
    <row r="9" customFormat="false" ht="16" hidden="false" customHeight="false" outlineLevel="0" collapsed="false">
      <c r="Q9" s="79" t="s">
        <v>569</v>
      </c>
      <c r="R9" s="79" t="s">
        <v>569</v>
      </c>
      <c r="S9" s="79" t="s">
        <v>570</v>
      </c>
      <c r="T9" s="79" t="s">
        <v>570</v>
      </c>
      <c r="AM9" s="79" t="s">
        <v>571</v>
      </c>
      <c r="AN9" s="79" t="s">
        <v>571</v>
      </c>
      <c r="AP9" s="79" t="s">
        <v>572</v>
      </c>
      <c r="AQ9" s="79" t="s">
        <v>572</v>
      </c>
      <c r="AS9" s="79" t="s">
        <v>573</v>
      </c>
      <c r="AT9" s="79" t="s">
        <v>573</v>
      </c>
      <c r="AV9" s="79" t="s">
        <v>574</v>
      </c>
      <c r="AW9" s="79" t="s">
        <v>574</v>
      </c>
      <c r="AY9" s="79" t="s">
        <v>575</v>
      </c>
      <c r="AZ9" s="79" t="s">
        <v>575</v>
      </c>
      <c r="BB9" s="79" t="s">
        <v>576</v>
      </c>
      <c r="BC9" s="79" t="s">
        <v>576</v>
      </c>
      <c r="BE9" s="79" t="s">
        <v>577</v>
      </c>
      <c r="BF9" s="79" t="s">
        <v>577</v>
      </c>
      <c r="BH9" s="79" t="s">
        <v>578</v>
      </c>
      <c r="BI9" s="79" t="s">
        <v>578</v>
      </c>
      <c r="BK9" s="79" t="s">
        <v>579</v>
      </c>
      <c r="BL9" s="79" t="s">
        <v>579</v>
      </c>
      <c r="BM9" s="213"/>
      <c r="BN9" s="214"/>
      <c r="BO9" s="214"/>
      <c r="BP9" s="214"/>
      <c r="BQ9" s="214"/>
      <c r="BR9" s="214"/>
      <c r="BS9" s="214"/>
      <c r="BT9" s="90"/>
      <c r="BU9" s="79"/>
      <c r="BW9" s="268" t="s">
        <v>580</v>
      </c>
      <c r="BY9" s="185" t="s">
        <v>580</v>
      </c>
    </row>
    <row r="10" customFormat="false" ht="16" hidden="false" customHeight="false" outlineLevel="0" collapsed="false">
      <c r="Q10" s="79" t="s">
        <v>337</v>
      </c>
      <c r="R10" s="79" t="s">
        <v>338</v>
      </c>
      <c r="S10" s="79" t="s">
        <v>337</v>
      </c>
      <c r="T10" s="79" t="s">
        <v>338</v>
      </c>
      <c r="AM10" s="79" t="s">
        <v>193</v>
      </c>
      <c r="AN10" s="79" t="s">
        <v>341</v>
      </c>
      <c r="AP10" s="79" t="s">
        <v>193</v>
      </c>
      <c r="AQ10" s="79" t="s">
        <v>341</v>
      </c>
      <c r="AS10" s="79" t="s">
        <v>193</v>
      </c>
      <c r="AT10" s="79" t="s">
        <v>341</v>
      </c>
      <c r="AV10" s="79" t="s">
        <v>193</v>
      </c>
      <c r="AW10" s="79" t="s">
        <v>341</v>
      </c>
      <c r="AY10" s="79" t="s">
        <v>193</v>
      </c>
      <c r="AZ10" s="79" t="s">
        <v>341</v>
      </c>
      <c r="BB10" s="79" t="s">
        <v>193</v>
      </c>
      <c r="BC10" s="79" t="s">
        <v>341</v>
      </c>
      <c r="BE10" s="79" t="s">
        <v>193</v>
      </c>
      <c r="BF10" s="79" t="s">
        <v>341</v>
      </c>
      <c r="BH10" s="79" t="s">
        <v>193</v>
      </c>
      <c r="BI10" s="79" t="s">
        <v>341</v>
      </c>
      <c r="BK10" s="79" t="s">
        <v>193</v>
      </c>
      <c r="BL10" s="79" t="s">
        <v>341</v>
      </c>
      <c r="BM10" s="213"/>
      <c r="BN10" s="214"/>
      <c r="BO10" s="214"/>
      <c r="BP10" s="214"/>
      <c r="BQ10" s="214"/>
      <c r="BR10" s="214"/>
      <c r="BS10" s="214"/>
      <c r="BT10" s="90"/>
      <c r="BU10" s="79"/>
      <c r="BY10" s="185"/>
    </row>
    <row r="11" customFormat="false" ht="16" hidden="false" customHeight="false" outlineLevel="0" collapsed="false">
      <c r="F11" s="91" t="s">
        <v>197</v>
      </c>
      <c r="G11" s="214" t="s">
        <v>197</v>
      </c>
      <c r="H11" s="214" t="s">
        <v>197</v>
      </c>
      <c r="I11" s="214" t="s">
        <v>197</v>
      </c>
      <c r="J11" s="214" t="s">
        <v>197</v>
      </c>
      <c r="K11" s="214" t="s">
        <v>197</v>
      </c>
      <c r="L11" s="214" t="s">
        <v>197</v>
      </c>
      <c r="M11" s="214" t="s">
        <v>197</v>
      </c>
      <c r="N11" s="91" t="s">
        <v>197</v>
      </c>
      <c r="O11" s="92" t="s">
        <v>197</v>
      </c>
      <c r="P11" s="92" t="s">
        <v>197</v>
      </c>
      <c r="Q11" s="79" t="s">
        <v>197</v>
      </c>
      <c r="R11" s="79" t="s">
        <v>197</v>
      </c>
      <c r="S11" s="79" t="s">
        <v>197</v>
      </c>
      <c r="T11" s="79" t="s">
        <v>197</v>
      </c>
      <c r="U11" s="92" t="s">
        <v>197</v>
      </c>
      <c r="V11" s="91" t="s">
        <v>197</v>
      </c>
      <c r="W11" s="92" t="s">
        <v>197</v>
      </c>
      <c r="X11" s="92" t="s">
        <v>198</v>
      </c>
      <c r="Y11" s="92" t="s">
        <v>198</v>
      </c>
      <c r="Z11" s="92" t="s">
        <v>197</v>
      </c>
      <c r="AA11" s="92" t="s">
        <v>199</v>
      </c>
      <c r="AB11" s="92" t="s">
        <v>197</v>
      </c>
      <c r="AC11" s="92" t="s">
        <v>581</v>
      </c>
      <c r="AD11" s="92" t="s">
        <v>581</v>
      </c>
      <c r="AE11" s="92" t="s">
        <v>197</v>
      </c>
      <c r="AF11" s="92" t="s">
        <v>197</v>
      </c>
      <c r="AG11" s="92" t="s">
        <v>197</v>
      </c>
      <c r="AH11" s="92" t="s">
        <v>197</v>
      </c>
      <c r="AI11" s="92" t="s">
        <v>197</v>
      </c>
      <c r="AJ11" s="92" t="s">
        <v>197</v>
      </c>
      <c r="AK11" s="92" t="s">
        <v>197</v>
      </c>
      <c r="AL11" s="91" t="s">
        <v>197</v>
      </c>
      <c r="AM11" s="79" t="s">
        <v>197</v>
      </c>
      <c r="AN11" s="79" t="s">
        <v>197</v>
      </c>
      <c r="AO11" s="91" t="s">
        <v>581</v>
      </c>
      <c r="AP11" s="79" t="s">
        <v>581</v>
      </c>
      <c r="AQ11" s="79" t="s">
        <v>581</v>
      </c>
      <c r="AR11" s="91" t="s">
        <v>581</v>
      </c>
      <c r="AS11" s="79" t="s">
        <v>581</v>
      </c>
      <c r="AT11" s="79" t="s">
        <v>581</v>
      </c>
      <c r="AU11" s="91" t="s">
        <v>197</v>
      </c>
      <c r="AV11" s="79" t="s">
        <v>197</v>
      </c>
      <c r="AW11" s="79" t="s">
        <v>197</v>
      </c>
      <c r="AX11" s="91" t="s">
        <v>197</v>
      </c>
      <c r="AY11" s="79" t="s">
        <v>197</v>
      </c>
      <c r="AZ11" s="79" t="s">
        <v>197</v>
      </c>
      <c r="BA11" s="91" t="s">
        <v>197</v>
      </c>
      <c r="BB11" s="79" t="s">
        <v>197</v>
      </c>
      <c r="BC11" s="79" t="s">
        <v>197</v>
      </c>
      <c r="BD11" s="91" t="s">
        <v>197</v>
      </c>
      <c r="BE11" s="79" t="s">
        <v>197</v>
      </c>
      <c r="BF11" s="79" t="s">
        <v>197</v>
      </c>
      <c r="BG11" s="91" t="s">
        <v>197</v>
      </c>
      <c r="BH11" s="79" t="s">
        <v>197</v>
      </c>
      <c r="BI11" s="79" t="s">
        <v>197</v>
      </c>
      <c r="BJ11" s="91" t="s">
        <v>197</v>
      </c>
      <c r="BK11" s="79" t="s">
        <v>197</v>
      </c>
      <c r="BL11" s="79" t="s">
        <v>197</v>
      </c>
      <c r="BM11" s="213" t="s">
        <v>197</v>
      </c>
      <c r="BN11" s="214" t="s">
        <v>197</v>
      </c>
      <c r="BO11" s="214" t="s">
        <v>197</v>
      </c>
      <c r="BP11" s="214" t="s">
        <v>197</v>
      </c>
      <c r="BQ11" s="214" t="s">
        <v>197</v>
      </c>
      <c r="BR11" s="214" t="s">
        <v>197</v>
      </c>
      <c r="BS11" s="214" t="s">
        <v>197</v>
      </c>
      <c r="BT11" s="90" t="s">
        <v>197</v>
      </c>
      <c r="BU11" s="79" t="s">
        <v>197</v>
      </c>
      <c r="BV11" s="92" t="s">
        <v>197</v>
      </c>
      <c r="BW11" s="213" t="s">
        <v>198</v>
      </c>
      <c r="BX11" s="92" t="s">
        <v>198</v>
      </c>
      <c r="BY11" s="79" t="s">
        <v>198</v>
      </c>
    </row>
    <row r="12" customFormat="false" ht="16" hidden="false" customHeight="false" outlineLevel="0" collapsed="false">
      <c r="F12" s="91" t="s">
        <v>200</v>
      </c>
      <c r="G12" s="214" t="s">
        <v>200</v>
      </c>
      <c r="H12" s="214" t="s">
        <v>200</v>
      </c>
      <c r="I12" s="214" t="s">
        <v>200</v>
      </c>
      <c r="J12" s="214" t="s">
        <v>200</v>
      </c>
      <c r="K12" s="214" t="s">
        <v>200</v>
      </c>
      <c r="L12" s="214" t="s">
        <v>200</v>
      </c>
      <c r="M12" s="214" t="s">
        <v>200</v>
      </c>
      <c r="N12" s="91" t="s">
        <v>200</v>
      </c>
      <c r="O12" s="92" t="s">
        <v>200</v>
      </c>
      <c r="P12" s="92" t="s">
        <v>200</v>
      </c>
      <c r="Q12" s="79" t="s">
        <v>200</v>
      </c>
      <c r="R12" s="79" t="s">
        <v>200</v>
      </c>
      <c r="S12" s="79" t="s">
        <v>200</v>
      </c>
      <c r="T12" s="79" t="s">
        <v>200</v>
      </c>
      <c r="U12" s="92" t="s">
        <v>200</v>
      </c>
      <c r="V12" s="91" t="s">
        <v>200</v>
      </c>
      <c r="W12" s="92" t="s">
        <v>200</v>
      </c>
      <c r="X12" s="92" t="s">
        <v>201</v>
      </c>
      <c r="Y12" s="92" t="s">
        <v>201</v>
      </c>
      <c r="Z12" s="92" t="s">
        <v>200</v>
      </c>
      <c r="AA12" s="92" t="s">
        <v>202</v>
      </c>
      <c r="AB12" s="92" t="s">
        <v>200</v>
      </c>
      <c r="AC12" s="92" t="s">
        <v>200</v>
      </c>
      <c r="AD12" s="92" t="s">
        <v>200</v>
      </c>
      <c r="AE12" s="92" t="s">
        <v>200</v>
      </c>
      <c r="AF12" s="92" t="s">
        <v>200</v>
      </c>
      <c r="AG12" s="92" t="s">
        <v>200</v>
      </c>
      <c r="AH12" s="92" t="s">
        <v>200</v>
      </c>
      <c r="AI12" s="92" t="s">
        <v>200</v>
      </c>
      <c r="AJ12" s="92" t="s">
        <v>200</v>
      </c>
      <c r="AK12" s="92" t="s">
        <v>200</v>
      </c>
      <c r="AL12" s="91" t="s">
        <v>200</v>
      </c>
      <c r="AM12" s="79" t="s">
        <v>200</v>
      </c>
      <c r="AN12" s="79" t="s">
        <v>200</v>
      </c>
      <c r="AO12" s="91" t="s">
        <v>200</v>
      </c>
      <c r="AP12" s="79" t="s">
        <v>200</v>
      </c>
      <c r="AQ12" s="79" t="s">
        <v>200</v>
      </c>
      <c r="AR12" s="91" t="s">
        <v>200</v>
      </c>
      <c r="AS12" s="79" t="s">
        <v>200</v>
      </c>
      <c r="AT12" s="79" t="s">
        <v>200</v>
      </c>
      <c r="AU12" s="91" t="s">
        <v>200</v>
      </c>
      <c r="AV12" s="79" t="s">
        <v>200</v>
      </c>
      <c r="AW12" s="79" t="s">
        <v>200</v>
      </c>
      <c r="AX12" s="91" t="s">
        <v>200</v>
      </c>
      <c r="AY12" s="79" t="s">
        <v>200</v>
      </c>
      <c r="AZ12" s="79" t="s">
        <v>200</v>
      </c>
      <c r="BA12" s="91" t="s">
        <v>200</v>
      </c>
      <c r="BB12" s="79" t="s">
        <v>200</v>
      </c>
      <c r="BC12" s="79" t="s">
        <v>200</v>
      </c>
      <c r="BD12" s="91" t="s">
        <v>200</v>
      </c>
      <c r="BE12" s="79" t="s">
        <v>200</v>
      </c>
      <c r="BF12" s="79" t="s">
        <v>200</v>
      </c>
      <c r="BG12" s="91" t="s">
        <v>200</v>
      </c>
      <c r="BH12" s="79" t="s">
        <v>200</v>
      </c>
      <c r="BI12" s="79" t="s">
        <v>200</v>
      </c>
      <c r="BJ12" s="91" t="s">
        <v>200</v>
      </c>
      <c r="BK12" s="79" t="s">
        <v>200</v>
      </c>
      <c r="BL12" s="79" t="s">
        <v>200</v>
      </c>
      <c r="BM12" s="213" t="s">
        <v>200</v>
      </c>
      <c r="BN12" s="214" t="s">
        <v>200</v>
      </c>
      <c r="BO12" s="214" t="s">
        <v>200</v>
      </c>
      <c r="BP12" s="214" t="s">
        <v>200</v>
      </c>
      <c r="BQ12" s="214" t="s">
        <v>200</v>
      </c>
      <c r="BR12" s="214" t="s">
        <v>200</v>
      </c>
      <c r="BS12" s="214" t="s">
        <v>200</v>
      </c>
      <c r="BT12" s="90" t="s">
        <v>200</v>
      </c>
      <c r="BU12" s="79" t="s">
        <v>200</v>
      </c>
      <c r="BV12" s="92" t="s">
        <v>200</v>
      </c>
      <c r="BW12" s="213" t="s">
        <v>200</v>
      </c>
      <c r="BX12" s="92" t="s">
        <v>200</v>
      </c>
      <c r="BY12" s="79" t="s">
        <v>200</v>
      </c>
    </row>
    <row r="13" customFormat="false" ht="16" hidden="false" customHeight="false" outlineLevel="0" collapsed="false">
      <c r="Q13" s="79"/>
      <c r="R13" s="79"/>
      <c r="S13" s="79"/>
      <c r="T13" s="79"/>
      <c r="BM13" s="213"/>
      <c r="BN13" s="214"/>
      <c r="BO13" s="214"/>
      <c r="BP13" s="214"/>
      <c r="BQ13" s="214"/>
      <c r="BR13" s="214"/>
      <c r="BS13" s="214"/>
      <c r="BT13" s="90"/>
      <c r="BU13" s="79"/>
    </row>
    <row r="14" customFormat="false" ht="16" hidden="false" customHeight="false" outlineLevel="0" collapsed="false">
      <c r="A14" s="75" t="s">
        <v>69</v>
      </c>
      <c r="B14" s="75" t="s">
        <v>70</v>
      </c>
      <c r="C14" s="75" t="s">
        <v>203</v>
      </c>
      <c r="D14" s="75" t="s">
        <v>204</v>
      </c>
      <c r="E14" s="75" t="s">
        <v>40</v>
      </c>
      <c r="F14" s="254" t="s">
        <v>224</v>
      </c>
      <c r="G14" s="190" t="s">
        <v>380</v>
      </c>
      <c r="H14" s="190" t="s">
        <v>256</v>
      </c>
      <c r="I14" s="190" t="s">
        <v>257</v>
      </c>
      <c r="J14" s="190" t="s">
        <v>258</v>
      </c>
      <c r="K14" s="190" t="s">
        <v>259</v>
      </c>
      <c r="L14" s="190" t="s">
        <v>260</v>
      </c>
      <c r="M14" s="190" t="s">
        <v>262</v>
      </c>
      <c r="N14" s="251" t="s">
        <v>582</v>
      </c>
      <c r="O14" s="190" t="s">
        <v>583</v>
      </c>
      <c r="P14" s="190" t="s">
        <v>584</v>
      </c>
      <c r="Q14" s="190" t="s">
        <v>585</v>
      </c>
      <c r="R14" s="190" t="s">
        <v>586</v>
      </c>
      <c r="S14" s="190" t="s">
        <v>587</v>
      </c>
      <c r="T14" s="190" t="s">
        <v>588</v>
      </c>
      <c r="U14" s="190" t="s">
        <v>589</v>
      </c>
      <c r="V14" s="190" t="s">
        <v>590</v>
      </c>
      <c r="W14" s="190" t="s">
        <v>591</v>
      </c>
      <c r="X14" s="190" t="s">
        <v>592</v>
      </c>
      <c r="Y14" s="190" t="s">
        <v>593</v>
      </c>
      <c r="Z14" s="190" t="s">
        <v>594</v>
      </c>
      <c r="AA14" s="190" t="s">
        <v>595</v>
      </c>
      <c r="AB14" s="190" t="s">
        <v>596</v>
      </c>
      <c r="AC14" s="190" t="s">
        <v>597</v>
      </c>
      <c r="AD14" s="190" t="s">
        <v>598</v>
      </c>
      <c r="AE14" s="190" t="s">
        <v>599</v>
      </c>
      <c r="AF14" s="190" t="s">
        <v>600</v>
      </c>
      <c r="AG14" s="190" t="s">
        <v>601</v>
      </c>
      <c r="AH14" s="190" t="s">
        <v>602</v>
      </c>
      <c r="AI14" s="190" t="s">
        <v>603</v>
      </c>
      <c r="AJ14" s="190" t="s">
        <v>604</v>
      </c>
      <c r="AK14" s="190" t="s">
        <v>605</v>
      </c>
      <c r="AL14" s="190" t="s">
        <v>606</v>
      </c>
      <c r="AM14" s="190" t="s">
        <v>607</v>
      </c>
      <c r="AN14" s="190" t="s">
        <v>608</v>
      </c>
      <c r="AO14" s="190" t="s">
        <v>609</v>
      </c>
      <c r="AP14" s="190" t="s">
        <v>610</v>
      </c>
      <c r="AQ14" s="190" t="s">
        <v>611</v>
      </c>
      <c r="AR14" s="190" t="s">
        <v>612</v>
      </c>
      <c r="AS14" s="190" t="s">
        <v>613</v>
      </c>
      <c r="AT14" s="190" t="s">
        <v>614</v>
      </c>
      <c r="AU14" s="190" t="s">
        <v>615</v>
      </c>
      <c r="AV14" s="190" t="s">
        <v>616</v>
      </c>
      <c r="AW14" s="190" t="s">
        <v>617</v>
      </c>
      <c r="AX14" s="190" t="s">
        <v>618</v>
      </c>
      <c r="AY14" s="190" t="s">
        <v>619</v>
      </c>
      <c r="AZ14" s="190" t="s">
        <v>620</v>
      </c>
      <c r="BA14" s="190" t="s">
        <v>621</v>
      </c>
      <c r="BB14" s="190" t="s">
        <v>622</v>
      </c>
      <c r="BC14" s="190" t="s">
        <v>623</v>
      </c>
      <c r="BD14" s="190" t="s">
        <v>624</v>
      </c>
      <c r="BE14" s="190" t="s">
        <v>625</v>
      </c>
      <c r="BF14" s="190" t="s">
        <v>626</v>
      </c>
      <c r="BG14" s="190" t="s">
        <v>627</v>
      </c>
      <c r="BH14" s="190" t="s">
        <v>628</v>
      </c>
      <c r="BI14" s="190" t="s">
        <v>629</v>
      </c>
      <c r="BJ14" s="190" t="s">
        <v>630</v>
      </c>
      <c r="BK14" s="190" t="s">
        <v>631</v>
      </c>
      <c r="BL14" s="190" t="s">
        <v>632</v>
      </c>
      <c r="BM14" s="190" t="s">
        <v>633</v>
      </c>
      <c r="BN14" s="190" t="s">
        <v>634</v>
      </c>
      <c r="BO14" s="190" t="s">
        <v>635</v>
      </c>
      <c r="BP14" s="190" t="s">
        <v>362</v>
      </c>
      <c r="BQ14" s="190" t="s">
        <v>377</v>
      </c>
      <c r="BR14" s="190" t="s">
        <v>443</v>
      </c>
      <c r="BS14" s="190" t="s">
        <v>500</v>
      </c>
      <c r="BT14" s="187" t="s">
        <v>636</v>
      </c>
      <c r="BU14" s="187" t="s">
        <v>637</v>
      </c>
      <c r="BV14" s="190" t="s">
        <v>638</v>
      </c>
      <c r="BW14" s="251" t="s">
        <v>639</v>
      </c>
      <c r="BX14" s="190" t="s">
        <v>640</v>
      </c>
      <c r="BY14" s="190" t="s">
        <v>641</v>
      </c>
    </row>
    <row r="15" customFormat="false" ht="16" hidden="false" customHeight="false" outlineLevel="0" collapsed="false">
      <c r="E15" s="81" t="str">
        <f aca="false">B15&amp;"|"&amp;C15&amp;"|"&amp;D15</f>
        <v>||</v>
      </c>
      <c r="F15" s="91" t="str">
        <f aca="false">_xlfn.IFNA(INDEX(Cascade!$Y:$Y,MATCH($E15,Cascade!$E:$E,0)),"")</f>
        <v/>
      </c>
      <c r="G15" s="93" t="str">
        <f aca="false">_xlfn.IFNA(INDEX(Cascade!$BD:$BD,MATCH($E15,Cascade!$E:$E,0)),"")</f>
        <v/>
      </c>
      <c r="H15" s="93" t="str">
        <f aca="false">_xlfn.IFNA(INDEX(Cascade!$BE:$BE,MATCH($E15,Cascade!$E:$E,0)),"")</f>
        <v/>
      </c>
      <c r="I15" s="93" t="str">
        <f aca="false">_xlfn.IFNA(INDEX(Cascade!$BF:$BF,MATCH($E15,Cascade!$E:$E,0)),"")</f>
        <v/>
      </c>
      <c r="J15" s="93" t="str">
        <f aca="false">_xlfn.IFNA(INDEX(Cascade!$BG:$BG,MATCH($E15,Cascade!$E:$E,0)),"")</f>
        <v/>
      </c>
      <c r="K15" s="93" t="str">
        <f aca="false">_xlfn.IFNA(INDEX(Cascade!$BH:$BH,MATCH($E15,Cascade!$E:$E,0)),"")</f>
        <v/>
      </c>
      <c r="L15" s="93" t="str">
        <f aca="false">_xlfn.IFNA(INDEX(Cascade!$BI:$BI,MATCH($E15,Cascade!$E:$E,0)),"")</f>
        <v/>
      </c>
      <c r="M15" s="93" t="str">
        <f aca="false">_xlfn.IFNA(INDEX(Cascade!$BK:$BK,MATCH($E15,Cascade!$E:$E,0)),"")</f>
        <v/>
      </c>
      <c r="Q15" s="94" t="str">
        <f aca="false">IF(OR(SUM($H15)=0,SUM($N15)=0,SUM($O15)=0),"",ROUND($H15*$N15,0))</f>
        <v/>
      </c>
      <c r="R15" s="94" t="str">
        <f aca="false">IF(OR(SUM($Q15)=0,SUM($O15)=0),"",ROUND(SUM($Q15)/SUM($O15),0)-SUM($Q15))</f>
        <v/>
      </c>
      <c r="S15" s="94" t="str">
        <f aca="false">IF(SUM($H15)=0,"",SUM($H15)-SUM($Q15))</f>
        <v/>
      </c>
      <c r="T15" s="94" t="str">
        <f aca="false">IF(OR(SUM($S15)=0,$N15&gt;1,SUM($P15)&lt;=0),"",ROUND($S15/$P15,0)-$S15)</f>
        <v/>
      </c>
      <c r="U15" s="92" t="str">
        <f aca="false">IF(SUM($G15)&lt;=0,"",SUM($Q15,$S15)/$G15)</f>
        <v/>
      </c>
      <c r="V15" s="91" t="str">
        <f aca="false">IF(OR(SUM($Q15)=0,SUM($G15)=0),"",SUM($Q15)/SUM($G15))</f>
        <v/>
      </c>
      <c r="W15" s="92" t="str">
        <f aca="false">IF(OR(SUM($S15)=0,SUM($G15)=0),"",SUM($S15)/SUM($G15))</f>
        <v/>
      </c>
      <c r="X15" s="92" t="str">
        <f aca="false">IF(OR(SUM($G15)=0,SUM($I15)=0),"",SUM($I15)/SUM($G15))</f>
        <v/>
      </c>
      <c r="Y15" s="92" t="str">
        <f aca="false">IF(OR(SUM($G15)=0,SUM($J15)=0),"",SUM($J15)/SUM($G15))</f>
        <v/>
      </c>
      <c r="Z15" s="92" t="str">
        <f aca="false">IF(OR(SUM($G15)=0,SUM($K15)=0),"",SUM($K15)/SUM($G15))</f>
        <v/>
      </c>
      <c r="AA15" s="92" t="str">
        <f aca="false">IF(OR(SUM($G15)=0,SUM($L15)=0),"",SUM($L15)/SUM($G15))</f>
        <v/>
      </c>
      <c r="AK15" s="92" t="str">
        <f aca="false">IF(SUM($G15)&lt;=0,"",SUM($V15:$AJ15))</f>
        <v/>
      </c>
      <c r="AM15" s="79" t="str">
        <f aca="false">IF(OR(SUM($AB15)&lt;=0,SUM($G15)&lt;=0),"",ROUND($G15*$AB15,0))</f>
        <v/>
      </c>
      <c r="AN15" s="79" t="str">
        <f aca="false">IF(SUM($AM15)&lt;=0,"",IF(SUM($AL15)&lt;=0,"ENTER VALID YIELD!",ROUND($AM15/$AL15,0)-$AM15))</f>
        <v/>
      </c>
      <c r="AP15" s="79" t="str">
        <f aca="false">IF(OR(SUM($AC15)&lt;=0,SUM($G15)&lt;=0),"",ROUND($G15*$AC15,0))</f>
        <v/>
      </c>
      <c r="AQ15" s="79" t="str">
        <f aca="false">IF(SUM($AP15)&lt;=0,"",IF(SUM($AO15)&lt;=0,"ENTER VALID YIELD!",ROUND($AP15/$AO15,0)-$AP15))</f>
        <v/>
      </c>
      <c r="AS15" s="79" t="str">
        <f aca="false">IF(OR(SUM($AD15)&lt;=0,SUM($G15)&lt;=0),"",ROUND($G15*$AD15,0))</f>
        <v/>
      </c>
      <c r="AT15" s="79" t="str">
        <f aca="false">IF(SUM($AS15)&lt;=0,"",IF(SUM($AR15)&lt;=0,"ENTER VALID YIELD!",ROUND($AS15/$AR15,0)-$AS15))</f>
        <v/>
      </c>
      <c r="AV15" s="79" t="str">
        <f aca="false">IF(OR(SUM($AE15)&lt;=0,SUM($G15)&lt;=0),"",ROUND($G15*$AE15,0))</f>
        <v/>
      </c>
      <c r="AW15" s="79" t="str">
        <f aca="false">IF(SUM($AV15)&lt;=0,"",IF(SUM($AU15)&lt;=0,"ENTER VALID YIELD!",ROUND($AV15/$AU15,0)-$AV15))</f>
        <v/>
      </c>
      <c r="AY15" s="79" t="str">
        <f aca="false">IF(OR(SUM($AF15)&lt;=0,SUM($G15)&lt;=0),"",ROUND($G15*$AF15,0))</f>
        <v/>
      </c>
      <c r="AZ15" s="79" t="str">
        <f aca="false">IF(SUM($AY15)&lt;=0,"",IF(SUM($AX15)&lt;=0,"ENTER VALID YIELD!",ROUND($AY15/$AX15,0)-$AY15))</f>
        <v/>
      </c>
      <c r="BB15" s="79" t="str">
        <f aca="false">IF(OR(SUM($AG15)&lt;=0,SUM($G15)&lt;=0),"",ROUND($G15*$AG15,0))</f>
        <v/>
      </c>
      <c r="BC15" s="79" t="str">
        <f aca="false">IF(SUM($BB15)&lt;=0,"",IF(SUM($BA15)&lt;=0,"ENTER VALID YIELD!",ROUND($BB15/$BA15,0)-$BB15))</f>
        <v/>
      </c>
      <c r="BE15" s="79" t="str">
        <f aca="false">IF(OR(SUM($AH15)&lt;=0,SUM($G15)&lt;=0),"",ROUND($G15*$AH15,0))</f>
        <v/>
      </c>
      <c r="BF15" s="79" t="str">
        <f aca="false">IF(SUM($BE15)&lt;=0,"",IF(SUM($BD15)&lt;=0,"ENTER VALID YIELD!",ROUND($BE15/$BD15,0)-$BE15))</f>
        <v/>
      </c>
      <c r="BH15" s="79" t="str">
        <f aca="false">IF(OR(SUM($AI15)&lt;=0,SUM($G15)&lt;=0),"",ROUND($G15*$AI15,0))</f>
        <v/>
      </c>
      <c r="BI15" s="79" t="str">
        <f aca="false">IF(SUM($BH15)&lt;=0,"",IF(SUM($BG15)&lt;=0,"ENTER VALID YIELD!",ROUND($BH15/$BG15,0)-$BH15))</f>
        <v/>
      </c>
      <c r="BK15" s="79" t="str">
        <f aca="false">IF(OR(SUM($AJ15)&lt;=0,SUM($G15)&lt;=0),"",ROUND($G15*$AJ15,0))</f>
        <v/>
      </c>
      <c r="BL15" s="79" t="str">
        <f aca="false">IF(SUM($BK15)&lt;=0,"",IF(SUM($BJ15)&lt;=0,"ENTER VALID YIELD!",ROUND($BK15/$BJ15,0)-$BK15))</f>
        <v/>
      </c>
      <c r="BM15" s="210" t="str">
        <f aca="false">IF(SUM($G15)&lt;=0,"",$G15)</f>
        <v/>
      </c>
      <c r="BN15" s="93" t="str">
        <f aca="false">IF(SUM($G15)&lt;=0,"",SUM($I15:$L15,$Q15,$S15,$AM15,$AP15,$AS15,$AV15,$AY15,$BB15,$BE15,$BH15,$BK15))</f>
        <v/>
      </c>
      <c r="BO15" s="93" t="str">
        <f aca="false">IF(AND(SUM($BN15)&lt;=0,SUM($BM15)&lt;=0),"",SUM($BN15)-SUM($BM15))</f>
        <v/>
      </c>
      <c r="BP15" s="93" t="str">
        <f aca="false">_xlfn.IFNA(INDEX(PMTCT!$AF:$AF,MATCH($E15,PMTCT!$E:$E,0)),"")</f>
        <v/>
      </c>
      <c r="BQ15" s="93" t="str">
        <f aca="false">_xlfn.IFNA(INDEX(PMTCT!$AV:$AV,MATCH($E15,PMTCT!$E:$E,0)),"")</f>
        <v/>
      </c>
      <c r="BR15" s="93" t="str">
        <f aca="false">_xlfn.IFNA(INDEX(TB!$R:$R,MATCH($E15,TB!$E:$E,0)),"")</f>
        <v/>
      </c>
      <c r="BS15" s="93" t="str">
        <f aca="false">_xlfn.IFNA(INDEX(VMMC!$AD:$AD,MATCH($E15,VMMC!$E:$E,0)),"")</f>
        <v/>
      </c>
      <c r="BT15" s="94" t="str">
        <f aca="false">IF(SUM($R15,$T15,$AN15,$AQ15,$AT15,$AW15,$AZ15,$BC15,$BF15,$BI15,$BL15,$BP15:$BS15)=0,"",SUM($R15,$T15,$AN15,$AQ15,$AT15,$AW15,$AZ15,$BC15,$BF15,$BI15,$BL15,$BP15:$BS15))</f>
        <v/>
      </c>
      <c r="BU15" s="94" t="str">
        <f aca="false">IF(OR(SUM($BT15)=0,SUM($BN15)=0),"",SUM($BT15,$BN15))</f>
        <v/>
      </c>
      <c r="BV15" s="92" t="str">
        <f aca="false">IF(SUM($BU15)=0,"",SUM($BN15)/$BU15)</f>
        <v/>
      </c>
      <c r="BX15" s="92" t="n">
        <f aca="false">IF(OR($C15="01-04",$C15="05-09"),"",0%)</f>
        <v>0</v>
      </c>
      <c r="BY15" s="79" t="str">
        <f aca="false">IF(OR($C15="01-04",$C15="05-09",SUM($BW15)=0),"",ROUND($BW15*(1+$BX15),0))</f>
        <v/>
      </c>
    </row>
  </sheetData>
  <mergeCells count="1">
    <mergeCell ref="A2:B3"/>
  </mergeCells>
  <conditionalFormatting sqref="L1:L1048576 AA1:AA1048576 BS1:BS1048576">
    <cfRule type="expression" priority="2" aboveAverage="0" equalAverage="0" bottom="0" percent="0" rank="0" text="" dxfId="0">
      <formula>OR($D1="Female",$C1="01-04",$C1="05-09",$C1="10-14")</formula>
    </cfRule>
  </conditionalFormatting>
  <conditionalFormatting sqref="AC1:AD1048576 AO1:AT1048576">
    <cfRule type="expression" priority="3" aboveAverage="0" equalAverage="0" bottom="0" percent="0" rank="0" text="" dxfId="1">
      <formula>AND(ROW(AC1)&gt;14,$B1&lt;&gt;"",$C1&lt;&gt;"01-04")</formula>
    </cfRule>
  </conditionalFormatting>
  <conditionalFormatting sqref="BW1:BY1048576">
    <cfRule type="expression" priority="4" aboveAverage="0" equalAverage="0" bottom="0" percent="0" rank="0" text="" dxfId="2">
      <formula>OR($C1="01-04",$C1="05-09")</formula>
    </cfRule>
  </conditionalFormatting>
  <conditionalFormatting sqref="O1:P1048576">
    <cfRule type="expression" priority="5" aboveAverage="0" equalAverage="0" bottom="0" percent="0" rank="0" text="" dxfId="3">
      <formula>AND(OR($C1="15-19",$C1="20-24",$C1="25-29",$C1="30-34",$C1="35-39",$C1="40-44",$C1="45-49",$C1="50+"),O1&lt;20%,O1&lt;&gt;"")</formula>
    </cfRule>
  </conditionalFormatting>
  <conditionalFormatting sqref="I1:J1048576 X1:Y1048576 BP1:BQ1048576">
    <cfRule type="expression" priority="6" aboveAverage="0" equalAverage="0" bottom="0" percent="0" rank="0" text="" dxfId="4">
      <formula>OR($D1="Male",$C1="01-04",$C1="05-09")</formula>
    </cfRule>
  </conditionalFormatting>
  <conditionalFormatting sqref="BO1:BO1048576">
    <cfRule type="expression" priority="7" aboveAverage="0" equalAverage="0" bottom="0" percent="0" rank="0" text="" dxfId="5">
      <formula>AND(ISNUMBER($BO1),SUM($BO1)&lt;&gt;0)</formula>
    </cfRule>
  </conditionalFormatting>
  <conditionalFormatting sqref="AL1:AL1048576 AU1:AU1048576 AX1:AX1048576 BA1:BA1048576 BD1:BD1048576">
    <cfRule type="expression" priority="8" aboveAverage="0" equalAverage="0" bottom="0" percent="0" rank="0" text="" dxfId="6">
      <formula>AND(ISNUMBER(AL1),OR(AND($F1&gt;=0.7,ROUND(AL1,2)&lt;0.1),AND($F1&lt;0.7,ROUND(AL1,2)&lt;0.05)))</formula>
    </cfRule>
  </conditionalFormatting>
  <conditionalFormatting sqref="AN1:AN1048576 AQ1:AQ1048576 AT1:AT1048576 AW1:AW1048576 AZ1:AZ1048576 BC1:BC1048576 BF1:BF1048576 BI1:BI1048576 BL1:BL1048576">
    <cfRule type="containsText" priority="9" operator="containsText" aboveAverage="0" equalAverage="0" bottom="0" percent="0" rank="0" text="ENTER YIELD!" dxfId="7"/>
  </conditionalFormatting>
  <conditionalFormatting sqref="V1:AK1048576">
    <cfRule type="expression" priority="10" aboveAverage="0" equalAverage="0" bottom="0" percent="0" rank="0" text="" dxfId="8">
      <formula>AND(ISNUMBER($AK1),ROUND($AK1,2)&lt;&gt;1,ROUND($G1,2)&lt;&gt;0)</formula>
    </cfRule>
  </conditionalFormatting>
  <conditionalFormatting sqref="N1:P1048576 V1:AJ1048576 AL1:AL1048576 AO1:AO1048576 AR1:AR1048576 AU1:AU1048576 AX1:AX1048576 BA1:BA1048576 BD1:BD1048576 BG1:BG1048576 BJ1:BJ1048576 BV1:BV1048576 BX1:BX1048576">
    <cfRule type="expression" priority="11" aboveAverage="0" equalAverage="0" bottom="0" percent="0" rank="0" text="" dxfId="9">
      <formula>AND(ROW(N1)&gt;14,ISNUMBER(N1),OR(N1&gt;1,N1&lt;0))</formula>
    </cfRule>
  </conditionalFormatting>
  <conditionalFormatting sqref="AJ1:AJ1048576">
    <cfRule type="expression" priority="12" aboveAverage="0" equalAverage="0" bottom="0" percent="0" rank="0" text="" dxfId="10">
      <formula>AND(ROW($AJ1)&gt;14,SUM($F1)&gt;=80%,(SUM($G1)*SUM($AJ1))&gt;0)</formula>
    </cfRule>
  </conditionalFormatting>
  <conditionalFormatting sqref="BK1:BL1048576">
    <cfRule type="expression" priority="13" aboveAverage="0" equalAverage="0" bottom="0" percent="0" rank="0" text="" dxfId="11">
      <formula>AND(ROW($BK1)&gt;14,SUM($F1)&gt;=80%,SUM(BK1)&gt;0)</formula>
    </cfRule>
  </conditionalFormatting>
  <hyperlinks>
    <hyperlink ref="F3" location="Cascade!Y:Y" display="Host Country ART Coverage (FY21) (%)"/>
    <hyperlink ref="G3" location="Cascade!BD:BD" display="Total HTS_TST_POS (FY22)"/>
    <hyperlink ref="H3" location="Cascade!BE:BE" display="HTS_INDEX (FY22)"/>
    <hyperlink ref="I3" location="Cascade!BF:BF" display="PMTCT_STAT New Positives (FY22)"/>
    <hyperlink ref="J3" location="Cascade!BG:BG" display="HTS_TST Post ANC1 New Positives (FY22)"/>
    <hyperlink ref="K3" location="Cascade!BH:BH" display="TB_STAT New Positives (FY22)"/>
    <hyperlink ref="L3" location="Cascade!BI:BI" display="VMMC_CIRC New Positives (FY22)"/>
    <hyperlink ref="M3" location="Cascade!BK:BK" display="HTS_TST_POS from All Other Modalities (FY22)"/>
    <hyperlink ref="V3" location="HTS!Q:Q" display="HTS_INDEX_COM: New Positive (%)"/>
    <hyperlink ref="W3" location="HTS!S:S" display="HTS_INDEX_FAC: New Positive (%)"/>
    <hyperlink ref="X3" location="HTS!I:I" display="PMTCT_STAT: New Positive (%)"/>
    <hyperlink ref="Y3" location="HTS!J:J" display="HTS_TST PMTCT Post ANC1: Positive (%)"/>
    <hyperlink ref="Z3" location="HTS!K:K" display="TB_STAT: New Positive (%)"/>
    <hyperlink ref="AA3" location="HTS!L:L" display="VMMC_CIRC: HIV Positive (%)"/>
    <hyperlink ref="AB3" location="HTS!AL:AN" display="Facility - Inpatient (%)"/>
    <hyperlink ref="AC3" location="HTS!AO:AQ" display="Facility - Pediatric (%)"/>
    <hyperlink ref="AD3" location="HTS!AR:AT" display="Facility - Malnutrition (%)"/>
    <hyperlink ref="AE3" location="HTS!AU:AW" display="Facility - STI Clinic (%)"/>
    <hyperlink ref="AF3" location="HTS!AX:AZ" display="Facility - Emergency (%)"/>
    <hyperlink ref="AG3" location="HTS!BA:BC" display="Facility - Other PITC (%)"/>
    <hyperlink ref="AH3" location="HTS!BD:BF" display="Facility - VCT (%)"/>
    <hyperlink ref="AI3" location="HTS!BG:BI" display="Community - Mobile (%)"/>
    <hyperlink ref="AJ3" location="HTS!BJ:BL" display="Community - Other (%)"/>
    <hyperlink ref="AM3" location="HTS!AB:AB" display="Positive"/>
    <hyperlink ref="AP3" location="HTS!AC:AC" display="Positive"/>
    <hyperlink ref="AS3" location="HTS!AD:AD" display="Positive"/>
    <hyperlink ref="AV3" location="HTS!AE:AE" display="Positive"/>
    <hyperlink ref="AY3" location="HTS!AF:AF" display="Positive"/>
    <hyperlink ref="BB3" location="HTS!AG:AG" display="Positive"/>
    <hyperlink ref="BE3" location="HTS!AH:AH" display="Positive"/>
    <hyperlink ref="BH3" location="HTS!AI:AI" display="Positive"/>
    <hyperlink ref="BK3" location="HTS!AJ:AJ" display="Positive"/>
    <hyperlink ref="BM3" location="HTS!G:G" display="Original HTS_TST_POS"/>
    <hyperlink ref="BP3" location="PMTCT!AC:AC" display="PMTCT_STAT New Negatives (FY22)"/>
    <hyperlink ref="BQ3" location="PMTCT!AK:AK" display="HTS_TST Post ANC1 Negatives (FY22)"/>
    <hyperlink ref="BR3" location="TB!R:R" display="TB_STAT New Negatives (FY22)"/>
    <hyperlink ref="BS3" location="VMMC!AD:AD" display="VMMC_CIRC Negatives (FY2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81" width="10.83"/>
    <col collapsed="false" customWidth="true" hidden="false" outlineLevel="0" max="4" min="4" style="81" width="7.84"/>
    <col collapsed="false" customWidth="true" hidden="true" outlineLevel="0" max="5" min="5" style="81" width="7"/>
    <col collapsed="false" customWidth="true" hidden="false" outlineLevel="0" max="6" min="6" style="210" width="11.83"/>
    <col collapsed="false" customWidth="true" hidden="false" outlineLevel="0" max="8" min="7" style="93" width="11.83"/>
    <col collapsed="false" customWidth="true" hidden="false" outlineLevel="0" max="10" min="9" style="92" width="11.83"/>
    <col collapsed="false" customWidth="true" hidden="false" outlineLevel="0" max="11" min="11" style="79" width="11.83"/>
    <col collapsed="false" customWidth="true" hidden="false" outlineLevel="0" max="1025" min="12" style="25" width="10.83"/>
  </cols>
  <sheetData>
    <row r="1" s="62" customFormat="true" ht="31" hidden="false" customHeight="true" outlineLevel="0" collapsed="false">
      <c r="A1" s="97" t="s">
        <v>642</v>
      </c>
      <c r="B1" s="97"/>
      <c r="C1" s="97"/>
      <c r="D1" s="97"/>
      <c r="E1" s="97"/>
      <c r="F1" s="217" t="s">
        <v>643</v>
      </c>
      <c r="G1" s="98"/>
      <c r="H1" s="98"/>
      <c r="I1" s="218"/>
      <c r="J1" s="218"/>
      <c r="K1" s="100"/>
    </row>
    <row r="2" s="137" customFormat="true" ht="19" hidden="false" customHeight="true" outlineLevel="0" collapsed="false">
      <c r="A2" s="220" t="s">
        <v>644</v>
      </c>
      <c r="B2" s="220"/>
      <c r="C2" s="118"/>
      <c r="D2" s="118"/>
      <c r="E2" s="118"/>
      <c r="F2" s="221" t="s">
        <v>54</v>
      </c>
      <c r="G2" s="132"/>
      <c r="H2" s="132"/>
      <c r="I2" s="131"/>
      <c r="J2" s="131" t="s">
        <v>100</v>
      </c>
      <c r="K2" s="126" t="s">
        <v>55</v>
      </c>
    </row>
    <row r="3" customFormat="false" ht="117" hidden="false" customHeight="true" outlineLevel="0" collapsed="false">
      <c r="A3" s="220"/>
      <c r="B3" s="220"/>
      <c r="C3" s="138"/>
      <c r="D3" s="138"/>
      <c r="E3" s="138"/>
      <c r="F3" s="159" t="s">
        <v>645</v>
      </c>
      <c r="G3" s="161" t="s">
        <v>646</v>
      </c>
      <c r="H3" s="225" t="s">
        <v>127</v>
      </c>
      <c r="I3" s="161" t="s">
        <v>647</v>
      </c>
      <c r="J3" s="155" t="s">
        <v>648</v>
      </c>
      <c r="K3" s="153" t="s">
        <v>649</v>
      </c>
    </row>
    <row r="4" customFormat="false" ht="16" hidden="false" customHeight="false" outlineLevel="0" collapsed="false">
      <c r="A4" s="165"/>
      <c r="B4" s="165"/>
      <c r="C4" s="165"/>
      <c r="D4" s="165" t="s">
        <v>59</v>
      </c>
      <c r="E4" s="165"/>
      <c r="F4" s="260" t="n">
        <f aca="false">SUBTOTAL(109,F$15:INDEX(F:F,COUNTA($B:$B)+14-COUNTA($B$1:$B$14)))</f>
        <v>0</v>
      </c>
      <c r="G4" s="182" t="n">
        <f aca="false">SUBTOTAL(109,G$15:INDEX(G:G,COUNTA($B:$B)+14-COUNTA($B$1:$B$14)))</f>
        <v>0</v>
      </c>
      <c r="H4" s="182" t="n">
        <f aca="false">SUBTOTAL(109,H$15:INDEX(H:H,COUNTA($B:$B)+14-COUNTA($B$1:$B$14)))</f>
        <v>0</v>
      </c>
      <c r="I4" s="177"/>
      <c r="J4" s="177"/>
      <c r="K4" s="175" t="n">
        <f aca="false">SUBTOTAL(109,K$15:INDEX(K:K,COUNTA($B:$B)+14-COUNTA($B$1:$B$14)))</f>
        <v>0</v>
      </c>
    </row>
    <row r="5" customFormat="false" ht="16" hidden="false" customHeight="false" outlineLevel="0" collapsed="false">
      <c r="A5" s="81" t="s">
        <v>60</v>
      </c>
      <c r="B5" s="81" t="s">
        <v>60</v>
      </c>
      <c r="C5" s="81" t="s">
        <v>60</v>
      </c>
      <c r="D5" s="81" t="s">
        <v>60</v>
      </c>
      <c r="E5" s="81" t="s">
        <v>60</v>
      </c>
      <c r="F5" s="210" t="s">
        <v>169</v>
      </c>
      <c r="G5" s="93" t="s">
        <v>169</v>
      </c>
      <c r="H5" s="93" t="s">
        <v>60</v>
      </c>
      <c r="I5" s="92" t="s">
        <v>60</v>
      </c>
      <c r="J5" s="92" t="s">
        <v>60</v>
      </c>
      <c r="K5" s="79" t="s">
        <v>169</v>
      </c>
    </row>
    <row r="6" customFormat="false" ht="16" hidden="false" customHeight="false" outlineLevel="0" collapsed="false">
      <c r="A6" s="81" t="s">
        <v>62</v>
      </c>
      <c r="B6" s="81" t="s">
        <v>62</v>
      </c>
      <c r="C6" s="81" t="s">
        <v>62</v>
      </c>
      <c r="D6" s="81" t="s">
        <v>62</v>
      </c>
      <c r="E6" s="81" t="s">
        <v>62</v>
      </c>
      <c r="F6" s="210" t="s">
        <v>63</v>
      </c>
      <c r="G6" s="93" t="s">
        <v>63</v>
      </c>
      <c r="H6" s="93" t="s">
        <v>65</v>
      </c>
      <c r="I6" s="92" t="s">
        <v>172</v>
      </c>
      <c r="J6" s="92" t="s">
        <v>171</v>
      </c>
      <c r="K6" s="79" t="s">
        <v>64</v>
      </c>
    </row>
    <row r="7" customFormat="false" ht="16" hidden="false" customHeight="false" outlineLevel="0" collapsed="false">
      <c r="A7" s="81" t="s">
        <v>66</v>
      </c>
      <c r="B7" s="81" t="s">
        <v>66</v>
      </c>
      <c r="C7" s="81" t="s">
        <v>66</v>
      </c>
      <c r="D7" s="81" t="s">
        <v>66</v>
      </c>
      <c r="E7" s="81" t="s">
        <v>66</v>
      </c>
      <c r="F7" s="210" t="s">
        <v>67</v>
      </c>
      <c r="G7" s="93" t="s">
        <v>67</v>
      </c>
      <c r="H7" s="93" t="s">
        <v>67</v>
      </c>
      <c r="I7" s="92" t="s">
        <v>173</v>
      </c>
      <c r="J7" s="92" t="s">
        <v>173</v>
      </c>
      <c r="K7" s="79" t="s">
        <v>67</v>
      </c>
    </row>
    <row r="8" customFormat="false" ht="16" hidden="false" customHeight="false" outlineLevel="0" collapsed="false">
      <c r="F8" s="210" t="s">
        <v>650</v>
      </c>
      <c r="G8" s="78" t="s">
        <v>651</v>
      </c>
      <c r="K8" s="79" t="s">
        <v>651</v>
      </c>
    </row>
    <row r="9" customFormat="false" ht="16" hidden="false" customHeight="false" outlineLevel="0" collapsed="false">
      <c r="F9" s="210" t="s">
        <v>652</v>
      </c>
      <c r="G9" s="78" t="s">
        <v>653</v>
      </c>
      <c r="K9" s="79" t="s">
        <v>653</v>
      </c>
    </row>
    <row r="10" customFormat="false" ht="16" hidden="false" customHeight="false" outlineLevel="0" collapsed="false">
      <c r="F10" s="213" t="s">
        <v>193</v>
      </c>
      <c r="G10" s="78" t="s">
        <v>193</v>
      </c>
      <c r="K10" s="79" t="s">
        <v>193</v>
      </c>
    </row>
    <row r="11" customFormat="false" ht="16" hidden="false" customHeight="false" outlineLevel="0" collapsed="false">
      <c r="F11" s="210" t="s">
        <v>654</v>
      </c>
      <c r="G11" s="93" t="s">
        <v>654</v>
      </c>
      <c r="H11" s="93" t="s">
        <v>654</v>
      </c>
      <c r="I11" s="92" t="s">
        <v>654</v>
      </c>
      <c r="J11" s="92" t="s">
        <v>654</v>
      </c>
      <c r="K11" s="79" t="s">
        <v>654</v>
      </c>
    </row>
    <row r="12" customFormat="false" ht="16" hidden="false" customHeight="false" outlineLevel="0" collapsed="false">
      <c r="F12" s="210" t="s">
        <v>201</v>
      </c>
      <c r="G12" s="93" t="s">
        <v>201</v>
      </c>
      <c r="H12" s="93" t="s">
        <v>201</v>
      </c>
      <c r="I12" s="92" t="s">
        <v>201</v>
      </c>
      <c r="J12" s="92" t="s">
        <v>201</v>
      </c>
      <c r="K12" s="79" t="s">
        <v>201</v>
      </c>
    </row>
    <row r="14" customFormat="false" ht="16" hidden="false" customHeight="false" outlineLevel="0" collapsed="false">
      <c r="A14" s="75" t="s">
        <v>69</v>
      </c>
      <c r="B14" s="75" t="s">
        <v>70</v>
      </c>
      <c r="C14" s="75" t="s">
        <v>203</v>
      </c>
      <c r="D14" s="75" t="s">
        <v>204</v>
      </c>
      <c r="E14" s="75" t="s">
        <v>40</v>
      </c>
      <c r="F14" s="251" t="s">
        <v>655</v>
      </c>
      <c r="G14" s="190" t="s">
        <v>656</v>
      </c>
      <c r="H14" s="190" t="s">
        <v>230</v>
      </c>
      <c r="I14" s="190" t="s">
        <v>657</v>
      </c>
      <c r="J14" s="190" t="s">
        <v>658</v>
      </c>
      <c r="K14" s="190" t="s">
        <v>659</v>
      </c>
    </row>
    <row r="15" customFormat="false" ht="16" hidden="false" customHeight="false" outlineLevel="0" collapsed="false">
      <c r="E15" s="81" t="str">
        <f aca="false">B15&amp;"|"&amp;C15&amp;"|"&amp;D15</f>
        <v>||</v>
      </c>
      <c r="H15" s="93" t="str">
        <f aca="false">INDEX(Cascade!$AE:$AE,MATCH($E15,Cascade!$E:$E,0))</f>
        <v/>
      </c>
      <c r="J15" s="92" t="n">
        <v>0.5</v>
      </c>
      <c r="K15" s="79" t="str">
        <f aca="false">IFERROR(ROUND($J15*$H15,0),"")</f>
        <v/>
      </c>
    </row>
  </sheetData>
  <mergeCells count="1">
    <mergeCell ref="A2:B3"/>
  </mergeCells>
  <conditionalFormatting sqref="J1:J1048576">
    <cfRule type="expression" priority="2" aboveAverage="0" equalAverage="0" bottom="0" percent="0" rank="0" text="" dxfId="0">
      <formula>AND(ISNUMBER($J1),ROW($J1)&gt;14,ROUND($J1,2)&gt;1)</formula>
    </cfRule>
    <cfRule type="expression" priority="3" aboveAverage="0" equalAverage="0" bottom="0" percent="0" rank="0" text="" dxfId="1">
      <formula>AND(ISNUMBER($J1),ROW($J1)&gt;14,ROUND($J1,2)&lt;0.5)</formula>
    </cfRule>
  </conditionalFormatting>
  <hyperlinks>
    <hyperlink ref="H3" location="Cascade!AE:AE" display="TX_CURR (FY2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25" width="16.16"/>
    <col collapsed="false" customWidth="true" hidden="false" outlineLevel="0" max="2" min="2" style="81" width="30.83"/>
    <col collapsed="false" customWidth="true" hidden="false" outlineLevel="0" max="3" min="3" style="81" width="10.83"/>
    <col collapsed="false" customWidth="true" hidden="false" outlineLevel="0" max="4" min="4" style="81" width="7.84"/>
    <col collapsed="false" customWidth="true" hidden="true" outlineLevel="0" max="5" min="5" style="81" width="11.83"/>
    <col collapsed="false" customWidth="true" hidden="false" outlineLevel="0" max="6" min="6" style="96" width="11.83"/>
    <col collapsed="false" customWidth="true" hidden="false" outlineLevel="0" max="7" min="7" style="79" width="11.83"/>
    <col collapsed="false" customWidth="true" hidden="false" outlineLevel="0" max="8" min="8" style="96" width="11.83"/>
    <col collapsed="false" customWidth="true" hidden="false" outlineLevel="0" max="9" min="9" style="79" width="11.83"/>
    <col collapsed="false" customWidth="true" hidden="false" outlineLevel="0" max="10" min="10" style="96" width="11.83"/>
    <col collapsed="false" customWidth="true" hidden="false" outlineLevel="0" max="11" min="11" style="79" width="11.83"/>
    <col collapsed="false" customWidth="true" hidden="false" outlineLevel="0" max="12" min="12" style="96" width="11.83"/>
    <col collapsed="false" customWidth="true" hidden="false" outlineLevel="0" max="13" min="13" style="79" width="11.83"/>
    <col collapsed="false" customWidth="true" hidden="false" outlineLevel="0" max="14" min="14" style="96" width="11.83"/>
    <col collapsed="false" customWidth="true" hidden="false" outlineLevel="0" max="15" min="15" style="79" width="11.83"/>
    <col collapsed="false" customWidth="true" hidden="false" outlineLevel="0" max="16" min="16" style="96" width="11.83"/>
    <col collapsed="false" customWidth="true" hidden="false" outlineLevel="0" max="17" min="17" style="79" width="11.83"/>
    <col collapsed="false" customWidth="true" hidden="false" outlineLevel="0" max="18" min="18" style="96" width="11.83"/>
    <col collapsed="false" customWidth="true" hidden="false" outlineLevel="0" max="19" min="19" style="79" width="11.83"/>
    <col collapsed="false" customWidth="true" hidden="false" outlineLevel="0" max="20" min="20" style="96" width="11.83"/>
    <col collapsed="false" customWidth="true" hidden="false" outlineLevel="0" max="21" min="21" style="79" width="11.83"/>
    <col collapsed="false" customWidth="true" hidden="false" outlineLevel="0" max="22" min="22" style="96" width="11.83"/>
    <col collapsed="false" customWidth="true" hidden="false" outlineLevel="0" max="23" min="23" style="79" width="11.83"/>
    <col collapsed="false" customWidth="true" hidden="false" outlineLevel="0" max="24" min="24" style="96" width="11.83"/>
    <col collapsed="false" customWidth="true" hidden="false" outlineLevel="0" max="25" min="25" style="79" width="11.83"/>
    <col collapsed="false" customWidth="true" hidden="false" outlineLevel="0" max="26" min="26" style="96" width="11.83"/>
    <col collapsed="false" customWidth="true" hidden="false" outlineLevel="0" max="27" min="27" style="79" width="11.83"/>
    <col collapsed="false" customWidth="true" hidden="false" outlineLevel="0" max="28" min="28" style="96" width="11.83"/>
    <col collapsed="false" customWidth="true" hidden="false" outlineLevel="0" max="29" min="29" style="79" width="11.83"/>
    <col collapsed="false" customWidth="true" hidden="false" outlineLevel="0" max="30" min="30" style="96" width="11.83"/>
    <col collapsed="false" customWidth="true" hidden="false" outlineLevel="0" max="31" min="31" style="79" width="11.83"/>
    <col collapsed="false" customWidth="true" hidden="false" outlineLevel="0" max="32" min="32" style="210" width="11.83"/>
    <col collapsed="false" customWidth="true" hidden="false" outlineLevel="0" max="33" min="33" style="93" width="11.83"/>
    <col collapsed="false" customWidth="true" hidden="false" outlineLevel="0" max="34" min="34" style="208" width="11.83"/>
    <col collapsed="false" customWidth="true" hidden="false" outlineLevel="0" max="1025" min="35" style="25" width="10.83"/>
  </cols>
  <sheetData>
    <row r="1" s="62" customFormat="true" ht="31" hidden="false" customHeight="true" outlineLevel="0" collapsed="false">
      <c r="A1" s="269" t="s">
        <v>660</v>
      </c>
      <c r="B1" s="97"/>
      <c r="C1" s="97"/>
      <c r="D1" s="97"/>
      <c r="E1" s="97"/>
      <c r="F1" s="115" t="s">
        <v>661</v>
      </c>
      <c r="G1" s="100"/>
      <c r="H1" s="115" t="s">
        <v>662</v>
      </c>
      <c r="I1" s="100"/>
      <c r="J1" s="115" t="s">
        <v>663</v>
      </c>
      <c r="K1" s="100"/>
      <c r="L1" s="115" t="s">
        <v>664</v>
      </c>
      <c r="M1" s="100"/>
      <c r="N1" s="115" t="s">
        <v>665</v>
      </c>
      <c r="O1" s="100"/>
      <c r="P1" s="115" t="s">
        <v>666</v>
      </c>
      <c r="Q1" s="100"/>
      <c r="R1" s="115" t="s">
        <v>506</v>
      </c>
      <c r="S1" s="100"/>
      <c r="T1" s="115" t="s">
        <v>509</v>
      </c>
      <c r="U1" s="100"/>
      <c r="V1" s="115" t="s">
        <v>510</v>
      </c>
      <c r="W1" s="100"/>
      <c r="X1" s="115" t="s">
        <v>511</v>
      </c>
      <c r="Y1" s="100"/>
      <c r="Z1" s="115" t="s">
        <v>512</v>
      </c>
      <c r="AA1" s="100"/>
      <c r="AB1" s="115" t="s">
        <v>513</v>
      </c>
      <c r="AC1" s="100"/>
      <c r="AD1" s="115" t="s">
        <v>514</v>
      </c>
      <c r="AE1" s="100"/>
      <c r="AF1" s="217" t="s">
        <v>667</v>
      </c>
      <c r="AG1" s="98"/>
      <c r="AH1" s="219"/>
    </row>
    <row r="2" s="137" customFormat="true" ht="19" hidden="false" customHeight="false" outlineLevel="0" collapsed="false">
      <c r="B2" s="118"/>
      <c r="C2" s="118"/>
      <c r="D2" s="118"/>
      <c r="E2" s="118"/>
      <c r="F2" s="135" t="s">
        <v>100</v>
      </c>
      <c r="G2" s="126" t="s">
        <v>55</v>
      </c>
      <c r="H2" s="135" t="s">
        <v>100</v>
      </c>
      <c r="I2" s="126" t="s">
        <v>55</v>
      </c>
      <c r="J2" s="135" t="s">
        <v>100</v>
      </c>
      <c r="K2" s="126" t="s">
        <v>55</v>
      </c>
      <c r="L2" s="135" t="s">
        <v>100</v>
      </c>
      <c r="M2" s="126" t="s">
        <v>55</v>
      </c>
      <c r="N2" s="135" t="s">
        <v>100</v>
      </c>
      <c r="O2" s="126" t="s">
        <v>55</v>
      </c>
      <c r="P2" s="135" t="s">
        <v>100</v>
      </c>
      <c r="Q2" s="126" t="s">
        <v>55</v>
      </c>
      <c r="R2" s="135" t="s">
        <v>100</v>
      </c>
      <c r="S2" s="126" t="s">
        <v>55</v>
      </c>
      <c r="T2" s="135" t="s">
        <v>100</v>
      </c>
      <c r="U2" s="126" t="s">
        <v>55</v>
      </c>
      <c r="V2" s="135" t="s">
        <v>100</v>
      </c>
      <c r="W2" s="126" t="s">
        <v>55</v>
      </c>
      <c r="X2" s="135" t="s">
        <v>100</v>
      </c>
      <c r="Y2" s="126" t="s">
        <v>55</v>
      </c>
      <c r="Z2" s="135" t="s">
        <v>100</v>
      </c>
      <c r="AA2" s="126" t="s">
        <v>55</v>
      </c>
      <c r="AB2" s="135" t="s">
        <v>100</v>
      </c>
      <c r="AC2" s="126" t="s">
        <v>55</v>
      </c>
      <c r="AD2" s="135" t="s">
        <v>100</v>
      </c>
      <c r="AE2" s="126" t="s">
        <v>55</v>
      </c>
      <c r="AF2" s="221" t="s">
        <v>101</v>
      </c>
      <c r="AG2" s="132"/>
      <c r="AH2" s="122"/>
    </row>
    <row r="3" customFormat="false" ht="117" hidden="false" customHeight="true" outlineLevel="0" collapsed="false">
      <c r="D3" s="138"/>
      <c r="E3" s="138"/>
      <c r="F3" s="270" t="s">
        <v>668</v>
      </c>
      <c r="G3" s="153" t="s">
        <v>669</v>
      </c>
      <c r="H3" s="270" t="s">
        <v>668</v>
      </c>
      <c r="I3" s="153" t="s">
        <v>669</v>
      </c>
      <c r="J3" s="270" t="s">
        <v>668</v>
      </c>
      <c r="K3" s="153" t="s">
        <v>669</v>
      </c>
      <c r="L3" s="270" t="s">
        <v>668</v>
      </c>
      <c r="M3" s="153" t="s">
        <v>669</v>
      </c>
      <c r="N3" s="270" t="s">
        <v>668</v>
      </c>
      <c r="O3" s="153" t="s">
        <v>669</v>
      </c>
      <c r="P3" s="270" t="s">
        <v>668</v>
      </c>
      <c r="Q3" s="153" t="s">
        <v>669</v>
      </c>
      <c r="R3" s="270" t="s">
        <v>668</v>
      </c>
      <c r="S3" s="153" t="s">
        <v>669</v>
      </c>
      <c r="T3" s="270" t="s">
        <v>668</v>
      </c>
      <c r="U3" s="153" t="s">
        <v>669</v>
      </c>
      <c r="V3" s="270" t="s">
        <v>668</v>
      </c>
      <c r="W3" s="153" t="s">
        <v>669</v>
      </c>
      <c r="X3" s="270" t="s">
        <v>668</v>
      </c>
      <c r="Y3" s="153" t="s">
        <v>669</v>
      </c>
      <c r="Z3" s="270" t="s">
        <v>668</v>
      </c>
      <c r="AA3" s="153" t="s">
        <v>669</v>
      </c>
      <c r="AB3" s="270" t="s">
        <v>668</v>
      </c>
      <c r="AC3" s="153" t="s">
        <v>669</v>
      </c>
      <c r="AD3" s="270" t="s">
        <v>668</v>
      </c>
      <c r="AE3" s="153" t="s">
        <v>669</v>
      </c>
      <c r="AF3" s="228" t="s">
        <v>670</v>
      </c>
      <c r="AG3" s="225" t="s">
        <v>322</v>
      </c>
      <c r="AH3" s="144" t="s">
        <v>671</v>
      </c>
    </row>
    <row r="4" customFormat="false" ht="16" hidden="false" customHeight="false" outlineLevel="0" collapsed="false">
      <c r="B4" s="165"/>
      <c r="C4" s="165"/>
      <c r="D4" s="165" t="s">
        <v>59</v>
      </c>
      <c r="E4" s="165"/>
      <c r="F4" s="181"/>
      <c r="G4" s="175" t="n">
        <f aca="false">SUBTOTAL(109,G$15:INDEX(G:G,COUNTA($B:$B)+14-COUNTA($B$1:$B$14)))</f>
        <v>0</v>
      </c>
      <c r="H4" s="181"/>
      <c r="I4" s="175" t="n">
        <f aca="false">SUBTOTAL(109,I$15:INDEX(I:I,COUNTA($B:$B)+14-COUNTA($B$1:$B$14)))</f>
        <v>0</v>
      </c>
      <c r="J4" s="181"/>
      <c r="K4" s="175" t="n">
        <f aca="false">SUBTOTAL(109,K$15:INDEX(K:K,COUNTA($B:$B)+14-COUNTA($B$1:$B$14)))</f>
        <v>0</v>
      </c>
      <c r="L4" s="181"/>
      <c r="M4" s="175" t="n">
        <f aca="false">SUBTOTAL(109,M$15:INDEX(M:M,COUNTA($B:$B)+14-COUNTA($B$1:$B$14)))</f>
        <v>0</v>
      </c>
      <c r="N4" s="181"/>
      <c r="O4" s="175" t="n">
        <f aca="false">SUBTOTAL(109,O$15:INDEX(O:O,COUNTA($B:$B)+14-COUNTA($B$1:$B$14)))</f>
        <v>0</v>
      </c>
      <c r="P4" s="181"/>
      <c r="Q4" s="175" t="n">
        <f aca="false">SUBTOTAL(109,Q$15:INDEX(Q:Q,COUNTA($B:$B)+14-COUNTA($B$1:$B$14)))</f>
        <v>0</v>
      </c>
      <c r="R4" s="181"/>
      <c r="S4" s="175" t="n">
        <f aca="false">SUBTOTAL(109,S$15:INDEX(S:S,COUNTA($B:$B)+14-COUNTA($B$1:$B$14)))</f>
        <v>0</v>
      </c>
      <c r="T4" s="181"/>
      <c r="U4" s="175" t="n">
        <f aca="false">SUBTOTAL(109,U$15:INDEX(U:U,COUNTA($B:$B)+14-COUNTA($B$1:$B$14)))</f>
        <v>0</v>
      </c>
      <c r="V4" s="181"/>
      <c r="W4" s="175" t="n">
        <f aca="false">SUBTOTAL(109,W$15:INDEX(W:W,COUNTA($B:$B)+14-COUNTA($B$1:$B$14)))</f>
        <v>0</v>
      </c>
      <c r="X4" s="181"/>
      <c r="Y4" s="175" t="n">
        <f aca="false">SUBTOTAL(109,Y$15:INDEX(Y:Y,COUNTA($B:$B)+14-COUNTA($B$1:$B$14)))</f>
        <v>0</v>
      </c>
      <c r="Z4" s="181"/>
      <c r="AA4" s="175" t="n">
        <f aca="false">SUBTOTAL(109,AA$15:INDEX(AA:AA,COUNTA($B:$B)+14-COUNTA($B$1:$B$14)))</f>
        <v>0</v>
      </c>
      <c r="AB4" s="181"/>
      <c r="AC4" s="175" t="n">
        <f aca="false">SUBTOTAL(109,AC$15:INDEX(AC:AC,COUNTA($B:$B)+14-COUNTA($B$1:$B$14)))</f>
        <v>0</v>
      </c>
      <c r="AD4" s="181"/>
      <c r="AE4" s="175" t="n">
        <f aca="false">SUBTOTAL(109,AE$15:INDEX(AE:AE,COUNTA($B:$B)+14-COUNTA($B$1:$B$14)))</f>
        <v>0</v>
      </c>
      <c r="AF4" s="260" t="n">
        <f aca="false">SUBTOTAL(109,AF$15:INDEX(AF:AF,COUNTA($B:$B)+14-COUNTA($B$1:$B$14)))</f>
        <v>0</v>
      </c>
      <c r="AG4" s="170" t="n">
        <f aca="false">SUBTOTAL(109,AG$15:INDEX(AG:AG,COUNTA($B:$B)+14-COUNTA($B$1:$B$14)))</f>
        <v>0</v>
      </c>
      <c r="AH4" s="169" t="str">
        <f aca="false">IF(SUM($AG4)=0,"",$AF4/$AG4)</f>
        <v/>
      </c>
    </row>
    <row r="5" customFormat="false" ht="16" hidden="false" customHeight="false" outlineLevel="0" collapsed="false">
      <c r="A5" s="25" t="s">
        <v>60</v>
      </c>
      <c r="B5" s="81" t="s">
        <v>60</v>
      </c>
      <c r="C5" s="81" t="s">
        <v>60</v>
      </c>
      <c r="D5" s="81" t="s">
        <v>60</v>
      </c>
      <c r="E5" s="81" t="s">
        <v>60</v>
      </c>
      <c r="F5" s="96" t="s">
        <v>60</v>
      </c>
      <c r="G5" s="78" t="s">
        <v>169</v>
      </c>
      <c r="H5" s="96" t="s">
        <v>60</v>
      </c>
      <c r="I5" s="78" t="s">
        <v>169</v>
      </c>
      <c r="J5" s="96" t="s">
        <v>60</v>
      </c>
      <c r="K5" s="78" t="s">
        <v>169</v>
      </c>
      <c r="L5" s="96" t="s">
        <v>60</v>
      </c>
      <c r="M5" s="78" t="s">
        <v>169</v>
      </c>
      <c r="N5" s="96" t="s">
        <v>60</v>
      </c>
      <c r="O5" s="78" t="s">
        <v>169</v>
      </c>
      <c r="P5" s="96" t="s">
        <v>60</v>
      </c>
      <c r="Q5" s="78" t="s">
        <v>169</v>
      </c>
      <c r="R5" s="96" t="s">
        <v>60</v>
      </c>
      <c r="S5" s="78" t="s">
        <v>169</v>
      </c>
      <c r="T5" s="96" t="s">
        <v>60</v>
      </c>
      <c r="U5" s="78" t="s">
        <v>169</v>
      </c>
      <c r="V5" s="96" t="s">
        <v>60</v>
      </c>
      <c r="W5" s="78" t="s">
        <v>169</v>
      </c>
      <c r="X5" s="96" t="s">
        <v>60</v>
      </c>
      <c r="Y5" s="78" t="s">
        <v>169</v>
      </c>
      <c r="Z5" s="96" t="s">
        <v>60</v>
      </c>
      <c r="AA5" s="78" t="s">
        <v>169</v>
      </c>
      <c r="AB5" s="96" t="s">
        <v>60</v>
      </c>
      <c r="AC5" s="78" t="s">
        <v>169</v>
      </c>
      <c r="AD5" s="96" t="s">
        <v>60</v>
      </c>
      <c r="AE5" s="78" t="s">
        <v>169</v>
      </c>
      <c r="AF5" s="213" t="s">
        <v>60</v>
      </c>
      <c r="AG5" s="78" t="s">
        <v>60</v>
      </c>
      <c r="AH5" s="208" t="s">
        <v>60</v>
      </c>
    </row>
    <row r="6" customFormat="false" ht="16" hidden="false" customHeight="false" outlineLevel="0" collapsed="false">
      <c r="A6" s="25" t="s">
        <v>62</v>
      </c>
      <c r="B6" s="81" t="s">
        <v>62</v>
      </c>
      <c r="C6" s="81" t="s">
        <v>62</v>
      </c>
      <c r="D6" s="81" t="s">
        <v>62</v>
      </c>
      <c r="E6" s="81" t="s">
        <v>62</v>
      </c>
      <c r="F6" s="96" t="s">
        <v>171</v>
      </c>
      <c r="G6" s="78" t="s">
        <v>64</v>
      </c>
      <c r="H6" s="96" t="s">
        <v>171</v>
      </c>
      <c r="I6" s="78" t="s">
        <v>64</v>
      </c>
      <c r="J6" s="96" t="s">
        <v>171</v>
      </c>
      <c r="K6" s="78" t="s">
        <v>64</v>
      </c>
      <c r="L6" s="96" t="s">
        <v>171</v>
      </c>
      <c r="M6" s="78" t="s">
        <v>64</v>
      </c>
      <c r="N6" s="96" t="s">
        <v>171</v>
      </c>
      <c r="O6" s="78" t="s">
        <v>64</v>
      </c>
      <c r="P6" s="96" t="s">
        <v>171</v>
      </c>
      <c r="Q6" s="78" t="s">
        <v>64</v>
      </c>
      <c r="R6" s="96" t="s">
        <v>171</v>
      </c>
      <c r="S6" s="78" t="s">
        <v>64</v>
      </c>
      <c r="T6" s="96" t="s">
        <v>171</v>
      </c>
      <c r="U6" s="78" t="s">
        <v>64</v>
      </c>
      <c r="V6" s="96" t="s">
        <v>171</v>
      </c>
      <c r="W6" s="78" t="s">
        <v>64</v>
      </c>
      <c r="X6" s="96" t="s">
        <v>171</v>
      </c>
      <c r="Y6" s="78" t="s">
        <v>64</v>
      </c>
      <c r="Z6" s="96" t="s">
        <v>171</v>
      </c>
      <c r="AA6" s="78" t="s">
        <v>64</v>
      </c>
      <c r="AB6" s="96" t="s">
        <v>171</v>
      </c>
      <c r="AC6" s="78" t="s">
        <v>64</v>
      </c>
      <c r="AD6" s="96" t="s">
        <v>171</v>
      </c>
      <c r="AE6" s="78" t="s">
        <v>64</v>
      </c>
      <c r="AF6" s="213" t="s">
        <v>65</v>
      </c>
      <c r="AG6" s="78" t="s">
        <v>65</v>
      </c>
      <c r="AH6" s="208" t="s">
        <v>65</v>
      </c>
    </row>
    <row r="7" customFormat="false" ht="16" hidden="false" customHeight="false" outlineLevel="0" collapsed="false">
      <c r="A7" s="25" t="s">
        <v>66</v>
      </c>
      <c r="B7" s="81" t="s">
        <v>66</v>
      </c>
      <c r="C7" s="81" t="s">
        <v>66</v>
      </c>
      <c r="D7" s="81" t="s">
        <v>66</v>
      </c>
      <c r="E7" s="81" t="s">
        <v>66</v>
      </c>
      <c r="F7" s="96" t="s">
        <v>173</v>
      </c>
      <c r="G7" s="78" t="s">
        <v>67</v>
      </c>
      <c r="H7" s="96" t="s">
        <v>173</v>
      </c>
      <c r="I7" s="78" t="s">
        <v>67</v>
      </c>
      <c r="J7" s="96" t="s">
        <v>173</v>
      </c>
      <c r="K7" s="78" t="s">
        <v>67</v>
      </c>
      <c r="L7" s="96" t="s">
        <v>173</v>
      </c>
      <c r="M7" s="78" t="s">
        <v>67</v>
      </c>
      <c r="N7" s="96" t="s">
        <v>173</v>
      </c>
      <c r="O7" s="78" t="s">
        <v>67</v>
      </c>
      <c r="P7" s="96" t="s">
        <v>173</v>
      </c>
      <c r="Q7" s="78" t="s">
        <v>67</v>
      </c>
      <c r="R7" s="96" t="s">
        <v>173</v>
      </c>
      <c r="S7" s="78" t="s">
        <v>67</v>
      </c>
      <c r="T7" s="96" t="s">
        <v>173</v>
      </c>
      <c r="U7" s="78" t="s">
        <v>67</v>
      </c>
      <c r="V7" s="96" t="s">
        <v>173</v>
      </c>
      <c r="W7" s="78" t="s">
        <v>67</v>
      </c>
      <c r="X7" s="96" t="s">
        <v>173</v>
      </c>
      <c r="Y7" s="78" t="s">
        <v>67</v>
      </c>
      <c r="Z7" s="96" t="s">
        <v>173</v>
      </c>
      <c r="AA7" s="78" t="s">
        <v>67</v>
      </c>
      <c r="AB7" s="96" t="s">
        <v>173</v>
      </c>
      <c r="AC7" s="78" t="s">
        <v>67</v>
      </c>
      <c r="AD7" s="96" t="s">
        <v>173</v>
      </c>
      <c r="AE7" s="78" t="s">
        <v>67</v>
      </c>
      <c r="AF7" s="213" t="s">
        <v>67</v>
      </c>
      <c r="AG7" s="78" t="s">
        <v>67</v>
      </c>
      <c r="AH7" s="208" t="s">
        <v>173</v>
      </c>
    </row>
    <row r="8" customFormat="false" ht="16" hidden="false" customHeight="false" outlineLevel="0" collapsed="false">
      <c r="G8" s="78" t="s">
        <v>672</v>
      </c>
      <c r="I8" s="78" t="s">
        <v>673</v>
      </c>
      <c r="K8" s="78" t="s">
        <v>674</v>
      </c>
      <c r="M8" s="78" t="s">
        <v>675</v>
      </c>
      <c r="O8" s="78" t="s">
        <v>676</v>
      </c>
      <c r="Q8" s="78" t="s">
        <v>677</v>
      </c>
      <c r="S8" s="271" t="s">
        <v>678</v>
      </c>
      <c r="U8" s="78" t="s">
        <v>679</v>
      </c>
      <c r="W8" s="78" t="s">
        <v>680</v>
      </c>
      <c r="Y8" s="78" t="s">
        <v>681</v>
      </c>
      <c r="AA8" s="78" t="s">
        <v>682</v>
      </c>
      <c r="AC8" s="78" t="s">
        <v>683</v>
      </c>
      <c r="AE8" s="78" t="s">
        <v>684</v>
      </c>
      <c r="AF8" s="213"/>
      <c r="AG8" s="78"/>
    </row>
    <row r="9" customFormat="false" ht="16" hidden="false" customHeight="false" outlineLevel="0" collapsed="false">
      <c r="G9" s="78" t="s">
        <v>685</v>
      </c>
      <c r="I9" s="78" t="s">
        <v>686</v>
      </c>
      <c r="K9" s="78" t="s">
        <v>687</v>
      </c>
      <c r="M9" s="78" t="s">
        <v>688</v>
      </c>
      <c r="O9" s="78" t="s">
        <v>689</v>
      </c>
      <c r="Q9" s="78" t="s">
        <v>690</v>
      </c>
      <c r="S9" s="78" t="s">
        <v>691</v>
      </c>
      <c r="U9" s="78" t="s">
        <v>692</v>
      </c>
      <c r="W9" s="78" t="s">
        <v>693</v>
      </c>
      <c r="Y9" s="78" t="s">
        <v>694</v>
      </c>
      <c r="AA9" s="78" t="s">
        <v>695</v>
      </c>
      <c r="AC9" s="78" t="s">
        <v>696</v>
      </c>
      <c r="AE9" s="78" t="s">
        <v>697</v>
      </c>
      <c r="AF9" s="213"/>
      <c r="AG9" s="78"/>
    </row>
    <row r="10" customFormat="false" ht="16" hidden="false" customHeight="false" outlineLevel="0" collapsed="false">
      <c r="G10" s="78" t="s">
        <v>193</v>
      </c>
      <c r="I10" s="78" t="s">
        <v>193</v>
      </c>
      <c r="K10" s="78" t="s">
        <v>193</v>
      </c>
      <c r="M10" s="78" t="s">
        <v>193</v>
      </c>
      <c r="O10" s="78" t="s">
        <v>193</v>
      </c>
      <c r="Q10" s="78" t="s">
        <v>193</v>
      </c>
      <c r="S10" s="78" t="s">
        <v>193</v>
      </c>
      <c r="U10" s="78" t="s">
        <v>193</v>
      </c>
      <c r="W10" s="78" t="s">
        <v>193</v>
      </c>
      <c r="Y10" s="78" t="s">
        <v>193</v>
      </c>
      <c r="AA10" s="78" t="s">
        <v>193</v>
      </c>
      <c r="AC10" s="78" t="s">
        <v>193</v>
      </c>
      <c r="AE10" s="78" t="s">
        <v>193</v>
      </c>
      <c r="AF10" s="213"/>
      <c r="AG10" s="78"/>
    </row>
    <row r="11" customFormat="false" ht="16" hidden="false" customHeight="false" outlineLevel="0" collapsed="false">
      <c r="F11" s="96" t="s">
        <v>199</v>
      </c>
      <c r="G11" s="78" t="s">
        <v>199</v>
      </c>
      <c r="H11" s="96" t="s">
        <v>199</v>
      </c>
      <c r="I11" s="78" t="s">
        <v>199</v>
      </c>
      <c r="J11" s="96" t="s">
        <v>199</v>
      </c>
      <c r="K11" s="78" t="s">
        <v>199</v>
      </c>
      <c r="L11" s="96" t="s">
        <v>199</v>
      </c>
      <c r="M11" s="78" t="s">
        <v>199</v>
      </c>
      <c r="N11" s="96" t="s">
        <v>199</v>
      </c>
      <c r="O11" s="78" t="s">
        <v>199</v>
      </c>
      <c r="P11" s="96" t="s">
        <v>199</v>
      </c>
      <c r="Q11" s="78" t="s">
        <v>199</v>
      </c>
      <c r="R11" s="96" t="s">
        <v>199</v>
      </c>
      <c r="S11" s="78" t="s">
        <v>199</v>
      </c>
      <c r="T11" s="96" t="s">
        <v>199</v>
      </c>
      <c r="U11" s="78" t="s">
        <v>199</v>
      </c>
      <c r="V11" s="96" t="s">
        <v>199</v>
      </c>
      <c r="W11" s="78" t="s">
        <v>199</v>
      </c>
      <c r="X11" s="96" t="s">
        <v>199</v>
      </c>
      <c r="Y11" s="78" t="s">
        <v>199</v>
      </c>
      <c r="Z11" s="96" t="s">
        <v>199</v>
      </c>
      <c r="AA11" s="78" t="s">
        <v>199</v>
      </c>
      <c r="AB11" s="96" t="s">
        <v>199</v>
      </c>
      <c r="AC11" s="78" t="s">
        <v>199</v>
      </c>
      <c r="AD11" s="96" t="s">
        <v>199</v>
      </c>
      <c r="AE11" s="78" t="s">
        <v>199</v>
      </c>
      <c r="AF11" s="213" t="s">
        <v>199</v>
      </c>
      <c r="AG11" s="78" t="s">
        <v>199</v>
      </c>
      <c r="AH11" s="208" t="s">
        <v>199</v>
      </c>
    </row>
    <row r="12" customFormat="false" ht="16" hidden="false" customHeight="false" outlineLevel="0" collapsed="false">
      <c r="F12" s="96" t="s">
        <v>201</v>
      </c>
      <c r="G12" s="78" t="s">
        <v>201</v>
      </c>
      <c r="H12" s="96" t="s">
        <v>201</v>
      </c>
      <c r="I12" s="78" t="s">
        <v>201</v>
      </c>
      <c r="J12" s="96" t="s">
        <v>200</v>
      </c>
      <c r="K12" s="78" t="s">
        <v>200</v>
      </c>
      <c r="L12" s="96" t="s">
        <v>202</v>
      </c>
      <c r="M12" s="78" t="s">
        <v>202</v>
      </c>
      <c r="N12" s="96" t="s">
        <v>200</v>
      </c>
      <c r="O12" s="78" t="s">
        <v>200</v>
      </c>
      <c r="P12" s="96" t="s">
        <v>200</v>
      </c>
      <c r="Q12" s="78" t="s">
        <v>200</v>
      </c>
      <c r="R12" s="96" t="s">
        <v>200</v>
      </c>
      <c r="S12" s="78" t="s">
        <v>200</v>
      </c>
      <c r="T12" s="96" t="s">
        <v>200</v>
      </c>
      <c r="U12" s="78" t="s">
        <v>200</v>
      </c>
      <c r="V12" s="96" t="s">
        <v>200</v>
      </c>
      <c r="W12" s="78" t="s">
        <v>200</v>
      </c>
      <c r="X12" s="96" t="s">
        <v>200</v>
      </c>
      <c r="Y12" s="78" t="s">
        <v>200</v>
      </c>
      <c r="Z12" s="96" t="s">
        <v>200</v>
      </c>
      <c r="AA12" s="78" t="s">
        <v>200</v>
      </c>
      <c r="AB12" s="96" t="s">
        <v>200</v>
      </c>
      <c r="AC12" s="78" t="s">
        <v>200</v>
      </c>
      <c r="AD12" s="96" t="s">
        <v>200</v>
      </c>
      <c r="AE12" s="78" t="s">
        <v>200</v>
      </c>
      <c r="AF12" s="213" t="s">
        <v>200</v>
      </c>
      <c r="AG12" s="78" t="s">
        <v>200</v>
      </c>
      <c r="AH12" s="208" t="s">
        <v>200</v>
      </c>
    </row>
    <row r="13" customFormat="false" ht="16" hidden="false" customHeight="false" outlineLevel="0" collapsed="false">
      <c r="G13" s="78"/>
      <c r="I13" s="78"/>
      <c r="K13" s="78"/>
      <c r="M13" s="78"/>
      <c r="O13" s="78"/>
      <c r="Q13" s="78"/>
      <c r="S13" s="78"/>
      <c r="U13" s="78"/>
      <c r="W13" s="78"/>
      <c r="Y13" s="78"/>
      <c r="AA13" s="78"/>
      <c r="AC13" s="78"/>
      <c r="AE13" s="78"/>
      <c r="AF13" s="213"/>
      <c r="AG13" s="78"/>
    </row>
    <row r="14" customFormat="false" ht="16" hidden="false" customHeight="false" outlineLevel="0" collapsed="false">
      <c r="A14" s="75" t="s">
        <v>69</v>
      </c>
      <c r="B14" s="75" t="s">
        <v>70</v>
      </c>
      <c r="C14" s="75" t="s">
        <v>203</v>
      </c>
      <c r="D14" s="75" t="s">
        <v>204</v>
      </c>
      <c r="E14" s="75" t="s">
        <v>40</v>
      </c>
      <c r="F14" s="257" t="s">
        <v>698</v>
      </c>
      <c r="G14" s="190" t="s">
        <v>699</v>
      </c>
      <c r="H14" s="257" t="s">
        <v>700</v>
      </c>
      <c r="I14" s="190" t="s">
        <v>701</v>
      </c>
      <c r="J14" s="257" t="s">
        <v>702</v>
      </c>
      <c r="K14" s="190" t="s">
        <v>703</v>
      </c>
      <c r="L14" s="257" t="s">
        <v>704</v>
      </c>
      <c r="M14" s="190" t="s">
        <v>705</v>
      </c>
      <c r="N14" s="257" t="s">
        <v>706</v>
      </c>
      <c r="O14" s="190" t="s">
        <v>707</v>
      </c>
      <c r="P14" s="257" t="s">
        <v>708</v>
      </c>
      <c r="Q14" s="190" t="s">
        <v>709</v>
      </c>
      <c r="R14" s="257" t="s">
        <v>710</v>
      </c>
      <c r="S14" s="190" t="s">
        <v>711</v>
      </c>
      <c r="T14" s="257" t="s">
        <v>712</v>
      </c>
      <c r="U14" s="190" t="s">
        <v>713</v>
      </c>
      <c r="V14" s="257" t="s">
        <v>714</v>
      </c>
      <c r="W14" s="190" t="s">
        <v>715</v>
      </c>
      <c r="X14" s="257" t="s">
        <v>716</v>
      </c>
      <c r="Y14" s="190" t="s">
        <v>717</v>
      </c>
      <c r="Z14" s="257" t="s">
        <v>718</v>
      </c>
      <c r="AA14" s="190" t="s">
        <v>719</v>
      </c>
      <c r="AB14" s="257" t="s">
        <v>720</v>
      </c>
      <c r="AC14" s="190" t="s">
        <v>721</v>
      </c>
      <c r="AD14" s="257" t="s">
        <v>722</v>
      </c>
      <c r="AE14" s="190" t="s">
        <v>723</v>
      </c>
      <c r="AF14" s="190" t="s">
        <v>724</v>
      </c>
      <c r="AG14" s="190" t="s">
        <v>380</v>
      </c>
      <c r="AH14" s="257" t="s">
        <v>725</v>
      </c>
    </row>
    <row r="15" customFormat="false" ht="16" hidden="false" customHeight="false" outlineLevel="0" collapsed="false">
      <c r="E15" s="81" t="str">
        <f aca="false">B15&amp;"|"&amp;C15&amp;"|"&amp;D15</f>
        <v>||</v>
      </c>
      <c r="F15" s="96" t="str">
        <f aca="false">IF($D15="Female",100%,"")</f>
        <v/>
      </c>
      <c r="G15" s="79" t="str">
        <f aca="false">IFERROR(ROUND($F15*INDEX(PMTCT!$AE:$AE,MATCH($E15,PMTCT!$E:$E,0)),0),"")</f>
        <v/>
      </c>
      <c r="H15" s="96" t="str">
        <f aca="false">IF($D15="Female",100%,"")</f>
        <v/>
      </c>
      <c r="I15" s="79" t="str">
        <f aca="false">IFERROR(ROUND($H15*INDEX(PMTCT!$AU:$AU,MATCH($E15,PMTCT!$E:$E,0)),0),"")</f>
        <v/>
      </c>
      <c r="J15" s="96" t="n">
        <v>1</v>
      </c>
      <c r="K15" s="79" t="str">
        <f aca="false">IFERROR(ROUND($J15*INDEX(TB!$Q:$Q,MATCH($E15,HTS!$E:$E,0)),0),"")</f>
        <v/>
      </c>
      <c r="L15" s="96" t="str">
        <f aca="false">IF($D15="Male",100%,"")</f>
        <v/>
      </c>
      <c r="M15" s="79" t="str">
        <f aca="false">IFERROR(ROUND($L15*INDEX(VMMC!$AC:$AC,MATCH($E15,VMMC!$E:$E,0)),0),"")</f>
        <v/>
      </c>
      <c r="N15" s="96" t="n">
        <v>1</v>
      </c>
      <c r="O15" s="79" t="str">
        <f aca="false">IFERROR(ROUND($N15*INDEX(HTS!$Q:$Q,MATCH($E15,HTS!$E:$E,0)),0),"")</f>
        <v/>
      </c>
      <c r="P15" s="96" t="n">
        <v>1</v>
      </c>
      <c r="Q15" s="79" t="str">
        <f aca="false">IFERROR(ROUND($P15*INDEX(HTS!$S:$S,MATCH($E15,HTS!$E:$E,0)),0),"")</f>
        <v/>
      </c>
      <c r="R15" s="96" t="n">
        <v>1</v>
      </c>
      <c r="S15" s="79" t="str">
        <f aca="false">IFERROR(ROUND($R15*INDEX(HTS!$AM:$AM,MATCH($E15,HTS!$E:$E,0)),0),"")</f>
        <v/>
      </c>
      <c r="T15" s="96" t="n">
        <v>1</v>
      </c>
      <c r="U15" s="79" t="str">
        <f aca="false">IFERROR(ROUND($T15*INDEX(HTS!$AV:$AV,MATCH($E15,HTS!$E:$E,0)),0),"")</f>
        <v/>
      </c>
      <c r="V15" s="96" t="n">
        <v>1</v>
      </c>
      <c r="W15" s="79" t="str">
        <f aca="false">IFERROR(ROUND($V15*INDEX(HTS!$AY:$AY,MATCH($E15,HTS!$E:$E,0)),0),"")</f>
        <v/>
      </c>
      <c r="X15" s="96" t="n">
        <v>1</v>
      </c>
      <c r="Y15" s="79" t="str">
        <f aca="false">IFERROR(ROUND($X15*INDEX(HTS!$BB:$BB,MATCH($E15,HTS!$E:$E,0)),0),"")</f>
        <v/>
      </c>
      <c r="Z15" s="96" t="n">
        <v>1</v>
      </c>
      <c r="AA15" s="79" t="str">
        <f aca="false">IFERROR(ROUND($Z15*INDEX(HTS!$BE:$BE,MATCH($E15,HTS!$E:$E,0)),0),"")</f>
        <v/>
      </c>
      <c r="AB15" s="96" t="n">
        <v>1</v>
      </c>
      <c r="AC15" s="79" t="str">
        <f aca="false">IFERROR(ROUND($AB15*INDEX(HTS!$BH:$BH,MATCH($E15,HTS!$E:$E,0)),0),"")</f>
        <v/>
      </c>
      <c r="AD15" s="96" t="n">
        <v>1</v>
      </c>
      <c r="AE15" s="79" t="str">
        <f aca="false">IFERROR(ROUND($AD15*INDEX(HTS!$BK:$BK,MATCH($E15,HTS!$E:$E,0)),0),"")</f>
        <v/>
      </c>
      <c r="AF15" s="210" t="str">
        <f aca="false">IF(SUM($O15,$Q15,$S15,$K15,$G15,$I15,$M15,$U15,$W15,$Y15,$AA15,$AC15,$AE15)=0,"",SUM($O15,$Q15,$S15,$K15,$G15,$I15,$M15,$U15,$W15,$Y15,$AA15,$AC15,$AE15))</f>
        <v/>
      </c>
      <c r="AG15" s="93" t="str">
        <f aca="false">INDEX(HTS!$BN:$BN,MATCH($E15,HTS!$E:$E,0))</f>
        <v/>
      </c>
      <c r="AH15" s="208" t="str">
        <f aca="false">IF(SUM($AG15)&lt;=0,"",$AF15/$AG15)</f>
        <v/>
      </c>
    </row>
  </sheetData>
  <conditionalFormatting sqref="F1:I1048576">
    <cfRule type="expression" priority="2" aboveAverage="0" equalAverage="0" bottom="0" percent="0" rank="0" text="" dxfId="0">
      <formula>$D1="Male"</formula>
    </cfRule>
  </conditionalFormatting>
  <conditionalFormatting sqref="L1:M1048576">
    <cfRule type="expression" priority="3" aboveAverage="0" equalAverage="0" bottom="0" percent="0" rank="0" text="" dxfId="1">
      <formula>$D1="Female"</formula>
    </cfRule>
  </conditionalFormatting>
  <conditionalFormatting sqref="N1:N1048576 P1:P1048576 R1:R1048576 J1:J1048576 F1:F1048576 H1:H1048576 L1:L1048576 T1:T1048576 V1:V1048576 X1:X1048576 Z1:Z1048576 AB1:AB1048576 AD1:AD1048576">
    <cfRule type="expression" priority="4" aboveAverage="0" equalAverage="0" bottom="0" percent="0" rank="0" text="" dxfId="2">
      <formula>AND(ISNUMBER(F1),ROW(F1)&gt;14,ROUND(F1,2)&gt;1)</formula>
    </cfRule>
    <cfRule type="expression" priority="5" aboveAverage="0" equalAverage="0" bottom="0" percent="0" rank="0" text="" dxfId="3">
      <formula>AND(ISNUMBER(F1),ROW(F1)&gt;14,ROUND(F1,2)&lt;1)</formula>
    </cfRule>
  </conditionalFormatting>
  <conditionalFormatting sqref="AH1:AH1048576">
    <cfRule type="expression" priority="6" aboveAverage="0" equalAverage="0" bottom="0" percent="0" rank="0" text="" dxfId="4">
      <formula>AND(ISNUMBER($AH1),ROW($AH1)&gt;14,SUM($AG1)&gt;0,ROUND($AH1,2)&gt;1)</formula>
    </cfRule>
    <cfRule type="expression" priority="7" aboveAverage="0" equalAverage="0" bottom="0" percent="0" rank="0" text="" dxfId="5">
      <formula>AND(ISNUMBER($AH1),ROW($AH1)&gt;14,ROUND($AH1,2)&lt;1,SUM($AG1)&gt;0)</formula>
    </cfRule>
  </conditionalFormatting>
  <hyperlinks>
    <hyperlink ref="F3" location="PMTCT!AB:AB" display="% of Positives"/>
    <hyperlink ref="H3" location="PMTCT!AJ:AJ" display="% of Positives"/>
    <hyperlink ref="J3" location="TB!Q:Q" display="% of Positives"/>
    <hyperlink ref="L3" location="VMMC!AC:AC" display="% of Positives"/>
    <hyperlink ref="N3" location="HTS!Q:Q" display="% of Positives"/>
    <hyperlink ref="P3" location="HTS!S:S" display="% of Positives"/>
    <hyperlink ref="R3" location="HTS!AM:AM" display="% of Positives"/>
    <hyperlink ref="T3" location="HTS!AV:AV" display="% of Positives"/>
    <hyperlink ref="V3" location="HTS!AY:AY" display="% of Positives"/>
    <hyperlink ref="X3" location="HTS!BB:BB" display="% of Positives"/>
    <hyperlink ref="Z3" location="HTS!BE:BE" display="% of Positives"/>
    <hyperlink ref="AB3" location="HTS!BH:BH" display="% of Positives"/>
    <hyperlink ref="AD3" location="HTS!BK:BK" display="% of Positives"/>
    <hyperlink ref="AG3" location="HTS!BN:BN" display="Total HTS_TST_POS (FY2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81" width="10.83"/>
    <col collapsed="false" customWidth="true" hidden="false" outlineLevel="0" max="4" min="4" style="81" width="7.84"/>
    <col collapsed="false" customWidth="true" hidden="true" outlineLevel="0" max="5" min="5" style="81" width="7"/>
    <col collapsed="false" customWidth="true" hidden="false" outlineLevel="0" max="9" min="6" style="92" width="11.83"/>
    <col collapsed="false" customWidth="true" hidden="false" outlineLevel="0" max="11" min="10" style="78" width="11.83"/>
    <col collapsed="false" customWidth="true" hidden="false" outlineLevel="0" max="15" min="12" style="79" width="11.83"/>
    <col collapsed="false" customWidth="true" hidden="false" outlineLevel="0" max="16" min="16" style="91" width="11.83"/>
    <col collapsed="false" customWidth="true" hidden="false" outlineLevel="0" max="17" min="17" style="92" width="11.83"/>
    <col collapsed="false" customWidth="true" hidden="false" outlineLevel="0" max="19" min="18" style="79" width="11.83"/>
    <col collapsed="false" customWidth="true" hidden="false" outlineLevel="0" max="20" min="20" style="213" width="11.83"/>
    <col collapsed="false" customWidth="true" hidden="false" outlineLevel="0" max="21" min="21" style="78" width="11.83"/>
    <col collapsed="false" customWidth="true" hidden="false" outlineLevel="0" max="22" min="22" style="92" width="11.83"/>
    <col collapsed="false" customWidth="true" hidden="false" outlineLevel="0" max="24" min="23" style="79" width="11.83"/>
    <col collapsed="false" customWidth="true" hidden="false" outlineLevel="0" max="26" min="25" style="92" width="11.83"/>
    <col collapsed="false" customWidth="true" hidden="false" outlineLevel="0" max="1025" min="27" style="25" width="10.83"/>
  </cols>
  <sheetData>
    <row r="1" s="62" customFormat="true" ht="31" hidden="false" customHeight="true" outlineLevel="0" collapsed="false">
      <c r="A1" s="97" t="s">
        <v>726</v>
      </c>
      <c r="B1" s="97"/>
      <c r="C1" s="97"/>
      <c r="D1" s="97"/>
      <c r="E1" s="97"/>
      <c r="F1" s="218" t="s">
        <v>727</v>
      </c>
      <c r="G1" s="218"/>
      <c r="H1" s="218"/>
      <c r="I1" s="218"/>
      <c r="J1" s="116"/>
      <c r="K1" s="116"/>
      <c r="L1" s="100"/>
      <c r="M1" s="100"/>
      <c r="N1" s="100"/>
      <c r="O1" s="100"/>
      <c r="P1" s="110" t="s">
        <v>728</v>
      </c>
      <c r="Q1" s="218"/>
      <c r="R1" s="100"/>
      <c r="S1" s="100"/>
      <c r="T1" s="217" t="s">
        <v>729</v>
      </c>
      <c r="U1" s="98"/>
      <c r="V1" s="218"/>
      <c r="W1" s="100"/>
      <c r="X1" s="100"/>
      <c r="Y1" s="111"/>
      <c r="Z1" s="111"/>
    </row>
    <row r="2" s="137" customFormat="true" ht="19" hidden="false" customHeight="false" outlineLevel="0" collapsed="false">
      <c r="A2" s="118"/>
      <c r="B2" s="118"/>
      <c r="C2" s="118"/>
      <c r="D2" s="118"/>
      <c r="E2" s="118"/>
      <c r="F2" s="131" t="s">
        <v>100</v>
      </c>
      <c r="G2" s="131"/>
      <c r="H2" s="131"/>
      <c r="I2" s="131"/>
      <c r="J2" s="136" t="s">
        <v>54</v>
      </c>
      <c r="K2" s="136"/>
      <c r="L2" s="126" t="s">
        <v>55</v>
      </c>
      <c r="M2" s="126"/>
      <c r="N2" s="126"/>
      <c r="O2" s="126"/>
      <c r="P2" s="130" t="s">
        <v>100</v>
      </c>
      <c r="Q2" s="131"/>
      <c r="R2" s="126" t="s">
        <v>55</v>
      </c>
      <c r="S2" s="126"/>
      <c r="T2" s="221" t="s">
        <v>54</v>
      </c>
      <c r="U2" s="132"/>
      <c r="V2" s="131" t="s">
        <v>100</v>
      </c>
      <c r="W2" s="126" t="s">
        <v>55</v>
      </c>
      <c r="X2" s="126"/>
      <c r="Y2" s="131" t="s">
        <v>54</v>
      </c>
      <c r="Z2" s="131"/>
    </row>
    <row r="3" customFormat="false" ht="117" hidden="false" customHeight="true" outlineLevel="0" collapsed="false">
      <c r="A3" s="138"/>
      <c r="B3" s="138"/>
      <c r="C3" s="138"/>
      <c r="D3" s="138"/>
      <c r="E3" s="138"/>
      <c r="F3" s="155" t="s">
        <v>730</v>
      </c>
      <c r="G3" s="155" t="s">
        <v>731</v>
      </c>
      <c r="H3" s="155" t="s">
        <v>732</v>
      </c>
      <c r="I3" s="155" t="s">
        <v>733</v>
      </c>
      <c r="J3" s="225" t="s">
        <v>734</v>
      </c>
      <c r="K3" s="225" t="s">
        <v>735</v>
      </c>
      <c r="L3" s="153" t="s">
        <v>736</v>
      </c>
      <c r="M3" s="153" t="s">
        <v>737</v>
      </c>
      <c r="N3" s="153" t="s">
        <v>738</v>
      </c>
      <c r="O3" s="153" t="s">
        <v>739</v>
      </c>
      <c r="P3" s="154" t="s">
        <v>740</v>
      </c>
      <c r="Q3" s="155" t="s">
        <v>741</v>
      </c>
      <c r="R3" s="153" t="s">
        <v>311</v>
      </c>
      <c r="S3" s="153" t="s">
        <v>310</v>
      </c>
      <c r="T3" s="228" t="s">
        <v>742</v>
      </c>
      <c r="U3" s="156" t="s">
        <v>743</v>
      </c>
      <c r="V3" s="155" t="s">
        <v>744</v>
      </c>
      <c r="W3" s="153" t="s">
        <v>311</v>
      </c>
      <c r="X3" s="153" t="s">
        <v>310</v>
      </c>
      <c r="Y3" s="164" t="s">
        <v>745</v>
      </c>
      <c r="Z3" s="164" t="s">
        <v>746</v>
      </c>
    </row>
    <row r="4" customFormat="false" ht="16" hidden="false" customHeight="false" outlineLevel="0" collapsed="false">
      <c r="A4" s="165"/>
      <c r="B4" s="165"/>
      <c r="C4" s="165"/>
      <c r="D4" s="165" t="s">
        <v>59</v>
      </c>
      <c r="E4" s="165"/>
      <c r="F4" s="177"/>
      <c r="G4" s="177"/>
      <c r="H4" s="177"/>
      <c r="I4" s="177"/>
      <c r="J4" s="182" t="n">
        <f aca="false">SUBTOTAL(109,J$15:INDEX(J:J,COUNTA($B:$B)+14-COUNTA($B$1:$B$14)))</f>
        <v>0</v>
      </c>
      <c r="K4" s="182" t="n">
        <f aca="false">SUBTOTAL(109,K$15:INDEX(K:K,COUNTA($B:$B)+14-COUNTA($B$1:$B$14)))</f>
        <v>0</v>
      </c>
      <c r="L4" s="175" t="n">
        <f aca="false">SUBTOTAL(109,L$15:INDEX(L:L,COUNTA($B:$B)+14-COUNTA($B$1:$B$14)))</f>
        <v>0</v>
      </c>
      <c r="M4" s="175" t="n">
        <f aca="false">SUBTOTAL(109,M$15:INDEX(M:M,COUNTA($B:$B)+14-COUNTA($B$1:$B$14)))</f>
        <v>0</v>
      </c>
      <c r="N4" s="175" t="n">
        <f aca="false">SUBTOTAL(109,N$15:INDEX(N:N,COUNTA($B:$B)+14-COUNTA($B$1:$B$14)))</f>
        <v>0</v>
      </c>
      <c r="O4" s="175" t="n">
        <f aca="false">SUBTOTAL(109,O$15:INDEX(O:O,COUNTA($B:$B)+14-COUNTA($B$1:$B$14)))</f>
        <v>0</v>
      </c>
      <c r="P4" s="176"/>
      <c r="Q4" s="177"/>
      <c r="R4" s="175" t="n">
        <f aca="false">SUBTOTAL(109,R$15:INDEX(R:R,COUNTA($B:$B)+14-COUNTA($B$1:$B$14)))</f>
        <v>0</v>
      </c>
      <c r="S4" s="175" t="n">
        <f aca="false">SUBTOTAL(109,S$15:INDEX(S:S,COUNTA($B:$B)+14-COUNTA($B$1:$B$14)))</f>
        <v>0</v>
      </c>
      <c r="T4" s="260" t="n">
        <f aca="false">SUBTOTAL(109,T$15:INDEX(T:T,COUNTA($B:$B)+14-COUNTA($B$1:$B$14)))</f>
        <v>0</v>
      </c>
      <c r="U4" s="182" t="n">
        <f aca="false">SUBTOTAL(109,U$15:INDEX(U:U,COUNTA($B:$B)+14-COUNTA($B$1:$B$14)))</f>
        <v>0</v>
      </c>
      <c r="V4" s="177"/>
      <c r="W4" s="175" t="n">
        <f aca="false">SUBTOTAL(109,W$15:INDEX(W:W,COUNTA($B:$B)+14-COUNTA($B$1:$B$14)))</f>
        <v>0</v>
      </c>
      <c r="X4" s="175" t="n">
        <f aca="false">SUBTOTAL(109,X$15:INDEX(X:X,COUNTA($B:$B)+14-COUNTA($B$1:$B$14)))</f>
        <v>0</v>
      </c>
      <c r="Y4" s="177" t="str">
        <f aca="false">IF(OR($T4="",$T4&lt;=0),"",(SUM($W4)-$T4)/$T4)</f>
        <v/>
      </c>
      <c r="Z4" s="177" t="str">
        <f aca="false">IF(SUM($U4)=0,"",(SUM($X4)-$U4)/$U4)</f>
        <v/>
      </c>
    </row>
    <row r="5" customFormat="false" ht="16" hidden="false" customHeight="false" outlineLevel="0" collapsed="false">
      <c r="A5" s="81" t="s">
        <v>60</v>
      </c>
      <c r="B5" s="81" t="s">
        <v>60</v>
      </c>
      <c r="C5" s="81" t="s">
        <v>60</v>
      </c>
      <c r="D5" s="81" t="s">
        <v>60</v>
      </c>
      <c r="E5" s="81" t="s">
        <v>60</v>
      </c>
      <c r="F5" s="92" t="s">
        <v>60</v>
      </c>
      <c r="G5" s="92" t="s">
        <v>60</v>
      </c>
      <c r="H5" s="92" t="s">
        <v>60</v>
      </c>
      <c r="I5" s="92" t="s">
        <v>60</v>
      </c>
      <c r="J5" s="78" t="s">
        <v>60</v>
      </c>
      <c r="K5" s="78" t="s">
        <v>60</v>
      </c>
      <c r="L5" s="79" t="s">
        <v>169</v>
      </c>
      <c r="M5" s="79" t="s">
        <v>169</v>
      </c>
      <c r="N5" s="79" t="s">
        <v>169</v>
      </c>
      <c r="O5" s="79" t="s">
        <v>169</v>
      </c>
      <c r="P5" s="91" t="s">
        <v>60</v>
      </c>
      <c r="Q5" s="92" t="s">
        <v>60</v>
      </c>
      <c r="R5" s="79" t="s">
        <v>169</v>
      </c>
      <c r="S5" s="79" t="s">
        <v>169</v>
      </c>
      <c r="T5" s="213" t="s">
        <v>169</v>
      </c>
      <c r="U5" s="78" t="s">
        <v>169</v>
      </c>
      <c r="V5" s="92" t="s">
        <v>60</v>
      </c>
      <c r="W5" s="79" t="s">
        <v>169</v>
      </c>
      <c r="X5" s="79" t="s">
        <v>169</v>
      </c>
      <c r="Y5" s="92" t="s">
        <v>60</v>
      </c>
      <c r="Z5" s="92" t="s">
        <v>60</v>
      </c>
    </row>
    <row r="6" customFormat="false" ht="16" hidden="false" customHeight="false" outlineLevel="0" collapsed="false">
      <c r="A6" s="81" t="s">
        <v>62</v>
      </c>
      <c r="B6" s="81" t="s">
        <v>62</v>
      </c>
      <c r="C6" s="81" t="s">
        <v>62</v>
      </c>
      <c r="D6" s="81" t="s">
        <v>62</v>
      </c>
      <c r="E6" s="81" t="s">
        <v>62</v>
      </c>
      <c r="F6" s="92" t="s">
        <v>171</v>
      </c>
      <c r="G6" s="92" t="s">
        <v>171</v>
      </c>
      <c r="H6" s="92" t="s">
        <v>172</v>
      </c>
      <c r="I6" s="92" t="s">
        <v>172</v>
      </c>
      <c r="J6" s="78" t="s">
        <v>65</v>
      </c>
      <c r="K6" s="78" t="s">
        <v>65</v>
      </c>
      <c r="L6" s="79" t="s">
        <v>64</v>
      </c>
      <c r="M6" s="79" t="s">
        <v>64</v>
      </c>
      <c r="N6" s="79" t="s">
        <v>64</v>
      </c>
      <c r="O6" s="79" t="s">
        <v>64</v>
      </c>
      <c r="P6" s="91" t="s">
        <v>171</v>
      </c>
      <c r="Q6" s="92" t="s">
        <v>171</v>
      </c>
      <c r="R6" s="79" t="s">
        <v>64</v>
      </c>
      <c r="S6" s="79" t="s">
        <v>64</v>
      </c>
      <c r="T6" s="213" t="s">
        <v>63</v>
      </c>
      <c r="U6" s="78" t="s">
        <v>63</v>
      </c>
      <c r="V6" s="92" t="s">
        <v>171</v>
      </c>
      <c r="W6" s="79" t="s">
        <v>64</v>
      </c>
      <c r="X6" s="79" t="s">
        <v>64</v>
      </c>
      <c r="Y6" s="92" t="s">
        <v>65</v>
      </c>
      <c r="Z6" s="92" t="s">
        <v>65</v>
      </c>
    </row>
    <row r="7" customFormat="false" ht="16" hidden="false" customHeight="false" outlineLevel="0" collapsed="false">
      <c r="A7" s="81" t="s">
        <v>66</v>
      </c>
      <c r="B7" s="81" t="s">
        <v>66</v>
      </c>
      <c r="C7" s="81" t="s">
        <v>66</v>
      </c>
      <c r="D7" s="81" t="s">
        <v>66</v>
      </c>
      <c r="E7" s="81" t="s">
        <v>66</v>
      </c>
      <c r="F7" s="92" t="s">
        <v>173</v>
      </c>
      <c r="G7" s="92" t="s">
        <v>173</v>
      </c>
      <c r="H7" s="92" t="s">
        <v>173</v>
      </c>
      <c r="I7" s="92" t="s">
        <v>173</v>
      </c>
      <c r="J7" s="78" t="s">
        <v>67</v>
      </c>
      <c r="K7" s="78" t="s">
        <v>67</v>
      </c>
      <c r="L7" s="79" t="s">
        <v>67</v>
      </c>
      <c r="M7" s="79" t="s">
        <v>67</v>
      </c>
      <c r="N7" s="79" t="s">
        <v>67</v>
      </c>
      <c r="O7" s="79" t="s">
        <v>67</v>
      </c>
      <c r="P7" s="91" t="s">
        <v>173</v>
      </c>
      <c r="Q7" s="92" t="s">
        <v>173</v>
      </c>
      <c r="R7" s="79" t="s">
        <v>67</v>
      </c>
      <c r="S7" s="79" t="s">
        <v>67</v>
      </c>
      <c r="T7" s="213" t="s">
        <v>67</v>
      </c>
      <c r="U7" s="78" t="s">
        <v>67</v>
      </c>
      <c r="V7" s="92" t="s">
        <v>173</v>
      </c>
      <c r="W7" s="79" t="s">
        <v>67</v>
      </c>
      <c r="X7" s="79" t="s">
        <v>67</v>
      </c>
      <c r="Y7" s="92" t="s">
        <v>173</v>
      </c>
      <c r="Z7" s="92" t="s">
        <v>173</v>
      </c>
    </row>
    <row r="8" customFormat="false" ht="16" hidden="false" customHeight="false" outlineLevel="0" collapsed="false">
      <c r="L8" s="79" t="s">
        <v>747</v>
      </c>
      <c r="M8" s="79" t="s">
        <v>747</v>
      </c>
      <c r="N8" s="79" t="s">
        <v>747</v>
      </c>
      <c r="O8" s="79" t="s">
        <v>747</v>
      </c>
      <c r="R8" s="79" t="s">
        <v>748</v>
      </c>
      <c r="S8" s="79" t="s">
        <v>748</v>
      </c>
      <c r="T8" s="261" t="s">
        <v>749</v>
      </c>
      <c r="U8" s="272" t="s">
        <v>749</v>
      </c>
      <c r="W8" s="79" t="s">
        <v>749</v>
      </c>
      <c r="X8" s="79" t="s">
        <v>749</v>
      </c>
    </row>
    <row r="9" customFormat="false" ht="16" hidden="false" customHeight="false" outlineLevel="0" collapsed="false">
      <c r="L9" s="79" t="s">
        <v>750</v>
      </c>
      <c r="M9" s="79" t="s">
        <v>750</v>
      </c>
      <c r="N9" s="79" t="s">
        <v>750</v>
      </c>
      <c r="O9" s="79" t="s">
        <v>750</v>
      </c>
      <c r="R9" s="79" t="s">
        <v>751</v>
      </c>
      <c r="S9" s="79" t="s">
        <v>751</v>
      </c>
      <c r="T9" s="261" t="s">
        <v>752</v>
      </c>
      <c r="U9" s="272" t="s">
        <v>752</v>
      </c>
      <c r="W9" s="79" t="s">
        <v>752</v>
      </c>
      <c r="X9" s="79" t="s">
        <v>752</v>
      </c>
    </row>
    <row r="10" customFormat="false" ht="16" hidden="false" customHeight="false" outlineLevel="0" collapsed="false">
      <c r="L10" s="79" t="s">
        <v>753</v>
      </c>
      <c r="M10" s="79" t="s">
        <v>754</v>
      </c>
      <c r="N10" s="79" t="s">
        <v>755</v>
      </c>
      <c r="O10" s="79" t="s">
        <v>756</v>
      </c>
      <c r="R10" s="79" t="s">
        <v>340</v>
      </c>
      <c r="S10" s="185" t="s">
        <v>339</v>
      </c>
      <c r="T10" s="261" t="s">
        <v>340</v>
      </c>
      <c r="U10" s="272" t="s">
        <v>339</v>
      </c>
      <c r="W10" s="79" t="s">
        <v>340</v>
      </c>
      <c r="X10" s="185" t="s">
        <v>339</v>
      </c>
    </row>
    <row r="11" customFormat="false" ht="16" hidden="false" customHeight="false" outlineLevel="0" collapsed="false">
      <c r="F11" s="92" t="s">
        <v>757</v>
      </c>
      <c r="G11" s="92" t="s">
        <v>757</v>
      </c>
      <c r="H11" s="92" t="s">
        <v>757</v>
      </c>
      <c r="I11" s="92" t="s">
        <v>757</v>
      </c>
      <c r="J11" s="78" t="s">
        <v>757</v>
      </c>
      <c r="K11" s="78" t="s">
        <v>757</v>
      </c>
      <c r="L11" s="79" t="s">
        <v>757</v>
      </c>
      <c r="M11" s="79" t="s">
        <v>757</v>
      </c>
      <c r="N11" s="79" t="s">
        <v>757</v>
      </c>
      <c r="O11" s="79" t="s">
        <v>757</v>
      </c>
      <c r="P11" s="91" t="s">
        <v>757</v>
      </c>
      <c r="Q11" s="92" t="s">
        <v>757</v>
      </c>
      <c r="R11" s="79" t="s">
        <v>757</v>
      </c>
      <c r="S11" s="79" t="s">
        <v>757</v>
      </c>
      <c r="T11" s="213" t="s">
        <v>757</v>
      </c>
      <c r="U11" s="78" t="s">
        <v>757</v>
      </c>
      <c r="V11" s="92" t="s">
        <v>757</v>
      </c>
      <c r="W11" s="79" t="s">
        <v>757</v>
      </c>
      <c r="X11" s="79" t="s">
        <v>757</v>
      </c>
      <c r="Y11" s="92" t="s">
        <v>757</v>
      </c>
      <c r="Z11" s="92" t="s">
        <v>757</v>
      </c>
    </row>
    <row r="12" customFormat="false" ht="16" hidden="false" customHeight="false" outlineLevel="0" collapsed="false">
      <c r="F12" s="92" t="s">
        <v>200</v>
      </c>
      <c r="G12" s="92" t="s">
        <v>200</v>
      </c>
      <c r="H12" s="92" t="s">
        <v>200</v>
      </c>
      <c r="I12" s="92" t="s">
        <v>200</v>
      </c>
      <c r="J12" s="78" t="s">
        <v>200</v>
      </c>
      <c r="K12" s="78" t="s">
        <v>200</v>
      </c>
      <c r="L12" s="79" t="s">
        <v>200</v>
      </c>
      <c r="M12" s="79" t="s">
        <v>200</v>
      </c>
      <c r="N12" s="79" t="s">
        <v>200</v>
      </c>
      <c r="O12" s="79" t="s">
        <v>200</v>
      </c>
      <c r="P12" s="91" t="s">
        <v>200</v>
      </c>
      <c r="Q12" s="92" t="s">
        <v>200</v>
      </c>
      <c r="R12" s="79" t="s">
        <v>200</v>
      </c>
      <c r="S12" s="79" t="s">
        <v>200</v>
      </c>
      <c r="T12" s="213" t="s">
        <v>200</v>
      </c>
      <c r="U12" s="78" t="s">
        <v>200</v>
      </c>
      <c r="V12" s="92" t="s">
        <v>200</v>
      </c>
      <c r="W12" s="79" t="s">
        <v>200</v>
      </c>
      <c r="X12" s="79" t="s">
        <v>200</v>
      </c>
      <c r="Y12" s="92" t="s">
        <v>200</v>
      </c>
      <c r="Z12" s="92" t="s">
        <v>200</v>
      </c>
    </row>
    <row r="14" customFormat="false" ht="16" hidden="false" customHeight="false" outlineLevel="0" collapsed="false">
      <c r="A14" s="75" t="s">
        <v>69</v>
      </c>
      <c r="B14" s="75" t="s">
        <v>70</v>
      </c>
      <c r="C14" s="75" t="s">
        <v>203</v>
      </c>
      <c r="D14" s="75" t="s">
        <v>204</v>
      </c>
      <c r="E14" s="75" t="s">
        <v>40</v>
      </c>
      <c r="F14" s="250" t="s">
        <v>758</v>
      </c>
      <c r="G14" s="250" t="s">
        <v>759</v>
      </c>
      <c r="H14" s="250" t="s">
        <v>760</v>
      </c>
      <c r="I14" s="250" t="s">
        <v>761</v>
      </c>
      <c r="J14" s="190" t="s">
        <v>762</v>
      </c>
      <c r="K14" s="190" t="s">
        <v>763</v>
      </c>
      <c r="L14" s="190" t="s">
        <v>764</v>
      </c>
      <c r="M14" s="190" t="s">
        <v>765</v>
      </c>
      <c r="N14" s="190" t="s">
        <v>766</v>
      </c>
      <c r="O14" s="190" t="s">
        <v>767</v>
      </c>
      <c r="P14" s="251" t="s">
        <v>768</v>
      </c>
      <c r="Q14" s="190" t="s">
        <v>769</v>
      </c>
      <c r="R14" s="190" t="s">
        <v>770</v>
      </c>
      <c r="S14" s="190" t="s">
        <v>771</v>
      </c>
      <c r="T14" s="251" t="s">
        <v>772</v>
      </c>
      <c r="U14" s="190" t="s">
        <v>773</v>
      </c>
      <c r="V14" s="190" t="s">
        <v>774</v>
      </c>
      <c r="W14" s="190" t="s">
        <v>775</v>
      </c>
      <c r="X14" s="190" t="s">
        <v>776</v>
      </c>
      <c r="Y14" s="190" t="s">
        <v>777</v>
      </c>
      <c r="Z14" s="190" t="s">
        <v>778</v>
      </c>
    </row>
    <row r="15" customFormat="false" ht="16" hidden="false" customHeight="false" outlineLevel="0" collapsed="false">
      <c r="E15" s="81" t="str">
        <f aca="false">B15&amp;"|"&amp;C15&amp;"|"&amp;D15</f>
        <v>||</v>
      </c>
      <c r="F15" s="92" t="n">
        <v>1</v>
      </c>
      <c r="G15" s="92" t="n">
        <v>1</v>
      </c>
      <c r="J15" s="78" t="n">
        <f aca="false" t="array" ref="J15:J15">IF($C15="&lt;15",SUM(SUMIFS(Cascade!$AM:$AM,Cascade!$B:$B,$B15,Cascade!$C:$C,{"=&lt;01","01-04","05-09","10-14"},Cascade!$D:$D,$D15)),SUM(SUMIFS(Cascade!$AM:$AM,Cascade!$B:$B,$B15,Cascade!$C:$C,{"15-19","20-24","25-29","30-34","35-39","40-44","45-49","50+"},Cascade!$D:$D,$D15)))</f>
        <v>0</v>
      </c>
      <c r="K15" s="78" t="n">
        <f aca="false" t="array" ref="K15:K15">IF($C15="&lt;15",SUM(SUMIFS(Cascade!$U:$U,Cascade!$B:$B,$B15,Cascade!$C:$C,{"=&lt;01","01-04","05-09","10-14"},Cascade!$D:$D,$D15)),SUM(SUMIFS(Cascade!$U:$U,Cascade!$B:$B,$B15,Cascade!$C:$C,{"15-19","20-24","25-29","30-34","35-39","40-44","45-49","50+"},Cascade!$D:$D,$D15)))</f>
        <v>0</v>
      </c>
      <c r="L15" s="79" t="str">
        <f aca="false">IF(AND(SUM($J15)&lt;=0,SUM($H15)=0),"",ROUND($J15*$F15*$H15,0))</f>
        <v/>
      </c>
      <c r="M15" s="79" t="str">
        <f aca="false">IF($J15&lt;=0,"",ROUND($J15*$F15,0)-$L15)</f>
        <v/>
      </c>
      <c r="N15" s="79" t="str">
        <f aca="false">IF(AND(SUM($K15)&lt;=0,SUM($I15)=0),"",ROUND($K15*$G15*$I15,0))</f>
        <v/>
      </c>
      <c r="O15" s="79" t="str">
        <f aca="false">IF($K15&lt;=0,"",ROUND($K15*$G15,0)-$N15)</f>
        <v/>
      </c>
      <c r="P15" s="91" t="n">
        <v>1</v>
      </c>
      <c r="Q15" s="92" t="n">
        <v>0.9</v>
      </c>
      <c r="R15" s="79" t="str">
        <f aca="false">IF(SUM($M15)&lt;=0,"",ROUND($M15*$P15,0))</f>
        <v/>
      </c>
      <c r="S15" s="79" t="str">
        <f aca="false">IF(SUM($O15)&lt;=0,"",ROUND($O15*$Q15,0))</f>
        <v/>
      </c>
      <c r="V15" s="92" t="n">
        <v>0.9</v>
      </c>
      <c r="W15" s="79" t="str">
        <f aca="false">IF(SUM($R15)&lt;=0,"",ROUND($R15*$V15,0))</f>
        <v/>
      </c>
      <c r="X15" s="79" t="str">
        <f aca="false">IF(SUM($S15)&lt;=0,"",ROUND($S15*$V15,0))</f>
        <v/>
      </c>
      <c r="Y15" s="92" t="str">
        <f aca="false">IF(SUM($T15)&lt;=0,"",(SUM($W15)-$T15)/$T15)</f>
        <v/>
      </c>
      <c r="Z15" s="92" t="str">
        <f aca="false">IF(SUM($U15)&lt;=0,"",(SUM($X15)-$U15)/$U15)</f>
        <v/>
      </c>
    </row>
  </sheetData>
  <conditionalFormatting sqref="F1:G1048576">
    <cfRule type="expression" priority="2" aboveAverage="0" equalAverage="0" bottom="0" percent="0" rank="0" text="" dxfId="0">
      <formula>AND(ISNUMBER(F1),ROUND(SUM(F1),2)&lt;1,ROW(F1)&gt;14,SUM(J1)&gt;0)</formula>
    </cfRule>
  </conditionalFormatting>
  <conditionalFormatting sqref="V1:V1048576">
    <cfRule type="expression" priority="3" aboveAverage="0" equalAverage="0" bottom="0" percent="0" rank="0" text="" dxfId="1">
      <formula>AND(ROW($V1)&gt;14,OR(SUM($R1)&gt;0,SUM($S1)&gt;0),ROUND(SUM($V1),2)&gt;1)</formula>
    </cfRule>
    <cfRule type="expression" priority="4" aboveAverage="0" equalAverage="0" bottom="0" percent="0" rank="0" text="" dxfId="2">
      <formula>AND(ROW($V1)&gt;14,OR(SUM($R1)&gt;0,SUM($S1)&gt;0),ROUND(SUM($V1),2)&lt;90%)</formula>
    </cfRule>
  </conditionalFormatting>
  <conditionalFormatting sqref="F1:F1048576 H1:H1048576">
    <cfRule type="expression" priority="5" aboveAverage="0" equalAverage="0" bottom="0" percent="0" rank="0" text="" dxfId="3">
      <formula>AND(ISNUMBER($J1),SUM($J1)&gt;0,F1="",ROW(F1)&gt;14)</formula>
    </cfRule>
  </conditionalFormatting>
  <conditionalFormatting sqref="G1:G1048576 I1:I1048576">
    <cfRule type="expression" priority="6" aboveAverage="0" equalAverage="0" bottom="0" percent="0" rank="0" text="" dxfId="4">
      <formula>AND(ISNUMBER($K1),SUM($K1)&gt;0,G1="",ROW(G1)&gt;14)</formula>
    </cfRule>
  </conditionalFormatting>
  <conditionalFormatting sqref="Q1:Q1048576">
    <cfRule type="expression" priority="7" aboveAverage="0" equalAverage="0" bottom="0" percent="0" rank="0" text="" dxfId="5">
      <formula>AND(ROW($Q1)&gt;14,ISNUMBER($O1),SUM($O1)&gt;0,ROUND(SUM($Q1),2)&gt;1)</formula>
    </cfRule>
    <cfRule type="expression" priority="8" aboveAverage="0" equalAverage="0" bottom="0" percent="0" rank="0" text="" dxfId="6">
      <formula>AND(ROW($Q1)&gt;14,ISNUMBER($O1),SUM($O1)&gt;0,ROUND(SUM($Q1),2)&lt;90%)</formula>
    </cfRule>
  </conditionalFormatting>
  <conditionalFormatting sqref="P1:P1048576">
    <cfRule type="expression" priority="9" aboveAverage="0" equalAverage="0" bottom="0" percent="0" rank="0" text="" dxfId="7">
      <formula>AND(ROW($P1)&gt;14,ISNUMBER($M1),SUM($M1)&gt;0,ROUND(SUM($P1),2)&lt;100%)</formula>
    </cfRule>
    <cfRule type="expression" priority="10" aboveAverage="0" equalAverage="0" bottom="0" percent="0" rank="0" text="" dxfId="8">
      <formula>AND(ROW($P1)&gt;14,ISNUMBER($M1),SUM($M1)&gt;0,ROUND(SUM($P1),2)&gt;1)</formula>
    </cfRule>
  </conditionalFormatting>
  <hyperlinks>
    <hyperlink ref="J3" location="Cascade!AM:AM" display="TX_NEW (FY22)"/>
    <hyperlink ref="K3" location="Cascade!U:U" display="TX_CURR (FY2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81" width="10.83"/>
    <col collapsed="false" customWidth="true" hidden="false" outlineLevel="0" max="4" min="4" style="81" width="7.84"/>
    <col collapsed="false" customWidth="true" hidden="true" outlineLevel="0" max="5" min="5" style="81" width="7"/>
    <col collapsed="false" customWidth="true" hidden="false" outlineLevel="0" max="6" min="6" style="78" width="11.83"/>
    <col collapsed="false" customWidth="true" hidden="false" outlineLevel="0" max="7" min="7" style="92" width="11.83"/>
    <col collapsed="false" customWidth="true" hidden="false" outlineLevel="0" max="8" min="8" style="79" width="11.83"/>
    <col collapsed="false" customWidth="true" hidden="false" outlineLevel="0" max="1025" min="9" style="25" width="10.83"/>
  </cols>
  <sheetData>
    <row r="1" s="62" customFormat="true" ht="31" hidden="false" customHeight="true" outlineLevel="0" collapsed="false">
      <c r="A1" s="97" t="s">
        <v>779</v>
      </c>
      <c r="B1" s="97"/>
      <c r="C1" s="97"/>
      <c r="D1" s="97"/>
      <c r="E1" s="97"/>
      <c r="F1" s="100" t="s">
        <v>780</v>
      </c>
      <c r="G1" s="218"/>
      <c r="H1" s="100"/>
    </row>
    <row r="2" s="137" customFormat="true" ht="19" hidden="false" customHeight="false" outlineLevel="0" collapsed="false">
      <c r="A2" s="118"/>
      <c r="B2" s="118"/>
      <c r="C2" s="118"/>
      <c r="D2" s="118"/>
      <c r="E2" s="118"/>
      <c r="F2" s="136" t="s">
        <v>54</v>
      </c>
      <c r="G2" s="131" t="s">
        <v>100</v>
      </c>
      <c r="H2" s="126" t="s">
        <v>55</v>
      </c>
    </row>
    <row r="3" customFormat="false" ht="117" hidden="false" customHeight="true" outlineLevel="0" collapsed="false">
      <c r="A3" s="138"/>
      <c r="B3" s="138"/>
      <c r="C3" s="138"/>
      <c r="D3" s="138"/>
      <c r="E3" s="138"/>
      <c r="F3" s="161" t="s">
        <v>290</v>
      </c>
      <c r="G3" s="155" t="s">
        <v>781</v>
      </c>
      <c r="H3" s="153" t="s">
        <v>782</v>
      </c>
    </row>
    <row r="4" customFormat="false" ht="16" hidden="false" customHeight="false" outlineLevel="0" collapsed="false">
      <c r="A4" s="165"/>
      <c r="B4" s="165"/>
      <c r="C4" s="165"/>
      <c r="D4" s="165" t="s">
        <v>59</v>
      </c>
      <c r="E4" s="165"/>
      <c r="F4" s="182" t="n">
        <f aca="false">SUBTOTAL(109,F$15:INDEX(F:F,COUNTA($B:$B)+14-COUNTA($B$1:$B$14)))</f>
        <v>0</v>
      </c>
      <c r="G4" s="177"/>
      <c r="H4" s="175" t="n">
        <f aca="false">SUBTOTAL(109,H$15:INDEX(H:H,COUNTA($B:$B)+14-COUNTA($B$1:$B$14)))</f>
        <v>0</v>
      </c>
    </row>
    <row r="5" customFormat="false" ht="16" hidden="false" customHeight="false" outlineLevel="0" collapsed="false">
      <c r="A5" s="81" t="s">
        <v>60</v>
      </c>
      <c r="B5" s="81" t="s">
        <v>60</v>
      </c>
      <c r="C5" s="81" t="s">
        <v>60</v>
      </c>
      <c r="D5" s="81" t="s">
        <v>60</v>
      </c>
      <c r="E5" s="81" t="s">
        <v>60</v>
      </c>
      <c r="F5" s="78" t="s">
        <v>169</v>
      </c>
      <c r="G5" s="92" t="s">
        <v>60</v>
      </c>
      <c r="H5" s="78" t="s">
        <v>169</v>
      </c>
    </row>
    <row r="6" customFormat="false" ht="16" hidden="false" customHeight="false" outlineLevel="0" collapsed="false">
      <c r="A6" s="81" t="s">
        <v>62</v>
      </c>
      <c r="B6" s="81" t="s">
        <v>62</v>
      </c>
      <c r="C6" s="81" t="s">
        <v>62</v>
      </c>
      <c r="D6" s="81" t="s">
        <v>62</v>
      </c>
      <c r="E6" s="81" t="s">
        <v>62</v>
      </c>
      <c r="F6" s="78" t="s">
        <v>63</v>
      </c>
      <c r="G6" s="92" t="s">
        <v>171</v>
      </c>
      <c r="H6" s="78" t="s">
        <v>64</v>
      </c>
    </row>
    <row r="7" customFormat="false" ht="16" hidden="false" customHeight="false" outlineLevel="0" collapsed="false">
      <c r="A7" s="81" t="s">
        <v>66</v>
      </c>
      <c r="B7" s="81" t="s">
        <v>66</v>
      </c>
      <c r="C7" s="81" t="s">
        <v>66</v>
      </c>
      <c r="D7" s="81" t="s">
        <v>66</v>
      </c>
      <c r="E7" s="81" t="s">
        <v>66</v>
      </c>
      <c r="F7" s="78" t="s">
        <v>67</v>
      </c>
      <c r="G7" s="92" t="s">
        <v>173</v>
      </c>
      <c r="H7" s="78" t="s">
        <v>67</v>
      </c>
    </row>
    <row r="8" customFormat="false" ht="16" hidden="false" customHeight="false" outlineLevel="0" collapsed="false">
      <c r="F8" s="78" t="s">
        <v>783</v>
      </c>
      <c r="H8" s="78" t="s">
        <v>783</v>
      </c>
    </row>
    <row r="9" customFormat="false" ht="16" hidden="false" customHeight="false" outlineLevel="0" collapsed="false">
      <c r="F9" s="78" t="s">
        <v>784</v>
      </c>
      <c r="H9" s="78" t="s">
        <v>784</v>
      </c>
    </row>
    <row r="10" customFormat="false" ht="16" hidden="false" customHeight="false" outlineLevel="0" collapsed="false">
      <c r="H10" s="78"/>
    </row>
    <row r="11" customFormat="false" ht="16" hidden="false" customHeight="false" outlineLevel="0" collapsed="false">
      <c r="F11" s="78" t="s">
        <v>198</v>
      </c>
      <c r="G11" s="265" t="s">
        <v>198</v>
      </c>
      <c r="H11" s="78" t="s">
        <v>198</v>
      </c>
    </row>
    <row r="12" customFormat="false" ht="16" hidden="false" customHeight="false" outlineLevel="0" collapsed="false">
      <c r="F12" s="78" t="s">
        <v>200</v>
      </c>
      <c r="G12" s="92" t="s">
        <v>200</v>
      </c>
      <c r="H12" s="78" t="s">
        <v>200</v>
      </c>
    </row>
    <row r="13" customFormat="false" ht="16" hidden="false" customHeight="false" outlineLevel="0" collapsed="false">
      <c r="H13" s="78"/>
    </row>
    <row r="14" customFormat="false" ht="16" hidden="false" customHeight="false" outlineLevel="0" collapsed="false">
      <c r="A14" s="75" t="s">
        <v>69</v>
      </c>
      <c r="B14" s="75" t="s">
        <v>70</v>
      </c>
      <c r="C14" s="75" t="s">
        <v>203</v>
      </c>
      <c r="D14" s="75" t="s">
        <v>204</v>
      </c>
      <c r="E14" s="75" t="s">
        <v>40</v>
      </c>
      <c r="F14" s="190" t="s">
        <v>785</v>
      </c>
      <c r="G14" s="190" t="s">
        <v>786</v>
      </c>
      <c r="H14" s="190" t="s">
        <v>787</v>
      </c>
    </row>
    <row r="15" customFormat="false" ht="16" hidden="false" customHeight="false" outlineLevel="0" collapsed="false">
      <c r="E15" s="81" t="str">
        <f aca="false">B15&amp;"|"&amp;C15&amp;"|"&amp;D15</f>
        <v>||</v>
      </c>
      <c r="G15" s="92" t="str">
        <f aca="false">IF(SUM($F15)&lt;=0,"",0%)</f>
        <v/>
      </c>
      <c r="H15" s="79" t="str">
        <f aca="false">IF(SUM($F15)&lt;=0,"",ROUND($F15*(1+$G15),0))</f>
        <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U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81" width="10.83"/>
    <col collapsed="false" customWidth="true" hidden="false" outlineLevel="0" max="4" min="4" style="81" width="7.84"/>
    <col collapsed="false" customWidth="true" hidden="true" outlineLevel="0" max="5" min="5" style="81" width="7"/>
    <col collapsed="false" customWidth="true" hidden="false" outlineLevel="0" max="6" min="6" style="273" width="11.83"/>
    <col collapsed="false" customWidth="true" hidden="false" outlineLevel="0" max="8" min="7" style="274" width="11.83"/>
    <col collapsed="false" customWidth="true" hidden="false" outlineLevel="0" max="9" min="9" style="78" width="11.83"/>
    <col collapsed="false" customWidth="true" hidden="false" outlineLevel="0" max="14" min="10" style="92" width="11.83"/>
    <col collapsed="false" customWidth="true" hidden="false" outlineLevel="0" max="19" min="15" style="79" width="11.83"/>
    <col collapsed="false" customWidth="true" hidden="false" outlineLevel="0" max="20" min="20" style="91" width="11.83"/>
    <col collapsed="false" customWidth="true" hidden="false" outlineLevel="0" max="21" min="21" style="79" width="11.83"/>
    <col collapsed="false" customWidth="true" hidden="false" outlineLevel="0" max="1025" min="22" style="25" width="10.83"/>
  </cols>
  <sheetData>
    <row r="1" s="62" customFormat="true" ht="31" hidden="false" customHeight="true" outlineLevel="0" collapsed="false">
      <c r="A1" s="97" t="s">
        <v>788</v>
      </c>
      <c r="B1" s="97"/>
      <c r="C1" s="97"/>
      <c r="D1" s="97"/>
      <c r="E1" s="97"/>
      <c r="F1" s="275" t="s">
        <v>789</v>
      </c>
      <c r="G1" s="275"/>
      <c r="H1" s="275"/>
      <c r="I1" s="100"/>
      <c r="J1" s="218"/>
      <c r="K1" s="218"/>
      <c r="L1" s="218"/>
      <c r="M1" s="218"/>
      <c r="N1" s="218"/>
      <c r="O1" s="100"/>
      <c r="P1" s="100"/>
      <c r="Q1" s="100"/>
      <c r="R1" s="100"/>
      <c r="S1" s="100"/>
      <c r="T1" s="110" t="s">
        <v>790</v>
      </c>
      <c r="U1" s="100"/>
    </row>
    <row r="2" s="137" customFormat="true" ht="19" hidden="false" customHeight="false" outlineLevel="0" collapsed="false">
      <c r="A2" s="118"/>
      <c r="B2" s="118"/>
      <c r="C2" s="118"/>
      <c r="D2" s="118"/>
      <c r="E2" s="118"/>
      <c r="F2" s="276" t="s">
        <v>54</v>
      </c>
      <c r="G2" s="276"/>
      <c r="H2" s="276"/>
      <c r="I2" s="136"/>
      <c r="J2" s="131" t="s">
        <v>100</v>
      </c>
      <c r="K2" s="131"/>
      <c r="L2" s="131"/>
      <c r="M2" s="131"/>
      <c r="N2" s="131"/>
      <c r="O2" s="126" t="s">
        <v>55</v>
      </c>
      <c r="P2" s="126"/>
      <c r="Q2" s="126"/>
      <c r="R2" s="126"/>
      <c r="S2" s="126"/>
      <c r="T2" s="130" t="s">
        <v>100</v>
      </c>
      <c r="U2" s="126" t="s">
        <v>55</v>
      </c>
    </row>
    <row r="3" customFormat="false" ht="117" hidden="false" customHeight="true" outlineLevel="0" collapsed="false">
      <c r="A3" s="138"/>
      <c r="B3" s="138"/>
      <c r="C3" s="138"/>
      <c r="D3" s="138"/>
      <c r="E3" s="138"/>
      <c r="F3" s="225" t="s">
        <v>104</v>
      </c>
      <c r="G3" s="161" t="s">
        <v>791</v>
      </c>
      <c r="H3" s="161" t="s">
        <v>792</v>
      </c>
      <c r="I3" s="161" t="s">
        <v>290</v>
      </c>
      <c r="J3" s="155" t="s">
        <v>793</v>
      </c>
      <c r="K3" s="155" t="s">
        <v>794</v>
      </c>
      <c r="L3" s="155" t="s">
        <v>795</v>
      </c>
      <c r="M3" s="164" t="s">
        <v>796</v>
      </c>
      <c r="N3" s="155" t="s">
        <v>797</v>
      </c>
      <c r="O3" s="153" t="s">
        <v>798</v>
      </c>
      <c r="P3" s="153" t="s">
        <v>799</v>
      </c>
      <c r="Q3" s="153" t="s">
        <v>800</v>
      </c>
      <c r="R3" s="153" t="s">
        <v>801</v>
      </c>
      <c r="S3" s="153" t="s">
        <v>802</v>
      </c>
      <c r="T3" s="154" t="s">
        <v>803</v>
      </c>
      <c r="U3" s="153" t="s">
        <v>804</v>
      </c>
    </row>
    <row r="4" customFormat="false" ht="16" hidden="false" customHeight="false" outlineLevel="0" collapsed="false">
      <c r="A4" s="165"/>
      <c r="B4" s="165"/>
      <c r="C4" s="165"/>
      <c r="D4" s="165" t="s">
        <v>59</v>
      </c>
      <c r="E4" s="165"/>
      <c r="F4" s="178" t="n">
        <f aca="false">SUBTOTAL(109,F$15:INDEX(F:F,COUNTA($B:$B)+14-COUNTA($B$1:$B$14)))</f>
        <v>0</v>
      </c>
      <c r="H4" s="273" t="n">
        <f aca="false">SUBTOTAL(109,H$15:INDEX(H:H,COUNTA($B:$B)+14-COUNTA($B$1:$B$14)))</f>
        <v>0</v>
      </c>
      <c r="I4" s="182" t="n">
        <f aca="false">SUBTOTAL(109,I$15:INDEX(I:I,COUNTA($B:$B)+14-COUNTA($B$1:$B$14)))</f>
        <v>0</v>
      </c>
      <c r="J4" s="177"/>
      <c r="K4" s="177"/>
      <c r="L4" s="177"/>
      <c r="M4" s="177"/>
      <c r="N4" s="177"/>
      <c r="O4" s="175" t="n">
        <f aca="false">SUBTOTAL(109,O$15:INDEX(O:O,COUNTA($B:$B)+14-COUNTA($B$1:$B$14)))</f>
        <v>0</v>
      </c>
      <c r="P4" s="175" t="n">
        <f aca="false">SUBTOTAL(109,P$15:INDEX(P:P,COUNTA($B:$B)+14-COUNTA($B$1:$B$14)))</f>
        <v>0</v>
      </c>
      <c r="Q4" s="175" t="n">
        <f aca="false">SUBTOTAL(109,Q$15:INDEX(Q:Q,COUNTA($B:$B)+14-COUNTA($B$1:$B$14)))</f>
        <v>0</v>
      </c>
      <c r="R4" s="175" t="n">
        <f aca="false">SUBTOTAL(109,R$15:INDEX(R:R,COUNTA($B:$B)+14-COUNTA($B$1:$B$14)))</f>
        <v>0</v>
      </c>
      <c r="S4" s="175" t="n">
        <f aca="false">SUBTOTAL(109,S$15:INDEX(S:S,COUNTA($B:$B)+14-COUNTA($B$1:$B$14)))</f>
        <v>0</v>
      </c>
      <c r="T4" s="176"/>
      <c r="U4" s="175" t="n">
        <f aca="false">SUBTOTAL(109,U$15:INDEX(U:U,COUNTA($B:$B)+14-COUNTA($B$1:$B$14)))</f>
        <v>0</v>
      </c>
    </row>
    <row r="5" customFormat="false" ht="16" hidden="false" customHeight="false" outlineLevel="0" collapsed="false">
      <c r="A5" s="81" t="s">
        <v>60</v>
      </c>
      <c r="B5" s="81" t="s">
        <v>60</v>
      </c>
      <c r="C5" s="81" t="s">
        <v>60</v>
      </c>
      <c r="D5" s="81" t="s">
        <v>60</v>
      </c>
      <c r="E5" s="81" t="s">
        <v>60</v>
      </c>
      <c r="F5" s="273" t="s">
        <v>60</v>
      </c>
      <c r="G5" s="273" t="s">
        <v>60</v>
      </c>
      <c r="H5" s="273" t="s">
        <v>169</v>
      </c>
      <c r="I5" s="273" t="s">
        <v>169</v>
      </c>
      <c r="J5" s="92" t="s">
        <v>60</v>
      </c>
      <c r="K5" s="92" t="s">
        <v>60</v>
      </c>
      <c r="L5" s="92" t="s">
        <v>60</v>
      </c>
      <c r="M5" s="92" t="s">
        <v>60</v>
      </c>
      <c r="N5" s="92" t="s">
        <v>60</v>
      </c>
      <c r="O5" s="79" t="s">
        <v>60</v>
      </c>
      <c r="P5" s="79" t="s">
        <v>169</v>
      </c>
      <c r="Q5" s="79" t="s">
        <v>169</v>
      </c>
      <c r="R5" s="79" t="s">
        <v>169</v>
      </c>
      <c r="S5" s="79" t="s">
        <v>169</v>
      </c>
      <c r="T5" s="91" t="s">
        <v>60</v>
      </c>
      <c r="U5" s="79" t="s">
        <v>169</v>
      </c>
    </row>
    <row r="6" customFormat="false" ht="16" hidden="false" customHeight="false" outlineLevel="0" collapsed="false">
      <c r="A6" s="81" t="s">
        <v>62</v>
      </c>
      <c r="B6" s="81" t="s">
        <v>62</v>
      </c>
      <c r="C6" s="81" t="s">
        <v>62</v>
      </c>
      <c r="D6" s="81" t="s">
        <v>62</v>
      </c>
      <c r="E6" s="81" t="s">
        <v>62</v>
      </c>
      <c r="F6" s="273" t="s">
        <v>65</v>
      </c>
      <c r="G6" s="273" t="s">
        <v>172</v>
      </c>
      <c r="H6" s="273" t="s">
        <v>63</v>
      </c>
      <c r="I6" s="273" t="s">
        <v>63</v>
      </c>
      <c r="J6" s="92" t="s">
        <v>171</v>
      </c>
      <c r="K6" s="92" t="s">
        <v>171</v>
      </c>
      <c r="L6" s="92" t="s">
        <v>171</v>
      </c>
      <c r="M6" s="92" t="s">
        <v>171</v>
      </c>
      <c r="N6" s="92" t="s">
        <v>171</v>
      </c>
      <c r="O6" s="79" t="s">
        <v>65</v>
      </c>
      <c r="P6" s="79" t="s">
        <v>64</v>
      </c>
      <c r="Q6" s="79" t="s">
        <v>64</v>
      </c>
      <c r="R6" s="79" t="s">
        <v>64</v>
      </c>
      <c r="S6" s="79" t="s">
        <v>64</v>
      </c>
      <c r="T6" s="91" t="s">
        <v>171</v>
      </c>
      <c r="U6" s="79" t="s">
        <v>64</v>
      </c>
    </row>
    <row r="7" customFormat="false" ht="16" hidden="false" customHeight="false" outlineLevel="0" collapsed="false">
      <c r="A7" s="81" t="s">
        <v>66</v>
      </c>
      <c r="B7" s="81" t="s">
        <v>66</v>
      </c>
      <c r="C7" s="81" t="s">
        <v>66</v>
      </c>
      <c r="D7" s="81" t="s">
        <v>66</v>
      </c>
      <c r="E7" s="81" t="s">
        <v>66</v>
      </c>
      <c r="F7" s="273" t="s">
        <v>67</v>
      </c>
      <c r="G7" s="273" t="s">
        <v>66</v>
      </c>
      <c r="H7" s="273" t="s">
        <v>67</v>
      </c>
      <c r="I7" s="78" t="s">
        <v>67</v>
      </c>
      <c r="J7" s="92" t="s">
        <v>173</v>
      </c>
      <c r="K7" s="92" t="s">
        <v>173</v>
      </c>
      <c r="L7" s="92" t="s">
        <v>173</v>
      </c>
      <c r="M7" s="92" t="s">
        <v>173</v>
      </c>
      <c r="N7" s="92" t="s">
        <v>173</v>
      </c>
      <c r="O7" s="79" t="s">
        <v>67</v>
      </c>
      <c r="P7" s="79" t="s">
        <v>67</v>
      </c>
      <c r="Q7" s="79" t="s">
        <v>67</v>
      </c>
      <c r="R7" s="79" t="s">
        <v>67</v>
      </c>
      <c r="S7" s="79" t="s">
        <v>67</v>
      </c>
      <c r="T7" s="91" t="s">
        <v>173</v>
      </c>
      <c r="U7" s="79" t="s">
        <v>67</v>
      </c>
    </row>
    <row r="8" customFormat="false" ht="16" hidden="false" customHeight="false" outlineLevel="0" collapsed="false">
      <c r="F8" s="273" t="s">
        <v>175</v>
      </c>
      <c r="H8" s="277" t="s">
        <v>805</v>
      </c>
      <c r="I8" s="278" t="s">
        <v>806</v>
      </c>
      <c r="P8" s="279" t="s">
        <v>807</v>
      </c>
      <c r="Q8" s="279" t="s">
        <v>808</v>
      </c>
      <c r="R8" s="79" t="s">
        <v>809</v>
      </c>
      <c r="S8" s="79" t="s">
        <v>809</v>
      </c>
      <c r="U8" s="79" t="s">
        <v>810</v>
      </c>
    </row>
    <row r="9" customFormat="false" ht="16" hidden="false" customHeight="false" outlineLevel="0" collapsed="false">
      <c r="H9" s="277" t="s">
        <v>811</v>
      </c>
      <c r="I9" s="278" t="s">
        <v>812</v>
      </c>
      <c r="P9" s="279" t="s">
        <v>813</v>
      </c>
      <c r="Q9" s="279" t="s">
        <v>814</v>
      </c>
      <c r="R9" s="79" t="s">
        <v>815</v>
      </c>
      <c r="S9" s="79" t="s">
        <v>815</v>
      </c>
      <c r="U9" s="79" t="s">
        <v>816</v>
      </c>
    </row>
    <row r="10" customFormat="false" ht="16" hidden="false" customHeight="false" outlineLevel="0" collapsed="false">
      <c r="F10" s="273" t="s">
        <v>193</v>
      </c>
      <c r="H10" s="273"/>
      <c r="R10" s="79" t="s">
        <v>817</v>
      </c>
      <c r="S10" s="79" t="s">
        <v>818</v>
      </c>
    </row>
    <row r="11" customFormat="false" ht="16" hidden="false" customHeight="false" outlineLevel="0" collapsed="false">
      <c r="F11" s="273" t="s">
        <v>819</v>
      </c>
      <c r="H11" s="273" t="s">
        <v>819</v>
      </c>
      <c r="I11" s="78" t="s">
        <v>819</v>
      </c>
      <c r="J11" s="78" t="s">
        <v>819</v>
      </c>
      <c r="K11" s="78" t="s">
        <v>820</v>
      </c>
      <c r="L11" s="78" t="s">
        <v>821</v>
      </c>
      <c r="M11" s="78" t="s">
        <v>819</v>
      </c>
      <c r="N11" s="92" t="s">
        <v>819</v>
      </c>
      <c r="O11" s="79" t="s">
        <v>819</v>
      </c>
      <c r="P11" s="79" t="s">
        <v>820</v>
      </c>
      <c r="Q11" s="79" t="s">
        <v>821</v>
      </c>
      <c r="R11" s="79" t="s">
        <v>819</v>
      </c>
      <c r="S11" s="79" t="s">
        <v>819</v>
      </c>
      <c r="T11" s="91" t="s">
        <v>822</v>
      </c>
      <c r="U11" s="79" t="s">
        <v>822</v>
      </c>
    </row>
    <row r="12" customFormat="false" ht="16" hidden="false" customHeight="false" outlineLevel="0" collapsed="false">
      <c r="F12" s="273" t="s">
        <v>200</v>
      </c>
      <c r="H12" s="273" t="s">
        <v>200</v>
      </c>
      <c r="I12" s="78" t="s">
        <v>200</v>
      </c>
      <c r="J12" s="78" t="s">
        <v>200</v>
      </c>
      <c r="K12" s="78" t="s">
        <v>201</v>
      </c>
      <c r="L12" s="78" t="s">
        <v>200</v>
      </c>
      <c r="M12" s="78" t="s">
        <v>200</v>
      </c>
      <c r="N12" s="92" t="s">
        <v>200</v>
      </c>
      <c r="O12" s="79" t="s">
        <v>200</v>
      </c>
      <c r="P12" s="79" t="s">
        <v>201</v>
      </c>
      <c r="Q12" s="79" t="s">
        <v>200</v>
      </c>
      <c r="R12" s="79" t="s">
        <v>200</v>
      </c>
      <c r="S12" s="79" t="s">
        <v>200</v>
      </c>
      <c r="T12" s="91" t="s">
        <v>200</v>
      </c>
      <c r="U12" s="79" t="s">
        <v>200</v>
      </c>
    </row>
    <row r="13" customFormat="false" ht="16" hidden="false" customHeight="false" outlineLevel="0" collapsed="false">
      <c r="H13" s="273"/>
    </row>
    <row r="14" customFormat="false" ht="16" hidden="false" customHeight="false" outlineLevel="0" collapsed="false">
      <c r="A14" s="75" t="s">
        <v>69</v>
      </c>
      <c r="B14" s="75" t="s">
        <v>70</v>
      </c>
      <c r="C14" s="75" t="s">
        <v>203</v>
      </c>
      <c r="D14" s="75" t="s">
        <v>204</v>
      </c>
      <c r="E14" s="75" t="s">
        <v>40</v>
      </c>
      <c r="F14" s="199" t="s">
        <v>207</v>
      </c>
      <c r="G14" s="280" t="s">
        <v>823</v>
      </c>
      <c r="H14" s="199" t="s">
        <v>824</v>
      </c>
      <c r="I14" s="190" t="s">
        <v>825</v>
      </c>
      <c r="J14" s="190" t="s">
        <v>826</v>
      </c>
      <c r="K14" s="190" t="s">
        <v>827</v>
      </c>
      <c r="L14" s="190" t="s">
        <v>828</v>
      </c>
      <c r="M14" s="190" t="s">
        <v>829</v>
      </c>
      <c r="N14" s="190" t="s">
        <v>830</v>
      </c>
      <c r="O14" s="187" t="s">
        <v>831</v>
      </c>
      <c r="P14" s="187" t="s">
        <v>832</v>
      </c>
      <c r="Q14" s="187" t="s">
        <v>833</v>
      </c>
      <c r="R14" s="187" t="s">
        <v>834</v>
      </c>
      <c r="S14" s="187" t="s">
        <v>835</v>
      </c>
      <c r="T14" s="251" t="s">
        <v>836</v>
      </c>
      <c r="U14" s="187" t="s">
        <v>837</v>
      </c>
    </row>
    <row r="15" customFormat="false" ht="16" hidden="false" customHeight="false" outlineLevel="0" collapsed="false">
      <c r="E15" s="81" t="str">
        <f aca="false">B15&amp;"|"&amp;C15&amp;"|"&amp;D15</f>
        <v>||</v>
      </c>
      <c r="F15" s="78" t="str">
        <f aca="false">_xlfn.IFNA(INDEX(Cascade!$F:$F,MATCH($E15,Cascade!$E:$E,0)),"")</f>
        <v/>
      </c>
      <c r="J15" s="92" t="str">
        <f aca="false">IF(SUM($I15)&lt;=0,"",0%)</f>
        <v/>
      </c>
      <c r="M15" s="92" t="n">
        <f aca="false">1-IF(NOT(AND($D15="Female",OR($C15="10-14",$C15="15-17"))),0,$K15)-IF(NOT(OR($C15="05-09",$C15="10-14")),0,$L15)</f>
        <v>1</v>
      </c>
      <c r="N15" s="92" t="n">
        <f aca="false">20%</f>
        <v>0.2</v>
      </c>
      <c r="O15" s="79" t="str">
        <f aca="false">IF(SUM($I15)&lt;=0,"",ROUND($I15*(1+$J15),0))</f>
        <v/>
      </c>
      <c r="P15" s="79" t="str">
        <f aca="false">IF(OR(AND(SUM($K15)=0,SUM($O15)&lt;=0),NOT(AND($D15="Female",$G15="Y",OR($C15="10-14",$C15="15-17")))),"",ROUND($O15*$K15,0))</f>
        <v/>
      </c>
      <c r="Q15" s="79" t="str">
        <f aca="false">IF(OR(AND(SUM($L15)=0,SUM($O15)&lt;=0),NOT(OR($C15="10-14",$C15="05-09"))),"",ROUND($O15*$L15,0))</f>
        <v/>
      </c>
      <c r="R15" s="79" t="str">
        <f aca="false">IF(SUM($O15)&lt;=0,"",ROUND($O15*$M15*$N15,0))</f>
        <v/>
      </c>
      <c r="S15" s="79" t="str">
        <f aca="false">IF(SUM($O15)&lt;=0,"",($O15*$M15)-$R15)</f>
        <v/>
      </c>
      <c r="T15" s="91" t="str">
        <f aca="false">IF(OR($C15="18+",$C15="18-20",SUM($O15)&lt;=0),"",100%)</f>
        <v/>
      </c>
      <c r="U15" s="94" t="str">
        <f aca="false">IF(OR($C15="18+",$C15="18-20",(SUM($R15)+SUM($S15))=0),"",ROUND(SUM($R15,$S15)*$T15,0))</f>
        <v/>
      </c>
    </row>
  </sheetData>
  <conditionalFormatting sqref="T1:U1048576">
    <cfRule type="expression" priority="2" aboveAverage="0" equalAverage="0" bottom="0" percent="0" rank="0" text="" dxfId="0">
      <formula>OR($C1="18-20",$C1="18+")</formula>
    </cfRule>
  </conditionalFormatting>
  <conditionalFormatting sqref="T1:T1048576">
    <cfRule type="expression" priority="3" aboveAverage="0" equalAverage="0" bottom="0" percent="0" rank="0" text="" dxfId="1">
      <formula>AND(ISNUMBER($T1),ROW($T1)&gt;14,SUM($O1)&gt;0,ROUND(SUM($T1),2)&gt;1)</formula>
    </cfRule>
    <cfRule type="expression" priority="4" aboveAverage="0" equalAverage="0" bottom="0" percent="0" rank="0" text="" dxfId="2">
      <formula>AND(ISNUMBER($T1),ROW($T1)&gt;14,SUM($O1)&gt;0,ROUND(SUM($T1),2)&lt;1)</formula>
    </cfRule>
  </conditionalFormatting>
  <conditionalFormatting sqref="N1:N1048576">
    <cfRule type="expression" priority="5" aboveAverage="0" equalAverage="0" bottom="0" percent="0" rank="0" text="" dxfId="3">
      <formula>AND(ISNUMBER($N1),ROW($N1)&gt;14,(SUM($I1)*(1+SUM($J1))*SUM($M1))&gt;0,ROUND(SUM($N1),2)&lt;20%)</formula>
    </cfRule>
  </conditionalFormatting>
  <conditionalFormatting sqref="K1:K1048576 P1:P1048576">
    <cfRule type="expression" priority="6" aboveAverage="0" equalAverage="0" bottom="0" percent="0" rank="0" text="" dxfId="4">
      <formula>AND($B1&lt;&gt;"",ROW(K1)&gt;14,NOT(AND($D1="Female",$G1="Y",OR($C1="10-14",$C1="15-17"))))</formula>
    </cfRule>
  </conditionalFormatting>
  <conditionalFormatting sqref="Q1:Q1048576 L1:L1048576">
    <cfRule type="expression" priority="7" aboveAverage="0" equalAverage="0" bottom="0" percent="0" rank="0" text="" dxfId="5">
      <formula>AND($E1&lt;&gt;"",ROW(L1)&gt;14,NOT(OR($C1="05-09",$C1="10-14")))</formula>
    </cfRule>
  </conditionalFormatting>
  <conditionalFormatting sqref="M1:N1048576">
    <cfRule type="expression" priority="8" aboveAverage="0" equalAverage="0" bottom="0" percent="0" rank="0" text="" dxfId="6">
      <formula>AND(ROW(M1)&gt;14,ISNUMBER(M1),OR(M1&gt;1,M1&lt;0))</formula>
    </cfRule>
  </conditionalFormatting>
  <conditionalFormatting sqref="F1:F1048576">
    <cfRule type="expression" priority="9" aboveAverage="0" equalAverage="0" bottom="0" percent="0" rank="0" text="" dxfId="7">
      <formula>AND(ROW(F1)&gt;14,LEFT(B1,4)="_Mil")</formula>
    </cfRule>
  </conditionalFormatting>
  <hyperlinks>
    <hyperlink ref="F3" location="Cascade!F:F" display="Host Country Est. PLHIV (FY2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4" topLeftCell="C15" activePane="bottomRight" state="frozen"/>
      <selection pane="topLeft" activeCell="A1" activeCellId="0" sqref="A1"/>
      <selection pane="topRight" activeCell="C1" activeCellId="0" sqref="C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52.33"/>
    <col collapsed="false" customWidth="true" hidden="false" outlineLevel="0" max="4" min="3" style="78" width="11.83"/>
    <col collapsed="false" customWidth="true" hidden="false" outlineLevel="0" max="6" min="5" style="92" width="11.83"/>
    <col collapsed="false" customWidth="true" hidden="false" outlineLevel="0" max="8" min="7" style="79" width="11.83"/>
    <col collapsed="false" customWidth="true" hidden="false" outlineLevel="0" max="1025" min="9" style="25" width="10.83"/>
  </cols>
  <sheetData>
    <row r="1" s="283" customFormat="true" ht="31" hidden="false" customHeight="true" outlineLevel="0" collapsed="false">
      <c r="A1" s="281" t="s">
        <v>838</v>
      </c>
      <c r="B1" s="281"/>
      <c r="C1" s="275" t="s">
        <v>839</v>
      </c>
      <c r="D1" s="275"/>
      <c r="E1" s="282"/>
      <c r="F1" s="282"/>
      <c r="G1" s="275"/>
      <c r="H1" s="275"/>
    </row>
    <row r="2" s="285" customFormat="true" ht="19" hidden="false" customHeight="false" outlineLevel="0" collapsed="false">
      <c r="A2" s="284"/>
      <c r="B2" s="284"/>
      <c r="C2" s="136" t="s">
        <v>54</v>
      </c>
      <c r="D2" s="136"/>
      <c r="E2" s="131" t="s">
        <v>100</v>
      </c>
      <c r="F2" s="131"/>
      <c r="G2" s="126" t="s">
        <v>55</v>
      </c>
      <c r="H2" s="126"/>
    </row>
    <row r="3" customFormat="false" ht="117" hidden="false" customHeight="true" outlineLevel="0" collapsed="false">
      <c r="C3" s="161" t="s">
        <v>840</v>
      </c>
      <c r="D3" s="161" t="s">
        <v>841</v>
      </c>
      <c r="E3" s="155" t="s">
        <v>842</v>
      </c>
      <c r="F3" s="155" t="s">
        <v>843</v>
      </c>
      <c r="G3" s="153" t="s">
        <v>844</v>
      </c>
      <c r="H3" s="153" t="s">
        <v>845</v>
      </c>
    </row>
    <row r="4" customFormat="false" ht="16" hidden="false" customHeight="false" outlineLevel="0" collapsed="false">
      <c r="A4" s="165"/>
      <c r="B4" s="165" t="s">
        <v>59</v>
      </c>
      <c r="C4" s="78" t="n">
        <f aca="false">SUBTOTAL(109,C$15:INDEX(C:C,COUNTA($B:$B)+14-COUNTA($B$1:$B$14)))</f>
        <v>0</v>
      </c>
      <c r="D4" s="78" t="n">
        <f aca="false">SUBTOTAL(109,D$15:INDEX(D:D,COUNTA($B:$B)+14-COUNTA($B$1:$B$14)))</f>
        <v>0</v>
      </c>
      <c r="G4" s="79" t="n">
        <f aca="false">SUBTOTAL(109,G$15:INDEX(G:G,COUNTA($B:$B)+14-COUNTA($B$1:$B$14)))</f>
        <v>0</v>
      </c>
      <c r="H4" s="79" t="n">
        <f aca="false">SUBTOTAL(109,H$15:INDEX(H:H,COUNTA($B:$B)+14-COUNTA($B$1:$B$14)))</f>
        <v>0</v>
      </c>
    </row>
    <row r="5" customFormat="false" ht="16" hidden="false" customHeight="false" outlineLevel="0" collapsed="false">
      <c r="A5" s="165" t="s">
        <v>60</v>
      </c>
      <c r="B5" s="165" t="s">
        <v>60</v>
      </c>
      <c r="C5" s="78" t="s">
        <v>169</v>
      </c>
      <c r="D5" s="78" t="s">
        <v>169</v>
      </c>
      <c r="E5" s="92" t="s">
        <v>60</v>
      </c>
      <c r="F5" s="92" t="s">
        <v>60</v>
      </c>
      <c r="G5" s="79" t="s">
        <v>169</v>
      </c>
      <c r="H5" s="79" t="s">
        <v>169</v>
      </c>
    </row>
    <row r="6" customFormat="false" ht="16" hidden="false" customHeight="false" outlineLevel="0" collapsed="false">
      <c r="A6" s="165" t="s">
        <v>62</v>
      </c>
      <c r="B6" s="165" t="s">
        <v>62</v>
      </c>
      <c r="C6" s="78" t="s">
        <v>63</v>
      </c>
      <c r="D6" s="78" t="s">
        <v>63</v>
      </c>
      <c r="E6" s="92" t="s">
        <v>171</v>
      </c>
      <c r="F6" s="92" t="s">
        <v>171</v>
      </c>
      <c r="G6" s="79" t="s">
        <v>64</v>
      </c>
      <c r="H6" s="79" t="s">
        <v>64</v>
      </c>
    </row>
    <row r="7" customFormat="false" ht="16" hidden="false" customHeight="false" outlineLevel="0" collapsed="false">
      <c r="A7" s="165" t="s">
        <v>66</v>
      </c>
      <c r="B7" s="165" t="s">
        <v>66</v>
      </c>
      <c r="C7" s="78" t="s">
        <v>67</v>
      </c>
      <c r="D7" s="78" t="s">
        <v>67</v>
      </c>
      <c r="E7" s="92" t="s">
        <v>173</v>
      </c>
      <c r="F7" s="92" t="s">
        <v>173</v>
      </c>
      <c r="G7" s="79" t="s">
        <v>67</v>
      </c>
      <c r="H7" s="79" t="s">
        <v>67</v>
      </c>
    </row>
    <row r="8" customFormat="false" ht="16" hidden="false" customHeight="false" outlineLevel="0" collapsed="false">
      <c r="A8" s="165"/>
      <c r="B8" s="165"/>
      <c r="C8" s="78" t="s">
        <v>846</v>
      </c>
      <c r="D8" s="78" t="s">
        <v>846</v>
      </c>
      <c r="G8" s="79" t="s">
        <v>846</v>
      </c>
      <c r="H8" s="79" t="s">
        <v>846</v>
      </c>
    </row>
    <row r="9" customFormat="false" ht="16" hidden="false" customHeight="false" outlineLevel="0" collapsed="false">
      <c r="A9" s="165"/>
      <c r="B9" s="165"/>
      <c r="C9" s="78" t="s">
        <v>847</v>
      </c>
      <c r="D9" s="78" t="s">
        <v>847</v>
      </c>
      <c r="G9" s="79" t="s">
        <v>847</v>
      </c>
      <c r="H9" s="79" t="s">
        <v>847</v>
      </c>
    </row>
    <row r="10" customFormat="false" ht="16" hidden="false" customHeight="false" outlineLevel="0" collapsed="false">
      <c r="A10" s="165"/>
      <c r="B10" s="165"/>
      <c r="C10" s="78" t="s">
        <v>848</v>
      </c>
      <c r="D10" s="78" t="s">
        <v>849</v>
      </c>
      <c r="G10" s="79" t="s">
        <v>848</v>
      </c>
      <c r="H10" s="79" t="s">
        <v>849</v>
      </c>
    </row>
    <row r="11" customFormat="false" ht="16" hidden="false" customHeight="false" outlineLevel="0" collapsed="false">
      <c r="A11" s="165"/>
      <c r="B11" s="165"/>
    </row>
    <row r="12" customFormat="false" ht="16" hidden="false" customHeight="false" outlineLevel="0" collapsed="false">
      <c r="A12" s="165"/>
      <c r="B12" s="165"/>
    </row>
    <row r="13" customFormat="false" ht="16" hidden="false" customHeight="false" outlineLevel="0" collapsed="false">
      <c r="A13" s="165"/>
      <c r="B13" s="165"/>
    </row>
    <row r="14" customFormat="false" ht="16" hidden="false" customHeight="false" outlineLevel="0" collapsed="false">
      <c r="A14" s="75" t="s">
        <v>69</v>
      </c>
      <c r="B14" s="75" t="s">
        <v>70</v>
      </c>
      <c r="C14" s="190" t="s">
        <v>850</v>
      </c>
      <c r="D14" s="206" t="s">
        <v>851</v>
      </c>
      <c r="E14" s="206" t="s">
        <v>852</v>
      </c>
      <c r="F14" s="206" t="s">
        <v>853</v>
      </c>
      <c r="G14" s="253" t="s">
        <v>854</v>
      </c>
      <c r="H14" s="253" t="s">
        <v>855</v>
      </c>
    </row>
    <row r="15" customFormat="false" ht="16" hidden="false" customHeight="false" outlineLevel="0" collapsed="false">
      <c r="E15" s="92" t="str">
        <f aca="false">IF(SUM($C15)&lt;=0,"",0%)</f>
        <v/>
      </c>
      <c r="F15" s="92" t="str">
        <f aca="false">IF(SUM($D15)&lt;=0,"",0%)</f>
        <v/>
      </c>
      <c r="G15" s="79" t="str">
        <f aca="false">IF(SUM($C15)&lt;=0,"",ROUND($C15*(1+$E15),0))</f>
        <v/>
      </c>
      <c r="H15" s="79" t="str">
        <f aca="false">IF(SUM($D15)&lt;=0,"",ROUND($D15*(1+$F15),0))</f>
        <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V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81" width="10.83"/>
    <col collapsed="false" customWidth="true" hidden="false" outlineLevel="0" max="4" min="4" style="81" width="7.84"/>
    <col collapsed="false" customWidth="true" hidden="true" outlineLevel="0" max="5" min="5" style="81" width="7.33"/>
    <col collapsed="false" customWidth="true" hidden="false" outlineLevel="0" max="17" min="6" style="78" width="11.83"/>
    <col collapsed="false" customWidth="true" hidden="false" outlineLevel="0" max="20" min="18" style="92" width="11.83"/>
    <col collapsed="false" customWidth="true" hidden="false" outlineLevel="0" max="22" min="21" style="79" width="12.67"/>
    <col collapsed="false" customWidth="true" hidden="false" outlineLevel="0" max="1025" min="23" style="25" width="10.83"/>
  </cols>
  <sheetData>
    <row r="1" s="62" customFormat="true" ht="31" hidden="false" customHeight="true" outlineLevel="0" collapsed="false">
      <c r="A1" s="97" t="s">
        <v>856</v>
      </c>
      <c r="B1" s="97"/>
      <c r="C1" s="97"/>
      <c r="D1" s="97"/>
      <c r="E1" s="97"/>
      <c r="F1" s="108" t="s">
        <v>857</v>
      </c>
      <c r="G1" s="100"/>
      <c r="H1" s="109"/>
      <c r="I1" s="109"/>
      <c r="J1" s="109"/>
      <c r="K1" s="109"/>
      <c r="L1" s="109"/>
      <c r="M1" s="100"/>
      <c r="N1" s="100"/>
      <c r="O1" s="100"/>
      <c r="P1" s="100"/>
      <c r="Q1" s="100"/>
      <c r="R1" s="218"/>
      <c r="S1" s="218"/>
      <c r="T1" s="218"/>
      <c r="U1" s="100"/>
      <c r="V1" s="100"/>
    </row>
    <row r="2" s="137" customFormat="true" ht="19" hidden="false" customHeight="false" outlineLevel="0" collapsed="false">
      <c r="A2" s="118"/>
      <c r="B2" s="118"/>
      <c r="C2" s="118"/>
      <c r="D2" s="118"/>
      <c r="E2" s="118"/>
      <c r="F2" s="223" t="s">
        <v>54</v>
      </c>
      <c r="G2" s="136"/>
      <c r="H2" s="224"/>
      <c r="I2" s="224"/>
      <c r="J2" s="224"/>
      <c r="K2" s="224"/>
      <c r="L2" s="224"/>
      <c r="M2" s="136"/>
      <c r="N2" s="126"/>
      <c r="O2" s="126"/>
      <c r="P2" s="126"/>
      <c r="Q2" s="126"/>
      <c r="R2" s="286"/>
      <c r="S2" s="131" t="s">
        <v>100</v>
      </c>
      <c r="T2" s="286"/>
      <c r="U2" s="126" t="s">
        <v>55</v>
      </c>
      <c r="V2" s="126"/>
    </row>
    <row r="3" customFormat="false" ht="117" hidden="false" customHeight="true" outlineLevel="0" collapsed="false">
      <c r="A3" s="138"/>
      <c r="B3" s="138"/>
      <c r="C3" s="138"/>
      <c r="D3" s="138"/>
      <c r="E3" s="138"/>
      <c r="F3" s="225" t="s">
        <v>282</v>
      </c>
      <c r="G3" s="287" t="s">
        <v>858</v>
      </c>
      <c r="H3" s="225" t="s">
        <v>859</v>
      </c>
      <c r="I3" s="225" t="s">
        <v>860</v>
      </c>
      <c r="J3" s="225" t="s">
        <v>861</v>
      </c>
      <c r="K3" s="225" t="s">
        <v>862</v>
      </c>
      <c r="L3" s="225" t="s">
        <v>863</v>
      </c>
      <c r="M3" s="161" t="s">
        <v>864</v>
      </c>
      <c r="N3" s="161" t="s">
        <v>865</v>
      </c>
      <c r="O3" s="161" t="s">
        <v>866</v>
      </c>
      <c r="P3" s="161" t="s">
        <v>867</v>
      </c>
      <c r="Q3" s="161" t="s">
        <v>868</v>
      </c>
      <c r="R3" s="164" t="s">
        <v>869</v>
      </c>
      <c r="S3" s="155" t="s">
        <v>870</v>
      </c>
      <c r="T3" s="155" t="s">
        <v>871</v>
      </c>
      <c r="U3" s="153" t="s">
        <v>872</v>
      </c>
      <c r="V3" s="153" t="s">
        <v>873</v>
      </c>
    </row>
    <row r="4" customFormat="false" ht="16" hidden="false" customHeight="false" outlineLevel="0" collapsed="false">
      <c r="A4" s="165"/>
      <c r="B4" s="165"/>
      <c r="C4" s="165"/>
      <c r="D4" s="165" t="s">
        <v>59</v>
      </c>
      <c r="E4" s="165"/>
      <c r="F4" s="182" t="n">
        <f aca="false">SUBTOTAL(109,F$15:INDEX(F:F,COUNTA($B:$B)+14-COUNTA($B$1:$B$14)))</f>
        <v>0</v>
      </c>
      <c r="G4" s="182" t="n">
        <f aca="false">SUBTOTAL(109,G$15:INDEX(G:G,COUNTA($B:$B)+14-COUNTA($B$1:$B$14)))</f>
        <v>0</v>
      </c>
      <c r="H4" s="182" t="n">
        <f aca="false">SUBTOTAL(109,H$15:INDEX(H:H,COUNTA($B:$B)+14-COUNTA($B$1:$B$14)))</f>
        <v>0</v>
      </c>
      <c r="I4" s="182" t="n">
        <f aca="false">SUBTOTAL(109,I$15:INDEX(I:I,COUNTA($B:$B)+14-COUNTA($B$1:$B$14)))</f>
        <v>0</v>
      </c>
      <c r="J4" s="182" t="n">
        <f aca="false">SUBTOTAL(109,J$15:INDEX(J:J,COUNTA($B:$B)+14-COUNTA($B$1:$B$14)))</f>
        <v>0</v>
      </c>
      <c r="K4" s="182" t="n">
        <f aca="false">SUBTOTAL(109,K$15:INDEX(K:K,COUNTA($B:$B)+14-COUNTA($B$1:$B$14)))</f>
        <v>0</v>
      </c>
      <c r="L4" s="182" t="n">
        <f aca="false">SUBTOTAL(109,L$15:INDEX(L:L,COUNTA($B:$B)+14-COUNTA($B$1:$B$14)))</f>
        <v>0</v>
      </c>
      <c r="M4" s="182" t="n">
        <f aca="false">SUBTOTAL(109,M$15:INDEX(M:M,COUNTA($B:$B)+14-COUNTA($B$1:$B$14)))</f>
        <v>0</v>
      </c>
      <c r="N4" s="182" t="n">
        <f aca="false">SUBTOTAL(109,N$15:INDEX(N:N,COUNTA($B:$B)+14-COUNTA($B$1:$B$14)))</f>
        <v>0</v>
      </c>
      <c r="O4" s="182" t="n">
        <f aca="false">SUBTOTAL(109,O$15:INDEX(O:O,COUNTA($B:$B)+14-COUNTA($B$1:$B$14)))</f>
        <v>0</v>
      </c>
      <c r="P4" s="182" t="n">
        <f aca="false">SUBTOTAL(109,P$15:INDEX(P:P,COUNTA($B:$B)+14-COUNTA($B$1:$B$14)))</f>
        <v>0</v>
      </c>
      <c r="Q4" s="182" t="n">
        <f aca="false">SUBTOTAL(109,Q$15:INDEX(Q:Q,COUNTA($B:$B)+14-COUNTA($B$1:$B$14)))</f>
        <v>0</v>
      </c>
      <c r="R4" s="177"/>
      <c r="S4" s="177"/>
      <c r="T4" s="177"/>
      <c r="U4" s="175" t="n">
        <f aca="false">SUBTOTAL(109,U$15:INDEX(U:U,COUNTA($B:$B)+14-COUNTA($B$1:$B$14)))</f>
        <v>0</v>
      </c>
      <c r="V4" s="175" t="n">
        <f aca="false">SUBTOTAL(109,V$15:INDEX(V:V,COUNTA($B:$B)+14-COUNTA($B$1:$B$14)))</f>
        <v>0</v>
      </c>
    </row>
    <row r="5" customFormat="false" ht="16" hidden="false" customHeight="false" outlineLevel="0" collapsed="false">
      <c r="A5" s="81" t="s">
        <v>60</v>
      </c>
      <c r="B5" s="81" t="s">
        <v>60</v>
      </c>
      <c r="C5" s="81" t="s">
        <v>60</v>
      </c>
      <c r="D5" s="81" t="s">
        <v>60</v>
      </c>
      <c r="E5" s="81" t="s">
        <v>60</v>
      </c>
      <c r="F5" s="78" t="s">
        <v>60</v>
      </c>
      <c r="G5" s="78" t="s">
        <v>60</v>
      </c>
      <c r="H5" s="78" t="s">
        <v>60</v>
      </c>
      <c r="I5" s="78" t="s">
        <v>60</v>
      </c>
      <c r="J5" s="78" t="s">
        <v>60</v>
      </c>
      <c r="K5" s="78" t="s">
        <v>60</v>
      </c>
      <c r="L5" s="78" t="s">
        <v>60</v>
      </c>
      <c r="M5" s="78" t="s">
        <v>169</v>
      </c>
      <c r="N5" s="78" t="s">
        <v>169</v>
      </c>
      <c r="O5" s="78" t="s">
        <v>169</v>
      </c>
      <c r="P5" s="78" t="s">
        <v>169</v>
      </c>
      <c r="Q5" s="78" t="s">
        <v>60</v>
      </c>
      <c r="R5" s="92" t="s">
        <v>60</v>
      </c>
      <c r="S5" s="92" t="s">
        <v>60</v>
      </c>
      <c r="T5" s="92" t="s">
        <v>60</v>
      </c>
      <c r="U5" s="79" t="s">
        <v>169</v>
      </c>
      <c r="V5" s="79" t="s">
        <v>169</v>
      </c>
    </row>
    <row r="6" customFormat="false" ht="16" hidden="false" customHeight="false" outlineLevel="0" collapsed="false">
      <c r="A6" s="81" t="s">
        <v>62</v>
      </c>
      <c r="B6" s="81" t="s">
        <v>62</v>
      </c>
      <c r="C6" s="81" t="s">
        <v>62</v>
      </c>
      <c r="D6" s="81" t="s">
        <v>62</v>
      </c>
      <c r="E6" s="81" t="s">
        <v>62</v>
      </c>
      <c r="F6" s="78" t="s">
        <v>65</v>
      </c>
      <c r="G6" s="78" t="s">
        <v>171</v>
      </c>
      <c r="H6" s="78" t="s">
        <v>65</v>
      </c>
      <c r="I6" s="78" t="s">
        <v>65</v>
      </c>
      <c r="J6" s="78" t="s">
        <v>65</v>
      </c>
      <c r="K6" s="78" t="s">
        <v>65</v>
      </c>
      <c r="L6" s="78" t="s">
        <v>65</v>
      </c>
      <c r="M6" s="78" t="s">
        <v>63</v>
      </c>
      <c r="N6" s="78" t="s">
        <v>63</v>
      </c>
      <c r="O6" s="78" t="s">
        <v>63</v>
      </c>
      <c r="P6" s="78" t="s">
        <v>63</v>
      </c>
      <c r="Q6" s="78" t="s">
        <v>65</v>
      </c>
      <c r="R6" s="92" t="s">
        <v>65</v>
      </c>
      <c r="S6" s="92" t="s">
        <v>171</v>
      </c>
      <c r="T6" s="92" t="s">
        <v>171</v>
      </c>
      <c r="U6" s="79" t="s">
        <v>64</v>
      </c>
      <c r="V6" s="79" t="s">
        <v>64</v>
      </c>
    </row>
    <row r="7" customFormat="false" ht="16" hidden="false" customHeight="false" outlineLevel="0" collapsed="false">
      <c r="A7" s="81" t="s">
        <v>66</v>
      </c>
      <c r="B7" s="81" t="s">
        <v>66</v>
      </c>
      <c r="C7" s="81" t="s">
        <v>66</v>
      </c>
      <c r="D7" s="81" t="s">
        <v>66</v>
      </c>
      <c r="E7" s="81" t="s">
        <v>66</v>
      </c>
      <c r="F7" s="78" t="s">
        <v>67</v>
      </c>
      <c r="G7" s="78" t="s">
        <v>67</v>
      </c>
      <c r="H7" s="78" t="s">
        <v>67</v>
      </c>
      <c r="I7" s="78" t="s">
        <v>67</v>
      </c>
      <c r="J7" s="78" t="s">
        <v>67</v>
      </c>
      <c r="K7" s="78" t="s">
        <v>67</v>
      </c>
      <c r="L7" s="78" t="s">
        <v>67</v>
      </c>
      <c r="M7" s="78" t="s">
        <v>67</v>
      </c>
      <c r="N7" s="78" t="s">
        <v>67</v>
      </c>
      <c r="O7" s="78" t="s">
        <v>67</v>
      </c>
      <c r="P7" s="78" t="s">
        <v>67</v>
      </c>
      <c r="Q7" s="78" t="s">
        <v>67</v>
      </c>
      <c r="R7" s="92" t="s">
        <v>173</v>
      </c>
      <c r="S7" s="92" t="s">
        <v>173</v>
      </c>
      <c r="T7" s="92" t="s">
        <v>173</v>
      </c>
      <c r="U7" s="79" t="s">
        <v>67</v>
      </c>
      <c r="V7" s="79" t="s">
        <v>67</v>
      </c>
    </row>
    <row r="8" customFormat="false" ht="16" hidden="false" customHeight="false" outlineLevel="0" collapsed="false">
      <c r="M8" s="288" t="s">
        <v>874</v>
      </c>
      <c r="N8" s="288" t="s">
        <v>875</v>
      </c>
      <c r="O8" s="288" t="s">
        <v>876</v>
      </c>
      <c r="P8" s="288" t="s">
        <v>877</v>
      </c>
      <c r="Q8" s="288"/>
      <c r="R8" s="289"/>
      <c r="U8" s="185" t="s">
        <v>878</v>
      </c>
      <c r="V8" s="185" t="s">
        <v>879</v>
      </c>
    </row>
    <row r="9" customFormat="false" ht="16" hidden="false" customHeight="false" outlineLevel="0" collapsed="false">
      <c r="F9" s="272"/>
      <c r="G9" s="272"/>
      <c r="H9" s="272"/>
      <c r="I9" s="272"/>
      <c r="J9" s="272"/>
      <c r="K9" s="272"/>
      <c r="L9" s="272"/>
      <c r="M9" s="278"/>
      <c r="N9" s="278"/>
      <c r="O9" s="278"/>
      <c r="P9" s="278"/>
      <c r="Q9" s="278"/>
      <c r="R9" s="290"/>
      <c r="U9" s="185"/>
      <c r="V9" s="185"/>
    </row>
    <row r="10" customFormat="false" ht="16" hidden="false" customHeight="false" outlineLevel="0" collapsed="false">
      <c r="F10" s="272"/>
      <c r="G10" s="272"/>
      <c r="H10" s="272"/>
      <c r="I10" s="272"/>
      <c r="J10" s="272"/>
      <c r="K10" s="272"/>
      <c r="L10" s="272"/>
      <c r="M10" s="288"/>
      <c r="N10" s="288"/>
      <c r="O10" s="288"/>
      <c r="P10" s="288"/>
      <c r="Q10" s="288"/>
      <c r="R10" s="289"/>
      <c r="U10" s="185" t="s">
        <v>880</v>
      </c>
      <c r="V10" s="185" t="s">
        <v>881</v>
      </c>
    </row>
    <row r="11" customFormat="false" ht="16" hidden="false" customHeight="false" outlineLevel="0" collapsed="false">
      <c r="F11" s="78" t="s">
        <v>882</v>
      </c>
      <c r="G11" s="78" t="s">
        <v>882</v>
      </c>
      <c r="H11" s="78" t="s">
        <v>883</v>
      </c>
      <c r="I11" s="78" t="s">
        <v>883</v>
      </c>
      <c r="J11" s="78" t="s">
        <v>882</v>
      </c>
      <c r="K11" s="78" t="s">
        <v>882</v>
      </c>
      <c r="L11" s="78" t="s">
        <v>882</v>
      </c>
      <c r="M11" s="78" t="s">
        <v>882</v>
      </c>
      <c r="N11" s="78" t="s">
        <v>882</v>
      </c>
      <c r="O11" s="78" t="s">
        <v>882</v>
      </c>
      <c r="P11" s="78" t="s">
        <v>882</v>
      </c>
      <c r="Q11" s="78" t="s">
        <v>882</v>
      </c>
      <c r="R11" s="92" t="s">
        <v>882</v>
      </c>
      <c r="S11" s="78" t="s">
        <v>882</v>
      </c>
      <c r="T11" s="78" t="s">
        <v>882</v>
      </c>
      <c r="U11" s="79" t="s">
        <v>882</v>
      </c>
      <c r="V11" s="79" t="s">
        <v>882</v>
      </c>
    </row>
    <row r="12" customFormat="false" ht="16" hidden="false" customHeight="false" outlineLevel="0" collapsed="false">
      <c r="F12" s="78" t="s">
        <v>201</v>
      </c>
      <c r="G12" s="78" t="s">
        <v>201</v>
      </c>
      <c r="H12" s="78" t="s">
        <v>201</v>
      </c>
      <c r="I12" s="78" t="s">
        <v>201</v>
      </c>
      <c r="J12" s="78" t="s">
        <v>201</v>
      </c>
      <c r="K12" s="78" t="s">
        <v>201</v>
      </c>
      <c r="L12" s="78" t="s">
        <v>201</v>
      </c>
      <c r="M12" s="78" t="s">
        <v>201</v>
      </c>
      <c r="N12" s="78" t="s">
        <v>201</v>
      </c>
      <c r="O12" s="78" t="s">
        <v>201</v>
      </c>
      <c r="P12" s="78" t="s">
        <v>201</v>
      </c>
      <c r="Q12" s="78" t="s">
        <v>201</v>
      </c>
      <c r="R12" s="92" t="s">
        <v>201</v>
      </c>
      <c r="S12" s="78" t="s">
        <v>201</v>
      </c>
      <c r="T12" s="78" t="s">
        <v>201</v>
      </c>
      <c r="U12" s="79" t="s">
        <v>201</v>
      </c>
      <c r="V12" s="79" t="s">
        <v>201</v>
      </c>
    </row>
    <row r="14" customFormat="false" ht="16" hidden="false" customHeight="false" outlineLevel="0" collapsed="false">
      <c r="A14" s="75" t="s">
        <v>69</v>
      </c>
      <c r="B14" s="75" t="s">
        <v>70</v>
      </c>
      <c r="C14" s="75" t="s">
        <v>203</v>
      </c>
      <c r="D14" s="75" t="s">
        <v>204</v>
      </c>
      <c r="E14" s="75" t="s">
        <v>40</v>
      </c>
      <c r="F14" s="190" t="s">
        <v>205</v>
      </c>
      <c r="G14" s="190" t="s">
        <v>884</v>
      </c>
      <c r="H14" s="190" t="s">
        <v>885</v>
      </c>
      <c r="I14" s="190" t="s">
        <v>886</v>
      </c>
      <c r="J14" s="190" t="s">
        <v>787</v>
      </c>
      <c r="K14" s="190" t="s">
        <v>258</v>
      </c>
      <c r="L14" s="190" t="s">
        <v>377</v>
      </c>
      <c r="M14" s="190" t="s">
        <v>887</v>
      </c>
      <c r="N14" s="190" t="s">
        <v>888</v>
      </c>
      <c r="O14" s="190" t="s">
        <v>889</v>
      </c>
      <c r="P14" s="190" t="s">
        <v>890</v>
      </c>
      <c r="Q14" s="190" t="s">
        <v>891</v>
      </c>
      <c r="R14" s="250" t="s">
        <v>892</v>
      </c>
      <c r="S14" s="250" t="s">
        <v>893</v>
      </c>
      <c r="T14" s="250" t="s">
        <v>894</v>
      </c>
      <c r="U14" s="187" t="s">
        <v>895</v>
      </c>
      <c r="V14" s="187" t="s">
        <v>896</v>
      </c>
    </row>
    <row r="15" customFormat="false" ht="16" hidden="false" customHeight="false" outlineLevel="0" collapsed="false">
      <c r="E15" s="81" t="str">
        <f aca="false">B15&amp;"|"&amp;C15&amp;"|"&amp;D15</f>
        <v>||</v>
      </c>
      <c r="F15" s="78" t="str">
        <f aca="false">_xlfn.IFNA(INDEX(Cascade!$F:$F,MATCH($E15,Cascade!$E:$E,0)),"")</f>
        <v/>
      </c>
      <c r="H15" s="78" t="n">
        <f aca="false">_xlfn.IFNA(INDEX(PrEP!$L:$L,MATCH($E15,PrEP!$E:$E,0)),"")</f>
        <v>0</v>
      </c>
      <c r="I15" s="78" t="n">
        <f aca="false">_xlfn.IFNA(INDEX(PrEP!$O:$O,MATCH($E15,PrEP!$E:$E,0)),"")</f>
        <v>0</v>
      </c>
      <c r="J15" s="78" t="str">
        <f aca="false">_xlfn.IFNA(INDEX(PP!$H:$H,MATCH($E15,PP!$E:$E,0)),"")</f>
        <v/>
      </c>
      <c r="K15" s="78" t="str">
        <f aca="false">_xlfn.IFNA(INDEX(HTS!$BN:$BN,MATCH($E15,HTS!$E:$E,0)),"")</f>
        <v/>
      </c>
      <c r="L15" s="78" t="str">
        <f aca="false">_xlfn.IFNA(INDEX(HTS!$BT:$BT,MATCH($E15,HTS!$E:$E,0)),"")</f>
        <v/>
      </c>
      <c r="Q15" s="78" t="str">
        <f aca="false">IF(SUM($M15:$P15)=0,"",SUM($M15:$P15))</f>
        <v/>
      </c>
      <c r="R15" s="92" t="str">
        <f aca="false">IF(SUM($Q15)=0,"",SUM($O15,$P15)/SUM($Q15))</f>
        <v/>
      </c>
      <c r="S15" s="92" t="n">
        <v>0</v>
      </c>
      <c r="T15" s="92" t="n">
        <v>0.6</v>
      </c>
      <c r="U15" s="79" t="str">
        <f aca="false">IF(SUM($Q15)=0,"",SUM($Q15)*(1+SUM($S15)))</f>
        <v/>
      </c>
      <c r="V15" s="79" t="str">
        <f aca="false">IF(SUM($U15)=0,"",ROUND(SUM($U15)*T15,0))</f>
        <v/>
      </c>
    </row>
  </sheetData>
  <conditionalFormatting sqref="V1:V1048576">
    <cfRule type="expression" priority="2" aboveAverage="0" equalAverage="0" bottom="0" percent="0" rank="0" text="" dxfId="0">
      <formula>AND(ISNUMBER(V1),SUM($V1)&gt;SUM($U1))</formula>
    </cfRule>
  </conditionalFormatting>
  <conditionalFormatting sqref="H1:I1048576">
    <cfRule type="expression" priority="3" aboveAverage="0" equalAverage="0" bottom="0" percent="0" rank="0" text="" dxfId="1">
      <formula>AND(ROW(H1)&gt;14,$C1="10-14")</formula>
    </cfRule>
  </conditionalFormatting>
  <conditionalFormatting sqref="S1:T1048576">
    <cfRule type="expression" priority="4" aboveAverage="0" equalAverage="0" bottom="0" percent="0" rank="0" text="" dxfId="2">
      <formula>AND(ROUND(SUM($T1),2)&gt;100%,SUM($U1)&gt;0)</formula>
    </cfRule>
  </conditionalFormatting>
  <conditionalFormatting sqref="T1:T1048576">
    <cfRule type="expression" priority="5" aboveAverage="0" equalAverage="0" bottom="0" percent="0" rank="0" text="" dxfId="3">
      <formula>AND(ROUND(SUM($T1),2)&lt;60%,SUM($U1)&gt;0)</formula>
    </cfRule>
  </conditionalFormatting>
  <conditionalFormatting sqref="S1:S1048576">
    <cfRule type="expression" priority="6" aboveAverage="0" equalAverage="0" bottom="0" percent="0" rank="0" text="" dxfId="4">
      <formula>AND(ROUND(SUM($S1),2)&lt;&gt;0%,SUM($Q1)&gt;0,ROW($S1)&gt;14,ISNUMBER($S1))</formula>
    </cfRule>
  </conditionalFormatting>
  <conditionalFormatting sqref="F1:F1048576">
    <cfRule type="expression" priority="7" aboveAverage="0" equalAverage="0" bottom="0" percent="0" rank="0" text="" dxfId="5">
      <formula>AND(ROW(F1)&gt;14,LEFT(B1,4)="_Mil")</formula>
    </cfRule>
  </conditionalFormatting>
  <hyperlinks>
    <hyperlink ref="F3" location="Cascade!F:F" display="Host Country Est. Female Population (FY21)"/>
    <hyperlink ref="H3" location="PrEP!L:L" display="PrEP_NEW (FY22)"/>
    <hyperlink ref="I3" location="PrEP!O:O" display=" PrEP_CURR (FY22)"/>
    <hyperlink ref="J3" location="PP!H:H" display=" PP_PREV (FY22)"/>
    <hyperlink ref="K3" location="HTS!BN:BN" display="HTS_TST - Positives (FY22)"/>
    <hyperlink ref="L3" location="HTS!BT:BT" display="HTS_TST - Negatives (FY2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41" activePane="bottomRight" state="frozen"/>
      <selection pane="topLeft" activeCell="A1" activeCellId="0" sqref="A1"/>
      <selection pane="topRight" activeCell="F1" activeCellId="0" sqref="F1"/>
      <selection pane="bottomLeft" activeCell="A41" activeCellId="0" sqref="A41"/>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81" width="10.83"/>
    <col collapsed="false" customWidth="true" hidden="false" outlineLevel="0" max="4" min="4" style="81" width="7.84"/>
    <col collapsed="false" customWidth="true" hidden="true" outlineLevel="0" max="5" min="5" style="81" width="7"/>
    <col collapsed="false" customWidth="true" hidden="false" outlineLevel="0" max="11" min="6" style="78" width="11.83"/>
    <col collapsed="false" customWidth="true" hidden="false" outlineLevel="0" max="12" min="12" style="79" width="11.83"/>
    <col collapsed="false" customWidth="true" hidden="false" outlineLevel="0" max="13" min="13" style="213" width="11.83"/>
    <col collapsed="false" customWidth="true" hidden="false" outlineLevel="0" max="14" min="14" style="78" width="11.83"/>
    <col collapsed="false" customWidth="true" hidden="false" outlineLevel="0" max="15" min="15" style="79" width="11.83"/>
    <col collapsed="false" customWidth="true" hidden="false" outlineLevel="0" max="1025" min="16" style="25" width="10.83"/>
  </cols>
  <sheetData>
    <row r="1" s="62" customFormat="true" ht="31" hidden="false" customHeight="true" outlineLevel="0" collapsed="false">
      <c r="A1" s="97" t="s">
        <v>897</v>
      </c>
      <c r="B1" s="97"/>
      <c r="C1" s="97"/>
      <c r="D1" s="97"/>
      <c r="E1" s="97"/>
      <c r="F1" s="100" t="s">
        <v>898</v>
      </c>
      <c r="G1" s="100"/>
      <c r="H1" s="100"/>
      <c r="I1" s="100"/>
      <c r="J1" s="100"/>
      <c r="K1" s="100"/>
      <c r="L1" s="100"/>
      <c r="M1" s="108" t="s">
        <v>899</v>
      </c>
      <c r="N1" s="100"/>
      <c r="O1" s="100"/>
    </row>
    <row r="2" s="137" customFormat="true" ht="19" hidden="false" customHeight="false" outlineLevel="0" collapsed="false">
      <c r="A2" s="118"/>
      <c r="B2" s="118"/>
      <c r="C2" s="118"/>
      <c r="D2" s="118"/>
      <c r="E2" s="118"/>
      <c r="F2" s="136" t="s">
        <v>54</v>
      </c>
      <c r="G2" s="136"/>
      <c r="H2" s="136"/>
      <c r="I2" s="136"/>
      <c r="J2" s="136"/>
      <c r="K2" s="136"/>
      <c r="L2" s="126" t="s">
        <v>55</v>
      </c>
      <c r="M2" s="223" t="s">
        <v>54</v>
      </c>
      <c r="N2" s="136"/>
      <c r="O2" s="126" t="s">
        <v>55</v>
      </c>
    </row>
    <row r="3" customFormat="false" ht="117" hidden="false" customHeight="true" outlineLevel="0" collapsed="false">
      <c r="A3" s="138"/>
      <c r="B3" s="138"/>
      <c r="C3" s="138"/>
      <c r="D3" s="138"/>
      <c r="E3" s="138"/>
      <c r="F3" s="225" t="s">
        <v>900</v>
      </c>
      <c r="G3" s="225" t="s">
        <v>901</v>
      </c>
      <c r="H3" s="225" t="s">
        <v>902</v>
      </c>
      <c r="I3" s="225" t="s">
        <v>903</v>
      </c>
      <c r="J3" s="161" t="s">
        <v>904</v>
      </c>
      <c r="K3" s="161" t="s">
        <v>905</v>
      </c>
      <c r="L3" s="139" t="s">
        <v>906</v>
      </c>
      <c r="M3" s="159" t="s">
        <v>907</v>
      </c>
      <c r="N3" s="161" t="s">
        <v>908</v>
      </c>
      <c r="O3" s="139" t="s">
        <v>909</v>
      </c>
    </row>
    <row r="4" customFormat="false" ht="16" hidden="false" customHeight="false" outlineLevel="0" collapsed="false">
      <c r="A4" s="165"/>
      <c r="B4" s="165"/>
      <c r="C4" s="165"/>
      <c r="D4" s="165" t="s">
        <v>59</v>
      </c>
      <c r="E4" s="165"/>
      <c r="F4" s="182" t="n">
        <f aca="false">SUBTOTAL(109,F$15:INDEX(F:F,COUNTA($B:$B)+14-COUNTA($B$1:$B$14)))</f>
        <v>0</v>
      </c>
      <c r="G4" s="182" t="n">
        <f aca="false">SUBTOTAL(109,G$15:INDEX(G:G,COUNTA($B:$B)+14-COUNTA($B$1:$B$14)))</f>
        <v>0</v>
      </c>
      <c r="H4" s="182" t="n">
        <f aca="false">SUBTOTAL(109,H$15:INDEX(H:H,COUNTA($B:$B)+14-COUNTA($B$1:$B$14)))</f>
        <v>0</v>
      </c>
      <c r="I4" s="182" t="n">
        <f aca="false">SUBTOTAL(109,I$15:INDEX(I:I,COUNTA($B:$B)+14-COUNTA($B$1:$B$14)))</f>
        <v>0</v>
      </c>
      <c r="J4" s="182" t="n">
        <f aca="false">SUBTOTAL(109,J$15:INDEX(J:J,COUNTA($B:$B)+14-COUNTA($B$1:$B$14)))</f>
        <v>0</v>
      </c>
      <c r="K4" s="182" t="n">
        <f aca="false">SUBTOTAL(109,K$15:INDEX(K:K,COUNTA($B:$B)+14-COUNTA($B$1:$B$14)))</f>
        <v>0</v>
      </c>
      <c r="L4" s="175" t="n">
        <f aca="false">SUBTOTAL(109,L$15:INDEX(L:L,COUNTA($B:$B)+14-COUNTA($B$1:$B$14)))</f>
        <v>0</v>
      </c>
      <c r="M4" s="260" t="n">
        <f aca="false">SUBTOTAL(109,M$15:INDEX(M:M,COUNTA($B:$B)+14-COUNTA($B$1:$B$14)))</f>
        <v>0</v>
      </c>
      <c r="N4" s="182" t="n">
        <f aca="false">SUBTOTAL(109,N$15:INDEX(N:N,COUNTA($B:$B)+14-COUNTA($B$1:$B$14)))</f>
        <v>0</v>
      </c>
      <c r="O4" s="175" t="n">
        <f aca="false">SUBTOTAL(109,O$15:INDEX(O:O,COUNTA($B:$B)+14-COUNTA($B$1:$B$14)))</f>
        <v>0</v>
      </c>
    </row>
    <row r="5" customFormat="false" ht="16" hidden="false" customHeight="false" outlineLevel="0" collapsed="false">
      <c r="A5" s="81" t="s">
        <v>60</v>
      </c>
      <c r="B5" s="81" t="s">
        <v>60</v>
      </c>
      <c r="C5" s="81" t="s">
        <v>60</v>
      </c>
      <c r="D5" s="81" t="s">
        <v>60</v>
      </c>
      <c r="E5" s="81" t="s">
        <v>60</v>
      </c>
      <c r="F5" s="78" t="s">
        <v>60</v>
      </c>
      <c r="G5" s="78" t="s">
        <v>60</v>
      </c>
      <c r="H5" s="78" t="s">
        <v>60</v>
      </c>
      <c r="I5" s="78" t="s">
        <v>60</v>
      </c>
      <c r="J5" s="78" t="s">
        <v>169</v>
      </c>
      <c r="K5" s="78" t="s">
        <v>169</v>
      </c>
      <c r="L5" s="79" t="s">
        <v>169</v>
      </c>
      <c r="M5" s="213" t="s">
        <v>169</v>
      </c>
      <c r="N5" s="78" t="s">
        <v>169</v>
      </c>
      <c r="O5" s="79" t="s">
        <v>169</v>
      </c>
    </row>
    <row r="6" customFormat="false" ht="16" hidden="false" customHeight="false" outlineLevel="0" collapsed="false">
      <c r="A6" s="81" t="s">
        <v>62</v>
      </c>
      <c r="B6" s="81" t="s">
        <v>62</v>
      </c>
      <c r="C6" s="81" t="s">
        <v>62</v>
      </c>
      <c r="D6" s="81" t="s">
        <v>62</v>
      </c>
      <c r="E6" s="81" t="s">
        <v>62</v>
      </c>
      <c r="F6" s="78" t="s">
        <v>65</v>
      </c>
      <c r="G6" s="78" t="s">
        <v>65</v>
      </c>
      <c r="H6" s="78" t="s">
        <v>65</v>
      </c>
      <c r="I6" s="78" t="s">
        <v>65</v>
      </c>
      <c r="J6" s="78" t="s">
        <v>63</v>
      </c>
      <c r="K6" s="78" t="s">
        <v>63</v>
      </c>
      <c r="L6" s="79" t="s">
        <v>64</v>
      </c>
      <c r="M6" s="213" t="s">
        <v>63</v>
      </c>
      <c r="N6" s="78" t="s">
        <v>63</v>
      </c>
      <c r="O6" s="79" t="s">
        <v>64</v>
      </c>
    </row>
    <row r="7" customFormat="false" ht="16" hidden="false" customHeight="false" outlineLevel="0" collapsed="false">
      <c r="A7" s="81" t="s">
        <v>66</v>
      </c>
      <c r="B7" s="81" t="s">
        <v>66</v>
      </c>
      <c r="C7" s="81" t="s">
        <v>66</v>
      </c>
      <c r="D7" s="81" t="s">
        <v>66</v>
      </c>
      <c r="E7" s="81" t="s">
        <v>66</v>
      </c>
      <c r="F7" s="78" t="s">
        <v>67</v>
      </c>
      <c r="G7" s="78" t="s">
        <v>67</v>
      </c>
      <c r="H7" s="78" t="s">
        <v>67</v>
      </c>
      <c r="I7" s="78" t="s">
        <v>67</v>
      </c>
      <c r="J7" s="78" t="s">
        <v>67</v>
      </c>
      <c r="K7" s="78" t="s">
        <v>67</v>
      </c>
      <c r="L7" s="79" t="s">
        <v>67</v>
      </c>
      <c r="M7" s="213" t="s">
        <v>67</v>
      </c>
      <c r="N7" s="78" t="s">
        <v>67</v>
      </c>
      <c r="O7" s="79" t="s">
        <v>67</v>
      </c>
    </row>
    <row r="8" customFormat="false" ht="16" hidden="false" customHeight="false" outlineLevel="0" collapsed="false">
      <c r="J8" s="278" t="s">
        <v>910</v>
      </c>
      <c r="K8" s="78" t="s">
        <v>911</v>
      </c>
      <c r="L8" s="79" t="s">
        <v>911</v>
      </c>
      <c r="M8" s="268" t="s">
        <v>912</v>
      </c>
      <c r="N8" s="78" t="s">
        <v>913</v>
      </c>
      <c r="O8" s="79" t="s">
        <v>913</v>
      </c>
    </row>
    <row r="9" customFormat="false" ht="16" hidden="false" customHeight="false" outlineLevel="0" collapsed="false">
      <c r="J9" s="278" t="s">
        <v>914</v>
      </c>
      <c r="K9" s="78" t="s">
        <v>915</v>
      </c>
      <c r="L9" s="79" t="s">
        <v>915</v>
      </c>
      <c r="M9" s="268" t="s">
        <v>916</v>
      </c>
      <c r="N9" s="78" t="s">
        <v>917</v>
      </c>
      <c r="O9" s="79" t="s">
        <v>917</v>
      </c>
    </row>
    <row r="10" customFormat="false" ht="16" hidden="false" customHeight="false" outlineLevel="0" collapsed="false">
      <c r="F10" s="78" t="s">
        <v>193</v>
      </c>
    </row>
    <row r="11" customFormat="false" ht="16" hidden="false" customHeight="false" outlineLevel="0" collapsed="false">
      <c r="F11" s="78" t="s">
        <v>199</v>
      </c>
      <c r="G11" s="78" t="s">
        <v>199</v>
      </c>
      <c r="H11" s="78" t="s">
        <v>882</v>
      </c>
      <c r="I11" s="78" t="s">
        <v>882</v>
      </c>
      <c r="J11" s="78" t="s">
        <v>199</v>
      </c>
      <c r="K11" s="78" t="s">
        <v>199</v>
      </c>
      <c r="L11" s="79" t="s">
        <v>199</v>
      </c>
      <c r="M11" s="213" t="s">
        <v>199</v>
      </c>
      <c r="N11" s="78" t="s">
        <v>199</v>
      </c>
      <c r="O11" s="79" t="s">
        <v>199</v>
      </c>
    </row>
    <row r="12" customFormat="false" ht="16" hidden="false" customHeight="false" outlineLevel="0" collapsed="false">
      <c r="F12" s="78" t="s">
        <v>200</v>
      </c>
      <c r="G12" s="78" t="s">
        <v>200</v>
      </c>
      <c r="H12" s="78" t="s">
        <v>201</v>
      </c>
      <c r="I12" s="78" t="s">
        <v>201</v>
      </c>
      <c r="J12" s="78" t="s">
        <v>200</v>
      </c>
      <c r="K12" s="78" t="s">
        <v>200</v>
      </c>
      <c r="L12" s="79" t="s">
        <v>200</v>
      </c>
      <c r="M12" s="213" t="s">
        <v>200</v>
      </c>
      <c r="N12" s="78" t="s">
        <v>200</v>
      </c>
      <c r="O12" s="79" t="s">
        <v>200</v>
      </c>
    </row>
    <row r="14" customFormat="false" ht="16" hidden="false" customHeight="false" outlineLevel="0" collapsed="false">
      <c r="A14" s="75" t="s">
        <v>69</v>
      </c>
      <c r="B14" s="75" t="s">
        <v>70</v>
      </c>
      <c r="C14" s="75" t="s">
        <v>203</v>
      </c>
      <c r="D14" s="75" t="s">
        <v>204</v>
      </c>
      <c r="E14" s="75" t="s">
        <v>40</v>
      </c>
      <c r="F14" s="190" t="s">
        <v>207</v>
      </c>
      <c r="G14" s="190" t="s">
        <v>918</v>
      </c>
      <c r="H14" s="190" t="s">
        <v>895</v>
      </c>
      <c r="I14" s="190" t="s">
        <v>896</v>
      </c>
      <c r="J14" s="190" t="s">
        <v>919</v>
      </c>
      <c r="K14" s="190" t="s">
        <v>920</v>
      </c>
      <c r="L14" s="187" t="s">
        <v>885</v>
      </c>
      <c r="M14" s="251" t="s">
        <v>921</v>
      </c>
      <c r="N14" s="190" t="s">
        <v>922</v>
      </c>
      <c r="O14" s="187" t="s">
        <v>886</v>
      </c>
    </row>
    <row r="15" customFormat="false" ht="16" hidden="false" customHeight="false" outlineLevel="0" collapsed="false">
      <c r="E15" s="81" t="str">
        <f aca="false">B15&amp;"|"&amp;C15&amp;"|"&amp;D15</f>
        <v>||</v>
      </c>
      <c r="F15" s="78" t="str">
        <f aca="false">_xlfn.IFNA(INDEX(Cascade!$H:$H,MATCH($E15,Cascade!$E:$E,0)),"")</f>
        <v/>
      </c>
      <c r="G15" s="78" t="str">
        <f aca="false">_xlfn.IFNA(INDEX(HTS!$BT:$BT,MATCH($E15,HTS!$E:$E,0)),"")</f>
        <v/>
      </c>
      <c r="H15" s="78" t="str">
        <f aca="false">_xlfn.IFNA(INDEX(AGYW!$U:$U,MATCH($E15,AGYW!$E:$E,0)),"")</f>
        <v/>
      </c>
      <c r="I15" s="78" t="str">
        <f aca="false">_xlfn.IFNA(INDEX(AGYW!$V:$V,MATCH($E15,AGYW!$E:$E,0)),"")</f>
        <v/>
      </c>
    </row>
  </sheetData>
  <conditionalFormatting sqref="L1:L1048576 O1:O1048576">
    <cfRule type="expression" priority="2" aboveAverage="0" equalAverage="0" bottom="0" percent="0" rank="0" text="" dxfId="0">
      <formula>AND(ISNUMBER(L1),SUM($L1)&gt;SUM($O1))</formula>
    </cfRule>
  </conditionalFormatting>
  <conditionalFormatting sqref="H1:I1048576">
    <cfRule type="expression" priority="3" aboveAverage="0" equalAverage="0" bottom="0" percent="0" rank="0" text="" dxfId="1">
      <formula>AND(ROW(H1)&gt;14,$E1&lt;&gt;"",NOT(OR($C1="10-14",$C1="15-19",$C1="20-24",$C1="25-29")))</formula>
    </cfRule>
    <cfRule type="expression" priority="4" aboveAverage="0" equalAverage="0" bottom="0" percent="0" rank="0" text="" dxfId="2">
      <formula>AND(ROW(H1)&gt;14,$E1&lt;&gt;"",$D1="Males")</formula>
    </cfRule>
  </conditionalFormatting>
  <conditionalFormatting sqref="F1:F1048576">
    <cfRule type="expression" priority="5" aboveAverage="0" equalAverage="0" bottom="0" percent="0" rank="0" text="" dxfId="3">
      <formula>AND(ROW(F1)&gt;14,LEFT(B1,4)="_Mil")</formula>
    </cfRule>
  </conditionalFormatting>
  <hyperlinks>
    <hyperlink ref="F3" location="Cascade!H:H" display="Host Country Est. PLHIV (FY22)"/>
    <hyperlink ref="G3" location="HTS!BT:BT" display="HTS_TST_NEG&#10;(FY22)"/>
    <hyperlink ref="H3" location="AGYW!U:U" display="AGYW_PREV (D) (FY22)"/>
    <hyperlink ref="I3" location="AGYW!V:V" display="AGYW_PREV (N) (FY2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N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14" topLeftCell="E15" activePane="bottomRight" state="frozen"/>
      <selection pane="topLeft" activeCell="A1" activeCellId="0" sqref="A1"/>
      <selection pane="topRight" activeCell="E1" activeCellId="0" sqref="E1"/>
      <selection pane="bottomLeft" activeCell="A15" activeCellId="0" sqref="A15"/>
      <selection pane="bottomRight" activeCell="H14" activeCellId="1" sqref="E16:E25 H14"/>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81" width="35.5"/>
    <col collapsed="false" customWidth="true" hidden="true" outlineLevel="0" max="4" min="4" style="81" width="10.16"/>
    <col collapsed="false" customWidth="true" hidden="false" outlineLevel="0" max="5" min="5" style="89" width="11.83"/>
    <col collapsed="false" customWidth="true" hidden="false" outlineLevel="0" max="6" min="6" style="79" width="11.83"/>
    <col collapsed="false" customWidth="true" hidden="false" outlineLevel="0" max="7" min="7" style="262" width="11.83"/>
    <col collapsed="false" customWidth="true" hidden="false" outlineLevel="0" max="8" min="8" style="213" width="11.83"/>
    <col collapsed="false" customWidth="true" hidden="false" outlineLevel="0" max="9" min="9" style="79" width="11.83"/>
    <col collapsed="false" customWidth="true" hidden="false" outlineLevel="0" max="10" min="10" style="213" width="11.83"/>
    <col collapsed="false" customWidth="true" hidden="false" outlineLevel="0" max="11" min="11" style="79" width="11.83"/>
    <col collapsed="false" customWidth="true" hidden="false" outlineLevel="0" max="12" min="12" style="213" width="11.83"/>
    <col collapsed="false" customWidth="true" hidden="false" outlineLevel="0" max="13" min="13" style="94" width="11.83"/>
    <col collapsed="false" customWidth="true" hidden="false" outlineLevel="0" max="14" min="14" style="210" width="11.83"/>
    <col collapsed="false" customWidth="true" hidden="false" outlineLevel="0" max="15" min="15" style="93" width="11.83"/>
    <col collapsed="false" customWidth="true" hidden="false" outlineLevel="0" max="16" min="16" style="79" width="11.83"/>
    <col collapsed="false" customWidth="true" hidden="false" outlineLevel="0" max="17" min="17" style="94" width="11.83"/>
    <col collapsed="false" customWidth="true" hidden="false" outlineLevel="0" max="18" min="18" style="210" width="11.83"/>
    <col collapsed="false" customWidth="true" hidden="false" outlineLevel="0" max="21" min="19" style="92" width="11.83"/>
    <col collapsed="false" customWidth="true" hidden="false" outlineLevel="0" max="22" min="22" style="79" width="11.83"/>
    <col collapsed="false" customWidth="true" hidden="false" outlineLevel="0" max="23" min="23" style="91" width="11.83"/>
    <col collapsed="false" customWidth="true" hidden="false" outlineLevel="0" max="24" min="24" style="92" width="11.83"/>
    <col collapsed="false" customWidth="true" hidden="false" outlineLevel="0" max="25" min="25" style="79" width="11.83"/>
    <col collapsed="false" customWidth="true" hidden="false" outlineLevel="0" max="26" min="26" style="91" width="11.83"/>
    <col collapsed="false" customWidth="true" hidden="false" outlineLevel="0" max="27" min="27" style="79" width="11.83"/>
    <col collapsed="false" customWidth="true" hidden="false" outlineLevel="0" max="28" min="28" style="91" width="11.83"/>
    <col collapsed="false" customWidth="true" hidden="false" outlineLevel="0" max="32" min="29" style="78" width="11.83"/>
    <col collapsed="false" customWidth="true" hidden="false" outlineLevel="0" max="34" min="33" style="92" width="11.83"/>
    <col collapsed="false" customWidth="true" hidden="false" outlineLevel="0" max="36" min="35" style="79" width="11.83"/>
    <col collapsed="false" customWidth="true" hidden="false" outlineLevel="0" max="37" min="37" style="212" width="11.83"/>
    <col collapsed="false" customWidth="true" hidden="false" outlineLevel="0" max="38" min="38" style="79" width="11.83"/>
    <col collapsed="false" customWidth="true" hidden="false" outlineLevel="0" max="39" min="39" style="213" width="11.83"/>
    <col collapsed="false" customWidth="true" hidden="false" outlineLevel="0" max="40" min="40" style="79" width="11.83"/>
    <col collapsed="false" customWidth="true" hidden="false" outlineLevel="0" max="1025" min="41" style="25" width="10.83"/>
  </cols>
  <sheetData>
    <row r="1" s="62" customFormat="true" ht="31" hidden="false" customHeight="true" outlineLevel="0" collapsed="false">
      <c r="A1" s="97" t="s">
        <v>923</v>
      </c>
      <c r="B1" s="97"/>
      <c r="C1" s="97"/>
      <c r="D1" s="97"/>
      <c r="E1" s="108" t="s">
        <v>924</v>
      </c>
      <c r="F1" s="100"/>
      <c r="G1" s="218"/>
      <c r="H1" s="108" t="s">
        <v>899</v>
      </c>
      <c r="I1" s="100"/>
      <c r="J1" s="108" t="s">
        <v>898</v>
      </c>
      <c r="K1" s="100"/>
      <c r="L1" s="108" t="s">
        <v>925</v>
      </c>
      <c r="M1" s="98"/>
      <c r="N1" s="108" t="s">
        <v>24</v>
      </c>
      <c r="O1" s="112"/>
      <c r="P1" s="100"/>
      <c r="Q1" s="100"/>
      <c r="R1" s="109" t="s">
        <v>23</v>
      </c>
      <c r="S1" s="109"/>
      <c r="T1" s="111"/>
      <c r="U1" s="111"/>
      <c r="V1" s="100"/>
      <c r="W1" s="110" t="s">
        <v>25</v>
      </c>
      <c r="X1" s="111"/>
      <c r="Y1" s="100"/>
      <c r="Z1" s="110" t="s">
        <v>26</v>
      </c>
      <c r="AA1" s="100"/>
      <c r="AB1" s="110" t="s">
        <v>21</v>
      </c>
      <c r="AC1" s="116"/>
      <c r="AD1" s="116"/>
      <c r="AE1" s="116"/>
      <c r="AF1" s="116"/>
      <c r="AG1" s="218"/>
      <c r="AH1" s="218"/>
      <c r="AI1" s="100"/>
      <c r="AJ1" s="100"/>
      <c r="AK1" s="110" t="s">
        <v>660</v>
      </c>
      <c r="AL1" s="100"/>
      <c r="AM1" s="108" t="s">
        <v>926</v>
      </c>
      <c r="AN1" s="100"/>
    </row>
    <row r="2" s="137" customFormat="true" ht="19" hidden="false" customHeight="false" outlineLevel="0" collapsed="false">
      <c r="A2" s="118"/>
      <c r="B2" s="118"/>
      <c r="C2" s="118"/>
      <c r="D2" s="118"/>
      <c r="E2" s="128" t="s">
        <v>927</v>
      </c>
      <c r="F2" s="126"/>
      <c r="G2" s="286"/>
      <c r="H2" s="223" t="s">
        <v>54</v>
      </c>
      <c r="I2" s="126" t="s">
        <v>55</v>
      </c>
      <c r="J2" s="221" t="s">
        <v>54</v>
      </c>
      <c r="K2" s="126" t="s">
        <v>55</v>
      </c>
      <c r="L2" s="221" t="s">
        <v>54</v>
      </c>
      <c r="M2" s="119" t="s">
        <v>55</v>
      </c>
      <c r="N2" s="221" t="s">
        <v>54</v>
      </c>
      <c r="O2" s="132"/>
      <c r="P2" s="126" t="s">
        <v>55</v>
      </c>
      <c r="Q2" s="119"/>
      <c r="R2" s="132" t="s">
        <v>54</v>
      </c>
      <c r="S2" s="132" t="s">
        <v>100</v>
      </c>
      <c r="T2" s="131"/>
      <c r="U2" s="131"/>
      <c r="V2" s="126" t="s">
        <v>55</v>
      </c>
      <c r="W2" s="130" t="s">
        <v>100</v>
      </c>
      <c r="X2" s="131"/>
      <c r="Y2" s="126" t="s">
        <v>55</v>
      </c>
      <c r="Z2" s="130" t="s">
        <v>100</v>
      </c>
      <c r="AA2" s="126" t="s">
        <v>55</v>
      </c>
      <c r="AB2" s="130" t="s">
        <v>100</v>
      </c>
      <c r="AC2" s="136"/>
      <c r="AD2" s="136"/>
      <c r="AE2" s="136"/>
      <c r="AF2" s="136"/>
      <c r="AG2" s="131"/>
      <c r="AH2" s="131"/>
      <c r="AI2" s="126" t="s">
        <v>55</v>
      </c>
      <c r="AJ2" s="126"/>
      <c r="AK2" s="130" t="s">
        <v>100</v>
      </c>
      <c r="AL2" s="126" t="s">
        <v>55</v>
      </c>
      <c r="AM2" s="223" t="s">
        <v>54</v>
      </c>
      <c r="AN2" s="126" t="s">
        <v>55</v>
      </c>
    </row>
    <row r="3" customFormat="false" ht="117" hidden="false" customHeight="true" outlineLevel="0" collapsed="false">
      <c r="D3" s="291"/>
      <c r="E3" s="292" t="s">
        <v>928</v>
      </c>
      <c r="F3" s="139" t="s">
        <v>929</v>
      </c>
      <c r="G3" s="293" t="s">
        <v>106</v>
      </c>
      <c r="H3" s="159" t="s">
        <v>930</v>
      </c>
      <c r="I3" s="139" t="s">
        <v>931</v>
      </c>
      <c r="J3" s="159" t="s">
        <v>932</v>
      </c>
      <c r="K3" s="139" t="s">
        <v>933</v>
      </c>
      <c r="L3" s="228" t="s">
        <v>934</v>
      </c>
      <c r="M3" s="141" t="s">
        <v>935</v>
      </c>
      <c r="N3" s="228" t="s">
        <v>936</v>
      </c>
      <c r="O3" s="156" t="s">
        <v>937</v>
      </c>
      <c r="P3" s="139" t="s">
        <v>938</v>
      </c>
      <c r="Q3" s="264" t="s">
        <v>939</v>
      </c>
      <c r="R3" s="228" t="s">
        <v>940</v>
      </c>
      <c r="S3" s="155" t="s">
        <v>128</v>
      </c>
      <c r="T3" s="155" t="s">
        <v>130</v>
      </c>
      <c r="U3" s="155" t="s">
        <v>129</v>
      </c>
      <c r="V3" s="139" t="s">
        <v>941</v>
      </c>
      <c r="W3" s="154" t="s">
        <v>942</v>
      </c>
      <c r="X3" s="155" t="s">
        <v>943</v>
      </c>
      <c r="Y3" s="139" t="s">
        <v>944</v>
      </c>
      <c r="Z3" s="154" t="s">
        <v>140</v>
      </c>
      <c r="AA3" s="139" t="s">
        <v>945</v>
      </c>
      <c r="AB3" s="154" t="s">
        <v>946</v>
      </c>
      <c r="AC3" s="161" t="s">
        <v>145</v>
      </c>
      <c r="AD3" s="161" t="s">
        <v>146</v>
      </c>
      <c r="AE3" s="161" t="s">
        <v>947</v>
      </c>
      <c r="AF3" s="161" t="s">
        <v>948</v>
      </c>
      <c r="AG3" s="155" t="s">
        <v>148</v>
      </c>
      <c r="AH3" s="155" t="s">
        <v>949</v>
      </c>
      <c r="AI3" s="139" t="s">
        <v>950</v>
      </c>
      <c r="AJ3" s="139" t="s">
        <v>951</v>
      </c>
      <c r="AK3" s="154" t="s">
        <v>952</v>
      </c>
      <c r="AL3" s="153" t="s">
        <v>953</v>
      </c>
      <c r="AM3" s="159" t="s">
        <v>954</v>
      </c>
      <c r="AN3" s="139" t="s">
        <v>955</v>
      </c>
    </row>
    <row r="4" customFormat="false" ht="16" hidden="false" customHeight="false" outlineLevel="0" collapsed="false">
      <c r="A4" s="165"/>
      <c r="B4" s="165"/>
      <c r="C4" s="165" t="s">
        <v>59</v>
      </c>
      <c r="D4" s="165"/>
      <c r="E4" s="173" t="n">
        <f aca="false">SUBTOTAL(109,E$15:INDEX(E:E,COUNTA($B:$B)+14-COUNTA($B$1:$B$14)))</f>
        <v>0</v>
      </c>
      <c r="F4" s="175" t="n">
        <f aca="false">SUBTOTAL(109,F$15:INDEX(F:F,COUNTA($B:$B)+14-COUNTA($B$1:$B$14)))</f>
        <v>0</v>
      </c>
      <c r="G4" s="294"/>
      <c r="H4" s="260" t="n">
        <f aca="false">SUBTOTAL(109,H$15:INDEX(H:H,COUNTA($B:$B)+14-COUNTA($B$1:$B$14)))</f>
        <v>0</v>
      </c>
      <c r="I4" s="175" t="n">
        <f aca="false">SUBTOTAL(109,I$15:INDEX(I:I,COUNTA($B:$B)+14-COUNTA($B$1:$B$14)))</f>
        <v>0</v>
      </c>
      <c r="J4" s="173" t="n">
        <f aca="false">SUBTOTAL(109,J$15:INDEX(J:J,COUNTA($B:$B)+14-COUNTA($B$1:$B$14)))</f>
        <v>0</v>
      </c>
      <c r="K4" s="175" t="n">
        <f aca="false">SUBTOTAL(109,K$15:INDEX(K:K,COUNTA($B:$B)+14-COUNTA($B$1:$B$14)))</f>
        <v>0</v>
      </c>
      <c r="L4" s="173" t="n">
        <f aca="false">SUBTOTAL(109,L$15:INDEX(L:L,COUNTA($B:$B)+14-COUNTA($B$1:$B$14)))</f>
        <v>0</v>
      </c>
      <c r="M4" s="175" t="n">
        <f aca="false">SUBTOTAL(109,M$15:INDEX(M:M,COUNTA($B:$B)+14-COUNTA($B$1:$B$14)))</f>
        <v>0</v>
      </c>
      <c r="N4" s="242" t="n">
        <f aca="false">SUBTOTAL(109,N$15:INDEX(N:N,COUNTA($B:$B)+14-COUNTA($B$1:$B$14)))</f>
        <v>0</v>
      </c>
      <c r="O4" s="178" t="n">
        <f aca="false">SUBTOTAL(109,O$15:INDEX(O:O,COUNTA($B:$B)+14-COUNTA($B$1:$B$14)))</f>
        <v>0</v>
      </c>
      <c r="P4" s="175" t="n">
        <f aca="false">SUBTOTAL(109,P$15:INDEX(P:P,COUNTA($B:$B)+14-COUNTA($B$1:$B$14)))</f>
        <v>0</v>
      </c>
      <c r="Q4" s="175" t="n">
        <f aca="false">SUBTOTAL(109,Q$15:INDEX(Q:Q,COUNTA($B:$B)+14-COUNTA($B$1:$B$14)))</f>
        <v>0</v>
      </c>
      <c r="R4" s="260" t="n">
        <f aca="false">SUBTOTAL(109,R$15:INDEX(R:R,COUNTA($B:$B)+14-COUNTA($B$1:$B$14)))</f>
        <v>0</v>
      </c>
      <c r="S4" s="177"/>
      <c r="T4" s="177"/>
      <c r="U4" s="177"/>
      <c r="V4" s="175" t="n">
        <f aca="false">SUBTOTAL(109,V$15:INDEX(V:V,COUNTA($B:$B)+14-COUNTA($B$1:$B$14)))</f>
        <v>0</v>
      </c>
      <c r="W4" s="176"/>
      <c r="X4" s="177"/>
      <c r="Y4" s="175" t="n">
        <f aca="false">SUBTOTAL(109,Y$15:INDEX(Y:Y,COUNTA($B:$B)+14-COUNTA($B$1:$B$14)))</f>
        <v>0</v>
      </c>
      <c r="Z4" s="176"/>
      <c r="AA4" s="175" t="n">
        <f aca="false">SUBTOTAL(109,AA$15:INDEX(AA:AA,COUNTA($B:$B)+14-COUNTA($B$1:$B$14)))</f>
        <v>0</v>
      </c>
      <c r="AB4" s="176"/>
      <c r="AC4" s="182" t="n">
        <f aca="false">SUBTOTAL(109,AC$15:INDEX(AC:AC,COUNTA($B:$B)+14-COUNTA($B$1:$B$14)))</f>
        <v>0</v>
      </c>
      <c r="AD4" s="182" t="n">
        <f aca="false">SUBTOTAL(109,AD$15:INDEX(AD:AD,COUNTA($B:$B)+14-COUNTA($B$1:$B$14)))</f>
        <v>0</v>
      </c>
      <c r="AE4" s="182" t="n">
        <f aca="false">SUBTOTAL(109,AE$15:INDEX(AE:AE,COUNTA($B:$B)+14-COUNTA($B$1:$B$14)))</f>
        <v>0</v>
      </c>
      <c r="AF4" s="182" t="n">
        <f aca="false">SUBTOTAL(109,AF$15:INDEX(AF:AF,COUNTA($B:$B)+14-COUNTA($B$1:$B$14)))</f>
        <v>0</v>
      </c>
      <c r="AG4" s="177"/>
      <c r="AH4" s="177"/>
      <c r="AI4" s="175" t="n">
        <f aca="false">SUBTOTAL(109,AI$15:INDEX(AI:AI,COUNTA($B:$B)+14-COUNTA($B$1:$B$14)))</f>
        <v>0</v>
      </c>
      <c r="AJ4" s="175" t="n">
        <f aca="false">SUBTOTAL(109,AJ$15:INDEX(AJ:AJ,COUNTA($B:$B)+14-COUNTA($B$1:$B$14)))</f>
        <v>0</v>
      </c>
      <c r="AK4" s="176"/>
      <c r="AL4" s="175" t="n">
        <f aca="false">SUBTOTAL(109,AL$15:INDEX(AL:AL,COUNTA($B:$B)+14-COUNTA($B$1:$B$14)))</f>
        <v>0</v>
      </c>
      <c r="AM4" s="260" t="n">
        <f aca="false">SUBTOTAL(109,AM$15:INDEX(AM:AM,COUNTA($B:$B)+14-COUNTA($B$1:$B$14)))</f>
        <v>0</v>
      </c>
      <c r="AN4" s="175" t="n">
        <f aca="false">SUBTOTAL(109,AN$15:INDEX(AN:AN,COUNTA($B:$B)+14-COUNTA($B$1:$B$14)))</f>
        <v>0</v>
      </c>
    </row>
    <row r="5" customFormat="false" ht="16" hidden="false" customHeight="false" outlineLevel="0" collapsed="false">
      <c r="A5" s="81" t="s">
        <v>60</v>
      </c>
      <c r="B5" s="81" t="s">
        <v>60</v>
      </c>
      <c r="C5" s="81" t="s">
        <v>60</v>
      </c>
      <c r="D5" s="81" t="s">
        <v>60</v>
      </c>
      <c r="E5" s="89" t="s">
        <v>61</v>
      </c>
      <c r="F5" s="79" t="s">
        <v>61</v>
      </c>
      <c r="G5" s="262" t="s">
        <v>61</v>
      </c>
      <c r="H5" s="213" t="s">
        <v>169</v>
      </c>
      <c r="I5" s="79" t="s">
        <v>169</v>
      </c>
      <c r="J5" s="213" t="s">
        <v>169</v>
      </c>
      <c r="K5" s="79" t="s">
        <v>169</v>
      </c>
      <c r="L5" s="213" t="s">
        <v>169</v>
      </c>
      <c r="M5" s="94" t="s">
        <v>169</v>
      </c>
      <c r="N5" s="210" t="s">
        <v>169</v>
      </c>
      <c r="O5" s="93" t="s">
        <v>169</v>
      </c>
      <c r="P5" s="79" t="s">
        <v>169</v>
      </c>
      <c r="Q5" s="79" t="s">
        <v>60</v>
      </c>
      <c r="R5" s="213" t="s">
        <v>169</v>
      </c>
      <c r="S5" s="92" t="s">
        <v>60</v>
      </c>
      <c r="T5" s="92" t="s">
        <v>60</v>
      </c>
      <c r="U5" s="92" t="s">
        <v>60</v>
      </c>
      <c r="V5" s="79" t="s">
        <v>169</v>
      </c>
      <c r="W5" s="91" t="s">
        <v>60</v>
      </c>
      <c r="X5" s="92" t="s">
        <v>60</v>
      </c>
      <c r="Y5" s="79" t="s">
        <v>169</v>
      </c>
      <c r="Z5" s="91" t="s">
        <v>60</v>
      </c>
      <c r="AA5" s="79" t="s">
        <v>169</v>
      </c>
      <c r="AB5" s="91" t="s">
        <v>60</v>
      </c>
      <c r="AC5" s="78" t="s">
        <v>60</v>
      </c>
      <c r="AD5" s="78" t="s">
        <v>60</v>
      </c>
      <c r="AE5" s="78" t="s">
        <v>169</v>
      </c>
      <c r="AF5" s="78" t="s">
        <v>169</v>
      </c>
      <c r="AG5" s="92" t="s">
        <v>60</v>
      </c>
      <c r="AH5" s="92" t="s">
        <v>60</v>
      </c>
      <c r="AI5" s="79" t="s">
        <v>169</v>
      </c>
      <c r="AJ5" s="79" t="s">
        <v>169</v>
      </c>
      <c r="AK5" s="91" t="s">
        <v>60</v>
      </c>
      <c r="AL5" s="79" t="s">
        <v>169</v>
      </c>
      <c r="AM5" s="213" t="s">
        <v>169</v>
      </c>
      <c r="AN5" s="79" t="s">
        <v>169</v>
      </c>
    </row>
    <row r="6" customFormat="false" ht="16" hidden="false" customHeight="false" outlineLevel="0" collapsed="false">
      <c r="A6" s="81" t="s">
        <v>62</v>
      </c>
      <c r="B6" s="81" t="s">
        <v>62</v>
      </c>
      <c r="C6" s="81" t="s">
        <v>62</v>
      </c>
      <c r="D6" s="81" t="s">
        <v>62</v>
      </c>
      <c r="E6" s="89" t="s">
        <v>64</v>
      </c>
      <c r="F6" s="79" t="s">
        <v>64</v>
      </c>
      <c r="G6" s="262" t="s">
        <v>64</v>
      </c>
      <c r="H6" s="213" t="s">
        <v>63</v>
      </c>
      <c r="I6" s="79" t="s">
        <v>64</v>
      </c>
      <c r="J6" s="213" t="s">
        <v>63</v>
      </c>
      <c r="K6" s="79" t="s">
        <v>64</v>
      </c>
      <c r="L6" s="213" t="s">
        <v>63</v>
      </c>
      <c r="M6" s="94" t="s">
        <v>64</v>
      </c>
      <c r="N6" s="210" t="s">
        <v>63</v>
      </c>
      <c r="O6" s="93" t="s">
        <v>63</v>
      </c>
      <c r="P6" s="79" t="s">
        <v>64</v>
      </c>
      <c r="Q6" s="79" t="s">
        <v>65</v>
      </c>
      <c r="R6" s="213" t="s">
        <v>63</v>
      </c>
      <c r="S6" s="92" t="s">
        <v>171</v>
      </c>
      <c r="T6" s="92" t="s">
        <v>171</v>
      </c>
      <c r="U6" s="92" t="s">
        <v>171</v>
      </c>
      <c r="V6" s="79" t="s">
        <v>64</v>
      </c>
      <c r="W6" s="91" t="s">
        <v>171</v>
      </c>
      <c r="X6" s="92" t="s">
        <v>171</v>
      </c>
      <c r="Y6" s="79" t="s">
        <v>64</v>
      </c>
      <c r="Z6" s="91" t="s">
        <v>171</v>
      </c>
      <c r="AA6" s="79" t="s">
        <v>64</v>
      </c>
      <c r="AB6" s="91" t="s">
        <v>65</v>
      </c>
      <c r="AC6" s="78" t="s">
        <v>65</v>
      </c>
      <c r="AD6" s="78" t="s">
        <v>65</v>
      </c>
      <c r="AE6" s="78" t="s">
        <v>63</v>
      </c>
      <c r="AF6" s="78" t="s">
        <v>63</v>
      </c>
      <c r="AG6" s="92" t="s">
        <v>171</v>
      </c>
      <c r="AH6" s="92" t="s">
        <v>171</v>
      </c>
      <c r="AI6" s="79" t="s">
        <v>64</v>
      </c>
      <c r="AJ6" s="79" t="s">
        <v>64</v>
      </c>
      <c r="AK6" s="91" t="s">
        <v>171</v>
      </c>
      <c r="AL6" s="79" t="s">
        <v>64</v>
      </c>
      <c r="AM6" s="213" t="s">
        <v>63</v>
      </c>
      <c r="AN6" s="79" t="s">
        <v>64</v>
      </c>
    </row>
    <row r="7" customFormat="false" ht="16" hidden="false" customHeight="false" outlineLevel="0" collapsed="false">
      <c r="A7" s="81" t="s">
        <v>66</v>
      </c>
      <c r="B7" s="81" t="s">
        <v>66</v>
      </c>
      <c r="C7" s="81" t="s">
        <v>66</v>
      </c>
      <c r="D7" s="81" t="s">
        <v>66</v>
      </c>
      <c r="E7" s="89" t="s">
        <v>67</v>
      </c>
      <c r="F7" s="79" t="s">
        <v>67</v>
      </c>
      <c r="G7" s="262" t="s">
        <v>173</v>
      </c>
      <c r="H7" s="213" t="s">
        <v>67</v>
      </c>
      <c r="I7" s="79" t="s">
        <v>67</v>
      </c>
      <c r="J7" s="213" t="s">
        <v>67</v>
      </c>
      <c r="K7" s="79" t="s">
        <v>67</v>
      </c>
      <c r="L7" s="213" t="s">
        <v>67</v>
      </c>
      <c r="M7" s="94" t="s">
        <v>67</v>
      </c>
      <c r="N7" s="210" t="s">
        <v>67</v>
      </c>
      <c r="O7" s="93" t="s">
        <v>67</v>
      </c>
      <c r="P7" s="79" t="s">
        <v>67</v>
      </c>
      <c r="Q7" s="79" t="s">
        <v>67</v>
      </c>
      <c r="R7" s="213" t="s">
        <v>67</v>
      </c>
      <c r="S7" s="92" t="s">
        <v>173</v>
      </c>
      <c r="T7" s="92" t="s">
        <v>173</v>
      </c>
      <c r="U7" s="92" t="s">
        <v>173</v>
      </c>
      <c r="V7" s="79" t="s">
        <v>67</v>
      </c>
      <c r="W7" s="91" t="s">
        <v>173</v>
      </c>
      <c r="X7" s="92" t="s">
        <v>173</v>
      </c>
      <c r="Y7" s="79" t="s">
        <v>67</v>
      </c>
      <c r="Z7" s="91" t="s">
        <v>173</v>
      </c>
      <c r="AA7" s="79" t="s">
        <v>67</v>
      </c>
      <c r="AB7" s="91" t="s">
        <v>173</v>
      </c>
      <c r="AC7" s="78" t="s">
        <v>67</v>
      </c>
      <c r="AD7" s="78" t="s">
        <v>67</v>
      </c>
      <c r="AE7" s="78" t="s">
        <v>67</v>
      </c>
      <c r="AF7" s="78" t="s">
        <v>67</v>
      </c>
      <c r="AG7" s="92" t="s">
        <v>173</v>
      </c>
      <c r="AH7" s="92" t="s">
        <v>173</v>
      </c>
      <c r="AI7" s="79" t="s">
        <v>67</v>
      </c>
      <c r="AJ7" s="79" t="s">
        <v>67</v>
      </c>
      <c r="AK7" s="91" t="s">
        <v>173</v>
      </c>
      <c r="AL7" s="79" t="s">
        <v>67</v>
      </c>
      <c r="AM7" s="213" t="s">
        <v>67</v>
      </c>
      <c r="AN7" s="79" t="s">
        <v>67</v>
      </c>
    </row>
    <row r="8" customFormat="false" ht="16" hidden="false" customHeight="false" outlineLevel="0" collapsed="false">
      <c r="E8" s="89" t="s">
        <v>956</v>
      </c>
      <c r="F8" s="79" t="s">
        <v>957</v>
      </c>
      <c r="G8" s="262" t="s">
        <v>958</v>
      </c>
      <c r="H8" s="213" t="s">
        <v>959</v>
      </c>
      <c r="I8" s="79" t="s">
        <v>959</v>
      </c>
      <c r="J8" s="213" t="s">
        <v>960</v>
      </c>
      <c r="K8" s="79" t="s">
        <v>960</v>
      </c>
      <c r="L8" s="213" t="s">
        <v>961</v>
      </c>
      <c r="M8" s="94" t="s">
        <v>961</v>
      </c>
      <c r="N8" s="210" t="s">
        <v>962</v>
      </c>
      <c r="O8" s="93" t="s">
        <v>963</v>
      </c>
      <c r="P8" s="79" t="s">
        <v>963</v>
      </c>
      <c r="Q8" s="79"/>
      <c r="R8" s="213" t="s">
        <v>964</v>
      </c>
      <c r="V8" s="79" t="s">
        <v>964</v>
      </c>
      <c r="Y8" s="79" t="s">
        <v>965</v>
      </c>
      <c r="AA8" s="79" t="s">
        <v>966</v>
      </c>
      <c r="AE8" s="272" t="s">
        <v>967</v>
      </c>
      <c r="AF8" s="272" t="s">
        <v>967</v>
      </c>
      <c r="AI8" s="79" t="s">
        <v>967</v>
      </c>
      <c r="AJ8" s="79" t="s">
        <v>967</v>
      </c>
      <c r="AK8" s="91"/>
      <c r="AL8" s="79" t="s">
        <v>968</v>
      </c>
      <c r="AM8" s="295" t="s">
        <v>969</v>
      </c>
      <c r="AN8" s="79" t="s">
        <v>969</v>
      </c>
    </row>
    <row r="9" customFormat="false" ht="16" hidden="false" customHeight="false" outlineLevel="0" collapsed="false">
      <c r="H9" s="213" t="s">
        <v>970</v>
      </c>
      <c r="I9" s="79" t="s">
        <v>970</v>
      </c>
      <c r="J9" s="213" t="s">
        <v>971</v>
      </c>
      <c r="K9" s="79" t="s">
        <v>971</v>
      </c>
      <c r="L9" s="213" t="s">
        <v>972</v>
      </c>
      <c r="M9" s="94" t="s">
        <v>972</v>
      </c>
      <c r="N9" s="210" t="s">
        <v>973</v>
      </c>
      <c r="O9" s="93" t="s">
        <v>974</v>
      </c>
      <c r="P9" s="79" t="s">
        <v>974</v>
      </c>
      <c r="Q9" s="79"/>
      <c r="R9" s="213" t="s">
        <v>975</v>
      </c>
      <c r="V9" s="79" t="s">
        <v>975</v>
      </c>
      <c r="Y9" s="79" t="s">
        <v>976</v>
      </c>
      <c r="AA9" s="79" t="s">
        <v>977</v>
      </c>
      <c r="AE9" s="272" t="s">
        <v>978</v>
      </c>
      <c r="AF9" s="272" t="s">
        <v>978</v>
      </c>
      <c r="AI9" s="79" t="s">
        <v>978</v>
      </c>
      <c r="AJ9" s="79" t="s">
        <v>978</v>
      </c>
      <c r="AK9" s="91"/>
      <c r="AL9" s="79" t="s">
        <v>979</v>
      </c>
      <c r="AM9" s="295" t="s">
        <v>980</v>
      </c>
      <c r="AN9" s="79" t="s">
        <v>980</v>
      </c>
    </row>
    <row r="10" customFormat="false" ht="16" hidden="false" customHeight="false" outlineLevel="0" collapsed="false">
      <c r="F10" s="79" t="s">
        <v>193</v>
      </c>
      <c r="G10" s="262" t="s">
        <v>193</v>
      </c>
      <c r="N10" s="210" t="s">
        <v>193</v>
      </c>
      <c r="O10" s="93" t="s">
        <v>193</v>
      </c>
      <c r="P10" s="79" t="s">
        <v>193</v>
      </c>
      <c r="Q10" s="79"/>
      <c r="R10" s="213" t="s">
        <v>193</v>
      </c>
      <c r="V10" s="185" t="s">
        <v>193</v>
      </c>
      <c r="Y10" s="79" t="s">
        <v>193</v>
      </c>
      <c r="AA10" s="79" t="s">
        <v>193</v>
      </c>
      <c r="AE10" s="272" t="s">
        <v>193</v>
      </c>
      <c r="AF10" s="272" t="s">
        <v>341</v>
      </c>
      <c r="AI10" s="79" t="s">
        <v>193</v>
      </c>
      <c r="AJ10" s="79" t="s">
        <v>341</v>
      </c>
      <c r="AK10" s="91"/>
      <c r="AL10" s="79" t="s">
        <v>193</v>
      </c>
      <c r="AM10" s="295"/>
    </row>
    <row r="11" customFormat="false" ht="16" hidden="false" customHeight="false" outlineLevel="0" collapsed="false">
      <c r="F11" s="185"/>
      <c r="Q11" s="79"/>
      <c r="R11" s="213"/>
      <c r="AK11" s="91"/>
    </row>
    <row r="12" customFormat="false" ht="16" hidden="false" customHeight="false" outlineLevel="0" collapsed="false">
      <c r="Q12" s="79"/>
      <c r="R12" s="213"/>
      <c r="AK12" s="91"/>
    </row>
    <row r="13" customFormat="false" ht="16" hidden="false" customHeight="false" outlineLevel="0" collapsed="false">
      <c r="E13" s="89" t="s">
        <v>981</v>
      </c>
      <c r="F13" s="79" t="s">
        <v>981</v>
      </c>
      <c r="G13" s="262" t="s">
        <v>981</v>
      </c>
      <c r="H13" s="213" t="s">
        <v>981</v>
      </c>
      <c r="I13" s="79" t="s">
        <v>981</v>
      </c>
      <c r="J13" s="213" t="s">
        <v>981</v>
      </c>
      <c r="K13" s="79" t="s">
        <v>981</v>
      </c>
      <c r="L13" s="213" t="s">
        <v>981</v>
      </c>
      <c r="M13" s="79" t="s">
        <v>981</v>
      </c>
      <c r="N13" s="210" t="s">
        <v>981</v>
      </c>
      <c r="O13" s="93" t="s">
        <v>981</v>
      </c>
      <c r="P13" s="79" t="s">
        <v>981</v>
      </c>
      <c r="Q13" s="79" t="s">
        <v>981</v>
      </c>
      <c r="R13" s="213" t="s">
        <v>981</v>
      </c>
      <c r="S13" s="92" t="s">
        <v>981</v>
      </c>
      <c r="T13" s="92" t="s">
        <v>981</v>
      </c>
      <c r="U13" s="92" t="s">
        <v>981</v>
      </c>
      <c r="V13" s="79" t="s">
        <v>981</v>
      </c>
      <c r="W13" s="91" t="s">
        <v>981</v>
      </c>
      <c r="X13" s="92" t="s">
        <v>981</v>
      </c>
      <c r="Y13" s="79" t="s">
        <v>981</v>
      </c>
      <c r="Z13" s="91" t="s">
        <v>981</v>
      </c>
      <c r="AA13" s="79" t="s">
        <v>981</v>
      </c>
      <c r="AB13" s="91" t="s">
        <v>981</v>
      </c>
      <c r="AC13" s="78" t="s">
        <v>981</v>
      </c>
      <c r="AD13" s="78" t="s">
        <v>981</v>
      </c>
      <c r="AE13" s="78" t="s">
        <v>981</v>
      </c>
      <c r="AF13" s="78" t="s">
        <v>981</v>
      </c>
      <c r="AG13" s="92" t="s">
        <v>981</v>
      </c>
      <c r="AH13" s="92" t="s">
        <v>981</v>
      </c>
      <c r="AI13" s="79" t="s">
        <v>981</v>
      </c>
      <c r="AJ13" s="79" t="s">
        <v>981</v>
      </c>
      <c r="AK13" s="91" t="s">
        <v>981</v>
      </c>
      <c r="AL13" s="79" t="s">
        <v>981</v>
      </c>
      <c r="AM13" s="213" t="s">
        <v>981</v>
      </c>
      <c r="AN13" s="79" t="s">
        <v>981</v>
      </c>
    </row>
    <row r="14" customFormat="false" ht="16" hidden="false" customHeight="false" outlineLevel="0" collapsed="false">
      <c r="A14" s="75" t="s">
        <v>69</v>
      </c>
      <c r="B14" s="75" t="s">
        <v>70</v>
      </c>
      <c r="C14" s="75" t="s">
        <v>982</v>
      </c>
      <c r="D14" s="75" t="s">
        <v>40</v>
      </c>
      <c r="E14" s="296" t="s">
        <v>983</v>
      </c>
      <c r="F14" s="187" t="s">
        <v>984</v>
      </c>
      <c r="G14" s="187" t="s">
        <v>985</v>
      </c>
      <c r="H14" s="251" t="s">
        <v>986</v>
      </c>
      <c r="I14" s="187" t="s">
        <v>987</v>
      </c>
      <c r="J14" s="251" t="s">
        <v>988</v>
      </c>
      <c r="K14" s="187" t="s">
        <v>989</v>
      </c>
      <c r="L14" s="251" t="s">
        <v>990</v>
      </c>
      <c r="M14" s="187" t="s">
        <v>991</v>
      </c>
      <c r="N14" s="251" t="s">
        <v>992</v>
      </c>
      <c r="O14" s="190" t="s">
        <v>993</v>
      </c>
      <c r="P14" s="187" t="s">
        <v>994</v>
      </c>
      <c r="Q14" s="187" t="s">
        <v>995</v>
      </c>
      <c r="R14" s="251" t="s">
        <v>996</v>
      </c>
      <c r="S14" s="250" t="s">
        <v>997</v>
      </c>
      <c r="T14" s="250" t="s">
        <v>998</v>
      </c>
      <c r="U14" s="250" t="s">
        <v>999</v>
      </c>
      <c r="V14" s="187" t="s">
        <v>1000</v>
      </c>
      <c r="W14" s="251" t="s">
        <v>1001</v>
      </c>
      <c r="X14" s="190" t="s">
        <v>1002</v>
      </c>
      <c r="Y14" s="187" t="s">
        <v>1003</v>
      </c>
      <c r="Z14" s="251" t="s">
        <v>1004</v>
      </c>
      <c r="AA14" s="187" t="s">
        <v>1005</v>
      </c>
      <c r="AB14" s="254" t="s">
        <v>1006</v>
      </c>
      <c r="AC14" s="190" t="s">
        <v>1007</v>
      </c>
      <c r="AD14" s="190" t="s">
        <v>1008</v>
      </c>
      <c r="AE14" s="190" t="s">
        <v>1009</v>
      </c>
      <c r="AF14" s="190" t="s">
        <v>1010</v>
      </c>
      <c r="AG14" s="250" t="s">
        <v>1011</v>
      </c>
      <c r="AH14" s="250" t="s">
        <v>1012</v>
      </c>
      <c r="AI14" s="187" t="s">
        <v>1013</v>
      </c>
      <c r="AJ14" s="187" t="s">
        <v>1014</v>
      </c>
      <c r="AK14" s="251" t="s">
        <v>1015</v>
      </c>
      <c r="AL14" s="187" t="s">
        <v>1016</v>
      </c>
      <c r="AM14" s="251" t="s">
        <v>1017</v>
      </c>
      <c r="AN14" s="187" t="s">
        <v>1018</v>
      </c>
    </row>
    <row r="15" customFormat="false" ht="16" hidden="false" customHeight="false" outlineLevel="0" collapsed="false">
      <c r="D15" s="81" t="str">
        <f aca="false">B15&amp;"|"&amp;C15</f>
        <v>|</v>
      </c>
      <c r="L15" s="89"/>
      <c r="Q15" s="94" t="str">
        <f aca="false">IF(AND(SUM($O15)&lt;=0,SUM($P15)&lt;=0),"",$P15-$O15)</f>
        <v/>
      </c>
      <c r="S15" s="92" t="n">
        <v>1</v>
      </c>
      <c r="T15" s="92" t="n">
        <v>0.98</v>
      </c>
      <c r="U15" s="92" t="n">
        <v>0.98</v>
      </c>
      <c r="V15" s="79" t="str">
        <f aca="false">IF(SUM($P15)&lt;=0,"",ROUND((($Q15+($O15*(1-$T15)))*$S15)/$U15,0))</f>
        <v/>
      </c>
      <c r="W15" s="91" t="n">
        <v>0.7</v>
      </c>
      <c r="X15" s="92" t="n">
        <v>1</v>
      </c>
      <c r="Y15" s="79" t="str">
        <f aca="false">IF(SUM($V15,$P15)&lt;=0,"",ROUND(($V15*$W15+$O15)*$X15,0))</f>
        <v/>
      </c>
      <c r="Z15" s="91" t="n">
        <v>0.95</v>
      </c>
      <c r="AA15" s="79" t="str">
        <f aca="false">IF(SUM($Y15)&lt;=0,"",ROUND($Y15*$Z15,0))</f>
        <v/>
      </c>
      <c r="AB15" s="91" t="n">
        <v>0</v>
      </c>
      <c r="AC15" s="78" t="str">
        <f aca="false">IF(SUM($V15)&lt;=0,"",ROUND(SUM($V15)*SUM($AB15),0))</f>
        <v/>
      </c>
      <c r="AD15" s="78" t="str">
        <f aca="false">IF(SUM($V15)&lt;=0,"",SUM($V15)-SUM($AC15))</f>
        <v/>
      </c>
      <c r="AG15" s="92" t="n">
        <v>0.95</v>
      </c>
      <c r="AI15" s="79" t="str">
        <f aca="false">IF(SUM($AD15)&lt;=0,"",ROUND(SUM($AD15)/SUM($AG15),0))</f>
        <v/>
      </c>
      <c r="AJ15" s="79" t="str">
        <f aca="false">IF(SUM($AH15)&lt;=0,"",ROUND($AI15/$AH15-$AI15,0))</f>
        <v/>
      </c>
      <c r="AK15" s="91" t="n">
        <v>1</v>
      </c>
      <c r="AL15" s="79" t="str">
        <f aca="false">IF(SUM($AI15)&lt;=0,"",ROUND($AI15*$AK15,0))</f>
        <v/>
      </c>
    </row>
  </sheetData>
  <conditionalFormatting sqref="X1:X1048576">
    <cfRule type="expression" priority="2" aboveAverage="0" equalAverage="0" bottom="0" percent="0" rank="0" text="" dxfId="0">
      <formula>AND(ISNUMBER($X1),ROUND(SUM($X1),2)&lt;1)</formula>
    </cfRule>
  </conditionalFormatting>
  <conditionalFormatting sqref="Z1:Z1048576">
    <cfRule type="expression" priority="3" aboveAverage="0" equalAverage="0" bottom="0" percent="0" rank="0" text="" dxfId="1">
      <formula>AND(ISNUMBER($Z1),SUM($Y1)&gt;0,ROUND(SUM($Z1),2)&lt;95%)</formula>
    </cfRule>
  </conditionalFormatting>
  <conditionalFormatting sqref="AK1:AK1048576">
    <cfRule type="expression" priority="4" aboveAverage="0" equalAverage="0" bottom="0" percent="0" rank="0" text="" dxfId="2">
      <formula>AND(ISNUMBER($AK1),SUM($AI1)&gt;0,ROUND(SUM($AK1),2)&lt;1)</formula>
    </cfRule>
  </conditionalFormatting>
  <conditionalFormatting sqref="E1:G1048576">
    <cfRule type="expression" priority="5" aboveAverage="0" equalAverage="0" bottom="0" percent="0" rank="0" text="" dxfId="3">
      <formula>LEFT($B1,4)="_Mil"</formula>
    </cfRule>
  </conditionalFormatting>
  <conditionalFormatting sqref="W1:W1048576">
    <cfRule type="expression" priority="6" aboveAverage="0" equalAverage="0" bottom="0" percent="0" rank="0" text="" dxfId="4">
      <formula>AND(ROW($W1)&gt;14,ISNUMBER($W1),SUM($V1)&gt;0,SUM($W1)&lt;70%)</formula>
    </cfRule>
  </conditionalFormatting>
  <conditionalFormatting sqref="AG1:AG1048576">
    <cfRule type="expression" priority="7" aboveAverage="0" equalAverage="0" bottom="0" percent="0" rank="0" text="" dxfId="5">
      <formula>AND(ROW($AG1)&gt;14,ISNUMBER($AG1),SUM($AG1)&lt;95%,SUM($V1)&gt;0)</formula>
    </cfRule>
  </conditionalFormatting>
  <conditionalFormatting sqref="T1:T1048576">
    <cfRule type="expression" priority="8" aboveAverage="0" equalAverage="0" bottom="0" percent="0" rank="0" text="" dxfId="6">
      <formula>AND(ROW($T1)&gt;14,SUM($O1)&gt;0,SUM($T1)&lt;98%)</formula>
    </cfRule>
  </conditionalFormatting>
  <conditionalFormatting sqref="U1:U1048576">
    <cfRule type="expression" priority="9" aboveAverage="0" equalAverage="0" bottom="0" percent="0" rank="0" text="" dxfId="7">
      <formula>AND(ROW($U1)&gt;14,ISNUMBER($U1),SUM($U1)&lt;98%)</formula>
    </cfRule>
  </conditionalFormatting>
  <conditionalFormatting sqref="S1:S1048576">
    <cfRule type="expression" priority="10" aboveAverage="0" equalAverage="0" bottom="0" percent="0" rank="0" text="" dxfId="8">
      <formula>AND(ROW($S1)&gt;14,ISNUMBER($S1),SUM($S1)&lt;100%)</formula>
    </cfRule>
  </conditionalFormatting>
  <conditionalFormatting sqref="S1:U1048576 W1:X1048576 Z1:Z1048576 AB1:AB1048576 AG1:AG1048576 AK1:AK1048576">
    <cfRule type="expression" priority="11" aboveAverage="0" equalAverage="0" bottom="0" percent="0" rank="0" text="" dxfId="9">
      <formula>AND(ISNUMBER(S1),ROW(S1)&gt;14,SUM(S1)&gt;1)</formula>
    </cfRule>
  </conditionalFormatting>
  <conditionalFormatting sqref="AB1:AB1048576">
    <cfRule type="expression" priority="12" aboveAverage="0" equalAverage="0" bottom="0" percent="0" rank="0" text="" dxfId="10">
      <formula>AND(ISNUMBER($AB1),ROW($AB1)&gt;14,SUM($AB1)&gt;0,SUM($V1)&gt;0)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V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4" topLeftCell="C15" activePane="bottomRight" state="frozen"/>
      <selection pane="topLeft" activeCell="A1" activeCellId="0" sqref="A1"/>
      <selection pane="topRight" activeCell="C1" activeCellId="0" sqref="C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81" width="16.16"/>
    <col collapsed="false" customWidth="true" hidden="false" outlineLevel="0" max="2" min="2" style="81" width="30.83"/>
    <col collapsed="false" customWidth="true" hidden="false" outlineLevel="0" max="3" min="3" style="210" width="11.83"/>
    <col collapsed="false" customWidth="true" hidden="false" outlineLevel="0" max="4" min="4" style="93" width="11.83"/>
    <col collapsed="false" customWidth="true" hidden="false" outlineLevel="0" max="5" min="5" style="297" width="11.83"/>
    <col collapsed="false" customWidth="true" hidden="false" outlineLevel="0" max="6" min="6" style="298" width="11.83"/>
    <col collapsed="false" customWidth="true" hidden="false" outlineLevel="0" max="8" min="7" style="90" width="11.83"/>
    <col collapsed="false" customWidth="true" hidden="false" outlineLevel="0" max="10" min="9" style="79" width="11.83"/>
    <col collapsed="false" customWidth="true" hidden="false" outlineLevel="0" max="11" min="11" style="210" width="11.83"/>
    <col collapsed="false" customWidth="true" hidden="false" outlineLevel="0" max="12" min="12" style="93" width="11.83"/>
    <col collapsed="false" customWidth="true" hidden="false" outlineLevel="0" max="13" min="13" style="297" width="11.83"/>
    <col collapsed="false" customWidth="true" hidden="false" outlineLevel="0" max="14" min="14" style="298" width="11.83"/>
    <col collapsed="false" customWidth="true" hidden="false" outlineLevel="0" max="16" min="15" style="90" width="11.83"/>
    <col collapsed="false" customWidth="true" hidden="false" outlineLevel="0" max="18" min="17" style="79" width="11.83"/>
    <col collapsed="false" customWidth="true" hidden="false" outlineLevel="0" max="19" min="19" style="210" width="11.83"/>
    <col collapsed="false" customWidth="true" hidden="false" outlineLevel="0" max="20" min="20" style="297" width="11.83"/>
    <col collapsed="false" customWidth="true" hidden="false" outlineLevel="0" max="21" min="21" style="298" width="11.83"/>
    <col collapsed="false" customWidth="true" hidden="false" outlineLevel="0" max="23" min="22" style="90" width="11.83"/>
    <col collapsed="false" customWidth="true" hidden="false" outlineLevel="0" max="25" min="24" style="79" width="11.83"/>
    <col collapsed="false" customWidth="true" hidden="false" outlineLevel="0" max="26" min="26" style="210" width="11.83"/>
    <col collapsed="false" customWidth="true" hidden="false" outlineLevel="0" max="27" min="27" style="297" width="11.83"/>
    <col collapsed="false" customWidth="true" hidden="false" outlineLevel="0" max="28" min="28" style="298" width="11.83"/>
    <col collapsed="false" customWidth="true" hidden="false" outlineLevel="0" max="30" min="29" style="90" width="11.83"/>
    <col collapsed="false" customWidth="true" hidden="false" outlineLevel="0" max="32" min="31" style="79" width="11.83"/>
    <col collapsed="false" customWidth="true" hidden="false" outlineLevel="0" max="33" min="33" style="210" width="11.83"/>
    <col collapsed="false" customWidth="true" hidden="false" outlineLevel="0" max="34" min="34" style="297" width="11.83"/>
    <col collapsed="false" customWidth="true" hidden="false" outlineLevel="0" max="35" min="35" style="298" width="11.83"/>
    <col collapsed="false" customWidth="true" hidden="false" outlineLevel="0" max="37" min="36" style="90" width="11.83"/>
    <col collapsed="false" customWidth="true" hidden="false" outlineLevel="0" max="39" min="38" style="79" width="11.83"/>
    <col collapsed="false" customWidth="true" hidden="false" outlineLevel="0" max="40" min="40" style="210" width="11.83"/>
    <col collapsed="false" customWidth="true" hidden="false" outlineLevel="0" max="41" min="41" style="297" width="11.83"/>
    <col collapsed="false" customWidth="true" hidden="false" outlineLevel="0" max="42" min="42" style="298" width="11.83"/>
    <col collapsed="false" customWidth="true" hidden="false" outlineLevel="0" max="44" min="43" style="90" width="11.83"/>
    <col collapsed="false" customWidth="true" hidden="false" outlineLevel="0" max="46" min="45" style="79" width="11.83"/>
    <col collapsed="false" customWidth="true" hidden="false" outlineLevel="0" max="47" min="47" style="210" width="11.83"/>
    <col collapsed="false" customWidth="true" hidden="false" outlineLevel="0" max="48" min="48" style="297" width="11.83"/>
    <col collapsed="false" customWidth="true" hidden="false" outlineLevel="0" max="49" min="49" style="298" width="11.83"/>
    <col collapsed="false" customWidth="true" hidden="false" outlineLevel="0" max="51" min="50" style="90" width="11.83"/>
    <col collapsed="false" customWidth="true" hidden="false" outlineLevel="0" max="53" min="52" style="79" width="11.83"/>
    <col collapsed="false" customWidth="true" hidden="false" outlineLevel="0" max="54" min="54" style="210" width="11.83"/>
    <col collapsed="false" customWidth="true" hidden="false" outlineLevel="0" max="55" min="55" style="297" width="11.83"/>
    <col collapsed="false" customWidth="true" hidden="false" outlineLevel="0" max="56" min="56" style="298" width="11.83"/>
    <col collapsed="false" customWidth="true" hidden="false" outlineLevel="0" max="58" min="57" style="90" width="11.83"/>
    <col collapsed="false" customWidth="true" hidden="false" outlineLevel="0" max="60" min="59" style="79" width="11.83"/>
    <col collapsed="false" customWidth="true" hidden="false" outlineLevel="0" max="61" min="61" style="210" width="11.83"/>
    <col collapsed="false" customWidth="true" hidden="false" outlineLevel="0" max="62" min="62" style="297" width="11.83"/>
    <col collapsed="false" customWidth="true" hidden="false" outlineLevel="0" max="63" min="63" style="298" width="11.83"/>
    <col collapsed="false" customWidth="true" hidden="false" outlineLevel="0" max="65" min="64" style="90" width="11.83"/>
    <col collapsed="false" customWidth="true" hidden="false" outlineLevel="0" max="67" min="66" style="79" width="11.83"/>
    <col collapsed="false" customWidth="true" hidden="false" outlineLevel="0" max="68" min="68" style="210" width="11.83"/>
    <col collapsed="false" customWidth="true" hidden="false" outlineLevel="0" max="69" min="69" style="297" width="11.83"/>
    <col collapsed="false" customWidth="true" hidden="false" outlineLevel="0" max="70" min="70" style="298" width="11.83"/>
    <col collapsed="false" customWidth="true" hidden="false" outlineLevel="0" max="72" min="71" style="90" width="11.83"/>
    <col collapsed="false" customWidth="true" hidden="false" outlineLevel="0" max="74" min="73" style="79" width="11.83"/>
    <col collapsed="false" customWidth="true" hidden="false" outlineLevel="0" max="1025" min="75" style="25" width="10.83"/>
  </cols>
  <sheetData>
    <row r="1" s="62" customFormat="true" ht="31" hidden="false" customHeight="true" outlineLevel="0" collapsed="false">
      <c r="A1" s="97" t="s">
        <v>1019</v>
      </c>
      <c r="B1" s="97"/>
      <c r="C1" s="108" t="s">
        <v>899</v>
      </c>
      <c r="D1" s="109"/>
      <c r="E1" s="299"/>
      <c r="F1" s="300"/>
      <c r="G1" s="109"/>
      <c r="H1" s="109"/>
      <c r="I1" s="100"/>
      <c r="J1" s="100"/>
      <c r="K1" s="108" t="s">
        <v>898</v>
      </c>
      <c r="L1" s="109"/>
      <c r="M1" s="299"/>
      <c r="N1" s="300"/>
      <c r="O1" s="109"/>
      <c r="P1" s="109"/>
      <c r="Q1" s="100"/>
      <c r="R1" s="100"/>
      <c r="S1" s="108" t="s">
        <v>24</v>
      </c>
      <c r="T1" s="299"/>
      <c r="U1" s="300"/>
      <c r="V1" s="109"/>
      <c r="W1" s="109"/>
      <c r="X1" s="100"/>
      <c r="Y1" s="100"/>
      <c r="Z1" s="108" t="s">
        <v>23</v>
      </c>
      <c r="AA1" s="299"/>
      <c r="AB1" s="300"/>
      <c r="AC1" s="109"/>
      <c r="AD1" s="109"/>
      <c r="AE1" s="100"/>
      <c r="AF1" s="100"/>
      <c r="AG1" s="108" t="s">
        <v>25</v>
      </c>
      <c r="AH1" s="299"/>
      <c r="AI1" s="300"/>
      <c r="AJ1" s="109"/>
      <c r="AK1" s="109"/>
      <c r="AL1" s="100"/>
      <c r="AM1" s="100"/>
      <c r="AN1" s="108" t="s">
        <v>26</v>
      </c>
      <c r="AO1" s="299"/>
      <c r="AP1" s="300"/>
      <c r="AQ1" s="109"/>
      <c r="AR1" s="109"/>
      <c r="AS1" s="100"/>
      <c r="AT1" s="100"/>
      <c r="AU1" s="108" t="s">
        <v>1020</v>
      </c>
      <c r="AV1" s="299"/>
      <c r="AW1" s="300"/>
      <c r="AX1" s="109"/>
      <c r="AY1" s="109"/>
      <c r="AZ1" s="100"/>
      <c r="BA1" s="100"/>
      <c r="BB1" s="108" t="s">
        <v>1021</v>
      </c>
      <c r="BC1" s="299"/>
      <c r="BD1" s="300"/>
      <c r="BE1" s="109"/>
      <c r="BF1" s="109"/>
      <c r="BG1" s="100"/>
      <c r="BH1" s="100"/>
      <c r="BI1" s="108" t="s">
        <v>660</v>
      </c>
      <c r="BJ1" s="299"/>
      <c r="BK1" s="300"/>
      <c r="BL1" s="109"/>
      <c r="BM1" s="109"/>
      <c r="BN1" s="100"/>
      <c r="BO1" s="100"/>
      <c r="BP1" s="108" t="s">
        <v>926</v>
      </c>
      <c r="BQ1" s="299"/>
      <c r="BR1" s="300"/>
      <c r="BS1" s="109"/>
      <c r="BT1" s="109"/>
      <c r="BU1" s="100"/>
      <c r="BV1" s="100"/>
    </row>
    <row r="2" s="137" customFormat="true" ht="19" hidden="false" customHeight="false" outlineLevel="0" collapsed="false">
      <c r="A2" s="118"/>
      <c r="B2" s="118"/>
      <c r="C2" s="221" t="s">
        <v>1022</v>
      </c>
      <c r="D2" s="132"/>
      <c r="E2" s="301"/>
      <c r="F2" s="302" t="s">
        <v>1023</v>
      </c>
      <c r="G2" s="129"/>
      <c r="H2" s="129"/>
      <c r="I2" s="303"/>
      <c r="J2" s="126"/>
      <c r="K2" s="221" t="s">
        <v>1022</v>
      </c>
      <c r="L2" s="132"/>
      <c r="M2" s="301"/>
      <c r="N2" s="302" t="s">
        <v>1023</v>
      </c>
      <c r="O2" s="129"/>
      <c r="P2" s="129"/>
      <c r="Q2" s="303"/>
      <c r="R2" s="126"/>
      <c r="S2" s="221" t="s">
        <v>1022</v>
      </c>
      <c r="T2" s="301"/>
      <c r="U2" s="302" t="s">
        <v>1023</v>
      </c>
      <c r="V2" s="129"/>
      <c r="W2" s="129"/>
      <c r="X2" s="303"/>
      <c r="Y2" s="126"/>
      <c r="Z2" s="221" t="s">
        <v>1022</v>
      </c>
      <c r="AA2" s="301"/>
      <c r="AB2" s="302" t="s">
        <v>1023</v>
      </c>
      <c r="AC2" s="129"/>
      <c r="AD2" s="129"/>
      <c r="AE2" s="303"/>
      <c r="AF2" s="126"/>
      <c r="AG2" s="221" t="s">
        <v>1022</v>
      </c>
      <c r="AH2" s="301"/>
      <c r="AI2" s="302" t="s">
        <v>1023</v>
      </c>
      <c r="AJ2" s="129"/>
      <c r="AK2" s="129"/>
      <c r="AL2" s="303"/>
      <c r="AM2" s="126"/>
      <c r="AN2" s="221" t="s">
        <v>1022</v>
      </c>
      <c r="AO2" s="301"/>
      <c r="AP2" s="302" t="s">
        <v>1023</v>
      </c>
      <c r="AQ2" s="129"/>
      <c r="AR2" s="129"/>
      <c r="AS2" s="303"/>
      <c r="AT2" s="126"/>
      <c r="AU2" s="221" t="s">
        <v>1022</v>
      </c>
      <c r="AV2" s="301"/>
      <c r="AW2" s="302" t="s">
        <v>1023</v>
      </c>
      <c r="AX2" s="129"/>
      <c r="AY2" s="129"/>
      <c r="AZ2" s="303"/>
      <c r="BA2" s="126"/>
      <c r="BB2" s="221" t="s">
        <v>1022</v>
      </c>
      <c r="BC2" s="301"/>
      <c r="BD2" s="302" t="s">
        <v>1023</v>
      </c>
      <c r="BE2" s="129"/>
      <c r="BF2" s="129"/>
      <c r="BG2" s="303"/>
      <c r="BH2" s="126"/>
      <c r="BI2" s="221" t="s">
        <v>1022</v>
      </c>
      <c r="BJ2" s="301"/>
      <c r="BK2" s="302" t="s">
        <v>1023</v>
      </c>
      <c r="BL2" s="129"/>
      <c r="BM2" s="129"/>
      <c r="BN2" s="303"/>
      <c r="BO2" s="126"/>
      <c r="BP2" s="221" t="s">
        <v>1022</v>
      </c>
      <c r="BQ2" s="301"/>
      <c r="BR2" s="302" t="s">
        <v>1023</v>
      </c>
      <c r="BS2" s="129"/>
      <c r="BT2" s="129"/>
      <c r="BU2" s="303"/>
      <c r="BV2" s="126"/>
    </row>
    <row r="3" customFormat="false" ht="117" hidden="false" customHeight="true" outlineLevel="0" collapsed="false">
      <c r="C3" s="241" t="s">
        <v>1024</v>
      </c>
      <c r="D3" s="225" t="s">
        <v>1025</v>
      </c>
      <c r="E3" s="304" t="s">
        <v>1026</v>
      </c>
      <c r="F3" s="305" t="s">
        <v>1027</v>
      </c>
      <c r="G3" s="225" t="s">
        <v>1028</v>
      </c>
      <c r="H3" s="225" t="s">
        <v>1029</v>
      </c>
      <c r="I3" s="225" t="s">
        <v>1030</v>
      </c>
      <c r="J3" s="225" t="s">
        <v>1031</v>
      </c>
      <c r="K3" s="241" t="s">
        <v>1024</v>
      </c>
      <c r="L3" s="225" t="s">
        <v>1025</v>
      </c>
      <c r="M3" s="304" t="s">
        <v>1026</v>
      </c>
      <c r="N3" s="305" t="s">
        <v>1027</v>
      </c>
      <c r="O3" s="225" t="s">
        <v>1028</v>
      </c>
      <c r="P3" s="225" t="s">
        <v>1029</v>
      </c>
      <c r="Q3" s="225" t="s">
        <v>1030</v>
      </c>
      <c r="R3" s="225" t="s">
        <v>1031</v>
      </c>
      <c r="S3" s="241" t="s">
        <v>1024</v>
      </c>
      <c r="T3" s="304" t="s">
        <v>1026</v>
      </c>
      <c r="U3" s="305" t="s">
        <v>1027</v>
      </c>
      <c r="V3" s="225" t="s">
        <v>1028</v>
      </c>
      <c r="W3" s="225" t="s">
        <v>1029</v>
      </c>
      <c r="X3" s="225" t="s">
        <v>1030</v>
      </c>
      <c r="Y3" s="225" t="s">
        <v>1031</v>
      </c>
      <c r="Z3" s="241" t="s">
        <v>1024</v>
      </c>
      <c r="AA3" s="304" t="s">
        <v>1026</v>
      </c>
      <c r="AB3" s="305" t="s">
        <v>1027</v>
      </c>
      <c r="AC3" s="225" t="s">
        <v>1028</v>
      </c>
      <c r="AD3" s="225" t="s">
        <v>1029</v>
      </c>
      <c r="AE3" s="225" t="s">
        <v>1030</v>
      </c>
      <c r="AF3" s="225" t="s">
        <v>1031</v>
      </c>
      <c r="AG3" s="241" t="s">
        <v>1024</v>
      </c>
      <c r="AH3" s="304" t="s">
        <v>1026</v>
      </c>
      <c r="AI3" s="305" t="s">
        <v>1027</v>
      </c>
      <c r="AJ3" s="225" t="s">
        <v>1028</v>
      </c>
      <c r="AK3" s="225" t="s">
        <v>1029</v>
      </c>
      <c r="AL3" s="225" t="s">
        <v>1030</v>
      </c>
      <c r="AM3" s="225" t="s">
        <v>1031</v>
      </c>
      <c r="AN3" s="241" t="s">
        <v>1024</v>
      </c>
      <c r="AO3" s="304" t="s">
        <v>1026</v>
      </c>
      <c r="AP3" s="305" t="s">
        <v>1027</v>
      </c>
      <c r="AQ3" s="225" t="s">
        <v>1028</v>
      </c>
      <c r="AR3" s="225" t="s">
        <v>1029</v>
      </c>
      <c r="AS3" s="225" t="s">
        <v>1030</v>
      </c>
      <c r="AT3" s="225" t="s">
        <v>1031</v>
      </c>
      <c r="AU3" s="241" t="s">
        <v>1024</v>
      </c>
      <c r="AV3" s="304" t="s">
        <v>1026</v>
      </c>
      <c r="AW3" s="305" t="s">
        <v>1027</v>
      </c>
      <c r="AX3" s="225" t="s">
        <v>1028</v>
      </c>
      <c r="AY3" s="225" t="s">
        <v>1029</v>
      </c>
      <c r="AZ3" s="225" t="s">
        <v>1030</v>
      </c>
      <c r="BA3" s="225" t="s">
        <v>1031</v>
      </c>
      <c r="BB3" s="241" t="s">
        <v>1024</v>
      </c>
      <c r="BC3" s="304" t="s">
        <v>1026</v>
      </c>
      <c r="BD3" s="305" t="s">
        <v>1027</v>
      </c>
      <c r="BE3" s="225" t="s">
        <v>1028</v>
      </c>
      <c r="BF3" s="225" t="s">
        <v>1029</v>
      </c>
      <c r="BG3" s="225" t="s">
        <v>1030</v>
      </c>
      <c r="BH3" s="225" t="s">
        <v>1031</v>
      </c>
      <c r="BI3" s="241" t="s">
        <v>1024</v>
      </c>
      <c r="BJ3" s="304" t="s">
        <v>1026</v>
      </c>
      <c r="BK3" s="305" t="s">
        <v>1027</v>
      </c>
      <c r="BL3" s="225" t="s">
        <v>1028</v>
      </c>
      <c r="BM3" s="225" t="s">
        <v>1029</v>
      </c>
      <c r="BN3" s="225" t="s">
        <v>1030</v>
      </c>
      <c r="BO3" s="225" t="s">
        <v>1031</v>
      </c>
      <c r="BP3" s="241" t="s">
        <v>1024</v>
      </c>
      <c r="BQ3" s="304" t="s">
        <v>1026</v>
      </c>
      <c r="BR3" s="305" t="s">
        <v>1027</v>
      </c>
      <c r="BS3" s="225" t="s">
        <v>1028</v>
      </c>
      <c r="BT3" s="225" t="s">
        <v>1029</v>
      </c>
      <c r="BU3" s="225" t="s">
        <v>1030</v>
      </c>
      <c r="BV3" s="225" t="s">
        <v>1031</v>
      </c>
    </row>
    <row r="4" customFormat="false" ht="16" hidden="false" customHeight="false" outlineLevel="0" collapsed="false">
      <c r="A4" s="165"/>
      <c r="B4" s="165" t="s">
        <v>59</v>
      </c>
      <c r="C4" s="242" t="n">
        <f aca="false">SUBTOTAL(109,C$15:INDEX(C:C,COUNTA($B:$B)+14-COUNTA($B$1:$B$14)))</f>
        <v>0</v>
      </c>
      <c r="D4" s="178" t="n">
        <f aca="false">SUBTOTAL(109,D$15:INDEX(D:D,COUNTA($B:$B)+14-COUNTA($B$1:$B$14)))</f>
        <v>0</v>
      </c>
      <c r="E4" s="306" t="n">
        <f aca="false">SUBTOTAL(109,E$15:INDEX(E:E,COUNTA($B:$B)+14-COUNTA($B$1:$B$14)))</f>
        <v>0</v>
      </c>
      <c r="F4" s="307" t="n">
        <f aca="false">SUBTOTAL(109,F$15:INDEX(F:F,COUNTA($B:$B)+14-COUNTA($B$1:$B$14)))</f>
        <v>0</v>
      </c>
      <c r="G4" s="174" t="n">
        <f aca="false">SUBTOTAL(109,G$15:INDEX(G:G,COUNTA($B:$B)+14-COUNTA($B$1:$B$14)))</f>
        <v>0</v>
      </c>
      <c r="H4" s="174" t="n">
        <f aca="false">SUBTOTAL(109,H$15:INDEX(H:H,COUNTA($B:$B)+14-COUNTA($B$1:$B$14)))</f>
        <v>0</v>
      </c>
      <c r="I4" s="175" t="n">
        <f aca="false">SUBTOTAL(109,I$15:INDEX(I:I,COUNTA($B:$B)+14-COUNTA($B$1:$B$14)))</f>
        <v>0</v>
      </c>
      <c r="J4" s="175" t="n">
        <f aca="false">SUBTOTAL(109,J$15:INDEX(J:J,COUNTA($B:$B)+14-COUNTA($B$1:$B$14)))</f>
        <v>0</v>
      </c>
      <c r="K4" s="242" t="n">
        <f aca="false">SUBTOTAL(109,K$15:INDEX(K:K,COUNTA($B:$B)+14-COUNTA($B$1:$B$14)))</f>
        <v>0</v>
      </c>
      <c r="L4" s="178" t="n">
        <f aca="false">SUBTOTAL(109,L$15:INDEX(L:L,COUNTA($B:$B)+14-COUNTA($B$1:$B$14)))</f>
        <v>0</v>
      </c>
      <c r="M4" s="306" t="n">
        <f aca="false">SUBTOTAL(109,M$15:INDEX(M:M,COUNTA($B:$B)+14-COUNTA($B$1:$B$14)))</f>
        <v>0</v>
      </c>
      <c r="N4" s="307" t="n">
        <f aca="false">SUBTOTAL(109,N$15:INDEX(N:N,COUNTA($B:$B)+14-COUNTA($B$1:$B$14)))</f>
        <v>0</v>
      </c>
      <c r="O4" s="174" t="n">
        <f aca="false">SUBTOTAL(109,O$15:INDEX(O:O,COUNTA($B:$B)+14-COUNTA($B$1:$B$14)))</f>
        <v>0</v>
      </c>
      <c r="P4" s="174" t="n">
        <f aca="false">SUBTOTAL(109,P$15:INDEX(P:P,COUNTA($B:$B)+14-COUNTA($B$1:$B$14)))</f>
        <v>0</v>
      </c>
      <c r="Q4" s="175" t="n">
        <f aca="false">SUBTOTAL(109,Q$15:INDEX(Q:Q,COUNTA($B:$B)+14-COUNTA($B$1:$B$14)))</f>
        <v>0</v>
      </c>
      <c r="R4" s="175" t="n">
        <f aca="false">SUBTOTAL(109,R$15:INDEX(R:R,COUNTA($B:$B)+14-COUNTA($B$1:$B$14)))</f>
        <v>0</v>
      </c>
      <c r="S4" s="242" t="n">
        <f aca="false">SUBTOTAL(109,S$15:INDEX(S:S,COUNTA($B:$B)+14-COUNTA($B$1:$B$14)))</f>
        <v>0</v>
      </c>
      <c r="T4" s="306" t="n">
        <f aca="false">SUBTOTAL(109,T$15:INDEX(T:T,COUNTA($B:$B)+14-COUNTA($B$1:$B$14)))</f>
        <v>0</v>
      </c>
      <c r="U4" s="307" t="n">
        <f aca="false">SUBTOTAL(109,U$15:INDEX(U:U,COUNTA($B:$B)+14-COUNTA($B$1:$B$14)))</f>
        <v>0</v>
      </c>
      <c r="V4" s="174" t="n">
        <f aca="false">SUBTOTAL(109,V$15:INDEX(V:V,COUNTA($B:$B)+14-COUNTA($B$1:$B$14)))</f>
        <v>0</v>
      </c>
      <c r="W4" s="174" t="n">
        <f aca="false">SUBTOTAL(109,W$15:INDEX(W:W,COUNTA($B:$B)+14-COUNTA($B$1:$B$14)))</f>
        <v>0</v>
      </c>
      <c r="X4" s="175" t="n">
        <f aca="false">SUBTOTAL(109,X$15:INDEX(X:X,COUNTA($B:$B)+14-COUNTA($B$1:$B$14)))</f>
        <v>0</v>
      </c>
      <c r="Y4" s="175" t="n">
        <f aca="false">SUBTOTAL(109,Y$15:INDEX(Y:Y,COUNTA($B:$B)+14-COUNTA($B$1:$B$14)))</f>
        <v>0</v>
      </c>
      <c r="Z4" s="242" t="n">
        <f aca="false">SUBTOTAL(109,Z$15:INDEX(Z:Z,COUNTA($B:$B)+14-COUNTA($B$1:$B$14)))</f>
        <v>0</v>
      </c>
      <c r="AA4" s="306" t="n">
        <f aca="false">SUBTOTAL(109,AA$15:INDEX(AA:AA,COUNTA($B:$B)+14-COUNTA($B$1:$B$14)))</f>
        <v>0</v>
      </c>
      <c r="AB4" s="307" t="n">
        <f aca="false">SUBTOTAL(109,AB$15:INDEX(AB:AB,COUNTA($B:$B)+14-COUNTA($B$1:$B$14)))</f>
        <v>0</v>
      </c>
      <c r="AC4" s="174" t="n">
        <f aca="false">SUBTOTAL(109,AC$15:INDEX(AC:AC,COUNTA($B:$B)+14-COUNTA($B$1:$B$14)))</f>
        <v>0</v>
      </c>
      <c r="AD4" s="174" t="n">
        <f aca="false">SUBTOTAL(109,AD$15:INDEX(AD:AD,COUNTA($B:$B)+14-COUNTA($B$1:$B$14)))</f>
        <v>0</v>
      </c>
      <c r="AE4" s="175" t="n">
        <f aca="false">SUBTOTAL(109,AE$15:INDEX(AE:AE,COUNTA($B:$B)+14-COUNTA($B$1:$B$14)))</f>
        <v>0</v>
      </c>
      <c r="AF4" s="175" t="n">
        <f aca="false">SUBTOTAL(109,AF$15:INDEX(AF:AF,COUNTA($B:$B)+14-COUNTA($B$1:$B$14)))</f>
        <v>0</v>
      </c>
      <c r="AG4" s="242" t="n">
        <f aca="false">SUBTOTAL(109,AG$15:INDEX(AG:AG,COUNTA($B:$B)+14-COUNTA($B$1:$B$14)))</f>
        <v>0</v>
      </c>
      <c r="AH4" s="306" t="n">
        <f aca="false">SUBTOTAL(109,AH$15:INDEX(AH:AH,COUNTA($B:$B)+14-COUNTA($B$1:$B$14)))</f>
        <v>0</v>
      </c>
      <c r="AI4" s="307" t="n">
        <f aca="false">SUBTOTAL(109,AI$15:INDEX(AI:AI,COUNTA($B:$B)+14-COUNTA($B$1:$B$14)))</f>
        <v>0</v>
      </c>
      <c r="AJ4" s="174" t="n">
        <f aca="false">SUBTOTAL(109,AJ$15:INDEX(AJ:AJ,COUNTA($B:$B)+14-COUNTA($B$1:$B$14)))</f>
        <v>0</v>
      </c>
      <c r="AK4" s="174" t="n">
        <f aca="false">SUBTOTAL(109,AK$15:INDEX(AK:AK,COUNTA($B:$B)+14-COUNTA($B$1:$B$14)))</f>
        <v>0</v>
      </c>
      <c r="AL4" s="175" t="n">
        <f aca="false">SUBTOTAL(109,AL$15:INDEX(AL:AL,COUNTA($B:$B)+14-COUNTA($B$1:$B$14)))</f>
        <v>0</v>
      </c>
      <c r="AM4" s="175" t="n">
        <f aca="false">SUBTOTAL(109,AM$15:INDEX(AM:AM,COUNTA($B:$B)+14-COUNTA($B$1:$B$14)))</f>
        <v>0</v>
      </c>
      <c r="AN4" s="242" t="n">
        <f aca="false">SUBTOTAL(109,AN$15:INDEX(AN:AN,COUNTA($B:$B)+14-COUNTA($B$1:$B$14)))</f>
        <v>0</v>
      </c>
      <c r="AO4" s="306" t="n">
        <f aca="false">SUBTOTAL(109,AO$15:INDEX(AO:AO,COUNTA($B:$B)+14-COUNTA($B$1:$B$14)))</f>
        <v>0</v>
      </c>
      <c r="AP4" s="307" t="n">
        <f aca="false">SUBTOTAL(109,AP$15:INDEX(AP:AP,COUNTA($B:$B)+14-COUNTA($B$1:$B$14)))</f>
        <v>0</v>
      </c>
      <c r="AQ4" s="174" t="n">
        <f aca="false">SUBTOTAL(109,AQ$15:INDEX(AQ:AQ,COUNTA($B:$B)+14-COUNTA($B$1:$B$14)))</f>
        <v>0</v>
      </c>
      <c r="AR4" s="174" t="n">
        <f aca="false">SUBTOTAL(109,AR$15:INDEX(AR:AR,COUNTA($B:$B)+14-COUNTA($B$1:$B$14)))</f>
        <v>0</v>
      </c>
      <c r="AS4" s="175" t="n">
        <f aca="false">SUBTOTAL(109,AS$15:INDEX(AS:AS,COUNTA($B:$B)+14-COUNTA($B$1:$B$14)))</f>
        <v>0</v>
      </c>
      <c r="AT4" s="175" t="n">
        <f aca="false">SUBTOTAL(109,AT$15:INDEX(AT:AT,COUNTA($B:$B)+14-COUNTA($B$1:$B$14)))</f>
        <v>0</v>
      </c>
      <c r="AU4" s="242" t="n">
        <f aca="false">SUBTOTAL(109,AU$15:INDEX(AU:AU,COUNTA($B:$B)+14-COUNTA($B$1:$B$14)))</f>
        <v>0</v>
      </c>
      <c r="AV4" s="306" t="n">
        <f aca="false">SUBTOTAL(109,AV$15:INDEX(AV:AV,COUNTA($B:$B)+14-COUNTA($B$1:$B$14)))</f>
        <v>0</v>
      </c>
      <c r="AW4" s="307" t="n">
        <f aca="false">SUBTOTAL(109,AW$15:INDEX(AW:AW,COUNTA($B:$B)+14-COUNTA($B$1:$B$14)))</f>
        <v>0</v>
      </c>
      <c r="AX4" s="174" t="n">
        <f aca="false">SUBTOTAL(109,AX$15:INDEX(AX:AX,COUNTA($B:$B)+14-COUNTA($B$1:$B$14)))</f>
        <v>0</v>
      </c>
      <c r="AY4" s="174" t="n">
        <f aca="false">SUBTOTAL(109,AY$15:INDEX(AY:AY,COUNTA($B:$B)+14-COUNTA($B$1:$B$14)))</f>
        <v>0</v>
      </c>
      <c r="AZ4" s="175" t="n">
        <f aca="false">SUBTOTAL(109,AZ$15:INDEX(AZ:AZ,COUNTA($B:$B)+14-COUNTA($B$1:$B$14)))</f>
        <v>0</v>
      </c>
      <c r="BA4" s="175" t="n">
        <f aca="false">SUBTOTAL(109,BA$15:INDEX(BA:BA,COUNTA($B:$B)+14-COUNTA($B$1:$B$14)))</f>
        <v>0</v>
      </c>
      <c r="BB4" s="242" t="n">
        <f aca="false">SUBTOTAL(109,BB$15:INDEX(BB:BB,COUNTA($B:$B)+14-COUNTA($B$1:$B$14)))</f>
        <v>0</v>
      </c>
      <c r="BC4" s="306" t="n">
        <f aca="false">SUBTOTAL(109,BC$15:INDEX(BC:BC,COUNTA($B:$B)+14-COUNTA($B$1:$B$14)))</f>
        <v>0</v>
      </c>
      <c r="BD4" s="307" t="n">
        <f aca="false">SUBTOTAL(109,BD$15:INDEX(BD:BD,COUNTA($B:$B)+14-COUNTA($B$1:$B$14)))</f>
        <v>0</v>
      </c>
      <c r="BE4" s="174" t="n">
        <f aca="false">SUBTOTAL(109,BE$15:INDEX(BE:BE,COUNTA($B:$B)+14-COUNTA($B$1:$B$14)))</f>
        <v>0</v>
      </c>
      <c r="BF4" s="174" t="n">
        <f aca="false">SUBTOTAL(109,BF$15:INDEX(BF:BF,COUNTA($B:$B)+14-COUNTA($B$1:$B$14)))</f>
        <v>0</v>
      </c>
      <c r="BG4" s="175" t="n">
        <f aca="false">SUBTOTAL(109,BG$15:INDEX(BG:BG,COUNTA($B:$B)+14-COUNTA($B$1:$B$14)))</f>
        <v>0</v>
      </c>
      <c r="BH4" s="175" t="n">
        <f aca="false">SUBTOTAL(109,BH$15:INDEX(BH:BH,COUNTA($B:$B)+14-COUNTA($B$1:$B$14)))</f>
        <v>0</v>
      </c>
      <c r="BI4" s="242" t="n">
        <f aca="false">SUBTOTAL(109,BI$15:INDEX(BI:BI,COUNTA($B:$B)+14-COUNTA($B$1:$B$14)))</f>
        <v>0</v>
      </c>
      <c r="BJ4" s="306" t="n">
        <f aca="false">SUBTOTAL(109,BJ$15:INDEX(BJ:BJ,COUNTA($B:$B)+14-COUNTA($B$1:$B$14)))</f>
        <v>0</v>
      </c>
      <c r="BK4" s="307" t="n">
        <f aca="false">SUBTOTAL(109,BK$15:INDEX(BK:BK,COUNTA($B:$B)+14-COUNTA($B$1:$B$14)))</f>
        <v>0</v>
      </c>
      <c r="BL4" s="174" t="n">
        <f aca="false">SUBTOTAL(109,BL$15:INDEX(BL:BL,COUNTA($B:$B)+14-COUNTA($B$1:$B$14)))</f>
        <v>0</v>
      </c>
      <c r="BM4" s="174" t="n">
        <f aca="false">SUBTOTAL(109,BM$15:INDEX(BM:BM,COUNTA($B:$B)+14-COUNTA($B$1:$B$14)))</f>
        <v>0</v>
      </c>
      <c r="BN4" s="175" t="n">
        <f aca="false">SUBTOTAL(109,BN$15:INDEX(BN:BN,COUNTA($B:$B)+14-COUNTA($B$1:$B$14)))</f>
        <v>0</v>
      </c>
      <c r="BO4" s="175" t="n">
        <f aca="false">SUBTOTAL(109,BO$15:INDEX(BO:BO,COUNTA($B:$B)+14-COUNTA($B$1:$B$14)))</f>
        <v>0</v>
      </c>
      <c r="BP4" s="242" t="n">
        <f aca="false">SUBTOTAL(109,BP$15:INDEX(BP:BP,COUNTA($B:$B)+14-COUNTA($B$1:$B$14)))</f>
        <v>0</v>
      </c>
      <c r="BQ4" s="306" t="n">
        <f aca="false">SUBTOTAL(109,BQ$15:INDEX(BQ:BQ,COUNTA($B:$B)+14-COUNTA($B$1:$B$14)))</f>
        <v>0</v>
      </c>
      <c r="BR4" s="307" t="n">
        <f aca="false">SUBTOTAL(109,BR$15:INDEX(BR:BR,COUNTA($B:$B)+14-COUNTA($B$1:$B$14)))</f>
        <v>0</v>
      </c>
      <c r="BS4" s="174" t="n">
        <f aca="false">SUBTOTAL(109,BS$15:INDEX(BS:BS,COUNTA($B:$B)+14-COUNTA($B$1:$B$14)))</f>
        <v>0</v>
      </c>
      <c r="BT4" s="174" t="n">
        <f aca="false">SUBTOTAL(109,BT$15:INDEX(BT:BT,COUNTA($B:$B)+14-COUNTA($B$1:$B$14)))</f>
        <v>0</v>
      </c>
      <c r="BU4" s="175" t="n">
        <f aca="false">SUBTOTAL(109,BU$15:INDEX(BU:BU,COUNTA($B:$B)+14-COUNTA($B$1:$B$14)))</f>
        <v>0</v>
      </c>
      <c r="BV4" s="175" t="n">
        <f aca="false">SUBTOTAL(109,BV$15:INDEX(BV:BV,COUNTA($B:$B)+14-COUNTA($B$1:$B$14)))</f>
        <v>0</v>
      </c>
    </row>
    <row r="5" customFormat="false" ht="16" hidden="false" customHeight="false" outlineLevel="0" collapsed="false">
      <c r="A5" s="81" t="s">
        <v>60</v>
      </c>
      <c r="B5" s="81" t="s">
        <v>60</v>
      </c>
      <c r="C5" s="210" t="s">
        <v>60</v>
      </c>
      <c r="D5" s="93" t="s">
        <v>60</v>
      </c>
      <c r="E5" s="297" t="s">
        <v>60</v>
      </c>
      <c r="F5" s="298" t="s">
        <v>60</v>
      </c>
      <c r="G5" s="90" t="s">
        <v>60</v>
      </c>
      <c r="H5" s="90" t="s">
        <v>60</v>
      </c>
      <c r="I5" s="79" t="s">
        <v>60</v>
      </c>
      <c r="J5" s="79" t="s">
        <v>60</v>
      </c>
      <c r="K5" s="210" t="s">
        <v>60</v>
      </c>
      <c r="L5" s="93" t="s">
        <v>60</v>
      </c>
      <c r="M5" s="297" t="s">
        <v>60</v>
      </c>
      <c r="N5" s="298" t="s">
        <v>60</v>
      </c>
      <c r="O5" s="90" t="s">
        <v>60</v>
      </c>
      <c r="P5" s="90" t="s">
        <v>60</v>
      </c>
      <c r="Q5" s="79" t="s">
        <v>60</v>
      </c>
      <c r="R5" s="79" t="s">
        <v>60</v>
      </c>
      <c r="S5" s="210" t="s">
        <v>60</v>
      </c>
      <c r="T5" s="297" t="s">
        <v>60</v>
      </c>
      <c r="U5" s="298" t="s">
        <v>60</v>
      </c>
      <c r="V5" s="90" t="s">
        <v>60</v>
      </c>
      <c r="W5" s="90" t="s">
        <v>60</v>
      </c>
      <c r="X5" s="79" t="s">
        <v>60</v>
      </c>
      <c r="Y5" s="79" t="s">
        <v>60</v>
      </c>
      <c r="Z5" s="210" t="s">
        <v>60</v>
      </c>
      <c r="AA5" s="297" t="s">
        <v>60</v>
      </c>
      <c r="AB5" s="298" t="s">
        <v>60</v>
      </c>
      <c r="AC5" s="90" t="s">
        <v>60</v>
      </c>
      <c r="AD5" s="90" t="s">
        <v>60</v>
      </c>
      <c r="AE5" s="79" t="s">
        <v>60</v>
      </c>
      <c r="AF5" s="79" t="s">
        <v>60</v>
      </c>
      <c r="AG5" s="210" t="s">
        <v>60</v>
      </c>
      <c r="AH5" s="297" t="s">
        <v>60</v>
      </c>
      <c r="AI5" s="298" t="s">
        <v>60</v>
      </c>
      <c r="AJ5" s="90" t="s">
        <v>60</v>
      </c>
      <c r="AK5" s="90" t="s">
        <v>60</v>
      </c>
      <c r="AL5" s="79" t="s">
        <v>60</v>
      </c>
      <c r="AM5" s="79" t="s">
        <v>60</v>
      </c>
      <c r="AN5" s="210" t="s">
        <v>60</v>
      </c>
      <c r="AO5" s="297" t="s">
        <v>60</v>
      </c>
      <c r="AP5" s="298" t="s">
        <v>60</v>
      </c>
      <c r="AQ5" s="90" t="s">
        <v>60</v>
      </c>
      <c r="AR5" s="90" t="s">
        <v>60</v>
      </c>
      <c r="AS5" s="79" t="s">
        <v>60</v>
      </c>
      <c r="AT5" s="79" t="s">
        <v>60</v>
      </c>
      <c r="AU5" s="210" t="s">
        <v>60</v>
      </c>
      <c r="AV5" s="297" t="s">
        <v>60</v>
      </c>
      <c r="AW5" s="298" t="s">
        <v>60</v>
      </c>
      <c r="AX5" s="90" t="s">
        <v>60</v>
      </c>
      <c r="AY5" s="90" t="s">
        <v>60</v>
      </c>
      <c r="AZ5" s="79" t="s">
        <v>60</v>
      </c>
      <c r="BA5" s="79" t="s">
        <v>60</v>
      </c>
      <c r="BB5" s="210" t="s">
        <v>60</v>
      </c>
      <c r="BC5" s="297" t="s">
        <v>60</v>
      </c>
      <c r="BD5" s="298" t="s">
        <v>60</v>
      </c>
      <c r="BE5" s="90" t="s">
        <v>60</v>
      </c>
      <c r="BF5" s="90" t="s">
        <v>60</v>
      </c>
      <c r="BG5" s="79" t="s">
        <v>60</v>
      </c>
      <c r="BH5" s="79" t="s">
        <v>60</v>
      </c>
      <c r="BI5" s="210" t="s">
        <v>60</v>
      </c>
      <c r="BJ5" s="297" t="s">
        <v>60</v>
      </c>
      <c r="BK5" s="298" t="s">
        <v>60</v>
      </c>
      <c r="BL5" s="90" t="s">
        <v>60</v>
      </c>
      <c r="BM5" s="90" t="s">
        <v>60</v>
      </c>
      <c r="BN5" s="79" t="s">
        <v>60</v>
      </c>
      <c r="BO5" s="79" t="s">
        <v>60</v>
      </c>
      <c r="BP5" s="210" t="s">
        <v>60</v>
      </c>
      <c r="BQ5" s="297" t="s">
        <v>60</v>
      </c>
      <c r="BR5" s="298" t="s">
        <v>60</v>
      </c>
      <c r="BS5" s="90" t="s">
        <v>60</v>
      </c>
      <c r="BT5" s="90" t="s">
        <v>60</v>
      </c>
      <c r="BU5" s="79" t="s">
        <v>60</v>
      </c>
      <c r="BV5" s="79" t="s">
        <v>60</v>
      </c>
    </row>
    <row r="6" customFormat="false" ht="16" hidden="false" customHeight="false" outlineLevel="0" collapsed="false">
      <c r="A6" s="81" t="s">
        <v>62</v>
      </c>
      <c r="B6" s="81" t="s">
        <v>62</v>
      </c>
      <c r="C6" s="210" t="s">
        <v>65</v>
      </c>
      <c r="D6" s="93" t="s">
        <v>65</v>
      </c>
      <c r="E6" s="297" t="s">
        <v>65</v>
      </c>
      <c r="F6" s="298" t="s">
        <v>65</v>
      </c>
      <c r="G6" s="90" t="s">
        <v>65</v>
      </c>
      <c r="H6" s="90" t="s">
        <v>65</v>
      </c>
      <c r="I6" s="79" t="s">
        <v>65</v>
      </c>
      <c r="J6" s="79" t="s">
        <v>65</v>
      </c>
      <c r="K6" s="210" t="s">
        <v>65</v>
      </c>
      <c r="L6" s="93" t="s">
        <v>65</v>
      </c>
      <c r="M6" s="297" t="s">
        <v>65</v>
      </c>
      <c r="N6" s="298" t="s">
        <v>65</v>
      </c>
      <c r="O6" s="90" t="s">
        <v>65</v>
      </c>
      <c r="P6" s="90" t="s">
        <v>65</v>
      </c>
      <c r="Q6" s="79" t="s">
        <v>65</v>
      </c>
      <c r="R6" s="79" t="s">
        <v>65</v>
      </c>
      <c r="S6" s="210" t="s">
        <v>65</v>
      </c>
      <c r="T6" s="297" t="s">
        <v>65</v>
      </c>
      <c r="U6" s="298" t="s">
        <v>65</v>
      </c>
      <c r="V6" s="90" t="s">
        <v>65</v>
      </c>
      <c r="W6" s="90" t="s">
        <v>65</v>
      </c>
      <c r="X6" s="79" t="s">
        <v>65</v>
      </c>
      <c r="Y6" s="79" t="s">
        <v>65</v>
      </c>
      <c r="Z6" s="210" t="s">
        <v>65</v>
      </c>
      <c r="AA6" s="297" t="s">
        <v>65</v>
      </c>
      <c r="AB6" s="298" t="s">
        <v>65</v>
      </c>
      <c r="AC6" s="90" t="s">
        <v>65</v>
      </c>
      <c r="AD6" s="90" t="s">
        <v>65</v>
      </c>
      <c r="AE6" s="79" t="s">
        <v>65</v>
      </c>
      <c r="AF6" s="79" t="s">
        <v>65</v>
      </c>
      <c r="AG6" s="210" t="s">
        <v>65</v>
      </c>
      <c r="AH6" s="297" t="s">
        <v>65</v>
      </c>
      <c r="AI6" s="298" t="s">
        <v>65</v>
      </c>
      <c r="AJ6" s="90" t="s">
        <v>65</v>
      </c>
      <c r="AK6" s="90" t="s">
        <v>65</v>
      </c>
      <c r="AL6" s="79" t="s">
        <v>65</v>
      </c>
      <c r="AM6" s="79" t="s">
        <v>65</v>
      </c>
      <c r="AN6" s="210" t="s">
        <v>65</v>
      </c>
      <c r="AO6" s="297" t="s">
        <v>65</v>
      </c>
      <c r="AP6" s="298" t="s">
        <v>65</v>
      </c>
      <c r="AQ6" s="90" t="s">
        <v>65</v>
      </c>
      <c r="AR6" s="90" t="s">
        <v>65</v>
      </c>
      <c r="AS6" s="79" t="s">
        <v>65</v>
      </c>
      <c r="AT6" s="79" t="s">
        <v>65</v>
      </c>
      <c r="AU6" s="210" t="s">
        <v>65</v>
      </c>
      <c r="AV6" s="297" t="s">
        <v>65</v>
      </c>
      <c r="AW6" s="298" t="s">
        <v>65</v>
      </c>
      <c r="AX6" s="90" t="s">
        <v>65</v>
      </c>
      <c r="AY6" s="90" t="s">
        <v>65</v>
      </c>
      <c r="AZ6" s="79" t="s">
        <v>65</v>
      </c>
      <c r="BA6" s="79" t="s">
        <v>65</v>
      </c>
      <c r="BB6" s="210" t="s">
        <v>65</v>
      </c>
      <c r="BC6" s="297" t="s">
        <v>65</v>
      </c>
      <c r="BD6" s="298" t="s">
        <v>65</v>
      </c>
      <c r="BE6" s="90" t="s">
        <v>65</v>
      </c>
      <c r="BF6" s="90" t="s">
        <v>65</v>
      </c>
      <c r="BG6" s="79" t="s">
        <v>65</v>
      </c>
      <c r="BH6" s="79" t="s">
        <v>65</v>
      </c>
      <c r="BI6" s="210" t="s">
        <v>65</v>
      </c>
      <c r="BJ6" s="297" t="s">
        <v>65</v>
      </c>
      <c r="BK6" s="298" t="s">
        <v>65</v>
      </c>
      <c r="BL6" s="90" t="s">
        <v>65</v>
      </c>
      <c r="BM6" s="90" t="s">
        <v>65</v>
      </c>
      <c r="BN6" s="79" t="s">
        <v>65</v>
      </c>
      <c r="BO6" s="79" t="s">
        <v>65</v>
      </c>
      <c r="BP6" s="210" t="s">
        <v>65</v>
      </c>
      <c r="BQ6" s="297" t="s">
        <v>65</v>
      </c>
      <c r="BR6" s="298" t="s">
        <v>65</v>
      </c>
      <c r="BS6" s="90" t="s">
        <v>65</v>
      </c>
      <c r="BT6" s="90" t="s">
        <v>65</v>
      </c>
      <c r="BU6" s="79" t="s">
        <v>65</v>
      </c>
      <c r="BV6" s="79" t="s">
        <v>65</v>
      </c>
    </row>
    <row r="7" customFormat="false" ht="16" hidden="false" customHeight="false" outlineLevel="0" collapsed="false">
      <c r="A7" s="81" t="s">
        <v>66</v>
      </c>
      <c r="B7" s="81" t="s">
        <v>66</v>
      </c>
      <c r="C7" s="210" t="s">
        <v>67</v>
      </c>
      <c r="D7" s="93" t="s">
        <v>67</v>
      </c>
      <c r="E7" s="297" t="s">
        <v>67</v>
      </c>
      <c r="F7" s="298" t="s">
        <v>67</v>
      </c>
      <c r="G7" s="90" t="s">
        <v>67</v>
      </c>
      <c r="H7" s="90" t="s">
        <v>67</v>
      </c>
      <c r="I7" s="79" t="s">
        <v>67</v>
      </c>
      <c r="J7" s="79" t="s">
        <v>67</v>
      </c>
      <c r="K7" s="210" t="s">
        <v>67</v>
      </c>
      <c r="L7" s="93" t="s">
        <v>67</v>
      </c>
      <c r="M7" s="297" t="s">
        <v>67</v>
      </c>
      <c r="N7" s="298" t="s">
        <v>67</v>
      </c>
      <c r="O7" s="90" t="s">
        <v>67</v>
      </c>
      <c r="P7" s="90" t="s">
        <v>67</v>
      </c>
      <c r="Q7" s="79" t="s">
        <v>67</v>
      </c>
      <c r="R7" s="79" t="s">
        <v>67</v>
      </c>
      <c r="S7" s="210" t="s">
        <v>67</v>
      </c>
      <c r="T7" s="297" t="s">
        <v>67</v>
      </c>
      <c r="U7" s="298" t="s">
        <v>67</v>
      </c>
      <c r="V7" s="90" t="s">
        <v>67</v>
      </c>
      <c r="W7" s="90" t="s">
        <v>67</v>
      </c>
      <c r="X7" s="79" t="s">
        <v>67</v>
      </c>
      <c r="Y7" s="79" t="s">
        <v>67</v>
      </c>
      <c r="Z7" s="210" t="s">
        <v>67</v>
      </c>
      <c r="AA7" s="297" t="s">
        <v>67</v>
      </c>
      <c r="AB7" s="298" t="s">
        <v>67</v>
      </c>
      <c r="AC7" s="90" t="s">
        <v>67</v>
      </c>
      <c r="AD7" s="90" t="s">
        <v>67</v>
      </c>
      <c r="AE7" s="79" t="s">
        <v>67</v>
      </c>
      <c r="AF7" s="79" t="s">
        <v>67</v>
      </c>
      <c r="AG7" s="210" t="s">
        <v>67</v>
      </c>
      <c r="AH7" s="297" t="s">
        <v>67</v>
      </c>
      <c r="AI7" s="298" t="s">
        <v>67</v>
      </c>
      <c r="AJ7" s="90" t="s">
        <v>67</v>
      </c>
      <c r="AK7" s="90" t="s">
        <v>67</v>
      </c>
      <c r="AL7" s="79" t="s">
        <v>67</v>
      </c>
      <c r="AM7" s="79" t="s">
        <v>67</v>
      </c>
      <c r="AN7" s="210" t="s">
        <v>67</v>
      </c>
      <c r="AO7" s="297" t="s">
        <v>67</v>
      </c>
      <c r="AP7" s="298" t="s">
        <v>67</v>
      </c>
      <c r="AQ7" s="90" t="s">
        <v>67</v>
      </c>
      <c r="AR7" s="90" t="s">
        <v>67</v>
      </c>
      <c r="AS7" s="79" t="s">
        <v>67</v>
      </c>
      <c r="AT7" s="79" t="s">
        <v>67</v>
      </c>
      <c r="AU7" s="210" t="s">
        <v>67</v>
      </c>
      <c r="AV7" s="297" t="s">
        <v>67</v>
      </c>
      <c r="AW7" s="298" t="s">
        <v>67</v>
      </c>
      <c r="AX7" s="90" t="s">
        <v>67</v>
      </c>
      <c r="AY7" s="90" t="s">
        <v>67</v>
      </c>
      <c r="AZ7" s="79" t="s">
        <v>67</v>
      </c>
      <c r="BA7" s="79" t="s">
        <v>67</v>
      </c>
      <c r="BB7" s="210" t="s">
        <v>67</v>
      </c>
      <c r="BC7" s="297" t="s">
        <v>67</v>
      </c>
      <c r="BD7" s="298" t="s">
        <v>67</v>
      </c>
      <c r="BE7" s="90" t="s">
        <v>67</v>
      </c>
      <c r="BF7" s="90" t="s">
        <v>67</v>
      </c>
      <c r="BG7" s="79" t="s">
        <v>67</v>
      </c>
      <c r="BH7" s="79" t="s">
        <v>67</v>
      </c>
      <c r="BI7" s="210" t="s">
        <v>67</v>
      </c>
      <c r="BJ7" s="297" t="s">
        <v>67</v>
      </c>
      <c r="BK7" s="298" t="s">
        <v>67</v>
      </c>
      <c r="BL7" s="90" t="s">
        <v>67</v>
      </c>
      <c r="BM7" s="90" t="s">
        <v>67</v>
      </c>
      <c r="BN7" s="79" t="s">
        <v>67</v>
      </c>
      <c r="BO7" s="79" t="s">
        <v>67</v>
      </c>
      <c r="BP7" s="210" t="s">
        <v>67</v>
      </c>
      <c r="BQ7" s="297" t="s">
        <v>67</v>
      </c>
      <c r="BR7" s="298" t="s">
        <v>67</v>
      </c>
      <c r="BS7" s="90" t="s">
        <v>67</v>
      </c>
      <c r="BT7" s="90" t="s">
        <v>67</v>
      </c>
      <c r="BU7" s="79" t="s">
        <v>67</v>
      </c>
      <c r="BV7" s="79" t="s">
        <v>67</v>
      </c>
    </row>
    <row r="14" customFormat="false" ht="16" hidden="false" customHeight="false" outlineLevel="0" collapsed="false">
      <c r="A14" s="75" t="s">
        <v>69</v>
      </c>
      <c r="B14" s="75" t="s">
        <v>70</v>
      </c>
      <c r="C14" s="251" t="s">
        <v>1032</v>
      </c>
      <c r="D14" s="190" t="s">
        <v>1033</v>
      </c>
      <c r="E14" s="308" t="s">
        <v>1034</v>
      </c>
      <c r="F14" s="309" t="s">
        <v>1035</v>
      </c>
      <c r="G14" s="187" t="s">
        <v>1036</v>
      </c>
      <c r="H14" s="187" t="s">
        <v>1037</v>
      </c>
      <c r="I14" s="187" t="s">
        <v>1038</v>
      </c>
      <c r="J14" s="187" t="s">
        <v>1039</v>
      </c>
      <c r="K14" s="251" t="s">
        <v>1040</v>
      </c>
      <c r="L14" s="190" t="s">
        <v>1041</v>
      </c>
      <c r="M14" s="308" t="s">
        <v>1042</v>
      </c>
      <c r="N14" s="309" t="s">
        <v>1043</v>
      </c>
      <c r="O14" s="187" t="s">
        <v>1044</v>
      </c>
      <c r="P14" s="187" t="s">
        <v>1045</v>
      </c>
      <c r="Q14" s="187" t="s">
        <v>1046</v>
      </c>
      <c r="R14" s="187" t="s">
        <v>1047</v>
      </c>
      <c r="S14" s="251" t="s">
        <v>1048</v>
      </c>
      <c r="T14" s="308" t="s">
        <v>1049</v>
      </c>
      <c r="U14" s="309" t="s">
        <v>1050</v>
      </c>
      <c r="V14" s="187" t="s">
        <v>1051</v>
      </c>
      <c r="W14" s="187" t="s">
        <v>1052</v>
      </c>
      <c r="X14" s="187" t="s">
        <v>1053</v>
      </c>
      <c r="Y14" s="187" t="s">
        <v>1054</v>
      </c>
      <c r="Z14" s="251" t="s">
        <v>1055</v>
      </c>
      <c r="AA14" s="308" t="s">
        <v>1056</v>
      </c>
      <c r="AB14" s="309" t="s">
        <v>1057</v>
      </c>
      <c r="AC14" s="187" t="s">
        <v>1058</v>
      </c>
      <c r="AD14" s="187" t="s">
        <v>1059</v>
      </c>
      <c r="AE14" s="187" t="s">
        <v>1060</v>
      </c>
      <c r="AF14" s="187" t="s">
        <v>1061</v>
      </c>
      <c r="AG14" s="251" t="s">
        <v>1062</v>
      </c>
      <c r="AH14" s="308" t="s">
        <v>1063</v>
      </c>
      <c r="AI14" s="309" t="s">
        <v>1064</v>
      </c>
      <c r="AJ14" s="187" t="s">
        <v>1065</v>
      </c>
      <c r="AK14" s="187" t="s">
        <v>1066</v>
      </c>
      <c r="AL14" s="187" t="s">
        <v>1067</v>
      </c>
      <c r="AM14" s="187" t="s">
        <v>1068</v>
      </c>
      <c r="AN14" s="251" t="s">
        <v>1069</v>
      </c>
      <c r="AO14" s="308" t="s">
        <v>1070</v>
      </c>
      <c r="AP14" s="309" t="s">
        <v>1071</v>
      </c>
      <c r="AQ14" s="187" t="s">
        <v>1072</v>
      </c>
      <c r="AR14" s="187" t="s">
        <v>1073</v>
      </c>
      <c r="AS14" s="187" t="s">
        <v>1074</v>
      </c>
      <c r="AT14" s="187" t="s">
        <v>1075</v>
      </c>
      <c r="AU14" s="251" t="s">
        <v>1076</v>
      </c>
      <c r="AV14" s="308" t="s">
        <v>1077</v>
      </c>
      <c r="AW14" s="309" t="s">
        <v>1078</v>
      </c>
      <c r="AX14" s="187" t="s">
        <v>1079</v>
      </c>
      <c r="AY14" s="187" t="s">
        <v>1080</v>
      </c>
      <c r="AZ14" s="187" t="s">
        <v>1081</v>
      </c>
      <c r="BA14" s="187" t="s">
        <v>1082</v>
      </c>
      <c r="BB14" s="251" t="s">
        <v>1083</v>
      </c>
      <c r="BC14" s="308" t="s">
        <v>1084</v>
      </c>
      <c r="BD14" s="309" t="s">
        <v>1085</v>
      </c>
      <c r="BE14" s="187" t="s">
        <v>1086</v>
      </c>
      <c r="BF14" s="187" t="s">
        <v>1087</v>
      </c>
      <c r="BG14" s="187" t="s">
        <v>1088</v>
      </c>
      <c r="BH14" s="187" t="s">
        <v>1089</v>
      </c>
      <c r="BI14" s="251" t="s">
        <v>1090</v>
      </c>
      <c r="BJ14" s="308" t="s">
        <v>1091</v>
      </c>
      <c r="BK14" s="309" t="s">
        <v>1092</v>
      </c>
      <c r="BL14" s="187" t="s">
        <v>1093</v>
      </c>
      <c r="BM14" s="187" t="s">
        <v>1094</v>
      </c>
      <c r="BN14" s="187" t="s">
        <v>1095</v>
      </c>
      <c r="BO14" s="187" t="s">
        <v>1096</v>
      </c>
      <c r="BP14" s="251" t="s">
        <v>1097</v>
      </c>
      <c r="BQ14" s="308" t="s">
        <v>1098</v>
      </c>
      <c r="BR14" s="309" t="s">
        <v>1099</v>
      </c>
      <c r="BS14" s="187" t="s">
        <v>1100</v>
      </c>
      <c r="BT14" s="187" t="s">
        <v>1101</v>
      </c>
      <c r="BU14" s="187" t="s">
        <v>1102</v>
      </c>
      <c r="BV14" s="187" t="s">
        <v>1103</v>
      </c>
    </row>
    <row r="15" customFormat="false" ht="16" hidden="false" customHeight="false" outlineLevel="0" collapsed="false">
      <c r="C15" s="210" t="n">
        <f aca="false" t="array" ref="C15:C15">SUM(SUMIFS(PrEP!$O:$O,PrEP!$B:$B,$B15,PrEP!$C:$C,{"15-19","20-24","25-29","30-34","35-39","40-44","45-49","50+"},PrEP!$D:$D,"Female"))</f>
        <v>0</v>
      </c>
      <c r="D15" s="93" t="n">
        <f aca="false" t="array" ref="D15:D15">SUM(SUMIFS(PrEP!$O:$O,PrEP!$B:$B,$B15,PrEP!$C:$C,{"15-19","20-24","25-29"},PrEP!$D:$D,"Female"))</f>
        <v>0</v>
      </c>
      <c r="E15" s="297" t="n">
        <f aca="false" t="array" ref="E15:E15">SUM(SUMIFS(PrEP!$O:$O,PrEP!$B:$B,$B15,PrEP!$C:$C,{"15-19","20-24","25-29","30-34","35-39","40-44","45-49","50+"},PrEP!$D:$D,"Male"))</f>
        <v>0</v>
      </c>
      <c r="F15" s="298" t="str">
        <f aca="false">_xlfn.IFNA(INDEX(KP!$I:$I,MATCH(($B15&amp;"|"&amp;F$3),KP!$D:$D,0)),"")</f>
        <v/>
      </c>
      <c r="G15" s="90" t="str">
        <f aca="false">_xlfn.IFNA(INDEX(KP!$I:$I,MATCH(($B15&amp;"|"&amp;G$3),KP!$D:$D,0)),"")</f>
        <v/>
      </c>
      <c r="H15" s="90" t="str">
        <f aca="false">_xlfn.IFNA(INDEX(KP!$I:$I,MATCH(($B15&amp;"|"&amp;H$3),KP!$D:$D,0)),"")</f>
        <v/>
      </c>
      <c r="I15" s="90" t="str">
        <f aca="false">_xlfn.IFNA(INDEX(KP!$I:$I,MATCH(($B15&amp;"|"&amp;I$3),KP!$D:$D,0)),"")</f>
        <v/>
      </c>
      <c r="J15" s="90" t="str">
        <f aca="false">_xlfn.IFNA(INDEX(KP!$I:$I,MATCH(($B15&amp;"|"&amp;J$3),KP!$D:$D,0)),"")</f>
        <v/>
      </c>
      <c r="K15" s="210" t="n">
        <f aca="false" t="array" ref="K15:K15">SUM(SUMIFS(PrEP!$L:$L,PrEP!$B:$B,$B15,PrEP!$C:$C,{"15-19","20-24","25-29","30-34","35-39","40-44","45-49","50+"},PrEP!$D:$D,"Female"))</f>
        <v>0</v>
      </c>
      <c r="M15" s="297" t="n">
        <f aca="false" t="array" ref="M15:M15">SUM(SUMIFS(PrEP!$L:$L,PrEP!$B:$B,$B15,PrEP!$C:$C,{"15-19","20-24","25-29","30-34","35-39","40-44","45-49","50+"},PrEP!$D:$D,"Male"))</f>
        <v>0</v>
      </c>
      <c r="N15" s="298" t="str">
        <f aca="false">_xlfn.IFNA(INDEX(KP!$K:$K,MATCH(($B15&amp;"|"&amp;N$3),KP!$D:$D,0)),"")</f>
        <v/>
      </c>
      <c r="O15" s="90" t="str">
        <f aca="false">_xlfn.IFNA(INDEX(KP!$K:$K,MATCH(($B15&amp;"|"&amp;O$3),KP!$D:$D,0)),"")</f>
        <v/>
      </c>
      <c r="P15" s="90" t="str">
        <f aca="false">_xlfn.IFNA(INDEX(KP!$K:$K,MATCH(($B15&amp;"|"&amp;P$3),KP!$D:$D,0)),"")</f>
        <v/>
      </c>
      <c r="Q15" s="90" t="str">
        <f aca="false">_xlfn.IFNA(INDEX(KP!$K:$K,MATCH(($B15&amp;"|"&amp;Q$3),KP!$D:$D,0)),"")</f>
        <v/>
      </c>
      <c r="R15" s="90" t="str">
        <f aca="false">_xlfn.IFNA(INDEX(KP!$K:$K,MATCH(($B15&amp;"|"&amp;R$3),KP!$D:$D,0)),"")</f>
        <v/>
      </c>
      <c r="S15" s="210" t="n">
        <f aca="false" t="array" ref="S15:S15">SUM(SUMIFS(Cascade!$AE:$AE,Cascade!$B:$B,$B15,Cascade!$C:$C,{"15-19","20-24","25-29","30-34","35-39","40-44","45-49","50+"},Cascade!$D:$D,"Female"))</f>
        <v>0</v>
      </c>
      <c r="T15" s="297" t="n">
        <f aca="false" t="array" ref="T15:T15">SUM(SUMIFS(Cascade!$AE:$AE,Cascade!$B:$B,$B15,Cascade!$C:$C,{"15-19","20-24","25-29","30-34","35-39","40-44","45-49","50+"},Cascade!$D:$D,"Male"))</f>
        <v>0</v>
      </c>
      <c r="U15" s="298" t="str">
        <f aca="false">_xlfn.IFNA(INDEX(KP!$P:$P,MATCH(($B15&amp;"|"&amp;U$3),KP!$D:$D,0)),"")</f>
        <v/>
      </c>
      <c r="V15" s="90" t="str">
        <f aca="false">_xlfn.IFNA(INDEX(KP!$P:$P,MATCH(($B15&amp;"|"&amp;V$3),KP!$D:$D,0)),"")</f>
        <v/>
      </c>
      <c r="W15" s="90" t="str">
        <f aca="false">_xlfn.IFNA(INDEX(KP!$P:$P,MATCH(($B15&amp;"|"&amp;W$3),KP!$D:$D,0)),"")</f>
        <v/>
      </c>
      <c r="X15" s="90" t="str">
        <f aca="false">_xlfn.IFNA(INDEX(KP!$P:$P,MATCH(($B15&amp;"|"&amp;X$3),KP!$D:$D,0)),"")</f>
        <v/>
      </c>
      <c r="Y15" s="90" t="str">
        <f aca="false">_xlfn.IFNA(INDEX(KP!$P:$P,MATCH(($B15&amp;"|"&amp;Y$3),KP!$D:$D,0)),"")</f>
        <v/>
      </c>
      <c r="Z15" s="210" t="n">
        <f aca="false" t="array" ref="Z15:Z15">SUM(SUMIFS(Cascade!$AM:$AM,Cascade!$B:$B,$B15,Cascade!$C:$C,{"15-19","20-24","25-29","30-34","35-39","40-44","45-49","50+"},Cascade!$D:$D,"Female"))</f>
        <v>0</v>
      </c>
      <c r="AA15" s="297" t="n">
        <f aca="false" t="array" ref="AA15:AA15">SUM(SUMIFS(Cascade!$AM:$AM,Cascade!$B:$B,$B15,Cascade!$C:$C,{"15-19","20-24","25-29","30-34","35-39","40-44","45-49","50+"},Cascade!$D:$D,"Male"))</f>
        <v>0</v>
      </c>
      <c r="AB15" s="298" t="str">
        <f aca="false">_xlfn.IFNA(INDEX(KP!$V:$V,MATCH(($B15&amp;"|"&amp;AB$3),KP!$D:$D,0)),"")</f>
        <v/>
      </c>
      <c r="AC15" s="90" t="str">
        <f aca="false">_xlfn.IFNA(INDEX(KP!$V:$V,MATCH(($B15&amp;"|"&amp;AC$3),KP!$D:$D,0)),"")</f>
        <v/>
      </c>
      <c r="AD15" s="90" t="str">
        <f aca="false">_xlfn.IFNA(INDEX(KP!$V:$V,MATCH(($B15&amp;"|"&amp;AD$3),KP!$D:$D,0)),"")</f>
        <v/>
      </c>
      <c r="AE15" s="90" t="str">
        <f aca="false">_xlfn.IFNA(INDEX(KP!$V:$V,MATCH(($B15&amp;"|"&amp;AE$3),KP!$D:$D,0)),"")</f>
        <v/>
      </c>
      <c r="AF15" s="90" t="str">
        <f aca="false">_xlfn.IFNA(INDEX(KP!$V:$V,MATCH(($B15&amp;"|"&amp;AF$3),KP!$D:$D,0)),"")</f>
        <v/>
      </c>
      <c r="AG15" s="210" t="n">
        <f aca="false" t="array" ref="AG15:AG15">SUM(SUMIFS(Cascade!$AP:$AP,Cascade!$B:$B,$B15,Cascade!$C:$C,{"15-19","20-24","25-29","30-34","35-39","40-44","45-49","50+"},Cascade!$D:$D,"Female"))</f>
        <v>0</v>
      </c>
      <c r="AH15" s="297" t="n">
        <f aca="false" t="array" ref="AH15:AH15">SUM(SUMIFS(Cascade!$AP:$AP,Cascade!$B:$B,$B15,Cascade!$C:$C,{"15-19","20-24","25-29","30-34","35-39","40-44","45-49","50+"},Cascade!$D:$D,"Male"))</f>
        <v>0</v>
      </c>
      <c r="AI15" s="298" t="str">
        <f aca="false">_xlfn.IFNA(INDEX(KP!$Y:$Y,MATCH(($B15&amp;"|"&amp;AI$3),KP!$D:$D,0)),"")</f>
        <v/>
      </c>
      <c r="AJ15" s="90" t="str">
        <f aca="false">_xlfn.IFNA(INDEX(KP!$Y:$Y,MATCH(($B15&amp;"|"&amp;AJ$3),KP!$D:$D,0)),"")</f>
        <v/>
      </c>
      <c r="AK15" s="90" t="str">
        <f aca="false">_xlfn.IFNA(INDEX(KP!$Y:$Y,MATCH(($B15&amp;"|"&amp;AK$3),KP!$D:$D,0)),"")</f>
        <v/>
      </c>
      <c r="AL15" s="90" t="str">
        <f aca="false">_xlfn.IFNA(INDEX(KP!$Y:$Y,MATCH(($B15&amp;"|"&amp;AL$3),KP!$D:$D,0)),"")</f>
        <v/>
      </c>
      <c r="AM15" s="90" t="str">
        <f aca="false">_xlfn.IFNA(INDEX(KP!$Y:$Y,MATCH(($B15&amp;"|"&amp;AM$3),KP!$D:$D,0)),"")</f>
        <v/>
      </c>
      <c r="AN15" s="210" t="n">
        <f aca="false" t="array" ref="AN15:AN15">SUM(SUMIFS(Cascade!$AT:$AT,Cascade!$B:$B,$B15,Cascade!$C:$C,{"15-19","20-24","25-29","30-34","35-39","40-44","45-49","50+"},Cascade!$D:$D,"Female"))</f>
        <v>0</v>
      </c>
      <c r="AO15" s="297" t="n">
        <f aca="false" t="array" ref="AO15:AO15">SUM(SUMIFS(Cascade!$AT:$AT,Cascade!$B:$B,$B15,Cascade!$C:$C,{"15-19","20-24","25-29","30-34","35-39","40-44","45-49","50+"},Cascade!$D:$D,"Male"))</f>
        <v>0</v>
      </c>
      <c r="AP15" s="298" t="str">
        <f aca="false">_xlfn.IFNA(INDEX(KP!$AA:$AA,MATCH(($B15&amp;"|"&amp;AP$3),KP!$D:$D,0)),"")</f>
        <v/>
      </c>
      <c r="AQ15" s="90" t="str">
        <f aca="false">_xlfn.IFNA(INDEX(KP!$AA:$AA,MATCH(($B15&amp;"|"&amp;AQ$3),KP!$D:$D,0)),"")</f>
        <v/>
      </c>
      <c r="AR15" s="90" t="str">
        <f aca="false">_xlfn.IFNA(INDEX(KP!$AA:$AA,MATCH(($B15&amp;"|"&amp;AR$3),KP!$D:$D,0)),"")</f>
        <v/>
      </c>
      <c r="AS15" s="90" t="str">
        <f aca="false">_xlfn.IFNA(INDEX(KP!$AA:$AA,MATCH(($B15&amp;"|"&amp;AS$3),KP!$D:$D,0)),"")</f>
        <v/>
      </c>
      <c r="AT15" s="90" t="str">
        <f aca="false">_xlfn.IFNA(INDEX(KP!$AA:$AA,MATCH(($B15&amp;"|"&amp;AT$3),KP!$D:$D,0)),"")</f>
        <v/>
      </c>
      <c r="AU15" s="210" t="n">
        <f aca="false" t="array" ref="AU15:AU15">SUM(SUMIFS(HTS!$BN:$BN,HTS!$B:$B,$B15,HTS!$C:$C,{"15-19","20-24","25-29","30-34","35-39","40-44","45-49","50+"},HTS!$D:$D,"Female"))</f>
        <v>0</v>
      </c>
      <c r="AV15" s="297" t="n">
        <f aca="false" t="array" ref="AV15:AV15">SUM(SUMIFS(HTS!$BN:$BN,HTS!$B:$B,$B15,HTS!$C:$C,{"15-19","20-24","25-29","30-34","35-39","40-44","45-49","50+"},HTS!$D:$D,"Male"))</f>
        <v>0</v>
      </c>
      <c r="AW15" s="298" t="str">
        <f aca="false">_xlfn.IFNA(INDEX(KP!$AI:$AI,MATCH(($B15&amp;"|"&amp;AW$3),KP!$D:$D,0)),"")</f>
        <v/>
      </c>
      <c r="AX15" s="90" t="str">
        <f aca="false">_xlfn.IFNA(INDEX(KP!$AI:$AI,MATCH(($B15&amp;"|"&amp;AX$3),KP!$D:$D,0)),"")</f>
        <v/>
      </c>
      <c r="AY15" s="90" t="str">
        <f aca="false">_xlfn.IFNA(INDEX(KP!$AI:$AI,MATCH(($B15&amp;"|"&amp;AY$3),KP!$D:$D,0)),"")</f>
        <v/>
      </c>
      <c r="AZ15" s="90" t="str">
        <f aca="false">_xlfn.IFNA(INDEX(KP!$AI:$AI,MATCH(($B15&amp;"|"&amp;AZ$3),KP!$D:$D,0)),"")</f>
        <v/>
      </c>
      <c r="BA15" s="90" t="str">
        <f aca="false">_xlfn.IFNA(INDEX(KP!$AI:$AI,MATCH(($B15&amp;"|"&amp;BA$3),KP!$D:$D,0)),"")</f>
        <v/>
      </c>
      <c r="BB15" s="210" t="n">
        <f aca="false" t="array" ref="BB15:BB15">SUM(SUMIFS(HTS!$BT:$BT,HTS!$B:$B,$B15,HTS!$C:$C,{"15-19","20-24","25-29","30-34","35-39","40-44","45-49","50+"},HTS!$D:$D,"Female"))</f>
        <v>0</v>
      </c>
      <c r="BC15" s="297" t="n">
        <f aca="false" t="array" ref="BC15:BC15">SUM(SUMIFS(HTS!$BT:$BT,HTS!$B:$B,$B15,HTS!$C:$C,{"15-19","20-24","25-29","30-34","35-39","40-44","45-49","50+"},HTS!$D:$D,"Male"))</f>
        <v>0</v>
      </c>
      <c r="BD15" s="298" t="str">
        <f aca="false">_xlfn.IFNA(INDEX(KP!$AJ:$AJ,MATCH(($B15&amp;"|"&amp;BD$3),KP!$D:$D,0)),"")</f>
        <v/>
      </c>
      <c r="BE15" s="90" t="str">
        <f aca="false">_xlfn.IFNA(INDEX(KP!$AJ:$AJ,MATCH(($B15&amp;"|"&amp;BE$3),KP!$D:$D,0)),"")</f>
        <v/>
      </c>
      <c r="BF15" s="90" t="str">
        <f aca="false">_xlfn.IFNA(INDEX(KP!$AJ:$AJ,MATCH(($B15&amp;"|"&amp;BF$3),KP!$D:$D,0)),"")</f>
        <v/>
      </c>
      <c r="BG15" s="90" t="str">
        <f aca="false">_xlfn.IFNA(INDEX(KP!$AJ:$AJ,MATCH(($B15&amp;"|"&amp;BG$3),KP!$D:$D,0)),"")</f>
        <v/>
      </c>
      <c r="BH15" s="90" t="str">
        <f aca="false">_xlfn.IFNA(INDEX(KP!$AJ:$AJ,MATCH(($B15&amp;"|"&amp;BH$3),KP!$D:$D,0)),"")</f>
        <v/>
      </c>
      <c r="BI15" s="210" t="n">
        <f aca="false" t="array" ref="BI15:BI15">SUM(SUMIFS(HTS_RECENT!$AF:$AF,HTS_RECENT!$B:$B,$B15,HTS_RECENT!$C:$C,{"15-19","20-24","25-29","30-34","35-39","40-44","45-49","50+"},HTS_RECENT!$D:$D,"Female"))</f>
        <v>0</v>
      </c>
      <c r="BJ15" s="297" t="n">
        <f aca="false" t="array" ref="BJ15:BJ15">SUM(SUMIFS(HTS_RECENT!$AF:$AF,HTS_RECENT!$B:$B,$B15,HTS_RECENT!$C:$C,{"15-19","20-24","25-29","30-34","35-39","40-44","45-49","50+"},HTS_RECENT!$D:$D,"Male"))</f>
        <v>0</v>
      </c>
      <c r="BK15" s="298" t="str">
        <f aca="false">_xlfn.IFNA(INDEX(KP!$AL:$AL,MATCH(($B15&amp;"|"&amp;BK$3),KP!$D:$D,0)),"")</f>
        <v/>
      </c>
      <c r="BL15" s="90" t="str">
        <f aca="false">_xlfn.IFNA(INDEX(KP!$AL:$AL,MATCH(($B15&amp;"|"&amp;BL$3),KP!$D:$D,0)),"")</f>
        <v/>
      </c>
      <c r="BM15" s="90" t="str">
        <f aca="false">_xlfn.IFNA(INDEX(KP!$AL:$AL,MATCH(($B15&amp;"|"&amp;BM$3),KP!$D:$D,0)),"")</f>
        <v/>
      </c>
      <c r="BN15" s="90" t="str">
        <f aca="false">_xlfn.IFNA(INDEX(KP!$AL:$AL,MATCH(($B15&amp;"|"&amp;BN$3),KP!$D:$D,0)),"")</f>
        <v/>
      </c>
      <c r="BO15" s="90" t="str">
        <f aca="false">_xlfn.IFNA(INDEX(KP!$AL:$AL,MATCH(($B15&amp;"|"&amp;BO$3),KP!$D:$D,0)),"")</f>
        <v/>
      </c>
      <c r="BP15" s="210" t="n">
        <f aca="false" t="array" ref="BP15:BP15">SUM(SUMIFS(HTS!$BY:$BY,HTS!$B:$B,$B15,HTS!$C:$C,{"15-19","20-24","25-29","30-34","35-39","40-44","45-49","50+"},HTS!$D:$D,"Female"))</f>
        <v>0</v>
      </c>
      <c r="BQ15" s="297" t="n">
        <f aca="false" t="array" ref="BQ15:BQ15">SUM(SUMIFS(HTS!$BY:$BY,HTS!$B:$B,$B15,HTS!$C:$C,{"15-19","20-24","25-29","30-34","35-39","40-44","45-49","50+"},HTS!$D:$D,"Male"))</f>
        <v>0</v>
      </c>
      <c r="BR15" s="298" t="str">
        <f aca="false">_xlfn.IFNA(INDEX(KP!$AN:$AN,MATCH(($B15&amp;"|"&amp;BR$3),KP!$D:$D,0)),"")</f>
        <v/>
      </c>
      <c r="BS15" s="90" t="str">
        <f aca="false">_xlfn.IFNA(INDEX(KP!$AN:$AN,MATCH(($B15&amp;"|"&amp;BS$3),KP!$D:$D,0)),"")</f>
        <v/>
      </c>
      <c r="BT15" s="90" t="str">
        <f aca="false">_xlfn.IFNA(INDEX(KP!$AN:$AN,MATCH(($B15&amp;"|"&amp;BT$3),KP!$D:$D,0)),"")</f>
        <v/>
      </c>
      <c r="BU15" s="90" t="str">
        <f aca="false">_xlfn.IFNA(INDEX(KP!$AN:$AN,MATCH(($B15&amp;"|"&amp;BU$3),KP!$D:$D,0)),"")</f>
        <v/>
      </c>
      <c r="BV15" s="90" t="str">
        <f aca="false">_xlfn.IFNA(INDEX(KP!$AN:$AN,MATCH(($B15&amp;"|"&amp;BV$3),KP!$D:$D,0)),"")</f>
        <v/>
      </c>
    </row>
  </sheetData>
  <conditionalFormatting sqref="S1:S1048576 U1:U1048576">
    <cfRule type="expression" priority="2" aboveAverage="0" equalAverage="0" bottom="0" percent="0" rank="0" text="" dxfId="0">
      <formula>AND(ROW($U1)&gt;14,SUM($U1)&gt;$S1)</formula>
    </cfRule>
  </conditionalFormatting>
  <conditionalFormatting sqref="T1:T1048576 V1:V1048576">
    <cfRule type="expression" priority="3" aboveAverage="0" equalAverage="0" bottom="0" percent="0" rank="0" text="" dxfId="1">
      <formula>AND(ROW($V1)&gt;14,SUM($V1)&gt;$T1)</formula>
    </cfRule>
  </conditionalFormatting>
  <conditionalFormatting sqref="C1:BV1048576">
    <cfRule type="expression" priority="4" aboveAverage="0" equalAverage="0" bottom="0" percent="0" rank="0" text="" dxfId="2">
      <formula>C1&lt;0</formula>
    </cfRule>
  </conditionalFormatting>
  <conditionalFormatting sqref="S1:T1048576 W1:Y1048576">
    <cfRule type="expression" priority="5" aboveAverage="0" equalAverage="0" bottom="0" percent="0" rank="0" text="" dxfId="3">
      <formula>AND(ISNUMBER(S1),(($S1-$U1)+($T1-$V1))&lt;SUM($W1:$Y1))</formula>
    </cfRule>
  </conditionalFormatting>
  <conditionalFormatting sqref="Z1:Z1048576 AB1:AB1048576">
    <cfRule type="expression" priority="6" aboveAverage="0" equalAverage="0" bottom="0" percent="0" rank="0" text="" dxfId="4">
      <formula>AND(ROW($AB1)&gt;14,SUM($AB1)&gt;$Z1)</formula>
    </cfRule>
  </conditionalFormatting>
  <conditionalFormatting sqref="AA1:AA1048576 AC1:AC1048576">
    <cfRule type="expression" priority="7" aboveAverage="0" equalAverage="0" bottom="0" percent="0" rank="0" text="" dxfId="5">
      <formula>AND(ROW($AC1)&gt;14,SUM($AC1)&gt;$AA1)</formula>
    </cfRule>
  </conditionalFormatting>
  <conditionalFormatting sqref="Z1:AA1048576 AD1:AF1048576">
    <cfRule type="expression" priority="8" aboveAverage="0" equalAverage="0" bottom="0" percent="0" rank="0" text="" dxfId="6">
      <formula>(($Z1-$AB1)+($AA1-$AC1))&lt;SUM($AD1:$AF1)</formula>
    </cfRule>
  </conditionalFormatting>
  <conditionalFormatting sqref="AG1:AG1048576 AI1:AI1048576">
    <cfRule type="expression" priority="9" aboveAverage="0" equalAverage="0" bottom="0" percent="0" rank="0" text="" dxfId="7">
      <formula>AND(ROW($AI1)&gt;14,SUM($AI1)&gt;$AG1)</formula>
    </cfRule>
  </conditionalFormatting>
  <conditionalFormatting sqref="AH1:AH1048576 AJ1:AJ1048576">
    <cfRule type="expression" priority="10" aboveAverage="0" equalAverage="0" bottom="0" percent="0" rank="0" text="" dxfId="8">
      <formula>AND(ROW($AJ1)&gt;14,SUM($AJ1)&gt;$AH1)</formula>
    </cfRule>
  </conditionalFormatting>
  <conditionalFormatting sqref="AG1:AH1048576 AK1:AM1048576">
    <cfRule type="expression" priority="11" aboveAverage="0" equalAverage="0" bottom="0" percent="0" rank="0" text="" dxfId="9">
      <formula>(($AG1-$AI1)+($AH1-$AJ1))&lt;SUM($AK1:$AM1)</formula>
    </cfRule>
  </conditionalFormatting>
  <conditionalFormatting sqref="AP1:AP1048576 AN1:AN1048576">
    <cfRule type="expression" priority="12" aboveAverage="0" equalAverage="0" bottom="0" percent="0" rank="0" text="" dxfId="10">
      <formula>AND(ROW($AP1)&gt;14,SUM($AP1)&gt;$AN1)</formula>
    </cfRule>
  </conditionalFormatting>
  <conditionalFormatting sqref="AQ1:AQ1048576 AO1:AO1048576">
    <cfRule type="expression" priority="13" aboveAverage="0" equalAverage="0" bottom="0" percent="0" rank="0" text="" dxfId="11">
      <formula>AND(ROW($AQ1)&gt;14,SUM($AQ1)&gt;$AO1)</formula>
    </cfRule>
  </conditionalFormatting>
  <conditionalFormatting sqref="AR1:AT1048576 AN1:AO1048576">
    <cfRule type="expression" priority="14" aboveAverage="0" equalAverage="0" bottom="0" percent="0" rank="0" text="" dxfId="12">
      <formula>(($AN1-$AP1)+($AO1-$AQ1))&lt;SUM($AR1:$AT1)</formula>
    </cfRule>
  </conditionalFormatting>
  <conditionalFormatting sqref="AW1:AW1048576 AU1:AU1048576">
    <cfRule type="expression" priority="15" aboveAverage="0" equalAverage="0" bottom="0" percent="0" rank="0" text="" dxfId="13">
      <formula>AND(ROW($AW1)&gt;14,SUM($AW1)&gt;$AU1)</formula>
    </cfRule>
  </conditionalFormatting>
  <conditionalFormatting sqref="AX1:AX1048576 AV1:AV1048576">
    <cfRule type="expression" priority="16" aboveAverage="0" equalAverage="0" bottom="0" percent="0" rank="0" text="" dxfId="14">
      <formula>AND(ROW($AX1)&gt;14,SUM($AX1)&gt;$AV1)</formula>
    </cfRule>
  </conditionalFormatting>
  <conditionalFormatting sqref="AY1:BA1048576 AU1:AV1048576">
    <cfRule type="expression" priority="17" aboveAverage="0" equalAverage="0" bottom="0" percent="0" rank="0" text="" dxfId="15">
      <formula>(($AU1-$AW1)+($AV1-$AX1))&lt;SUM($AY1:$BA1)</formula>
    </cfRule>
  </conditionalFormatting>
  <conditionalFormatting sqref="BB1:BB1048576 BD1:BD1048576">
    <cfRule type="expression" priority="18" aboveAverage="0" equalAverage="0" bottom="0" percent="0" rank="0" text="" dxfId="16">
      <formula>AND(ROW($BD1)&gt;14,SUM($BD1)&gt;$BB1)</formula>
    </cfRule>
  </conditionalFormatting>
  <conditionalFormatting sqref="BC1:BC1048576 BE1:BE1048576">
    <cfRule type="expression" priority="19" aboveAverage="0" equalAverage="0" bottom="0" percent="0" rank="0" text="" dxfId="17">
      <formula>AND(ROW($BE1)&gt;14,SUM($BE1)&gt;$BC1)</formula>
    </cfRule>
  </conditionalFormatting>
  <conditionalFormatting sqref="BB1:BC1048576 BF1:BH1048576">
    <cfRule type="expression" priority="20" aboveAverage="0" equalAverage="0" bottom="0" percent="0" rank="0" text="" dxfId="18">
      <formula>(($BB1-$BD1)+($BC1-$BE1))&lt;SUM($BF1:$BH1)</formula>
    </cfRule>
  </conditionalFormatting>
  <conditionalFormatting sqref="BK1:BK1048576 BI1:BI1048576">
    <cfRule type="expression" priority="21" aboveAverage="0" equalAverage="0" bottom="0" percent="0" rank="0" text="" dxfId="19">
      <formula>AND(ROW($BK1)&gt;14,SUM($BK1)&gt;$BI1)</formula>
    </cfRule>
  </conditionalFormatting>
  <conditionalFormatting sqref="BL1:BL1048576 BJ1:BJ1048576">
    <cfRule type="expression" priority="22" aboveAverage="0" equalAverage="0" bottom="0" percent="0" rank="0" text="" dxfId="20">
      <formula>AND(ROW($BL1)&gt;14,SUM($BL1)&gt;$BJ1)</formula>
    </cfRule>
  </conditionalFormatting>
  <conditionalFormatting sqref="BM1:BO1048576 BI1:BJ1048576">
    <cfRule type="expression" priority="23" aboveAverage="0" equalAverage="0" bottom="0" percent="0" rank="0" text="" dxfId="21">
      <formula>(($BI1-$BK1)+($BJ1-$BL1))&lt;SUM($BM1:$BO1)</formula>
    </cfRule>
  </conditionalFormatting>
  <conditionalFormatting sqref="BR1:BR1048576 BP1:BP1048576">
    <cfRule type="expression" priority="24" aboveAverage="0" equalAverage="0" bottom="0" percent="0" rank="0" text="" dxfId="22">
      <formula>AND(ROW($BR1)&gt;14,SUM($BR1)&gt;$BP1)</formula>
    </cfRule>
  </conditionalFormatting>
  <conditionalFormatting sqref="BS1:BS1048576 BQ1:BQ1048576">
    <cfRule type="expression" priority="25" aboveAverage="0" equalAverage="0" bottom="0" percent="0" rank="0" text="" dxfId="23">
      <formula>AND(ROW($BS1)&gt;14,SUM($BS1)&gt;$BQ1)</formula>
    </cfRule>
  </conditionalFormatting>
  <conditionalFormatting sqref="BT1:BV1048576 BP1:BQ1048576">
    <cfRule type="expression" priority="26" aboveAverage="0" equalAverage="0" bottom="0" percent="0" rank="0" text="" dxfId="24">
      <formula>(($BP1-$BR1)+($BQ1-$BS1))&lt;SUM($BT1:$BV1)</formula>
    </cfRule>
  </conditionalFormatting>
  <conditionalFormatting sqref="C1:D1048576 F1:F1048576">
    <cfRule type="expression" priority="27" aboveAverage="0" equalAverage="0" bottom="0" percent="0" rank="0" text="" dxfId="25">
      <formula>AND(ROW($F1)&gt;14,SUM($F1)&gt;$C1)</formula>
    </cfRule>
  </conditionalFormatting>
  <conditionalFormatting sqref="G1:G1048576 E1:E1048576">
    <cfRule type="expression" priority="28" aboveAverage="0" equalAverage="0" bottom="0" percent="0" rank="0" text="" dxfId="26">
      <formula>AND(ROW($G1)&gt;14,SUM($G1)&gt;$E1)</formula>
    </cfRule>
  </conditionalFormatting>
  <conditionalFormatting sqref="H1:J1048576 C1:E1048576">
    <cfRule type="expression" priority="29" aboveAverage="0" equalAverage="0" bottom="0" percent="0" rank="0" text="" dxfId="27">
      <formula>(($C1-$F1)+($E1-$G1))&lt;SUM($H1:$J1)</formula>
    </cfRule>
  </conditionalFormatting>
  <conditionalFormatting sqref="K1:L1048576 N1:N1048576">
    <cfRule type="expression" priority="30" aboveAverage="0" equalAverage="0" bottom="0" percent="0" rank="0" text="" dxfId="28">
      <formula>AND(ROW($N1)&gt;14,SUM($N1)&gt;$K1)</formula>
    </cfRule>
  </conditionalFormatting>
  <conditionalFormatting sqref="M1:M1048576 O1:O1048576">
    <cfRule type="expression" priority="31" aboveAverage="0" equalAverage="0" bottom="0" percent="0" rank="0" text="" dxfId="29">
      <formula>AND(ROW($O1)&gt;14,SUM($O1)&gt;$M1)</formula>
    </cfRule>
  </conditionalFormatting>
  <conditionalFormatting sqref="K1:M1048576 P1:R1048576">
    <cfRule type="expression" priority="32" aboveAverage="0" equalAverage="0" bottom="0" percent="0" rank="0" text="" dxfId="30">
      <formula>(($K1-$N1)+($M1-$O1))&lt;SUM($P1:$R1)</formula>
    </cfRule>
  </conditionalFormatting>
  <hyperlinks>
    <hyperlink ref="C3" location="PrEP!O:O" display="Female, 15+ (FY22)"/>
    <hyperlink ref="D3" location="PrEP!O:O" display="AGYW, 15+ (FY22)"/>
    <hyperlink ref="E3" location="PrEP!O:O" display="Male, 15+ (FY22)"/>
    <hyperlink ref="F3" location="KP!I:I" display="FSW"/>
    <hyperlink ref="G3" location="KP!I:I" display="MSM"/>
    <hyperlink ref="H3" location="KP!I:I" display="People in prisons and other enclosed settings"/>
    <hyperlink ref="I3" location="KP!I:I" display="PWID"/>
    <hyperlink ref="J3" location="KP!I:I" display="TG"/>
    <hyperlink ref="K3" location="PrEP!L:L" display="Female, 15+ (FY22)"/>
    <hyperlink ref="L3" location="PrEP!L:L" display="AGYW, 15+ (FY22)"/>
    <hyperlink ref="M3" location="PrEP!L:L" display="Male, 15+ (FY22)"/>
    <hyperlink ref="N3" location="KP!K:K" display="FSW"/>
    <hyperlink ref="O3" location="KP!K:K" display="MSM"/>
    <hyperlink ref="P3" location="KP!K:K" display="People in prisons and other enclosed settings"/>
    <hyperlink ref="Q3" location="KP!K:K" display="PWID"/>
    <hyperlink ref="R3" location="KP!K:K" display="TG"/>
    <hyperlink ref="S3" location="Cascade!AE:AE" display="Female, 15+ (FY22)"/>
    <hyperlink ref="T3" location="Cascade!AE:AE" display="Male, 15+ (FY22)"/>
    <hyperlink ref="U3" location="KP!P:P" display="FSW"/>
    <hyperlink ref="V3" location="KP!P:P" display="MSM"/>
    <hyperlink ref="W3" location="KP!P:P" display="People in prisons and other enclosed settings"/>
    <hyperlink ref="X3" location="KP!P:P" display="PWID"/>
    <hyperlink ref="Y3" location="KP!P:P" display="TG"/>
    <hyperlink ref="Z3" location="Cascade!AM:AM" display="Female, 15+ (FY22)"/>
    <hyperlink ref="AA3" location="Cascade!AM:AM" display="Male, 15+ (FY22)"/>
    <hyperlink ref="AB3" location="KP!V:V" display="FSW"/>
    <hyperlink ref="AC3" location="KP!V:V" display="MSM"/>
    <hyperlink ref="AD3" location="KP!V:V" display="People in prisons and other enclosed settings"/>
    <hyperlink ref="AE3" location="KP!V:V" display="PWID"/>
    <hyperlink ref="AF3" location="KP!V:V" display="TG"/>
    <hyperlink ref="AG3" location="Cascade!AP:AP" display="Female, 15+ (FY22)"/>
    <hyperlink ref="AH3" location="Cascade!AP:AP" display="Male, 15+ (FY22)"/>
    <hyperlink ref="AI3" location="KP!Y:Y" display="FSW"/>
    <hyperlink ref="AJ3" location="KP!Y:Y" display="MSM"/>
    <hyperlink ref="AK3" location="KP!Y:Y" display="People in prisons and other enclosed settings"/>
    <hyperlink ref="AL3" location="KP!Y:Y" display="PWID"/>
    <hyperlink ref="AM3" location="KP!Y:Y" display="TG"/>
    <hyperlink ref="AN3" location="Cascade!AT:AT" display="Female, 15+ (FY22)"/>
    <hyperlink ref="AO3" location="Cascade!AT:AT" display="Male, 15+ (FY22)"/>
    <hyperlink ref="AP3" location="KP!AA:AA" display="FSW"/>
    <hyperlink ref="AQ3" location="KP!AA:AA" display="MSM"/>
    <hyperlink ref="AR3" location="KP!AA:AA" display="People in prisons and other enclosed settings"/>
    <hyperlink ref="AS3" location="KP!AA:AA" display="PWID"/>
    <hyperlink ref="AT3" location="KP!AA:AA" display="TG"/>
    <hyperlink ref="AU3" location="HTS!BN:BN" display="Female, 15+ (FY22)"/>
    <hyperlink ref="AV3" location="HTS!BN:BN" display="Male, 15+ (FY22)"/>
    <hyperlink ref="AW3" location="KP!AG:AG" display="FSW"/>
    <hyperlink ref="AX3" location="KP!AG:AG" display="MSM"/>
    <hyperlink ref="AY3" location="KP!AG:AG" display="People in prisons and other enclosed settings"/>
    <hyperlink ref="AZ3" location="KP!AG:AG" display="PWID"/>
    <hyperlink ref="BA3" location="KP!AG:AG" display="TG"/>
    <hyperlink ref="BB3" location="HTS!BT:BT" display="Female, 15+ (FY22)"/>
    <hyperlink ref="BC3" location="HTS!BT:BT" display="Male, 15+ (FY22)"/>
    <hyperlink ref="BD3" location="KP!AH:AH" display="FSW"/>
    <hyperlink ref="BE3" location="KP!AH:AH" display="MSM"/>
    <hyperlink ref="BF3" location="KP!AH:AH" display="People in prisons and other enclosed settings"/>
    <hyperlink ref="BG3" location="KP!AH:AH" display="PWID"/>
    <hyperlink ref="BH3" location="KP!AH:AH" display="TG"/>
    <hyperlink ref="BI3" location="HTS_RECENT!AF:AF" display="Female, 15+ (FY22)"/>
    <hyperlink ref="BJ3" location="HTS_RECENT!AF:AF" display="Male, 15+ (FY22)"/>
    <hyperlink ref="BK3" location="KP!AJ:AJ" display="FSW"/>
    <hyperlink ref="BL3" location="KP!AJ:AJ" display="MSM"/>
    <hyperlink ref="BM3" location="KP!AJ:AJ" display="People in prisons and other enclosed settings"/>
    <hyperlink ref="BN3" location="KP!AJ:AJ" display="PWID"/>
    <hyperlink ref="BO3" location="KP!AJ:AJ" display="TG"/>
    <hyperlink ref="BP3" location="HTS!BY:BY" display="Female, 15+ (FY22)"/>
    <hyperlink ref="BQ3" location="HTS!BY:BY" display="Male, 15+ (FY22)"/>
    <hyperlink ref="BR3" location="KP!AL:AL" display="FSW"/>
    <hyperlink ref="BS3" location="KP!AL:AL" display="MSM"/>
    <hyperlink ref="BT3" location="KP!AL:AL" display="People in prisons and other enclosed settings"/>
    <hyperlink ref="BU3" location="KP!AL:AL" display="PWID"/>
    <hyperlink ref="BV3" location="KP!AL:AL" display="T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14" topLeftCell="E15" activePane="bottomRight" state="frozen"/>
      <selection pane="topLeft" activeCell="A1" activeCellId="0" sqref="A1"/>
      <selection pane="topRight" activeCell="E1" activeCellId="0" sqref="E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7.84"/>
    <col collapsed="false" customWidth="true" hidden="true" outlineLevel="0" max="4" min="4" style="0" width="7.84"/>
    <col collapsed="false" customWidth="true" hidden="false" outlineLevel="0" max="5" min="5" style="0" width="12.33"/>
    <col collapsed="false" customWidth="true" hidden="false" outlineLevel="0" max="11" min="6" style="0" width="11.83"/>
    <col collapsed="false" customWidth="true" hidden="false" outlineLevel="0" max="1025" min="12" style="0" width="10.61"/>
  </cols>
  <sheetData>
    <row r="1" customFormat="false" ht="31" hidden="false" customHeight="true" outlineLevel="0" collapsed="false">
      <c r="A1" s="97" t="s">
        <v>1104</v>
      </c>
      <c r="B1" s="97"/>
      <c r="C1" s="97"/>
      <c r="D1" s="97"/>
      <c r="E1" s="100" t="s">
        <v>1104</v>
      </c>
      <c r="F1" s="100"/>
      <c r="G1" s="114"/>
      <c r="H1" s="219"/>
      <c r="I1" s="219"/>
      <c r="J1" s="100"/>
      <c r="K1" s="100"/>
    </row>
    <row r="2" customFormat="false" ht="19" hidden="false" customHeight="false" outlineLevel="0" collapsed="false">
      <c r="A2" s="118"/>
      <c r="B2" s="118"/>
      <c r="C2" s="118"/>
      <c r="D2" s="118"/>
      <c r="E2" s="132" t="s">
        <v>54</v>
      </c>
      <c r="F2" s="132"/>
      <c r="G2" s="122"/>
      <c r="H2" s="122" t="s">
        <v>100</v>
      </c>
      <c r="I2" s="122"/>
      <c r="J2" s="126" t="s">
        <v>55</v>
      </c>
      <c r="K2" s="126"/>
    </row>
    <row r="3" customFormat="false" ht="117" hidden="false" customHeight="true" outlineLevel="0" collapsed="false">
      <c r="D3" s="291"/>
      <c r="E3" s="310" t="s">
        <v>1105</v>
      </c>
      <c r="F3" s="161" t="s">
        <v>1106</v>
      </c>
      <c r="G3" s="311" t="s">
        <v>1107</v>
      </c>
      <c r="H3" s="259" t="s">
        <v>1108</v>
      </c>
      <c r="I3" s="259" t="s">
        <v>1109</v>
      </c>
      <c r="J3" s="153" t="s">
        <v>1110</v>
      </c>
      <c r="K3" s="153" t="s">
        <v>1111</v>
      </c>
    </row>
    <row r="4" customFormat="false" ht="16" hidden="false" customHeight="false" outlineLevel="0" collapsed="false">
      <c r="A4" s="165"/>
      <c r="B4" s="165"/>
      <c r="C4" s="165" t="s">
        <v>59</v>
      </c>
      <c r="D4" s="165"/>
      <c r="E4" s="182" t="n">
        <f aca="false">SUBTOTAL(109,E$15:INDEX(E:E,COUNTA($B:$B)+14-COUNTA($B$1:$B$14)))</f>
        <v>0</v>
      </c>
      <c r="F4" s="182" t="n">
        <f aca="false">SUBTOTAL(109,F$15:INDEX(F:F,COUNTA($B:$B)+14-COUNTA($B$1:$B$14)))</f>
        <v>0</v>
      </c>
      <c r="G4" s="180"/>
      <c r="H4" s="169"/>
      <c r="I4" s="169"/>
      <c r="J4" s="175" t="n">
        <f aca="false">SUBTOTAL(109,J$15:INDEX(J:J,COUNTA($B:$B)+14-COUNTA($B$1:$B$14)))</f>
        <v>0</v>
      </c>
      <c r="K4" s="175" t="n">
        <f aca="false">SUBTOTAL(109,K$15:INDEX(K:K,COUNTA($B:$B)+14-COUNTA($B$1:$B$14)))</f>
        <v>0</v>
      </c>
    </row>
    <row r="5" customFormat="false" ht="16" hidden="false" customHeight="false" outlineLevel="0" collapsed="false">
      <c r="A5" s="81" t="s">
        <v>60</v>
      </c>
      <c r="B5" s="81" t="s">
        <v>60</v>
      </c>
      <c r="C5" s="81" t="s">
        <v>60</v>
      </c>
      <c r="D5" s="81" t="s">
        <v>60</v>
      </c>
      <c r="E5" s="78" t="s">
        <v>168</v>
      </c>
      <c r="F5" s="78" t="s">
        <v>169</v>
      </c>
      <c r="G5" s="84" t="s">
        <v>60</v>
      </c>
      <c r="H5" s="208" t="s">
        <v>60</v>
      </c>
      <c r="I5" s="208" t="s">
        <v>60</v>
      </c>
      <c r="J5" s="79" t="s">
        <v>169</v>
      </c>
      <c r="K5" s="79" t="s">
        <v>168</v>
      </c>
    </row>
    <row r="6" customFormat="false" ht="16" hidden="false" customHeight="false" outlineLevel="0" collapsed="false">
      <c r="A6" s="81" t="s">
        <v>62</v>
      </c>
      <c r="B6" s="81" t="s">
        <v>62</v>
      </c>
      <c r="C6" s="81" t="s">
        <v>62</v>
      </c>
      <c r="D6" s="81" t="s">
        <v>62</v>
      </c>
      <c r="E6" s="78" t="s">
        <v>64</v>
      </c>
      <c r="F6" s="78" t="s">
        <v>63</v>
      </c>
      <c r="G6" s="84" t="s">
        <v>65</v>
      </c>
      <c r="H6" s="208" t="s">
        <v>171</v>
      </c>
      <c r="I6" s="208" t="s">
        <v>171</v>
      </c>
      <c r="J6" s="79" t="s">
        <v>64</v>
      </c>
      <c r="K6" s="79" t="s">
        <v>64</v>
      </c>
    </row>
    <row r="7" customFormat="false" ht="16" hidden="false" customHeight="false" outlineLevel="0" collapsed="false">
      <c r="A7" s="81" t="s">
        <v>66</v>
      </c>
      <c r="B7" s="81" t="s">
        <v>66</v>
      </c>
      <c r="C7" s="81" t="s">
        <v>66</v>
      </c>
      <c r="D7" s="81" t="s">
        <v>66</v>
      </c>
      <c r="E7" s="78" t="s">
        <v>67</v>
      </c>
      <c r="F7" s="78" t="s">
        <v>67</v>
      </c>
      <c r="G7" s="84" t="s">
        <v>173</v>
      </c>
      <c r="H7" s="208" t="s">
        <v>173</v>
      </c>
      <c r="I7" s="208" t="s">
        <v>173</v>
      </c>
      <c r="J7" s="79" t="s">
        <v>67</v>
      </c>
      <c r="K7" s="79" t="s">
        <v>67</v>
      </c>
    </row>
    <row r="8" customFormat="false" ht="16" hidden="false" customHeight="false" outlineLevel="0" collapsed="false">
      <c r="A8" s="81"/>
      <c r="B8" s="81"/>
      <c r="C8" s="81"/>
      <c r="D8" s="81"/>
      <c r="E8" s="78" t="s">
        <v>1112</v>
      </c>
      <c r="F8" s="78" t="s">
        <v>1113</v>
      </c>
      <c r="G8" s="84"/>
      <c r="H8" s="208"/>
      <c r="I8" s="208"/>
      <c r="J8" s="79" t="s">
        <v>1113</v>
      </c>
      <c r="K8" s="79" t="s">
        <v>1112</v>
      </c>
    </row>
    <row r="9" customFormat="false" ht="16" hidden="false" customHeight="false" outlineLevel="0" collapsed="false">
      <c r="A9" s="81"/>
      <c r="B9" s="81"/>
      <c r="C9" s="81"/>
      <c r="D9" s="81"/>
      <c r="E9" s="78"/>
      <c r="F9" s="78" t="s">
        <v>1114</v>
      </c>
      <c r="G9" s="84"/>
      <c r="H9" s="208"/>
      <c r="I9" s="208"/>
      <c r="J9" s="79" t="s">
        <v>1114</v>
      </c>
      <c r="K9" s="79"/>
    </row>
    <row r="10" customFormat="false" ht="16" hidden="false" customHeight="false" outlineLevel="0" collapsed="false">
      <c r="A10" s="81"/>
      <c r="B10" s="81"/>
      <c r="C10" s="81"/>
      <c r="D10" s="81"/>
      <c r="E10" s="78"/>
      <c r="F10" s="78"/>
      <c r="G10" s="84"/>
      <c r="H10" s="208"/>
      <c r="I10" s="208"/>
      <c r="J10" s="79"/>
      <c r="K10" s="79"/>
    </row>
    <row r="11" customFormat="false" ht="16" hidden="false" customHeight="false" outlineLevel="0" collapsed="false">
      <c r="A11" s="81"/>
      <c r="B11" s="81"/>
      <c r="C11" s="81"/>
      <c r="D11" s="81"/>
      <c r="E11" s="78"/>
      <c r="F11" s="78"/>
      <c r="G11" s="84"/>
      <c r="H11" s="208"/>
      <c r="I11" s="208"/>
      <c r="J11" s="79"/>
      <c r="K11" s="79"/>
    </row>
    <row r="12" customFormat="false" ht="16" hidden="false" customHeight="false" outlineLevel="0" collapsed="false">
      <c r="A12" s="81"/>
      <c r="B12" s="81"/>
      <c r="C12" s="81"/>
      <c r="D12" s="81"/>
      <c r="E12" s="78" t="s">
        <v>200</v>
      </c>
      <c r="F12" s="78" t="s">
        <v>200</v>
      </c>
      <c r="G12" s="84" t="s">
        <v>200</v>
      </c>
      <c r="H12" s="208" t="s">
        <v>200</v>
      </c>
      <c r="I12" s="208" t="s">
        <v>200</v>
      </c>
      <c r="J12" s="79" t="s">
        <v>200</v>
      </c>
      <c r="K12" s="79" t="s">
        <v>200</v>
      </c>
    </row>
    <row r="13" customFormat="false" ht="16" hidden="false" customHeight="false" outlineLevel="0" collapsed="false">
      <c r="A13" s="81"/>
      <c r="B13" s="81"/>
      <c r="C13" s="81"/>
      <c r="D13" s="81"/>
      <c r="E13" s="78"/>
      <c r="F13" s="78"/>
      <c r="G13" s="84"/>
      <c r="H13" s="208"/>
      <c r="I13" s="208"/>
      <c r="J13" s="79"/>
      <c r="K13" s="79"/>
    </row>
    <row r="14" customFormat="false" ht="16" hidden="false" customHeight="false" outlineLevel="0" collapsed="false">
      <c r="A14" s="75" t="s">
        <v>69</v>
      </c>
      <c r="B14" s="75" t="s">
        <v>70</v>
      </c>
      <c r="C14" s="75" t="s">
        <v>204</v>
      </c>
      <c r="D14" s="75" t="s">
        <v>40</v>
      </c>
      <c r="E14" s="190" t="s">
        <v>1115</v>
      </c>
      <c r="F14" s="190" t="s">
        <v>1116</v>
      </c>
      <c r="G14" s="257" t="s">
        <v>1117</v>
      </c>
      <c r="H14" s="257" t="s">
        <v>1118</v>
      </c>
      <c r="I14" s="257" t="s">
        <v>1119</v>
      </c>
      <c r="J14" s="190" t="s">
        <v>1120</v>
      </c>
      <c r="K14" s="190" t="s">
        <v>1121</v>
      </c>
    </row>
    <row r="15" customFormat="false" ht="16" hidden="false" customHeight="false" outlineLevel="0" collapsed="false">
      <c r="A15" s="81"/>
      <c r="B15" s="81"/>
      <c r="C15" s="81"/>
      <c r="D15" s="81" t="str">
        <f aca="false">B15&amp;"|"&amp;C15</f>
        <v>|</v>
      </c>
      <c r="E15" s="93"/>
      <c r="F15" s="78"/>
      <c r="G15" s="84" t="str">
        <f aca="false">IF(SUM($E15)=0,"",SUM($F15)/$E15)</f>
        <v/>
      </c>
      <c r="H15" s="208" t="str">
        <f aca="false">$G15</f>
        <v/>
      </c>
      <c r="I15" s="208" t="n">
        <f aca="false">0%</f>
        <v>0</v>
      </c>
      <c r="J15" s="79" t="str">
        <f aca="false">IF(SUM($F15)=0,"",$F15*(1+SUM($I15)))</f>
        <v/>
      </c>
      <c r="K15" s="79" t="str">
        <f aca="false">IF(SUM($H15)&lt;=0,"",SUM($J15)/$H15)</f>
        <v/>
      </c>
    </row>
  </sheetData>
  <conditionalFormatting sqref="E1:E1048576 G1:H1048576 K1:K1048576">
    <cfRule type="expression" priority="2" aboveAverage="0" equalAverage="0" bottom="0" percent="0" rank="0" text="" dxfId="0">
      <formula>LEFT($B1,4)="_Mil"</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S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8" ySplit="14" topLeftCell="I15" activePane="bottomRight" state="frozen"/>
      <selection pane="topLeft" activeCell="A1" activeCellId="0" sqref="A1"/>
      <selection pane="topRight" activeCell="I1" activeCellId="0" sqref="I1"/>
      <selection pane="bottomLeft" activeCell="A15" activeCellId="0" sqref="A15"/>
      <selection pane="bottomRight" activeCell="A1" activeCellId="1" sqref="E16:E25 A1"/>
    </sheetView>
  </sheetViews>
  <sheetFormatPr defaultRowHeight="16" zeroHeight="false" outlineLevelRow="0" outlineLevelCol="0"/>
  <cols>
    <col collapsed="false" customWidth="true" hidden="false" outlineLevel="0" max="1" min="1" style="0" width="30.83"/>
    <col collapsed="false" customWidth="true" hidden="false" outlineLevel="0" max="2" min="2" style="0" width="25.83"/>
    <col collapsed="false" customWidth="true" hidden="false" outlineLevel="0" max="3" min="3" style="0" width="6.83"/>
    <col collapsed="false" customWidth="true" hidden="false" outlineLevel="0" max="4" min="4" style="0" width="7.84"/>
    <col collapsed="false" customWidth="true" hidden="false" outlineLevel="0" max="5" min="5" style="0" width="20.83"/>
    <col collapsed="false" customWidth="true" hidden="false" outlineLevel="0" max="6" min="6" style="48" width="38.83"/>
    <col collapsed="false" customWidth="true" hidden="false" outlineLevel="0" max="7" min="7" style="312" width="12.83"/>
    <col collapsed="false" customWidth="true" hidden="false" outlineLevel="0" max="8" min="8" style="313" width="12.83"/>
    <col collapsed="false" customWidth="true" hidden="false" outlineLevel="0" max="12" min="9" style="314" width="6.16"/>
    <col collapsed="false" customWidth="true" hidden="false" outlineLevel="0" max="13" min="13" style="315" width="6.16"/>
    <col collapsed="false" customWidth="true" hidden="false" outlineLevel="0" max="82" min="14" style="314" width="6.16"/>
    <col collapsed="false" customWidth="true" hidden="false" outlineLevel="0" max="83" min="83" style="316" width="6.16"/>
    <col collapsed="false" customWidth="true" hidden="false" outlineLevel="0" max="86" min="84" style="0" width="11.83"/>
    <col collapsed="false" customWidth="true" hidden="false" outlineLevel="0" max="87" min="87" style="0" width="14.83"/>
    <col collapsed="false" customWidth="true" hidden="false" outlineLevel="0" max="88" min="88" style="317" width="11.83"/>
    <col collapsed="false" customWidth="true" hidden="false" outlineLevel="0" max="92" min="89" style="0" width="11.83"/>
    <col collapsed="false" customWidth="true" hidden="false" outlineLevel="0" max="93" min="93" style="0" width="14.83"/>
    <col collapsed="false" customWidth="true" hidden="false" outlineLevel="0" max="94" min="94" style="317" width="11.83"/>
    <col collapsed="false" customWidth="true" hidden="false" outlineLevel="0" max="98" min="95" style="0" width="11.83"/>
    <col collapsed="false" customWidth="true" hidden="false" outlineLevel="0" max="99" min="99" style="0" width="14.83"/>
    <col collapsed="false" customWidth="true" hidden="false" outlineLevel="0" max="100" min="100" style="317" width="11.83"/>
    <col collapsed="false" customWidth="true" hidden="false" outlineLevel="0" max="175" min="101" style="0" width="8.84"/>
    <col collapsed="false" customWidth="true" hidden="false" outlineLevel="0" max="1025" min="176" style="0" width="6.16"/>
  </cols>
  <sheetData>
    <row r="1" customFormat="false" ht="31" hidden="false" customHeight="true" outlineLevel="0" collapsed="false">
      <c r="A1" s="97" t="s">
        <v>1122</v>
      </c>
      <c r="B1" s="97"/>
      <c r="C1" s="318"/>
      <c r="D1" s="318"/>
      <c r="E1" s="318"/>
      <c r="F1" s="50"/>
      <c r="G1" s="319"/>
      <c r="H1" s="320"/>
      <c r="I1" s="219" t="s">
        <v>1123</v>
      </c>
      <c r="J1" s="219"/>
      <c r="K1" s="219"/>
      <c r="L1" s="219"/>
      <c r="M1" s="219"/>
      <c r="N1" s="219"/>
      <c r="O1" s="219"/>
      <c r="P1" s="219"/>
      <c r="Q1" s="219"/>
      <c r="R1" s="219"/>
      <c r="S1" s="219"/>
      <c r="T1" s="219"/>
      <c r="U1" s="219"/>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19"/>
      <c r="BL1" s="219"/>
      <c r="BM1" s="219"/>
      <c r="BN1" s="219"/>
      <c r="BO1" s="219"/>
      <c r="BP1" s="219"/>
      <c r="BQ1" s="219"/>
      <c r="BR1" s="219"/>
      <c r="BS1" s="219"/>
      <c r="BT1" s="219"/>
      <c r="BU1" s="219"/>
      <c r="BV1" s="219"/>
      <c r="BW1" s="219"/>
      <c r="BX1" s="219"/>
      <c r="BY1" s="219"/>
      <c r="BZ1" s="219"/>
      <c r="CA1" s="219"/>
      <c r="CB1" s="219"/>
      <c r="CC1" s="219"/>
      <c r="CD1" s="219"/>
      <c r="CE1" s="321"/>
      <c r="CF1" s="98" t="s">
        <v>1124</v>
      </c>
      <c r="CG1" s="98"/>
      <c r="CH1" s="322"/>
      <c r="CI1" s="218"/>
      <c r="CJ1" s="323"/>
      <c r="CK1" s="98"/>
      <c r="CL1" s="98"/>
      <c r="CM1" s="98"/>
      <c r="CN1" s="322"/>
      <c r="CO1" s="219"/>
      <c r="CP1" s="323"/>
      <c r="CQ1" s="98"/>
      <c r="CR1" s="98"/>
      <c r="CS1" s="98"/>
      <c r="CT1" s="322"/>
      <c r="CU1" s="218"/>
      <c r="CV1" s="323"/>
      <c r="CW1" s="98" t="s">
        <v>1125</v>
      </c>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98"/>
      <c r="FD1" s="98"/>
      <c r="FE1" s="98"/>
      <c r="FF1" s="98"/>
      <c r="FG1" s="98"/>
      <c r="FH1" s="98"/>
      <c r="FI1" s="98"/>
      <c r="FJ1" s="98"/>
      <c r="FK1" s="98"/>
      <c r="FL1" s="98"/>
      <c r="FM1" s="98"/>
      <c r="FN1" s="98"/>
      <c r="FO1" s="98"/>
      <c r="FP1" s="98"/>
      <c r="FQ1" s="98"/>
      <c r="FR1" s="98"/>
      <c r="FS1" s="98"/>
    </row>
    <row r="2" customFormat="false" ht="20" hidden="false" customHeight="false" outlineLevel="0" collapsed="false">
      <c r="A2" s="284"/>
      <c r="B2" s="284"/>
      <c r="C2" s="324"/>
      <c r="D2" s="324"/>
      <c r="E2" s="324"/>
      <c r="F2" s="325"/>
      <c r="G2" s="326" t="s">
        <v>54</v>
      </c>
      <c r="H2" s="327"/>
      <c r="I2" s="122" t="s">
        <v>1126</v>
      </c>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2"/>
      <c r="BN2" s="122"/>
      <c r="BO2" s="122"/>
      <c r="BP2" s="122"/>
      <c r="BQ2" s="122"/>
      <c r="BR2" s="122"/>
      <c r="BS2" s="122"/>
      <c r="BT2" s="122"/>
      <c r="BU2" s="122"/>
      <c r="BV2" s="122"/>
      <c r="BW2" s="122"/>
      <c r="BX2" s="122"/>
      <c r="BY2" s="122"/>
      <c r="BZ2" s="122"/>
      <c r="CA2" s="122"/>
      <c r="CB2" s="122"/>
      <c r="CC2" s="122"/>
      <c r="CD2" s="122"/>
      <c r="CE2" s="328"/>
      <c r="CF2" s="132" t="s">
        <v>1127</v>
      </c>
      <c r="CG2" s="132"/>
      <c r="CH2" s="329"/>
      <c r="CI2" s="131"/>
      <c r="CJ2" s="330"/>
      <c r="CK2" s="132" t="s">
        <v>1128</v>
      </c>
      <c r="CL2" s="132"/>
      <c r="CM2" s="132"/>
      <c r="CN2" s="329"/>
      <c r="CO2" s="122"/>
      <c r="CP2" s="330"/>
      <c r="CQ2" s="132" t="s">
        <v>1129</v>
      </c>
      <c r="CR2" s="132"/>
      <c r="CS2" s="132"/>
      <c r="CT2" s="329"/>
      <c r="CU2" s="131"/>
      <c r="CV2" s="330"/>
      <c r="CW2" s="224" t="s">
        <v>1130</v>
      </c>
      <c r="CX2" s="224"/>
      <c r="CY2" s="224"/>
      <c r="CZ2" s="224"/>
      <c r="DA2" s="224"/>
      <c r="DB2" s="224"/>
      <c r="DC2" s="224"/>
      <c r="DD2" s="224"/>
      <c r="DE2" s="224"/>
      <c r="DF2" s="224"/>
      <c r="DG2" s="224"/>
      <c r="DH2" s="224"/>
      <c r="DI2" s="224"/>
      <c r="DJ2" s="224"/>
      <c r="DK2" s="224"/>
      <c r="DL2" s="224"/>
      <c r="DM2" s="224"/>
      <c r="DN2" s="224"/>
      <c r="DO2" s="224"/>
      <c r="DP2" s="224"/>
      <c r="DQ2" s="224"/>
      <c r="DR2" s="224"/>
      <c r="DS2" s="224"/>
      <c r="DT2" s="224"/>
      <c r="DU2" s="224"/>
      <c r="DV2" s="224"/>
      <c r="DW2" s="224"/>
      <c r="DX2" s="224"/>
      <c r="DY2" s="224"/>
      <c r="DZ2" s="224"/>
      <c r="EA2" s="224"/>
      <c r="EB2" s="224"/>
      <c r="EC2" s="224"/>
      <c r="ED2" s="224"/>
      <c r="EE2" s="224"/>
      <c r="EF2" s="224"/>
      <c r="EG2" s="224"/>
      <c r="EH2" s="224"/>
      <c r="EI2" s="224"/>
      <c r="EJ2" s="224"/>
      <c r="EK2" s="224"/>
      <c r="EL2" s="224"/>
      <c r="EM2" s="224"/>
      <c r="EN2" s="224"/>
      <c r="EO2" s="224"/>
      <c r="EP2" s="224"/>
      <c r="EQ2" s="224"/>
      <c r="ER2" s="224"/>
      <c r="ES2" s="224"/>
      <c r="ET2" s="224"/>
      <c r="EU2" s="224"/>
      <c r="EV2" s="224"/>
      <c r="EW2" s="224"/>
      <c r="EX2" s="224"/>
      <c r="EY2" s="224"/>
      <c r="EZ2" s="224"/>
      <c r="FA2" s="224"/>
      <c r="FB2" s="224"/>
      <c r="FC2" s="224"/>
      <c r="FD2" s="224"/>
      <c r="FE2" s="224"/>
      <c r="FF2" s="224"/>
      <c r="FG2" s="224"/>
      <c r="FH2" s="224"/>
      <c r="FI2" s="224"/>
      <c r="FJ2" s="224"/>
      <c r="FK2" s="224"/>
      <c r="FL2" s="224"/>
      <c r="FM2" s="224"/>
      <c r="FN2" s="224"/>
      <c r="FO2" s="224"/>
      <c r="FP2" s="224"/>
      <c r="FQ2" s="224"/>
      <c r="FR2" s="224"/>
      <c r="FS2" s="224"/>
    </row>
    <row r="3" customFormat="false" ht="118" hidden="false" customHeight="true" outlineLevel="0" collapsed="false">
      <c r="A3" s="331" t="s">
        <v>1131</v>
      </c>
      <c r="B3" s="332"/>
      <c r="C3" s="324"/>
      <c r="D3" s="324"/>
      <c r="E3" s="324"/>
      <c r="F3" s="325"/>
      <c r="G3" s="333"/>
      <c r="H3" s="327"/>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328"/>
      <c r="CF3" s="132"/>
      <c r="CG3" s="132"/>
      <c r="CH3" s="334" t="s">
        <v>1132</v>
      </c>
      <c r="CI3" s="335" t="s">
        <v>1133</v>
      </c>
      <c r="CJ3" s="330"/>
      <c r="CK3" s="132"/>
      <c r="CL3" s="132"/>
      <c r="CM3" s="132"/>
      <c r="CN3" s="334" t="s">
        <v>1132</v>
      </c>
      <c r="CO3" s="336" t="s">
        <v>1133</v>
      </c>
      <c r="CP3" s="330"/>
      <c r="CQ3" s="132"/>
      <c r="CR3" s="132"/>
      <c r="CS3" s="132"/>
      <c r="CT3" s="334" t="s">
        <v>1132</v>
      </c>
      <c r="CU3" s="335" t="s">
        <v>1133</v>
      </c>
      <c r="CV3" s="330"/>
      <c r="CW3" s="224"/>
      <c r="CX3" s="224"/>
      <c r="CY3" s="224"/>
      <c r="CZ3" s="224"/>
      <c r="DA3" s="224"/>
      <c r="DB3" s="224"/>
      <c r="DC3" s="224"/>
      <c r="DD3" s="224"/>
      <c r="DE3" s="224"/>
      <c r="DF3" s="224"/>
      <c r="DG3" s="224"/>
      <c r="DH3" s="224"/>
      <c r="DI3" s="224"/>
      <c r="DJ3" s="224"/>
      <c r="DK3" s="224"/>
      <c r="DL3" s="224"/>
      <c r="DM3" s="224"/>
      <c r="DN3" s="224"/>
      <c r="DO3" s="224"/>
      <c r="DP3" s="224"/>
      <c r="DQ3" s="224"/>
      <c r="DR3" s="224"/>
      <c r="DS3" s="224"/>
      <c r="DT3" s="224"/>
      <c r="DU3" s="224"/>
      <c r="DV3" s="224"/>
      <c r="DW3" s="224"/>
      <c r="DX3" s="224"/>
      <c r="DY3" s="224"/>
      <c r="DZ3" s="224"/>
      <c r="EA3" s="224"/>
      <c r="EB3" s="224"/>
      <c r="EC3" s="224"/>
      <c r="ED3" s="224"/>
      <c r="EE3" s="224"/>
      <c r="EF3" s="224"/>
      <c r="EG3" s="224"/>
      <c r="EH3" s="224"/>
      <c r="EI3" s="224"/>
      <c r="EJ3" s="224"/>
      <c r="EK3" s="224"/>
      <c r="EL3" s="224"/>
      <c r="EM3" s="224"/>
      <c r="EN3" s="224"/>
      <c r="EO3" s="224"/>
      <c r="EP3" s="224"/>
      <c r="EQ3" s="224"/>
      <c r="ER3" s="224"/>
      <c r="ES3" s="224"/>
      <c r="ET3" s="224"/>
      <c r="EU3" s="224"/>
      <c r="EV3" s="224"/>
      <c r="EW3" s="224"/>
      <c r="EX3" s="224"/>
      <c r="EY3" s="224"/>
      <c r="EZ3" s="224"/>
      <c r="FA3" s="224"/>
      <c r="FB3" s="224"/>
      <c r="FC3" s="224"/>
      <c r="FD3" s="224"/>
      <c r="FE3" s="224"/>
      <c r="FF3" s="224"/>
      <c r="FG3" s="224"/>
      <c r="FH3" s="224"/>
      <c r="FI3" s="224"/>
      <c r="FJ3" s="224"/>
      <c r="FK3" s="224"/>
      <c r="FL3" s="224"/>
      <c r="FM3" s="224"/>
      <c r="FN3" s="224"/>
      <c r="FO3" s="224"/>
      <c r="FP3" s="224"/>
      <c r="FQ3" s="224"/>
      <c r="FR3" s="224"/>
      <c r="FS3" s="224"/>
    </row>
    <row r="4" customFormat="false" ht="16" hidden="false" customHeight="false" outlineLevel="0" collapsed="false">
      <c r="A4" s="337"/>
      <c r="B4" s="337"/>
      <c r="C4" s="337"/>
      <c r="D4" s="337"/>
      <c r="E4" s="337"/>
      <c r="F4" s="338"/>
      <c r="G4" s="339"/>
      <c r="H4" s="340"/>
      <c r="I4" s="341"/>
      <c r="J4" s="341"/>
      <c r="K4" s="341"/>
      <c r="L4" s="341"/>
      <c r="M4" s="341"/>
      <c r="N4" s="341"/>
      <c r="O4" s="341"/>
      <c r="P4" s="341"/>
      <c r="Q4" s="341"/>
      <c r="R4" s="341"/>
      <c r="S4" s="341"/>
      <c r="T4" s="341"/>
      <c r="U4" s="208"/>
      <c r="V4" s="208"/>
      <c r="W4" s="208"/>
      <c r="X4" s="208"/>
      <c r="Y4" s="208"/>
      <c r="Z4" s="208"/>
      <c r="AA4" s="208"/>
      <c r="AB4" s="208"/>
      <c r="AC4" s="208"/>
      <c r="AD4" s="208"/>
      <c r="AE4" s="208"/>
      <c r="AF4" s="208"/>
      <c r="AG4" s="208"/>
      <c r="AH4" s="208"/>
      <c r="AI4" s="208"/>
      <c r="AJ4" s="208"/>
      <c r="AK4" s="208"/>
      <c r="AL4" s="208"/>
      <c r="AM4" s="208"/>
      <c r="AN4" s="208"/>
      <c r="AO4" s="208"/>
      <c r="AP4" s="208"/>
      <c r="AQ4" s="208"/>
      <c r="AR4" s="208"/>
      <c r="AS4" s="208"/>
      <c r="AT4" s="208"/>
      <c r="AU4" s="208"/>
      <c r="AV4" s="208"/>
      <c r="AW4" s="208"/>
      <c r="AX4" s="208"/>
      <c r="AY4" s="208"/>
      <c r="AZ4" s="208"/>
      <c r="BA4" s="208"/>
      <c r="BB4" s="208"/>
      <c r="BC4" s="208"/>
      <c r="BD4" s="208"/>
      <c r="BE4" s="208"/>
      <c r="BF4" s="208"/>
      <c r="BG4" s="208"/>
      <c r="BH4" s="208"/>
      <c r="BI4" s="208"/>
      <c r="BJ4" s="208"/>
      <c r="BK4" s="208"/>
      <c r="BL4" s="208"/>
      <c r="BM4" s="208"/>
      <c r="BN4" s="208"/>
      <c r="BO4" s="208"/>
      <c r="BP4" s="208"/>
      <c r="BQ4" s="208"/>
      <c r="BR4" s="208"/>
      <c r="BS4" s="208"/>
      <c r="BT4" s="208"/>
      <c r="BU4" s="208"/>
      <c r="BV4" s="208"/>
      <c r="BW4" s="208"/>
      <c r="BX4" s="208"/>
      <c r="BY4" s="208"/>
      <c r="BZ4" s="208"/>
      <c r="CA4" s="208"/>
      <c r="CB4" s="208"/>
      <c r="CC4" s="208"/>
      <c r="CD4" s="208"/>
      <c r="CE4" s="342"/>
      <c r="CF4" s="93"/>
      <c r="CG4" s="93"/>
      <c r="CH4" s="57"/>
      <c r="CI4" s="92"/>
      <c r="CJ4" s="343"/>
      <c r="CK4" s="93"/>
      <c r="CL4" s="93"/>
      <c r="CM4" s="93"/>
      <c r="CN4" s="57"/>
      <c r="CO4" s="208"/>
      <c r="CP4" s="343"/>
      <c r="CQ4" s="93"/>
      <c r="CR4" s="93"/>
      <c r="CS4" s="93"/>
      <c r="CT4" s="57"/>
      <c r="CU4" s="92"/>
      <c r="CV4" s="343"/>
      <c r="CW4" s="344"/>
      <c r="CX4" s="344"/>
      <c r="CY4" s="344"/>
      <c r="CZ4" s="344"/>
      <c r="DA4" s="344"/>
      <c r="DB4" s="344"/>
      <c r="DC4" s="344"/>
      <c r="DD4" s="344"/>
      <c r="DE4" s="344"/>
      <c r="DF4" s="344"/>
      <c r="DG4" s="344"/>
      <c r="DH4" s="344"/>
      <c r="DI4" s="344"/>
      <c r="DJ4" s="344"/>
      <c r="DK4" s="344"/>
      <c r="DL4" s="344"/>
      <c r="DM4" s="344"/>
      <c r="DN4" s="344"/>
      <c r="DO4" s="344"/>
      <c r="DP4" s="344"/>
      <c r="DQ4" s="344"/>
      <c r="DR4" s="344"/>
      <c r="DS4" s="344"/>
      <c r="DT4" s="344"/>
      <c r="DU4" s="344"/>
      <c r="DV4" s="344"/>
      <c r="DW4" s="344"/>
      <c r="DX4" s="344"/>
      <c r="DY4" s="344"/>
      <c r="DZ4" s="344"/>
      <c r="EA4" s="344"/>
      <c r="EB4" s="344"/>
      <c r="EC4" s="344"/>
      <c r="ED4" s="344"/>
      <c r="EE4" s="344"/>
      <c r="EF4" s="344"/>
      <c r="EG4" s="344"/>
      <c r="EH4" s="344"/>
      <c r="EI4" s="344"/>
      <c r="EJ4" s="344"/>
      <c r="EK4" s="344"/>
      <c r="EL4" s="344"/>
      <c r="EM4" s="344"/>
      <c r="EN4" s="344"/>
      <c r="EO4" s="344"/>
      <c r="EP4" s="344"/>
      <c r="EQ4" s="344"/>
      <c r="ER4" s="344"/>
      <c r="ES4" s="344"/>
      <c r="ET4" s="344"/>
      <c r="EU4" s="344"/>
      <c r="EV4" s="344"/>
      <c r="EW4" s="344"/>
      <c r="EX4" s="344"/>
      <c r="EY4" s="344"/>
      <c r="EZ4" s="344"/>
      <c r="FA4" s="344"/>
      <c r="FB4" s="344"/>
      <c r="FC4" s="344"/>
      <c r="FD4" s="344"/>
      <c r="FE4" s="344"/>
      <c r="FF4" s="344"/>
      <c r="FG4" s="344"/>
      <c r="FH4" s="344"/>
      <c r="FI4" s="344"/>
      <c r="FJ4" s="344"/>
      <c r="FK4" s="344"/>
      <c r="FL4" s="344"/>
      <c r="FM4" s="344"/>
      <c r="FN4" s="344"/>
      <c r="FO4" s="344"/>
      <c r="FP4" s="344"/>
      <c r="FQ4" s="344"/>
      <c r="FR4" s="344"/>
      <c r="FS4" s="344"/>
    </row>
    <row r="5" customFormat="false" ht="16" hidden="false" customHeight="false" outlineLevel="0" collapsed="false">
      <c r="A5" s="345" t="s">
        <v>60</v>
      </c>
      <c r="B5" s="345" t="s">
        <v>60</v>
      </c>
      <c r="C5" s="345" t="s">
        <v>60</v>
      </c>
      <c r="D5" s="345" t="s">
        <v>60</v>
      </c>
      <c r="E5" s="345" t="s">
        <v>60</v>
      </c>
      <c r="F5" s="346" t="s">
        <v>60</v>
      </c>
      <c r="G5" s="347" t="s">
        <v>60</v>
      </c>
      <c r="H5" s="348" t="s">
        <v>60</v>
      </c>
      <c r="I5" s="349" t="s">
        <v>60</v>
      </c>
      <c r="J5" s="349" t="s">
        <v>60</v>
      </c>
      <c r="K5" s="349" t="s">
        <v>60</v>
      </c>
      <c r="L5" s="349" t="s">
        <v>60</v>
      </c>
      <c r="M5" s="349" t="s">
        <v>60</v>
      </c>
      <c r="N5" s="349" t="s">
        <v>60</v>
      </c>
      <c r="O5" s="349" t="s">
        <v>60</v>
      </c>
      <c r="P5" s="349" t="s">
        <v>60</v>
      </c>
      <c r="Q5" s="349" t="s">
        <v>60</v>
      </c>
      <c r="R5" s="349" t="s">
        <v>60</v>
      </c>
      <c r="S5" s="349" t="s">
        <v>60</v>
      </c>
      <c r="T5" s="349" t="s">
        <v>60</v>
      </c>
      <c r="U5" s="350" t="s">
        <v>60</v>
      </c>
      <c r="V5" s="350" t="s">
        <v>60</v>
      </c>
      <c r="W5" s="350" t="s">
        <v>60</v>
      </c>
      <c r="X5" s="350" t="s">
        <v>60</v>
      </c>
      <c r="Y5" s="350" t="s">
        <v>60</v>
      </c>
      <c r="Z5" s="350" t="s">
        <v>60</v>
      </c>
      <c r="AA5" s="350" t="s">
        <v>60</v>
      </c>
      <c r="AB5" s="350" t="s">
        <v>60</v>
      </c>
      <c r="AC5" s="350" t="s">
        <v>60</v>
      </c>
      <c r="AD5" s="350" t="s">
        <v>60</v>
      </c>
      <c r="AE5" s="350" t="s">
        <v>60</v>
      </c>
      <c r="AF5" s="350" t="s">
        <v>60</v>
      </c>
      <c r="AG5" s="350" t="s">
        <v>60</v>
      </c>
      <c r="AH5" s="350" t="s">
        <v>60</v>
      </c>
      <c r="AI5" s="350" t="s">
        <v>60</v>
      </c>
      <c r="AJ5" s="350" t="s">
        <v>60</v>
      </c>
      <c r="AK5" s="350" t="s">
        <v>60</v>
      </c>
      <c r="AL5" s="350" t="s">
        <v>60</v>
      </c>
      <c r="AM5" s="350" t="s">
        <v>60</v>
      </c>
      <c r="AN5" s="350" t="s">
        <v>60</v>
      </c>
      <c r="AO5" s="350" t="s">
        <v>60</v>
      </c>
      <c r="AP5" s="350" t="s">
        <v>60</v>
      </c>
      <c r="AQ5" s="350" t="s">
        <v>60</v>
      </c>
      <c r="AR5" s="350" t="s">
        <v>60</v>
      </c>
      <c r="AS5" s="350" t="s">
        <v>60</v>
      </c>
      <c r="AT5" s="350" t="s">
        <v>60</v>
      </c>
      <c r="AU5" s="350" t="s">
        <v>60</v>
      </c>
      <c r="AV5" s="350" t="s">
        <v>60</v>
      </c>
      <c r="AW5" s="350" t="s">
        <v>60</v>
      </c>
      <c r="AX5" s="350" t="s">
        <v>60</v>
      </c>
      <c r="AY5" s="350" t="s">
        <v>60</v>
      </c>
      <c r="AZ5" s="350" t="s">
        <v>60</v>
      </c>
      <c r="BA5" s="350" t="s">
        <v>60</v>
      </c>
      <c r="BB5" s="350" t="s">
        <v>60</v>
      </c>
      <c r="BC5" s="350" t="s">
        <v>60</v>
      </c>
      <c r="BD5" s="350" t="s">
        <v>60</v>
      </c>
      <c r="BE5" s="350" t="s">
        <v>60</v>
      </c>
      <c r="BF5" s="350" t="s">
        <v>60</v>
      </c>
      <c r="BG5" s="350" t="s">
        <v>60</v>
      </c>
      <c r="BH5" s="350" t="s">
        <v>60</v>
      </c>
      <c r="BI5" s="350" t="s">
        <v>60</v>
      </c>
      <c r="BJ5" s="350" t="s">
        <v>60</v>
      </c>
      <c r="BK5" s="350" t="s">
        <v>60</v>
      </c>
      <c r="BL5" s="350" t="s">
        <v>60</v>
      </c>
      <c r="BM5" s="350" t="s">
        <v>60</v>
      </c>
      <c r="BN5" s="350" t="s">
        <v>60</v>
      </c>
      <c r="BO5" s="350" t="s">
        <v>60</v>
      </c>
      <c r="BP5" s="350" t="s">
        <v>60</v>
      </c>
      <c r="BQ5" s="350" t="s">
        <v>60</v>
      </c>
      <c r="BR5" s="350" t="s">
        <v>60</v>
      </c>
      <c r="BS5" s="350" t="s">
        <v>60</v>
      </c>
      <c r="BT5" s="350" t="s">
        <v>60</v>
      </c>
      <c r="BU5" s="350" t="s">
        <v>60</v>
      </c>
      <c r="BV5" s="350" t="s">
        <v>60</v>
      </c>
      <c r="BW5" s="350" t="s">
        <v>60</v>
      </c>
      <c r="BX5" s="350" t="s">
        <v>60</v>
      </c>
      <c r="BY5" s="350" t="s">
        <v>60</v>
      </c>
      <c r="BZ5" s="350" t="s">
        <v>60</v>
      </c>
      <c r="CA5" s="350" t="s">
        <v>60</v>
      </c>
      <c r="CB5" s="350" t="s">
        <v>60</v>
      </c>
      <c r="CC5" s="350" t="s">
        <v>60</v>
      </c>
      <c r="CD5" s="350" t="s">
        <v>60</v>
      </c>
      <c r="CE5" s="351" t="s">
        <v>60</v>
      </c>
      <c r="CF5" s="352" t="s">
        <v>60</v>
      </c>
      <c r="CG5" s="352" t="s">
        <v>60</v>
      </c>
      <c r="CH5" s="353" t="s">
        <v>60</v>
      </c>
      <c r="CI5" s="354" t="s">
        <v>60</v>
      </c>
      <c r="CJ5" s="355" t="s">
        <v>169</v>
      </c>
      <c r="CK5" s="352" t="s">
        <v>60</v>
      </c>
      <c r="CL5" s="352" t="s">
        <v>60</v>
      </c>
      <c r="CM5" s="352" t="s">
        <v>60</v>
      </c>
      <c r="CN5" s="353" t="s">
        <v>60</v>
      </c>
      <c r="CO5" s="350" t="s">
        <v>60</v>
      </c>
      <c r="CP5" s="355" t="s">
        <v>169</v>
      </c>
      <c r="CQ5" s="352" t="s">
        <v>60</v>
      </c>
      <c r="CR5" s="352" t="s">
        <v>60</v>
      </c>
      <c r="CS5" s="352" t="s">
        <v>60</v>
      </c>
      <c r="CT5" s="353" t="s">
        <v>60</v>
      </c>
      <c r="CU5" s="354" t="s">
        <v>60</v>
      </c>
      <c r="CV5" s="355" t="s">
        <v>169</v>
      </c>
      <c r="CW5" s="356" t="s">
        <v>169</v>
      </c>
      <c r="CX5" s="356" t="s">
        <v>169</v>
      </c>
      <c r="CY5" s="356" t="s">
        <v>169</v>
      </c>
      <c r="CZ5" s="356" t="s">
        <v>169</v>
      </c>
      <c r="DA5" s="356" t="s">
        <v>169</v>
      </c>
      <c r="DB5" s="356" t="s">
        <v>169</v>
      </c>
      <c r="DC5" s="356" t="s">
        <v>169</v>
      </c>
      <c r="DD5" s="356" t="s">
        <v>169</v>
      </c>
      <c r="DE5" s="356" t="s">
        <v>169</v>
      </c>
      <c r="DF5" s="356" t="s">
        <v>169</v>
      </c>
      <c r="DG5" s="356" t="s">
        <v>169</v>
      </c>
      <c r="DH5" s="356" t="s">
        <v>169</v>
      </c>
      <c r="DI5" s="356" t="s">
        <v>169</v>
      </c>
      <c r="DJ5" s="356" t="s">
        <v>169</v>
      </c>
      <c r="DK5" s="356" t="s">
        <v>169</v>
      </c>
      <c r="DL5" s="356" t="s">
        <v>169</v>
      </c>
      <c r="DM5" s="356" t="s">
        <v>169</v>
      </c>
      <c r="DN5" s="356" t="s">
        <v>169</v>
      </c>
      <c r="DO5" s="356" t="s">
        <v>169</v>
      </c>
      <c r="DP5" s="356" t="s">
        <v>169</v>
      </c>
      <c r="DQ5" s="356" t="s">
        <v>169</v>
      </c>
      <c r="DR5" s="356" t="s">
        <v>169</v>
      </c>
      <c r="DS5" s="356" t="s">
        <v>169</v>
      </c>
      <c r="DT5" s="356" t="s">
        <v>169</v>
      </c>
      <c r="DU5" s="356" t="s">
        <v>169</v>
      </c>
      <c r="DV5" s="356" t="s">
        <v>169</v>
      </c>
      <c r="DW5" s="356" t="s">
        <v>169</v>
      </c>
      <c r="DX5" s="356" t="s">
        <v>169</v>
      </c>
      <c r="DY5" s="356" t="s">
        <v>169</v>
      </c>
      <c r="DZ5" s="356" t="s">
        <v>169</v>
      </c>
      <c r="EA5" s="356" t="s">
        <v>169</v>
      </c>
      <c r="EB5" s="356" t="s">
        <v>169</v>
      </c>
      <c r="EC5" s="356" t="s">
        <v>169</v>
      </c>
      <c r="ED5" s="356" t="s">
        <v>169</v>
      </c>
      <c r="EE5" s="356" t="s">
        <v>169</v>
      </c>
      <c r="EF5" s="356" t="s">
        <v>169</v>
      </c>
      <c r="EG5" s="356" t="s">
        <v>169</v>
      </c>
      <c r="EH5" s="356" t="s">
        <v>169</v>
      </c>
      <c r="EI5" s="356" t="s">
        <v>169</v>
      </c>
      <c r="EJ5" s="356" t="s">
        <v>169</v>
      </c>
      <c r="EK5" s="356" t="s">
        <v>169</v>
      </c>
      <c r="EL5" s="356" t="s">
        <v>169</v>
      </c>
      <c r="EM5" s="356" t="s">
        <v>169</v>
      </c>
      <c r="EN5" s="356" t="s">
        <v>169</v>
      </c>
      <c r="EO5" s="356" t="s">
        <v>169</v>
      </c>
      <c r="EP5" s="356" t="s">
        <v>169</v>
      </c>
      <c r="EQ5" s="356" t="s">
        <v>169</v>
      </c>
      <c r="ER5" s="356" t="s">
        <v>169</v>
      </c>
      <c r="ES5" s="356" t="s">
        <v>169</v>
      </c>
      <c r="ET5" s="356" t="s">
        <v>169</v>
      </c>
      <c r="EU5" s="356" t="s">
        <v>169</v>
      </c>
      <c r="EV5" s="356" t="s">
        <v>169</v>
      </c>
      <c r="EW5" s="356" t="s">
        <v>169</v>
      </c>
      <c r="EX5" s="356" t="s">
        <v>169</v>
      </c>
      <c r="EY5" s="356" t="s">
        <v>169</v>
      </c>
      <c r="EZ5" s="356" t="s">
        <v>169</v>
      </c>
      <c r="FA5" s="356" t="s">
        <v>169</v>
      </c>
      <c r="FB5" s="356" t="s">
        <v>169</v>
      </c>
      <c r="FC5" s="356" t="s">
        <v>169</v>
      </c>
      <c r="FD5" s="356" t="s">
        <v>169</v>
      </c>
      <c r="FE5" s="356" t="s">
        <v>169</v>
      </c>
      <c r="FF5" s="356" t="s">
        <v>169</v>
      </c>
      <c r="FG5" s="356" t="s">
        <v>169</v>
      </c>
      <c r="FH5" s="356" t="s">
        <v>169</v>
      </c>
      <c r="FI5" s="356" t="s">
        <v>169</v>
      </c>
      <c r="FJ5" s="356" t="s">
        <v>169</v>
      </c>
      <c r="FK5" s="356" t="s">
        <v>169</v>
      </c>
      <c r="FL5" s="356" t="s">
        <v>169</v>
      </c>
      <c r="FM5" s="356" t="s">
        <v>169</v>
      </c>
      <c r="FN5" s="356" t="s">
        <v>169</v>
      </c>
      <c r="FO5" s="356" t="s">
        <v>169</v>
      </c>
      <c r="FP5" s="356" t="s">
        <v>169</v>
      </c>
      <c r="FQ5" s="356" t="s">
        <v>169</v>
      </c>
      <c r="FR5" s="356" t="s">
        <v>169</v>
      </c>
      <c r="FS5" s="356" t="s">
        <v>169</v>
      </c>
    </row>
    <row r="6" customFormat="false" ht="16" hidden="false" customHeight="false" outlineLevel="0" collapsed="false">
      <c r="A6" s="345" t="s">
        <v>62</v>
      </c>
      <c r="B6" s="345" t="s">
        <v>62</v>
      </c>
      <c r="C6" s="345" t="s">
        <v>62</v>
      </c>
      <c r="D6" s="345" t="s">
        <v>62</v>
      </c>
      <c r="E6" s="345" t="s">
        <v>62</v>
      </c>
      <c r="F6" s="346" t="s">
        <v>62</v>
      </c>
      <c r="G6" s="347" t="s">
        <v>65</v>
      </c>
      <c r="H6" s="348" t="s">
        <v>65</v>
      </c>
      <c r="I6" s="349" t="s">
        <v>1134</v>
      </c>
      <c r="J6" s="349" t="s">
        <v>1134</v>
      </c>
      <c r="K6" s="349" t="s">
        <v>1134</v>
      </c>
      <c r="L6" s="349" t="s">
        <v>1134</v>
      </c>
      <c r="M6" s="349" t="s">
        <v>1134</v>
      </c>
      <c r="N6" s="349" t="s">
        <v>1134</v>
      </c>
      <c r="O6" s="349" t="s">
        <v>1134</v>
      </c>
      <c r="P6" s="349" t="s">
        <v>1134</v>
      </c>
      <c r="Q6" s="349" t="s">
        <v>1134</v>
      </c>
      <c r="R6" s="349" t="s">
        <v>1134</v>
      </c>
      <c r="S6" s="349" t="s">
        <v>1134</v>
      </c>
      <c r="T6" s="349" t="s">
        <v>1134</v>
      </c>
      <c r="U6" s="350" t="s">
        <v>1134</v>
      </c>
      <c r="V6" s="350" t="s">
        <v>1134</v>
      </c>
      <c r="W6" s="350" t="s">
        <v>1134</v>
      </c>
      <c r="X6" s="350" t="s">
        <v>1134</v>
      </c>
      <c r="Y6" s="350" t="s">
        <v>1134</v>
      </c>
      <c r="Z6" s="350" t="s">
        <v>1134</v>
      </c>
      <c r="AA6" s="350" t="s">
        <v>1134</v>
      </c>
      <c r="AB6" s="350" t="s">
        <v>1134</v>
      </c>
      <c r="AC6" s="350" t="s">
        <v>1134</v>
      </c>
      <c r="AD6" s="350" t="s">
        <v>1134</v>
      </c>
      <c r="AE6" s="350" t="s">
        <v>1134</v>
      </c>
      <c r="AF6" s="350" t="s">
        <v>1134</v>
      </c>
      <c r="AG6" s="350" t="s">
        <v>1134</v>
      </c>
      <c r="AH6" s="350" t="s">
        <v>1134</v>
      </c>
      <c r="AI6" s="350" t="s">
        <v>1134</v>
      </c>
      <c r="AJ6" s="350" t="s">
        <v>1134</v>
      </c>
      <c r="AK6" s="350" t="s">
        <v>1134</v>
      </c>
      <c r="AL6" s="350" t="s">
        <v>1134</v>
      </c>
      <c r="AM6" s="350" t="s">
        <v>1134</v>
      </c>
      <c r="AN6" s="350" t="s">
        <v>1134</v>
      </c>
      <c r="AO6" s="350" t="s">
        <v>1134</v>
      </c>
      <c r="AP6" s="350" t="s">
        <v>1134</v>
      </c>
      <c r="AQ6" s="350" t="s">
        <v>1134</v>
      </c>
      <c r="AR6" s="350" t="s">
        <v>1134</v>
      </c>
      <c r="AS6" s="350" t="s">
        <v>1134</v>
      </c>
      <c r="AT6" s="350" t="s">
        <v>1134</v>
      </c>
      <c r="AU6" s="350" t="s">
        <v>1134</v>
      </c>
      <c r="AV6" s="350" t="s">
        <v>1134</v>
      </c>
      <c r="AW6" s="350" t="s">
        <v>1134</v>
      </c>
      <c r="AX6" s="350" t="s">
        <v>1134</v>
      </c>
      <c r="AY6" s="350" t="s">
        <v>1134</v>
      </c>
      <c r="AZ6" s="350" t="s">
        <v>1134</v>
      </c>
      <c r="BA6" s="350" t="s">
        <v>1134</v>
      </c>
      <c r="BB6" s="350" t="s">
        <v>1134</v>
      </c>
      <c r="BC6" s="350" t="s">
        <v>1134</v>
      </c>
      <c r="BD6" s="350" t="s">
        <v>1134</v>
      </c>
      <c r="BE6" s="350" t="s">
        <v>1134</v>
      </c>
      <c r="BF6" s="350" t="s">
        <v>1134</v>
      </c>
      <c r="BG6" s="350" t="s">
        <v>1134</v>
      </c>
      <c r="BH6" s="350" t="s">
        <v>1134</v>
      </c>
      <c r="BI6" s="350" t="s">
        <v>1134</v>
      </c>
      <c r="BJ6" s="350" t="s">
        <v>1134</v>
      </c>
      <c r="BK6" s="350" t="s">
        <v>1134</v>
      </c>
      <c r="BL6" s="350" t="s">
        <v>1134</v>
      </c>
      <c r="BM6" s="350" t="s">
        <v>1134</v>
      </c>
      <c r="BN6" s="350" t="s">
        <v>1134</v>
      </c>
      <c r="BO6" s="350" t="s">
        <v>1134</v>
      </c>
      <c r="BP6" s="350" t="s">
        <v>1134</v>
      </c>
      <c r="BQ6" s="350" t="s">
        <v>1134</v>
      </c>
      <c r="BR6" s="350" t="s">
        <v>1134</v>
      </c>
      <c r="BS6" s="350" t="s">
        <v>1134</v>
      </c>
      <c r="BT6" s="350" t="s">
        <v>1134</v>
      </c>
      <c r="BU6" s="350" t="s">
        <v>1134</v>
      </c>
      <c r="BV6" s="350" t="s">
        <v>1134</v>
      </c>
      <c r="BW6" s="350" t="s">
        <v>1134</v>
      </c>
      <c r="BX6" s="350" t="s">
        <v>1134</v>
      </c>
      <c r="BY6" s="350" t="s">
        <v>1134</v>
      </c>
      <c r="BZ6" s="350" t="s">
        <v>1134</v>
      </c>
      <c r="CA6" s="350" t="s">
        <v>1134</v>
      </c>
      <c r="CB6" s="350" t="s">
        <v>1134</v>
      </c>
      <c r="CC6" s="350" t="s">
        <v>1134</v>
      </c>
      <c r="CD6" s="350" t="s">
        <v>1134</v>
      </c>
      <c r="CE6" s="351" t="s">
        <v>1134</v>
      </c>
      <c r="CF6" s="352" t="s">
        <v>65</v>
      </c>
      <c r="CG6" s="352" t="s">
        <v>65</v>
      </c>
      <c r="CH6" s="353" t="s">
        <v>171</v>
      </c>
      <c r="CI6" s="354" t="s">
        <v>171</v>
      </c>
      <c r="CJ6" s="355" t="s">
        <v>64</v>
      </c>
      <c r="CK6" s="352" t="s">
        <v>65</v>
      </c>
      <c r="CL6" s="352" t="s">
        <v>65</v>
      </c>
      <c r="CM6" s="352" t="s">
        <v>65</v>
      </c>
      <c r="CN6" s="353" t="s">
        <v>171</v>
      </c>
      <c r="CO6" s="350" t="s">
        <v>171</v>
      </c>
      <c r="CP6" s="355" t="s">
        <v>64</v>
      </c>
      <c r="CQ6" s="352" t="s">
        <v>65</v>
      </c>
      <c r="CR6" s="352" t="s">
        <v>65</v>
      </c>
      <c r="CS6" s="352" t="s">
        <v>65</v>
      </c>
      <c r="CT6" s="353" t="s">
        <v>171</v>
      </c>
      <c r="CU6" s="354" t="s">
        <v>171</v>
      </c>
      <c r="CV6" s="355" t="s">
        <v>64</v>
      </c>
      <c r="CW6" s="356" t="s">
        <v>64</v>
      </c>
      <c r="CX6" s="356" t="s">
        <v>64</v>
      </c>
      <c r="CY6" s="356" t="s">
        <v>64</v>
      </c>
      <c r="CZ6" s="356" t="s">
        <v>64</v>
      </c>
      <c r="DA6" s="356" t="s">
        <v>64</v>
      </c>
      <c r="DB6" s="356" t="s">
        <v>64</v>
      </c>
      <c r="DC6" s="356" t="s">
        <v>64</v>
      </c>
      <c r="DD6" s="356" t="s">
        <v>64</v>
      </c>
      <c r="DE6" s="356" t="s">
        <v>64</v>
      </c>
      <c r="DF6" s="356" t="s">
        <v>64</v>
      </c>
      <c r="DG6" s="356" t="s">
        <v>64</v>
      </c>
      <c r="DH6" s="356" t="s">
        <v>64</v>
      </c>
      <c r="DI6" s="356" t="s">
        <v>64</v>
      </c>
      <c r="DJ6" s="356" t="s">
        <v>64</v>
      </c>
      <c r="DK6" s="356" t="s">
        <v>64</v>
      </c>
      <c r="DL6" s="356" t="s">
        <v>64</v>
      </c>
      <c r="DM6" s="356" t="s">
        <v>64</v>
      </c>
      <c r="DN6" s="356" t="s">
        <v>64</v>
      </c>
      <c r="DO6" s="356" t="s">
        <v>64</v>
      </c>
      <c r="DP6" s="356" t="s">
        <v>64</v>
      </c>
      <c r="DQ6" s="356" t="s">
        <v>64</v>
      </c>
      <c r="DR6" s="356" t="s">
        <v>64</v>
      </c>
      <c r="DS6" s="356" t="s">
        <v>64</v>
      </c>
      <c r="DT6" s="356" t="s">
        <v>64</v>
      </c>
      <c r="DU6" s="356" t="s">
        <v>64</v>
      </c>
      <c r="DV6" s="356" t="s">
        <v>64</v>
      </c>
      <c r="DW6" s="356" t="s">
        <v>64</v>
      </c>
      <c r="DX6" s="356" t="s">
        <v>64</v>
      </c>
      <c r="DY6" s="356" t="s">
        <v>64</v>
      </c>
      <c r="DZ6" s="356" t="s">
        <v>64</v>
      </c>
      <c r="EA6" s="356" t="s">
        <v>64</v>
      </c>
      <c r="EB6" s="356" t="s">
        <v>64</v>
      </c>
      <c r="EC6" s="356" t="s">
        <v>64</v>
      </c>
      <c r="ED6" s="356" t="s">
        <v>64</v>
      </c>
      <c r="EE6" s="356" t="s">
        <v>64</v>
      </c>
      <c r="EF6" s="356" t="s">
        <v>64</v>
      </c>
      <c r="EG6" s="356" t="s">
        <v>64</v>
      </c>
      <c r="EH6" s="356" t="s">
        <v>64</v>
      </c>
      <c r="EI6" s="356" t="s">
        <v>64</v>
      </c>
      <c r="EJ6" s="356" t="s">
        <v>64</v>
      </c>
      <c r="EK6" s="356" t="s">
        <v>64</v>
      </c>
      <c r="EL6" s="356" t="s">
        <v>64</v>
      </c>
      <c r="EM6" s="356" t="s">
        <v>64</v>
      </c>
      <c r="EN6" s="356" t="s">
        <v>64</v>
      </c>
      <c r="EO6" s="356" t="s">
        <v>64</v>
      </c>
      <c r="EP6" s="356" t="s">
        <v>64</v>
      </c>
      <c r="EQ6" s="356" t="s">
        <v>64</v>
      </c>
      <c r="ER6" s="356" t="s">
        <v>64</v>
      </c>
      <c r="ES6" s="356" t="s">
        <v>64</v>
      </c>
      <c r="ET6" s="356" t="s">
        <v>64</v>
      </c>
      <c r="EU6" s="356" t="s">
        <v>64</v>
      </c>
      <c r="EV6" s="356" t="s">
        <v>64</v>
      </c>
      <c r="EW6" s="356" t="s">
        <v>64</v>
      </c>
      <c r="EX6" s="356" t="s">
        <v>64</v>
      </c>
      <c r="EY6" s="356" t="s">
        <v>64</v>
      </c>
      <c r="EZ6" s="356" t="s">
        <v>64</v>
      </c>
      <c r="FA6" s="356" t="s">
        <v>64</v>
      </c>
      <c r="FB6" s="356" t="s">
        <v>64</v>
      </c>
      <c r="FC6" s="356" t="s">
        <v>64</v>
      </c>
      <c r="FD6" s="356" t="s">
        <v>64</v>
      </c>
      <c r="FE6" s="356" t="s">
        <v>64</v>
      </c>
      <c r="FF6" s="356" t="s">
        <v>64</v>
      </c>
      <c r="FG6" s="356" t="s">
        <v>64</v>
      </c>
      <c r="FH6" s="356" t="s">
        <v>64</v>
      </c>
      <c r="FI6" s="356" t="s">
        <v>64</v>
      </c>
      <c r="FJ6" s="356" t="s">
        <v>64</v>
      </c>
      <c r="FK6" s="356" t="s">
        <v>64</v>
      </c>
      <c r="FL6" s="356" t="s">
        <v>64</v>
      </c>
      <c r="FM6" s="356" t="s">
        <v>64</v>
      </c>
      <c r="FN6" s="356" t="s">
        <v>64</v>
      </c>
      <c r="FO6" s="356" t="s">
        <v>64</v>
      </c>
      <c r="FP6" s="356" t="s">
        <v>64</v>
      </c>
      <c r="FQ6" s="356" t="s">
        <v>64</v>
      </c>
      <c r="FR6" s="356" t="s">
        <v>64</v>
      </c>
      <c r="FS6" s="356" t="s">
        <v>64</v>
      </c>
    </row>
    <row r="7" customFormat="false" ht="16" hidden="false" customHeight="false" outlineLevel="0" collapsed="false">
      <c r="A7" s="345" t="s">
        <v>66</v>
      </c>
      <c r="B7" s="345" t="s">
        <v>66</v>
      </c>
      <c r="C7" s="345" t="s">
        <v>66</v>
      </c>
      <c r="D7" s="345" t="s">
        <v>66</v>
      </c>
      <c r="E7" s="345" t="s">
        <v>66</v>
      </c>
      <c r="F7" s="346" t="s">
        <v>66</v>
      </c>
      <c r="G7" s="347" t="s">
        <v>67</v>
      </c>
      <c r="H7" s="348" t="s">
        <v>67</v>
      </c>
      <c r="I7" s="349" t="s">
        <v>173</v>
      </c>
      <c r="J7" s="349" t="s">
        <v>173</v>
      </c>
      <c r="K7" s="349" t="s">
        <v>173</v>
      </c>
      <c r="L7" s="349" t="s">
        <v>173</v>
      </c>
      <c r="M7" s="349" t="s">
        <v>173</v>
      </c>
      <c r="N7" s="349" t="s">
        <v>173</v>
      </c>
      <c r="O7" s="349" t="s">
        <v>173</v>
      </c>
      <c r="P7" s="349" t="s">
        <v>173</v>
      </c>
      <c r="Q7" s="349" t="s">
        <v>173</v>
      </c>
      <c r="R7" s="349" t="s">
        <v>173</v>
      </c>
      <c r="S7" s="349" t="s">
        <v>173</v>
      </c>
      <c r="T7" s="349" t="s">
        <v>173</v>
      </c>
      <c r="U7" s="350" t="s">
        <v>173</v>
      </c>
      <c r="V7" s="350" t="s">
        <v>173</v>
      </c>
      <c r="W7" s="350" t="s">
        <v>173</v>
      </c>
      <c r="X7" s="350" t="s">
        <v>173</v>
      </c>
      <c r="Y7" s="350" t="s">
        <v>173</v>
      </c>
      <c r="Z7" s="350" t="s">
        <v>173</v>
      </c>
      <c r="AA7" s="350" t="s">
        <v>173</v>
      </c>
      <c r="AB7" s="350" t="s">
        <v>173</v>
      </c>
      <c r="AC7" s="350" t="s">
        <v>173</v>
      </c>
      <c r="AD7" s="350" t="s">
        <v>173</v>
      </c>
      <c r="AE7" s="350" t="s">
        <v>173</v>
      </c>
      <c r="AF7" s="350" t="s">
        <v>173</v>
      </c>
      <c r="AG7" s="350" t="s">
        <v>173</v>
      </c>
      <c r="AH7" s="350" t="s">
        <v>173</v>
      </c>
      <c r="AI7" s="350" t="s">
        <v>173</v>
      </c>
      <c r="AJ7" s="350" t="s">
        <v>173</v>
      </c>
      <c r="AK7" s="350" t="s">
        <v>173</v>
      </c>
      <c r="AL7" s="350" t="s">
        <v>173</v>
      </c>
      <c r="AM7" s="350" t="s">
        <v>173</v>
      </c>
      <c r="AN7" s="350" t="s">
        <v>173</v>
      </c>
      <c r="AO7" s="350" t="s">
        <v>173</v>
      </c>
      <c r="AP7" s="350" t="s">
        <v>173</v>
      </c>
      <c r="AQ7" s="350" t="s">
        <v>173</v>
      </c>
      <c r="AR7" s="350" t="s">
        <v>173</v>
      </c>
      <c r="AS7" s="350" t="s">
        <v>173</v>
      </c>
      <c r="AT7" s="350" t="s">
        <v>173</v>
      </c>
      <c r="AU7" s="350" t="s">
        <v>173</v>
      </c>
      <c r="AV7" s="350" t="s">
        <v>173</v>
      </c>
      <c r="AW7" s="350" t="s">
        <v>173</v>
      </c>
      <c r="AX7" s="350" t="s">
        <v>173</v>
      </c>
      <c r="AY7" s="350" t="s">
        <v>173</v>
      </c>
      <c r="AZ7" s="350" t="s">
        <v>173</v>
      </c>
      <c r="BA7" s="350" t="s">
        <v>173</v>
      </c>
      <c r="BB7" s="350" t="s">
        <v>173</v>
      </c>
      <c r="BC7" s="350" t="s">
        <v>173</v>
      </c>
      <c r="BD7" s="350" t="s">
        <v>173</v>
      </c>
      <c r="BE7" s="350" t="s">
        <v>173</v>
      </c>
      <c r="BF7" s="350" t="s">
        <v>173</v>
      </c>
      <c r="BG7" s="350" t="s">
        <v>173</v>
      </c>
      <c r="BH7" s="350" t="s">
        <v>173</v>
      </c>
      <c r="BI7" s="350" t="s">
        <v>173</v>
      </c>
      <c r="BJ7" s="350" t="s">
        <v>173</v>
      </c>
      <c r="BK7" s="350" t="s">
        <v>173</v>
      </c>
      <c r="BL7" s="350" t="s">
        <v>173</v>
      </c>
      <c r="BM7" s="350" t="s">
        <v>173</v>
      </c>
      <c r="BN7" s="350" t="s">
        <v>173</v>
      </c>
      <c r="BO7" s="350" t="s">
        <v>173</v>
      </c>
      <c r="BP7" s="350" t="s">
        <v>173</v>
      </c>
      <c r="BQ7" s="350" t="s">
        <v>173</v>
      </c>
      <c r="BR7" s="350" t="s">
        <v>173</v>
      </c>
      <c r="BS7" s="350" t="s">
        <v>173</v>
      </c>
      <c r="BT7" s="350" t="s">
        <v>173</v>
      </c>
      <c r="BU7" s="350" t="s">
        <v>173</v>
      </c>
      <c r="BV7" s="350" t="s">
        <v>173</v>
      </c>
      <c r="BW7" s="350" t="s">
        <v>173</v>
      </c>
      <c r="BX7" s="350" t="s">
        <v>173</v>
      </c>
      <c r="BY7" s="350" t="s">
        <v>173</v>
      </c>
      <c r="BZ7" s="350" t="s">
        <v>173</v>
      </c>
      <c r="CA7" s="350" t="s">
        <v>173</v>
      </c>
      <c r="CB7" s="350" t="s">
        <v>173</v>
      </c>
      <c r="CC7" s="350" t="s">
        <v>173</v>
      </c>
      <c r="CD7" s="350" t="s">
        <v>173</v>
      </c>
      <c r="CE7" s="351" t="s">
        <v>173</v>
      </c>
      <c r="CF7" s="352" t="s">
        <v>67</v>
      </c>
      <c r="CG7" s="352" t="s">
        <v>67</v>
      </c>
      <c r="CH7" s="353" t="s">
        <v>66</v>
      </c>
      <c r="CI7" s="354" t="s">
        <v>173</v>
      </c>
      <c r="CJ7" s="355" t="s">
        <v>67</v>
      </c>
      <c r="CK7" s="352" t="s">
        <v>67</v>
      </c>
      <c r="CL7" s="352" t="s">
        <v>67</v>
      </c>
      <c r="CM7" s="352" t="s">
        <v>67</v>
      </c>
      <c r="CN7" s="353" t="s">
        <v>66</v>
      </c>
      <c r="CO7" s="350" t="s">
        <v>173</v>
      </c>
      <c r="CP7" s="355" t="s">
        <v>67</v>
      </c>
      <c r="CQ7" s="352" t="s">
        <v>67</v>
      </c>
      <c r="CR7" s="352" t="s">
        <v>67</v>
      </c>
      <c r="CS7" s="352" t="s">
        <v>67</v>
      </c>
      <c r="CT7" s="353" t="s">
        <v>66</v>
      </c>
      <c r="CU7" s="354" t="s">
        <v>173</v>
      </c>
      <c r="CV7" s="355" t="s">
        <v>67</v>
      </c>
      <c r="CW7" s="356" t="s">
        <v>67</v>
      </c>
      <c r="CX7" s="356" t="s">
        <v>67</v>
      </c>
      <c r="CY7" s="356" t="s">
        <v>67</v>
      </c>
      <c r="CZ7" s="356" t="s">
        <v>67</v>
      </c>
      <c r="DA7" s="356" t="s">
        <v>67</v>
      </c>
      <c r="DB7" s="356" t="s">
        <v>67</v>
      </c>
      <c r="DC7" s="356" t="s">
        <v>67</v>
      </c>
      <c r="DD7" s="356" t="s">
        <v>67</v>
      </c>
      <c r="DE7" s="356" t="s">
        <v>67</v>
      </c>
      <c r="DF7" s="356" t="s">
        <v>67</v>
      </c>
      <c r="DG7" s="356" t="s">
        <v>67</v>
      </c>
      <c r="DH7" s="356" t="s">
        <v>67</v>
      </c>
      <c r="DI7" s="356" t="s">
        <v>67</v>
      </c>
      <c r="DJ7" s="356" t="s">
        <v>67</v>
      </c>
      <c r="DK7" s="356" t="s">
        <v>67</v>
      </c>
      <c r="DL7" s="356" t="s">
        <v>67</v>
      </c>
      <c r="DM7" s="356" t="s">
        <v>67</v>
      </c>
      <c r="DN7" s="356" t="s">
        <v>67</v>
      </c>
      <c r="DO7" s="356" t="s">
        <v>67</v>
      </c>
      <c r="DP7" s="356" t="s">
        <v>67</v>
      </c>
      <c r="DQ7" s="356" t="s">
        <v>67</v>
      </c>
      <c r="DR7" s="356" t="s">
        <v>67</v>
      </c>
      <c r="DS7" s="356" t="s">
        <v>67</v>
      </c>
      <c r="DT7" s="356" t="s">
        <v>67</v>
      </c>
      <c r="DU7" s="356" t="s">
        <v>67</v>
      </c>
      <c r="DV7" s="356" t="s">
        <v>67</v>
      </c>
      <c r="DW7" s="356" t="s">
        <v>67</v>
      </c>
      <c r="DX7" s="356" t="s">
        <v>67</v>
      </c>
      <c r="DY7" s="356" t="s">
        <v>67</v>
      </c>
      <c r="DZ7" s="356" t="s">
        <v>67</v>
      </c>
      <c r="EA7" s="356" t="s">
        <v>67</v>
      </c>
      <c r="EB7" s="356" t="s">
        <v>67</v>
      </c>
      <c r="EC7" s="356" t="s">
        <v>67</v>
      </c>
      <c r="ED7" s="356" t="s">
        <v>67</v>
      </c>
      <c r="EE7" s="356" t="s">
        <v>67</v>
      </c>
      <c r="EF7" s="356" t="s">
        <v>67</v>
      </c>
      <c r="EG7" s="356" t="s">
        <v>67</v>
      </c>
      <c r="EH7" s="356" t="s">
        <v>67</v>
      </c>
      <c r="EI7" s="356" t="s">
        <v>67</v>
      </c>
      <c r="EJ7" s="356" t="s">
        <v>67</v>
      </c>
      <c r="EK7" s="356" t="s">
        <v>67</v>
      </c>
      <c r="EL7" s="356" t="s">
        <v>67</v>
      </c>
      <c r="EM7" s="356" t="s">
        <v>67</v>
      </c>
      <c r="EN7" s="356" t="s">
        <v>67</v>
      </c>
      <c r="EO7" s="356" t="s">
        <v>67</v>
      </c>
      <c r="EP7" s="356" t="s">
        <v>67</v>
      </c>
      <c r="EQ7" s="356" t="s">
        <v>67</v>
      </c>
      <c r="ER7" s="356" t="s">
        <v>67</v>
      </c>
      <c r="ES7" s="356" t="s">
        <v>67</v>
      </c>
      <c r="ET7" s="356" t="s">
        <v>67</v>
      </c>
      <c r="EU7" s="356" t="s">
        <v>67</v>
      </c>
      <c r="EV7" s="356" t="s">
        <v>67</v>
      </c>
      <c r="EW7" s="356" t="s">
        <v>67</v>
      </c>
      <c r="EX7" s="356" t="s">
        <v>67</v>
      </c>
      <c r="EY7" s="356" t="s">
        <v>67</v>
      </c>
      <c r="EZ7" s="356" t="s">
        <v>67</v>
      </c>
      <c r="FA7" s="356" t="s">
        <v>67</v>
      </c>
      <c r="FB7" s="356" t="s">
        <v>67</v>
      </c>
      <c r="FC7" s="356" t="s">
        <v>67</v>
      </c>
      <c r="FD7" s="356" t="s">
        <v>67</v>
      </c>
      <c r="FE7" s="356" t="s">
        <v>67</v>
      </c>
      <c r="FF7" s="356" t="s">
        <v>67</v>
      </c>
      <c r="FG7" s="356" t="s">
        <v>67</v>
      </c>
      <c r="FH7" s="356" t="s">
        <v>67</v>
      </c>
      <c r="FI7" s="356" t="s">
        <v>67</v>
      </c>
      <c r="FJ7" s="356" t="s">
        <v>67</v>
      </c>
      <c r="FK7" s="356" t="s">
        <v>67</v>
      </c>
      <c r="FL7" s="356" t="s">
        <v>67</v>
      </c>
      <c r="FM7" s="356" t="s">
        <v>67</v>
      </c>
      <c r="FN7" s="356" t="s">
        <v>67</v>
      </c>
      <c r="FO7" s="356" t="s">
        <v>67</v>
      </c>
      <c r="FP7" s="356" t="s">
        <v>67</v>
      </c>
      <c r="FQ7" s="356" t="s">
        <v>67</v>
      </c>
      <c r="FR7" s="356" t="s">
        <v>67</v>
      </c>
      <c r="FS7" s="356" t="s">
        <v>67</v>
      </c>
    </row>
    <row r="8" customFormat="false" ht="16" hidden="false" customHeight="false" outlineLevel="0" collapsed="false">
      <c r="A8" s="345" t="s">
        <v>1135</v>
      </c>
      <c r="B8" s="345" t="s">
        <v>1135</v>
      </c>
      <c r="C8" s="345" t="s">
        <v>1135</v>
      </c>
      <c r="D8" s="345" t="s">
        <v>1135</v>
      </c>
      <c r="E8" s="357" t="s">
        <v>1135</v>
      </c>
      <c r="F8" s="346" t="s">
        <v>1135</v>
      </c>
      <c r="G8" s="347" t="s">
        <v>1135</v>
      </c>
      <c r="H8" s="348" t="s">
        <v>1135</v>
      </c>
      <c r="I8" s="349" t="s">
        <v>1135</v>
      </c>
      <c r="J8" s="349" t="s">
        <v>1135</v>
      </c>
      <c r="K8" s="349" t="s">
        <v>1135</v>
      </c>
      <c r="L8" s="349" t="s">
        <v>1135</v>
      </c>
      <c r="M8" s="349" t="s">
        <v>1135</v>
      </c>
      <c r="N8" s="349" t="s">
        <v>1135</v>
      </c>
      <c r="O8" s="349" t="s">
        <v>1135</v>
      </c>
      <c r="P8" s="349" t="s">
        <v>1135</v>
      </c>
      <c r="Q8" s="349" t="s">
        <v>1135</v>
      </c>
      <c r="R8" s="349" t="s">
        <v>1135</v>
      </c>
      <c r="S8" s="349" t="s">
        <v>1135</v>
      </c>
      <c r="T8" s="349" t="s">
        <v>1135</v>
      </c>
      <c r="U8" s="350" t="s">
        <v>1135</v>
      </c>
      <c r="V8" s="350" t="s">
        <v>1135</v>
      </c>
      <c r="W8" s="350" t="s">
        <v>1135</v>
      </c>
      <c r="X8" s="350" t="s">
        <v>1135</v>
      </c>
      <c r="Y8" s="350" t="s">
        <v>1135</v>
      </c>
      <c r="Z8" s="350" t="s">
        <v>1135</v>
      </c>
      <c r="AA8" s="350" t="s">
        <v>1135</v>
      </c>
      <c r="AB8" s="350" t="s">
        <v>1135</v>
      </c>
      <c r="AC8" s="350" t="s">
        <v>1135</v>
      </c>
      <c r="AD8" s="350" t="s">
        <v>1135</v>
      </c>
      <c r="AE8" s="350" t="s">
        <v>1135</v>
      </c>
      <c r="AF8" s="350" t="s">
        <v>1135</v>
      </c>
      <c r="AG8" s="350" t="s">
        <v>1135</v>
      </c>
      <c r="AH8" s="350" t="s">
        <v>1135</v>
      </c>
      <c r="AI8" s="350" t="s">
        <v>1135</v>
      </c>
      <c r="AJ8" s="350" t="s">
        <v>1135</v>
      </c>
      <c r="AK8" s="350" t="s">
        <v>1135</v>
      </c>
      <c r="AL8" s="350" t="s">
        <v>1135</v>
      </c>
      <c r="AM8" s="350" t="s">
        <v>1135</v>
      </c>
      <c r="AN8" s="350" t="s">
        <v>1135</v>
      </c>
      <c r="AO8" s="350" t="s">
        <v>1135</v>
      </c>
      <c r="AP8" s="350" t="s">
        <v>1135</v>
      </c>
      <c r="AQ8" s="350" t="s">
        <v>1135</v>
      </c>
      <c r="AR8" s="350" t="s">
        <v>1135</v>
      </c>
      <c r="AS8" s="350" t="s">
        <v>1135</v>
      </c>
      <c r="AT8" s="350" t="s">
        <v>1135</v>
      </c>
      <c r="AU8" s="350" t="s">
        <v>1135</v>
      </c>
      <c r="AV8" s="350" t="s">
        <v>1135</v>
      </c>
      <c r="AW8" s="350" t="s">
        <v>1135</v>
      </c>
      <c r="AX8" s="350" t="s">
        <v>1135</v>
      </c>
      <c r="AY8" s="350" t="s">
        <v>1135</v>
      </c>
      <c r="AZ8" s="350" t="s">
        <v>1135</v>
      </c>
      <c r="BA8" s="350" t="s">
        <v>1135</v>
      </c>
      <c r="BB8" s="350" t="s">
        <v>1135</v>
      </c>
      <c r="BC8" s="350" t="s">
        <v>1135</v>
      </c>
      <c r="BD8" s="350" t="s">
        <v>1135</v>
      </c>
      <c r="BE8" s="350" t="s">
        <v>1135</v>
      </c>
      <c r="BF8" s="350" t="s">
        <v>1135</v>
      </c>
      <c r="BG8" s="350" t="s">
        <v>1135</v>
      </c>
      <c r="BH8" s="350" t="s">
        <v>1135</v>
      </c>
      <c r="BI8" s="350" t="s">
        <v>1135</v>
      </c>
      <c r="BJ8" s="350" t="s">
        <v>1135</v>
      </c>
      <c r="BK8" s="350" t="s">
        <v>1135</v>
      </c>
      <c r="BL8" s="350" t="s">
        <v>1135</v>
      </c>
      <c r="BM8" s="350" t="s">
        <v>1135</v>
      </c>
      <c r="BN8" s="350" t="s">
        <v>1135</v>
      </c>
      <c r="BO8" s="350" t="s">
        <v>1135</v>
      </c>
      <c r="BP8" s="350" t="s">
        <v>1135</v>
      </c>
      <c r="BQ8" s="350" t="s">
        <v>1135</v>
      </c>
      <c r="BR8" s="350" t="s">
        <v>1135</v>
      </c>
      <c r="BS8" s="350" t="s">
        <v>1135</v>
      </c>
      <c r="BT8" s="350" t="s">
        <v>1135</v>
      </c>
      <c r="BU8" s="350" t="s">
        <v>1135</v>
      </c>
      <c r="BV8" s="350" t="s">
        <v>1135</v>
      </c>
      <c r="BW8" s="350" t="s">
        <v>1135</v>
      </c>
      <c r="BX8" s="350" t="s">
        <v>1135</v>
      </c>
      <c r="BY8" s="350" t="s">
        <v>1135</v>
      </c>
      <c r="BZ8" s="350" t="s">
        <v>1135</v>
      </c>
      <c r="CA8" s="350" t="s">
        <v>1135</v>
      </c>
      <c r="CB8" s="350" t="s">
        <v>1135</v>
      </c>
      <c r="CC8" s="350" t="s">
        <v>1135</v>
      </c>
      <c r="CD8" s="350" t="s">
        <v>1135</v>
      </c>
      <c r="CE8" s="351" t="s">
        <v>1135</v>
      </c>
      <c r="CF8" s="352" t="s">
        <v>1135</v>
      </c>
      <c r="CG8" s="352" t="s">
        <v>1135</v>
      </c>
      <c r="CH8" s="353" t="s">
        <v>1135</v>
      </c>
      <c r="CI8" s="354" t="s">
        <v>1135</v>
      </c>
      <c r="CJ8" s="355" t="s">
        <v>1135</v>
      </c>
      <c r="CK8" s="352" t="s">
        <v>1135</v>
      </c>
      <c r="CL8" s="352" t="s">
        <v>1135</v>
      </c>
      <c r="CM8" s="352" t="s">
        <v>1135</v>
      </c>
      <c r="CN8" s="353" t="s">
        <v>1135</v>
      </c>
      <c r="CO8" s="350" t="s">
        <v>1135</v>
      </c>
      <c r="CP8" s="355" t="s">
        <v>1135</v>
      </c>
      <c r="CQ8" s="352" t="s">
        <v>1135</v>
      </c>
      <c r="CR8" s="352" t="s">
        <v>1135</v>
      </c>
      <c r="CS8" s="352" t="s">
        <v>1135</v>
      </c>
      <c r="CT8" s="353" t="s">
        <v>1135</v>
      </c>
      <c r="CU8" s="354" t="s">
        <v>1135</v>
      </c>
      <c r="CV8" s="355" t="s">
        <v>1135</v>
      </c>
      <c r="CW8" s="356" t="s">
        <v>1135</v>
      </c>
      <c r="CX8" s="356" t="s">
        <v>1135</v>
      </c>
      <c r="CY8" s="356" t="s">
        <v>1135</v>
      </c>
      <c r="CZ8" s="356" t="s">
        <v>1135</v>
      </c>
      <c r="DA8" s="356" t="s">
        <v>1135</v>
      </c>
      <c r="DB8" s="356" t="s">
        <v>1135</v>
      </c>
      <c r="DC8" s="356" t="s">
        <v>1135</v>
      </c>
      <c r="DD8" s="356" t="s">
        <v>1135</v>
      </c>
      <c r="DE8" s="356" t="s">
        <v>1135</v>
      </c>
      <c r="DF8" s="356" t="s">
        <v>1135</v>
      </c>
      <c r="DG8" s="356" t="s">
        <v>1135</v>
      </c>
      <c r="DH8" s="356" t="s">
        <v>1135</v>
      </c>
      <c r="DI8" s="356" t="s">
        <v>1135</v>
      </c>
      <c r="DJ8" s="356" t="s">
        <v>1135</v>
      </c>
      <c r="DK8" s="356" t="s">
        <v>1135</v>
      </c>
      <c r="DL8" s="356" t="s">
        <v>1135</v>
      </c>
      <c r="DM8" s="356" t="s">
        <v>1135</v>
      </c>
      <c r="DN8" s="356" t="s">
        <v>1135</v>
      </c>
      <c r="DO8" s="356" t="s">
        <v>1135</v>
      </c>
      <c r="DP8" s="356" t="s">
        <v>1135</v>
      </c>
      <c r="DQ8" s="356" t="s">
        <v>1135</v>
      </c>
      <c r="DR8" s="356" t="s">
        <v>1135</v>
      </c>
      <c r="DS8" s="356" t="s">
        <v>1135</v>
      </c>
      <c r="DT8" s="356" t="s">
        <v>1135</v>
      </c>
      <c r="DU8" s="356" t="s">
        <v>1135</v>
      </c>
      <c r="DV8" s="356" t="s">
        <v>1135</v>
      </c>
      <c r="DW8" s="356" t="s">
        <v>1135</v>
      </c>
      <c r="DX8" s="356" t="s">
        <v>1135</v>
      </c>
      <c r="DY8" s="356" t="s">
        <v>1135</v>
      </c>
      <c r="DZ8" s="356" t="s">
        <v>1135</v>
      </c>
      <c r="EA8" s="356" t="s">
        <v>1135</v>
      </c>
      <c r="EB8" s="356" t="s">
        <v>1135</v>
      </c>
      <c r="EC8" s="356" t="s">
        <v>1135</v>
      </c>
      <c r="ED8" s="356" t="s">
        <v>1135</v>
      </c>
      <c r="EE8" s="356" t="s">
        <v>1135</v>
      </c>
      <c r="EF8" s="356" t="s">
        <v>1135</v>
      </c>
      <c r="EG8" s="356" t="s">
        <v>1135</v>
      </c>
      <c r="EH8" s="356" t="s">
        <v>1135</v>
      </c>
      <c r="EI8" s="356" t="s">
        <v>1135</v>
      </c>
      <c r="EJ8" s="356" t="s">
        <v>1135</v>
      </c>
      <c r="EK8" s="356" t="s">
        <v>1135</v>
      </c>
      <c r="EL8" s="356" t="s">
        <v>1135</v>
      </c>
      <c r="EM8" s="356" t="s">
        <v>1135</v>
      </c>
      <c r="EN8" s="356" t="s">
        <v>1135</v>
      </c>
      <c r="EO8" s="356" t="s">
        <v>1135</v>
      </c>
      <c r="EP8" s="356" t="s">
        <v>1135</v>
      </c>
      <c r="EQ8" s="356" t="s">
        <v>1135</v>
      </c>
      <c r="ER8" s="356" t="s">
        <v>1135</v>
      </c>
      <c r="ES8" s="356" t="s">
        <v>1135</v>
      </c>
      <c r="ET8" s="356" t="s">
        <v>1135</v>
      </c>
      <c r="EU8" s="356" t="s">
        <v>1135</v>
      </c>
      <c r="EV8" s="356" t="s">
        <v>1135</v>
      </c>
      <c r="EW8" s="356" t="s">
        <v>1135</v>
      </c>
      <c r="EX8" s="356" t="s">
        <v>1135</v>
      </c>
      <c r="EY8" s="356" t="s">
        <v>1135</v>
      </c>
      <c r="EZ8" s="356" t="s">
        <v>1135</v>
      </c>
      <c r="FA8" s="356" t="s">
        <v>1135</v>
      </c>
      <c r="FB8" s="356" t="s">
        <v>1135</v>
      </c>
      <c r="FC8" s="356" t="s">
        <v>1135</v>
      </c>
      <c r="FD8" s="356" t="s">
        <v>1135</v>
      </c>
      <c r="FE8" s="356" t="s">
        <v>1135</v>
      </c>
      <c r="FF8" s="356" t="s">
        <v>1135</v>
      </c>
      <c r="FG8" s="356" t="s">
        <v>1135</v>
      </c>
      <c r="FH8" s="356" t="s">
        <v>1135</v>
      </c>
      <c r="FI8" s="356" t="s">
        <v>1135</v>
      </c>
      <c r="FJ8" s="356" t="s">
        <v>1135</v>
      </c>
      <c r="FK8" s="356" t="s">
        <v>1135</v>
      </c>
      <c r="FL8" s="356" t="s">
        <v>1135</v>
      </c>
      <c r="FM8" s="356" t="s">
        <v>1135</v>
      </c>
      <c r="FN8" s="356" t="s">
        <v>1135</v>
      </c>
      <c r="FO8" s="356" t="s">
        <v>1135</v>
      </c>
      <c r="FP8" s="356" t="s">
        <v>1135</v>
      </c>
      <c r="FQ8" s="356" t="s">
        <v>1135</v>
      </c>
      <c r="FR8" s="356" t="s">
        <v>1135</v>
      </c>
      <c r="FS8" s="356" t="s">
        <v>1135</v>
      </c>
    </row>
    <row r="9" customFormat="false" ht="16" hidden="false" customHeight="false" outlineLevel="0" collapsed="false">
      <c r="A9" s="345" t="s">
        <v>1135</v>
      </c>
      <c r="B9" s="345" t="s">
        <v>1135</v>
      </c>
      <c r="C9" s="345" t="s">
        <v>1135</v>
      </c>
      <c r="D9" s="345" t="s">
        <v>1135</v>
      </c>
      <c r="E9" s="357" t="s">
        <v>1135</v>
      </c>
      <c r="F9" s="346" t="s">
        <v>1135</v>
      </c>
      <c r="G9" s="347" t="s">
        <v>1135</v>
      </c>
      <c r="H9" s="348" t="s">
        <v>1135</v>
      </c>
      <c r="I9" s="349" t="s">
        <v>1135</v>
      </c>
      <c r="J9" s="349" t="s">
        <v>1135</v>
      </c>
      <c r="K9" s="349" t="s">
        <v>1135</v>
      </c>
      <c r="L9" s="349" t="s">
        <v>1135</v>
      </c>
      <c r="M9" s="349" t="s">
        <v>1135</v>
      </c>
      <c r="N9" s="349" t="s">
        <v>1135</v>
      </c>
      <c r="O9" s="349" t="s">
        <v>1135</v>
      </c>
      <c r="P9" s="349" t="s">
        <v>1135</v>
      </c>
      <c r="Q9" s="349" t="s">
        <v>1135</v>
      </c>
      <c r="R9" s="349" t="s">
        <v>1135</v>
      </c>
      <c r="S9" s="349" t="s">
        <v>1135</v>
      </c>
      <c r="T9" s="349" t="s">
        <v>1135</v>
      </c>
      <c r="U9" s="350" t="s">
        <v>1135</v>
      </c>
      <c r="V9" s="350" t="s">
        <v>1135</v>
      </c>
      <c r="W9" s="350" t="s">
        <v>1135</v>
      </c>
      <c r="X9" s="350" t="s">
        <v>1135</v>
      </c>
      <c r="Y9" s="350" t="s">
        <v>1135</v>
      </c>
      <c r="Z9" s="350" t="s">
        <v>1135</v>
      </c>
      <c r="AA9" s="350" t="s">
        <v>1135</v>
      </c>
      <c r="AB9" s="350" t="s">
        <v>1135</v>
      </c>
      <c r="AC9" s="350" t="s">
        <v>1135</v>
      </c>
      <c r="AD9" s="350" t="s">
        <v>1135</v>
      </c>
      <c r="AE9" s="350" t="s">
        <v>1135</v>
      </c>
      <c r="AF9" s="350" t="s">
        <v>1135</v>
      </c>
      <c r="AG9" s="350" t="s">
        <v>1135</v>
      </c>
      <c r="AH9" s="350" t="s">
        <v>1135</v>
      </c>
      <c r="AI9" s="350" t="s">
        <v>1135</v>
      </c>
      <c r="AJ9" s="350" t="s">
        <v>1135</v>
      </c>
      <c r="AK9" s="350" t="s">
        <v>1135</v>
      </c>
      <c r="AL9" s="350" t="s">
        <v>1135</v>
      </c>
      <c r="AM9" s="350" t="s">
        <v>1135</v>
      </c>
      <c r="AN9" s="350" t="s">
        <v>1135</v>
      </c>
      <c r="AO9" s="350" t="s">
        <v>1135</v>
      </c>
      <c r="AP9" s="350" t="s">
        <v>1135</v>
      </c>
      <c r="AQ9" s="350" t="s">
        <v>1135</v>
      </c>
      <c r="AR9" s="350" t="s">
        <v>1135</v>
      </c>
      <c r="AS9" s="350" t="s">
        <v>1135</v>
      </c>
      <c r="AT9" s="350" t="s">
        <v>1135</v>
      </c>
      <c r="AU9" s="350" t="s">
        <v>1135</v>
      </c>
      <c r="AV9" s="350" t="s">
        <v>1135</v>
      </c>
      <c r="AW9" s="350" t="s">
        <v>1135</v>
      </c>
      <c r="AX9" s="350" t="s">
        <v>1135</v>
      </c>
      <c r="AY9" s="350" t="s">
        <v>1135</v>
      </c>
      <c r="AZ9" s="350" t="s">
        <v>1135</v>
      </c>
      <c r="BA9" s="350" t="s">
        <v>1135</v>
      </c>
      <c r="BB9" s="350" t="s">
        <v>1135</v>
      </c>
      <c r="BC9" s="350" t="s">
        <v>1135</v>
      </c>
      <c r="BD9" s="350" t="s">
        <v>1135</v>
      </c>
      <c r="BE9" s="350" t="s">
        <v>1135</v>
      </c>
      <c r="BF9" s="350" t="s">
        <v>1135</v>
      </c>
      <c r="BG9" s="350" t="s">
        <v>1135</v>
      </c>
      <c r="BH9" s="350" t="s">
        <v>1135</v>
      </c>
      <c r="BI9" s="350" t="s">
        <v>1135</v>
      </c>
      <c r="BJ9" s="350" t="s">
        <v>1135</v>
      </c>
      <c r="BK9" s="350" t="s">
        <v>1135</v>
      </c>
      <c r="BL9" s="350" t="s">
        <v>1135</v>
      </c>
      <c r="BM9" s="350" t="s">
        <v>1135</v>
      </c>
      <c r="BN9" s="350" t="s">
        <v>1135</v>
      </c>
      <c r="BO9" s="350" t="s">
        <v>1135</v>
      </c>
      <c r="BP9" s="350" t="s">
        <v>1135</v>
      </c>
      <c r="BQ9" s="350" t="s">
        <v>1135</v>
      </c>
      <c r="BR9" s="350" t="s">
        <v>1135</v>
      </c>
      <c r="BS9" s="350" t="s">
        <v>1135</v>
      </c>
      <c r="BT9" s="350" t="s">
        <v>1135</v>
      </c>
      <c r="BU9" s="350" t="s">
        <v>1135</v>
      </c>
      <c r="BV9" s="350" t="s">
        <v>1135</v>
      </c>
      <c r="BW9" s="350" t="s">
        <v>1135</v>
      </c>
      <c r="BX9" s="350" t="s">
        <v>1135</v>
      </c>
      <c r="BY9" s="350" t="s">
        <v>1135</v>
      </c>
      <c r="BZ9" s="350" t="s">
        <v>1135</v>
      </c>
      <c r="CA9" s="350" t="s">
        <v>1135</v>
      </c>
      <c r="CB9" s="350" t="s">
        <v>1135</v>
      </c>
      <c r="CC9" s="350" t="s">
        <v>1135</v>
      </c>
      <c r="CD9" s="350" t="s">
        <v>1135</v>
      </c>
      <c r="CE9" s="351" t="s">
        <v>1135</v>
      </c>
      <c r="CF9" s="352" t="s">
        <v>1135</v>
      </c>
      <c r="CG9" s="352" t="s">
        <v>1135</v>
      </c>
      <c r="CH9" s="353" t="s">
        <v>1135</v>
      </c>
      <c r="CI9" s="354" t="s">
        <v>1135</v>
      </c>
      <c r="CJ9" s="355" t="s">
        <v>1135</v>
      </c>
      <c r="CK9" s="352" t="s">
        <v>1135</v>
      </c>
      <c r="CL9" s="352" t="s">
        <v>1135</v>
      </c>
      <c r="CM9" s="352" t="s">
        <v>1135</v>
      </c>
      <c r="CN9" s="353" t="s">
        <v>1135</v>
      </c>
      <c r="CO9" s="350" t="s">
        <v>1135</v>
      </c>
      <c r="CP9" s="355" t="s">
        <v>1135</v>
      </c>
      <c r="CQ9" s="352" t="s">
        <v>1135</v>
      </c>
      <c r="CR9" s="352" t="s">
        <v>1135</v>
      </c>
      <c r="CS9" s="352" t="s">
        <v>1135</v>
      </c>
      <c r="CT9" s="353" t="s">
        <v>1135</v>
      </c>
      <c r="CU9" s="354" t="s">
        <v>1135</v>
      </c>
      <c r="CV9" s="355" t="s">
        <v>1135</v>
      </c>
      <c r="CW9" s="356" t="s">
        <v>1135</v>
      </c>
      <c r="CX9" s="356" t="s">
        <v>1135</v>
      </c>
      <c r="CY9" s="356" t="s">
        <v>1135</v>
      </c>
      <c r="CZ9" s="356" t="s">
        <v>1135</v>
      </c>
      <c r="DA9" s="356" t="s">
        <v>1135</v>
      </c>
      <c r="DB9" s="356" t="s">
        <v>1135</v>
      </c>
      <c r="DC9" s="356" t="s">
        <v>1135</v>
      </c>
      <c r="DD9" s="356" t="s">
        <v>1135</v>
      </c>
      <c r="DE9" s="356" t="s">
        <v>1135</v>
      </c>
      <c r="DF9" s="356" t="s">
        <v>1135</v>
      </c>
      <c r="DG9" s="356" t="s">
        <v>1135</v>
      </c>
      <c r="DH9" s="356" t="s">
        <v>1135</v>
      </c>
      <c r="DI9" s="356" t="s">
        <v>1135</v>
      </c>
      <c r="DJ9" s="356" t="s">
        <v>1135</v>
      </c>
      <c r="DK9" s="356" t="s">
        <v>1135</v>
      </c>
      <c r="DL9" s="356" t="s">
        <v>1135</v>
      </c>
      <c r="DM9" s="356" t="s">
        <v>1135</v>
      </c>
      <c r="DN9" s="356" t="s">
        <v>1135</v>
      </c>
      <c r="DO9" s="356" t="s">
        <v>1135</v>
      </c>
      <c r="DP9" s="356" t="s">
        <v>1135</v>
      </c>
      <c r="DQ9" s="356" t="s">
        <v>1135</v>
      </c>
      <c r="DR9" s="356" t="s">
        <v>1135</v>
      </c>
      <c r="DS9" s="356" t="s">
        <v>1135</v>
      </c>
      <c r="DT9" s="356" t="s">
        <v>1135</v>
      </c>
      <c r="DU9" s="356" t="s">
        <v>1135</v>
      </c>
      <c r="DV9" s="356" t="s">
        <v>1135</v>
      </c>
      <c r="DW9" s="356" t="s">
        <v>1135</v>
      </c>
      <c r="DX9" s="356" t="s">
        <v>1135</v>
      </c>
      <c r="DY9" s="356" t="s">
        <v>1135</v>
      </c>
      <c r="DZ9" s="356" t="s">
        <v>1135</v>
      </c>
      <c r="EA9" s="356" t="s">
        <v>1135</v>
      </c>
      <c r="EB9" s="356" t="s">
        <v>1135</v>
      </c>
      <c r="EC9" s="356" t="s">
        <v>1135</v>
      </c>
      <c r="ED9" s="356" t="s">
        <v>1135</v>
      </c>
      <c r="EE9" s="356" t="s">
        <v>1135</v>
      </c>
      <c r="EF9" s="356" t="s">
        <v>1135</v>
      </c>
      <c r="EG9" s="356" t="s">
        <v>1135</v>
      </c>
      <c r="EH9" s="356" t="s">
        <v>1135</v>
      </c>
      <c r="EI9" s="356" t="s">
        <v>1135</v>
      </c>
      <c r="EJ9" s="356" t="s">
        <v>1135</v>
      </c>
      <c r="EK9" s="356" t="s">
        <v>1135</v>
      </c>
      <c r="EL9" s="356" t="s">
        <v>1135</v>
      </c>
      <c r="EM9" s="356" t="s">
        <v>1135</v>
      </c>
      <c r="EN9" s="356" t="s">
        <v>1135</v>
      </c>
      <c r="EO9" s="356" t="s">
        <v>1135</v>
      </c>
      <c r="EP9" s="356" t="s">
        <v>1135</v>
      </c>
      <c r="EQ9" s="356" t="s">
        <v>1135</v>
      </c>
      <c r="ER9" s="356" t="s">
        <v>1135</v>
      </c>
      <c r="ES9" s="356" t="s">
        <v>1135</v>
      </c>
      <c r="ET9" s="356" t="s">
        <v>1135</v>
      </c>
      <c r="EU9" s="356" t="s">
        <v>1135</v>
      </c>
      <c r="EV9" s="356" t="s">
        <v>1135</v>
      </c>
      <c r="EW9" s="356" t="s">
        <v>1135</v>
      </c>
      <c r="EX9" s="356" t="s">
        <v>1135</v>
      </c>
      <c r="EY9" s="356" t="s">
        <v>1135</v>
      </c>
      <c r="EZ9" s="356" t="s">
        <v>1135</v>
      </c>
      <c r="FA9" s="356" t="s">
        <v>1135</v>
      </c>
      <c r="FB9" s="356" t="s">
        <v>1135</v>
      </c>
      <c r="FC9" s="356" t="s">
        <v>1135</v>
      </c>
      <c r="FD9" s="356" t="s">
        <v>1135</v>
      </c>
      <c r="FE9" s="356" t="s">
        <v>1135</v>
      </c>
      <c r="FF9" s="356" t="s">
        <v>1135</v>
      </c>
      <c r="FG9" s="356" t="s">
        <v>1135</v>
      </c>
      <c r="FH9" s="356" t="s">
        <v>1135</v>
      </c>
      <c r="FI9" s="356" t="s">
        <v>1135</v>
      </c>
      <c r="FJ9" s="356" t="s">
        <v>1135</v>
      </c>
      <c r="FK9" s="356" t="s">
        <v>1135</v>
      </c>
      <c r="FL9" s="356" t="s">
        <v>1135</v>
      </c>
      <c r="FM9" s="356" t="s">
        <v>1135</v>
      </c>
      <c r="FN9" s="356" t="s">
        <v>1135</v>
      </c>
      <c r="FO9" s="356" t="s">
        <v>1135</v>
      </c>
      <c r="FP9" s="356" t="s">
        <v>1135</v>
      </c>
      <c r="FQ9" s="356" t="s">
        <v>1135</v>
      </c>
      <c r="FR9" s="356" t="s">
        <v>1135</v>
      </c>
      <c r="FS9" s="356" t="s">
        <v>1135</v>
      </c>
    </row>
    <row r="10" customFormat="false" ht="16" hidden="false" customHeight="false" outlineLevel="0" collapsed="false">
      <c r="A10" s="345" t="s">
        <v>1135</v>
      </c>
      <c r="B10" s="345" t="s">
        <v>1135</v>
      </c>
      <c r="C10" s="345" t="s">
        <v>1135</v>
      </c>
      <c r="D10" s="345" t="s">
        <v>1135</v>
      </c>
      <c r="E10" s="357" t="s">
        <v>1135</v>
      </c>
      <c r="F10" s="346" t="s">
        <v>1135</v>
      </c>
      <c r="G10" s="347" t="s">
        <v>1135</v>
      </c>
      <c r="H10" s="348" t="s">
        <v>1135</v>
      </c>
      <c r="I10" s="349" t="s">
        <v>1135</v>
      </c>
      <c r="J10" s="349" t="s">
        <v>1135</v>
      </c>
      <c r="K10" s="349" t="s">
        <v>1135</v>
      </c>
      <c r="L10" s="349" t="s">
        <v>1135</v>
      </c>
      <c r="M10" s="349" t="s">
        <v>1135</v>
      </c>
      <c r="N10" s="349" t="s">
        <v>1135</v>
      </c>
      <c r="O10" s="349" t="s">
        <v>1135</v>
      </c>
      <c r="P10" s="349" t="s">
        <v>1135</v>
      </c>
      <c r="Q10" s="349" t="s">
        <v>1135</v>
      </c>
      <c r="R10" s="349" t="s">
        <v>1135</v>
      </c>
      <c r="S10" s="349" t="s">
        <v>1135</v>
      </c>
      <c r="T10" s="349" t="s">
        <v>1135</v>
      </c>
      <c r="U10" s="350" t="s">
        <v>1135</v>
      </c>
      <c r="V10" s="350" t="s">
        <v>1135</v>
      </c>
      <c r="W10" s="350" t="s">
        <v>1135</v>
      </c>
      <c r="X10" s="350" t="s">
        <v>1135</v>
      </c>
      <c r="Y10" s="350" t="s">
        <v>1135</v>
      </c>
      <c r="Z10" s="350" t="s">
        <v>1135</v>
      </c>
      <c r="AA10" s="350" t="s">
        <v>1135</v>
      </c>
      <c r="AB10" s="350" t="s">
        <v>1135</v>
      </c>
      <c r="AC10" s="350" t="s">
        <v>1135</v>
      </c>
      <c r="AD10" s="350" t="s">
        <v>1135</v>
      </c>
      <c r="AE10" s="350" t="s">
        <v>1135</v>
      </c>
      <c r="AF10" s="350" t="s">
        <v>1135</v>
      </c>
      <c r="AG10" s="350" t="s">
        <v>1135</v>
      </c>
      <c r="AH10" s="350" t="s">
        <v>1135</v>
      </c>
      <c r="AI10" s="350" t="s">
        <v>1135</v>
      </c>
      <c r="AJ10" s="350" t="s">
        <v>1135</v>
      </c>
      <c r="AK10" s="350" t="s">
        <v>1135</v>
      </c>
      <c r="AL10" s="350" t="s">
        <v>1135</v>
      </c>
      <c r="AM10" s="350" t="s">
        <v>1135</v>
      </c>
      <c r="AN10" s="350" t="s">
        <v>1135</v>
      </c>
      <c r="AO10" s="350" t="s">
        <v>1135</v>
      </c>
      <c r="AP10" s="350" t="s">
        <v>1135</v>
      </c>
      <c r="AQ10" s="350" t="s">
        <v>1135</v>
      </c>
      <c r="AR10" s="350" t="s">
        <v>1135</v>
      </c>
      <c r="AS10" s="350" t="s">
        <v>1135</v>
      </c>
      <c r="AT10" s="350" t="s">
        <v>1135</v>
      </c>
      <c r="AU10" s="350" t="s">
        <v>1135</v>
      </c>
      <c r="AV10" s="350" t="s">
        <v>1135</v>
      </c>
      <c r="AW10" s="350" t="s">
        <v>1135</v>
      </c>
      <c r="AX10" s="350" t="s">
        <v>1135</v>
      </c>
      <c r="AY10" s="350" t="s">
        <v>1135</v>
      </c>
      <c r="AZ10" s="350" t="s">
        <v>1135</v>
      </c>
      <c r="BA10" s="350" t="s">
        <v>1135</v>
      </c>
      <c r="BB10" s="350" t="s">
        <v>1135</v>
      </c>
      <c r="BC10" s="350" t="s">
        <v>1135</v>
      </c>
      <c r="BD10" s="350" t="s">
        <v>1135</v>
      </c>
      <c r="BE10" s="350" t="s">
        <v>1135</v>
      </c>
      <c r="BF10" s="350" t="s">
        <v>1135</v>
      </c>
      <c r="BG10" s="350" t="s">
        <v>1135</v>
      </c>
      <c r="BH10" s="350" t="s">
        <v>1135</v>
      </c>
      <c r="BI10" s="350" t="s">
        <v>1135</v>
      </c>
      <c r="BJ10" s="350" t="s">
        <v>1135</v>
      </c>
      <c r="BK10" s="350" t="s">
        <v>1135</v>
      </c>
      <c r="BL10" s="350" t="s">
        <v>1135</v>
      </c>
      <c r="BM10" s="350" t="s">
        <v>1135</v>
      </c>
      <c r="BN10" s="350" t="s">
        <v>1135</v>
      </c>
      <c r="BO10" s="350" t="s">
        <v>1135</v>
      </c>
      <c r="BP10" s="350" t="s">
        <v>1135</v>
      </c>
      <c r="BQ10" s="350" t="s">
        <v>1135</v>
      </c>
      <c r="BR10" s="350" t="s">
        <v>1135</v>
      </c>
      <c r="BS10" s="350" t="s">
        <v>1135</v>
      </c>
      <c r="BT10" s="350" t="s">
        <v>1135</v>
      </c>
      <c r="BU10" s="350" t="s">
        <v>1135</v>
      </c>
      <c r="BV10" s="350" t="s">
        <v>1135</v>
      </c>
      <c r="BW10" s="350" t="s">
        <v>1135</v>
      </c>
      <c r="BX10" s="350" t="s">
        <v>1135</v>
      </c>
      <c r="BY10" s="350" t="s">
        <v>1135</v>
      </c>
      <c r="BZ10" s="350" t="s">
        <v>1135</v>
      </c>
      <c r="CA10" s="350" t="s">
        <v>1135</v>
      </c>
      <c r="CB10" s="350" t="s">
        <v>1135</v>
      </c>
      <c r="CC10" s="350" t="s">
        <v>1135</v>
      </c>
      <c r="CD10" s="350" t="s">
        <v>1135</v>
      </c>
      <c r="CE10" s="351" t="s">
        <v>1135</v>
      </c>
      <c r="CF10" s="352" t="s">
        <v>1135</v>
      </c>
      <c r="CG10" s="352" t="s">
        <v>1135</v>
      </c>
      <c r="CH10" s="353" t="s">
        <v>1135</v>
      </c>
      <c r="CI10" s="354" t="s">
        <v>1135</v>
      </c>
      <c r="CJ10" s="355" t="s">
        <v>1135</v>
      </c>
      <c r="CK10" s="352" t="s">
        <v>1135</v>
      </c>
      <c r="CL10" s="352" t="s">
        <v>1135</v>
      </c>
      <c r="CM10" s="352" t="s">
        <v>1135</v>
      </c>
      <c r="CN10" s="353" t="s">
        <v>1135</v>
      </c>
      <c r="CO10" s="350" t="s">
        <v>1135</v>
      </c>
      <c r="CP10" s="355" t="s">
        <v>1135</v>
      </c>
      <c r="CQ10" s="352" t="s">
        <v>1135</v>
      </c>
      <c r="CR10" s="352" t="s">
        <v>1135</v>
      </c>
      <c r="CS10" s="352" t="s">
        <v>1135</v>
      </c>
      <c r="CT10" s="353" t="s">
        <v>1135</v>
      </c>
      <c r="CU10" s="354" t="s">
        <v>1135</v>
      </c>
      <c r="CV10" s="355" t="s">
        <v>1135</v>
      </c>
      <c r="CW10" s="356" t="s">
        <v>1135</v>
      </c>
      <c r="CX10" s="356" t="s">
        <v>1135</v>
      </c>
      <c r="CY10" s="356" t="s">
        <v>1135</v>
      </c>
      <c r="CZ10" s="356" t="s">
        <v>1135</v>
      </c>
      <c r="DA10" s="356" t="s">
        <v>1135</v>
      </c>
      <c r="DB10" s="356" t="s">
        <v>1135</v>
      </c>
      <c r="DC10" s="356" t="s">
        <v>1135</v>
      </c>
      <c r="DD10" s="356" t="s">
        <v>1135</v>
      </c>
      <c r="DE10" s="356" t="s">
        <v>1135</v>
      </c>
      <c r="DF10" s="356" t="s">
        <v>1135</v>
      </c>
      <c r="DG10" s="356" t="s">
        <v>1135</v>
      </c>
      <c r="DH10" s="356" t="s">
        <v>1135</v>
      </c>
      <c r="DI10" s="356" t="s">
        <v>1135</v>
      </c>
      <c r="DJ10" s="356" t="s">
        <v>1135</v>
      </c>
      <c r="DK10" s="356" t="s">
        <v>1135</v>
      </c>
      <c r="DL10" s="356" t="s">
        <v>1135</v>
      </c>
      <c r="DM10" s="356" t="s">
        <v>1135</v>
      </c>
      <c r="DN10" s="356" t="s">
        <v>1135</v>
      </c>
      <c r="DO10" s="356" t="s">
        <v>1135</v>
      </c>
      <c r="DP10" s="356" t="s">
        <v>1135</v>
      </c>
      <c r="DQ10" s="356" t="s">
        <v>1135</v>
      </c>
      <c r="DR10" s="356" t="s">
        <v>1135</v>
      </c>
      <c r="DS10" s="356" t="s">
        <v>1135</v>
      </c>
      <c r="DT10" s="356" t="s">
        <v>1135</v>
      </c>
      <c r="DU10" s="356" t="s">
        <v>1135</v>
      </c>
      <c r="DV10" s="356" t="s">
        <v>1135</v>
      </c>
      <c r="DW10" s="356" t="s">
        <v>1135</v>
      </c>
      <c r="DX10" s="356" t="s">
        <v>1135</v>
      </c>
      <c r="DY10" s="356" t="s">
        <v>1135</v>
      </c>
      <c r="DZ10" s="356" t="s">
        <v>1135</v>
      </c>
      <c r="EA10" s="356" t="s">
        <v>1135</v>
      </c>
      <c r="EB10" s="356" t="s">
        <v>1135</v>
      </c>
      <c r="EC10" s="356" t="s">
        <v>1135</v>
      </c>
      <c r="ED10" s="356" t="s">
        <v>1135</v>
      </c>
      <c r="EE10" s="356" t="s">
        <v>1135</v>
      </c>
      <c r="EF10" s="356" t="s">
        <v>1135</v>
      </c>
      <c r="EG10" s="356" t="s">
        <v>1135</v>
      </c>
      <c r="EH10" s="356" t="s">
        <v>1135</v>
      </c>
      <c r="EI10" s="356" t="s">
        <v>1135</v>
      </c>
      <c r="EJ10" s="356" t="s">
        <v>1135</v>
      </c>
      <c r="EK10" s="356" t="s">
        <v>1135</v>
      </c>
      <c r="EL10" s="356" t="s">
        <v>1135</v>
      </c>
      <c r="EM10" s="356" t="s">
        <v>1135</v>
      </c>
      <c r="EN10" s="356" t="s">
        <v>1135</v>
      </c>
      <c r="EO10" s="356" t="s">
        <v>1135</v>
      </c>
      <c r="EP10" s="356" t="s">
        <v>1135</v>
      </c>
      <c r="EQ10" s="356" t="s">
        <v>1135</v>
      </c>
      <c r="ER10" s="356" t="s">
        <v>1135</v>
      </c>
      <c r="ES10" s="356" t="s">
        <v>1135</v>
      </c>
      <c r="ET10" s="356" t="s">
        <v>1135</v>
      </c>
      <c r="EU10" s="356" t="s">
        <v>1135</v>
      </c>
      <c r="EV10" s="356" t="s">
        <v>1135</v>
      </c>
      <c r="EW10" s="356" t="s">
        <v>1135</v>
      </c>
      <c r="EX10" s="356" t="s">
        <v>1135</v>
      </c>
      <c r="EY10" s="356" t="s">
        <v>1135</v>
      </c>
      <c r="EZ10" s="356" t="s">
        <v>1135</v>
      </c>
      <c r="FA10" s="356" t="s">
        <v>1135</v>
      </c>
      <c r="FB10" s="356" t="s">
        <v>1135</v>
      </c>
      <c r="FC10" s="356" t="s">
        <v>1135</v>
      </c>
      <c r="FD10" s="356" t="s">
        <v>1135</v>
      </c>
      <c r="FE10" s="356" t="s">
        <v>1135</v>
      </c>
      <c r="FF10" s="356" t="s">
        <v>1135</v>
      </c>
      <c r="FG10" s="356" t="s">
        <v>1135</v>
      </c>
      <c r="FH10" s="356" t="s">
        <v>1135</v>
      </c>
      <c r="FI10" s="356" t="s">
        <v>1135</v>
      </c>
      <c r="FJ10" s="356" t="s">
        <v>1135</v>
      </c>
      <c r="FK10" s="356" t="s">
        <v>1135</v>
      </c>
      <c r="FL10" s="356" t="s">
        <v>1135</v>
      </c>
      <c r="FM10" s="356" t="s">
        <v>1135</v>
      </c>
      <c r="FN10" s="356" t="s">
        <v>1135</v>
      </c>
      <c r="FO10" s="356" t="s">
        <v>1135</v>
      </c>
      <c r="FP10" s="356" t="s">
        <v>1135</v>
      </c>
      <c r="FQ10" s="356" t="s">
        <v>1135</v>
      </c>
      <c r="FR10" s="356" t="s">
        <v>1135</v>
      </c>
      <c r="FS10" s="356" t="s">
        <v>1135</v>
      </c>
    </row>
    <row r="11" customFormat="false" ht="16" hidden="false" customHeight="false" outlineLevel="0" collapsed="false">
      <c r="A11" s="345" t="s">
        <v>1135</v>
      </c>
      <c r="B11" s="345" t="s">
        <v>1135</v>
      </c>
      <c r="C11" s="345" t="s">
        <v>1135</v>
      </c>
      <c r="D11" s="345" t="s">
        <v>1135</v>
      </c>
      <c r="E11" s="357" t="s">
        <v>1135</v>
      </c>
      <c r="F11" s="346" t="s">
        <v>1135</v>
      </c>
      <c r="G11" s="347" t="s">
        <v>1135</v>
      </c>
      <c r="H11" s="348" t="s">
        <v>1135</v>
      </c>
      <c r="I11" s="349" t="s">
        <v>1135</v>
      </c>
      <c r="J11" s="349" t="s">
        <v>1135</v>
      </c>
      <c r="K11" s="349" t="s">
        <v>1135</v>
      </c>
      <c r="L11" s="349" t="s">
        <v>1135</v>
      </c>
      <c r="M11" s="349" t="s">
        <v>1135</v>
      </c>
      <c r="N11" s="349" t="s">
        <v>1135</v>
      </c>
      <c r="O11" s="349" t="s">
        <v>1135</v>
      </c>
      <c r="P11" s="349" t="s">
        <v>1135</v>
      </c>
      <c r="Q11" s="349" t="s">
        <v>1135</v>
      </c>
      <c r="R11" s="349" t="s">
        <v>1135</v>
      </c>
      <c r="S11" s="349" t="s">
        <v>1135</v>
      </c>
      <c r="T11" s="349" t="s">
        <v>1135</v>
      </c>
      <c r="U11" s="350" t="s">
        <v>1135</v>
      </c>
      <c r="V11" s="350" t="s">
        <v>1135</v>
      </c>
      <c r="W11" s="350" t="s">
        <v>1135</v>
      </c>
      <c r="X11" s="350" t="s">
        <v>1135</v>
      </c>
      <c r="Y11" s="350" t="s">
        <v>1135</v>
      </c>
      <c r="Z11" s="350" t="s">
        <v>1135</v>
      </c>
      <c r="AA11" s="350" t="s">
        <v>1135</v>
      </c>
      <c r="AB11" s="350" t="s">
        <v>1135</v>
      </c>
      <c r="AC11" s="350" t="s">
        <v>1135</v>
      </c>
      <c r="AD11" s="350" t="s">
        <v>1135</v>
      </c>
      <c r="AE11" s="350" t="s">
        <v>1135</v>
      </c>
      <c r="AF11" s="350" t="s">
        <v>1135</v>
      </c>
      <c r="AG11" s="350" t="s">
        <v>1135</v>
      </c>
      <c r="AH11" s="350" t="s">
        <v>1135</v>
      </c>
      <c r="AI11" s="350" t="s">
        <v>1135</v>
      </c>
      <c r="AJ11" s="350" t="s">
        <v>1135</v>
      </c>
      <c r="AK11" s="350" t="s">
        <v>1135</v>
      </c>
      <c r="AL11" s="350" t="s">
        <v>1135</v>
      </c>
      <c r="AM11" s="350" t="s">
        <v>1135</v>
      </c>
      <c r="AN11" s="350" t="s">
        <v>1135</v>
      </c>
      <c r="AO11" s="350" t="s">
        <v>1135</v>
      </c>
      <c r="AP11" s="350" t="s">
        <v>1135</v>
      </c>
      <c r="AQ11" s="350" t="s">
        <v>1135</v>
      </c>
      <c r="AR11" s="350" t="s">
        <v>1135</v>
      </c>
      <c r="AS11" s="350" t="s">
        <v>1135</v>
      </c>
      <c r="AT11" s="350" t="s">
        <v>1135</v>
      </c>
      <c r="AU11" s="350" t="s">
        <v>1135</v>
      </c>
      <c r="AV11" s="350" t="s">
        <v>1135</v>
      </c>
      <c r="AW11" s="350" t="s">
        <v>1135</v>
      </c>
      <c r="AX11" s="350" t="s">
        <v>1135</v>
      </c>
      <c r="AY11" s="350" t="s">
        <v>1135</v>
      </c>
      <c r="AZ11" s="350" t="s">
        <v>1135</v>
      </c>
      <c r="BA11" s="350" t="s">
        <v>1135</v>
      </c>
      <c r="BB11" s="350" t="s">
        <v>1135</v>
      </c>
      <c r="BC11" s="350" t="s">
        <v>1135</v>
      </c>
      <c r="BD11" s="350" t="s">
        <v>1135</v>
      </c>
      <c r="BE11" s="350" t="s">
        <v>1135</v>
      </c>
      <c r="BF11" s="350" t="s">
        <v>1135</v>
      </c>
      <c r="BG11" s="350" t="s">
        <v>1135</v>
      </c>
      <c r="BH11" s="350" t="s">
        <v>1135</v>
      </c>
      <c r="BI11" s="350" t="s">
        <v>1135</v>
      </c>
      <c r="BJ11" s="350" t="s">
        <v>1135</v>
      </c>
      <c r="BK11" s="350" t="s">
        <v>1135</v>
      </c>
      <c r="BL11" s="350" t="s">
        <v>1135</v>
      </c>
      <c r="BM11" s="350" t="s">
        <v>1135</v>
      </c>
      <c r="BN11" s="350" t="s">
        <v>1135</v>
      </c>
      <c r="BO11" s="350" t="s">
        <v>1135</v>
      </c>
      <c r="BP11" s="350" t="s">
        <v>1135</v>
      </c>
      <c r="BQ11" s="350" t="s">
        <v>1135</v>
      </c>
      <c r="BR11" s="350" t="s">
        <v>1135</v>
      </c>
      <c r="BS11" s="350" t="s">
        <v>1135</v>
      </c>
      <c r="BT11" s="350" t="s">
        <v>1135</v>
      </c>
      <c r="BU11" s="350" t="s">
        <v>1135</v>
      </c>
      <c r="BV11" s="350" t="s">
        <v>1135</v>
      </c>
      <c r="BW11" s="350" t="s">
        <v>1135</v>
      </c>
      <c r="BX11" s="350" t="s">
        <v>1135</v>
      </c>
      <c r="BY11" s="350" t="s">
        <v>1135</v>
      </c>
      <c r="BZ11" s="350" t="s">
        <v>1135</v>
      </c>
      <c r="CA11" s="350" t="s">
        <v>1135</v>
      </c>
      <c r="CB11" s="350" t="s">
        <v>1135</v>
      </c>
      <c r="CC11" s="350" t="s">
        <v>1135</v>
      </c>
      <c r="CD11" s="350" t="s">
        <v>1135</v>
      </c>
      <c r="CE11" s="351" t="s">
        <v>1135</v>
      </c>
      <c r="CF11" s="352" t="s">
        <v>1135</v>
      </c>
      <c r="CG11" s="352" t="s">
        <v>1135</v>
      </c>
      <c r="CH11" s="353" t="s">
        <v>1135</v>
      </c>
      <c r="CI11" s="354" t="s">
        <v>1135</v>
      </c>
      <c r="CJ11" s="355" t="s">
        <v>1135</v>
      </c>
      <c r="CK11" s="352" t="s">
        <v>1135</v>
      </c>
      <c r="CL11" s="352" t="s">
        <v>1135</v>
      </c>
      <c r="CM11" s="352" t="s">
        <v>1135</v>
      </c>
      <c r="CN11" s="353" t="s">
        <v>1135</v>
      </c>
      <c r="CO11" s="350" t="s">
        <v>1135</v>
      </c>
      <c r="CP11" s="355" t="s">
        <v>1135</v>
      </c>
      <c r="CQ11" s="352" t="s">
        <v>1135</v>
      </c>
      <c r="CR11" s="352" t="s">
        <v>1135</v>
      </c>
      <c r="CS11" s="352" t="s">
        <v>1135</v>
      </c>
      <c r="CT11" s="353" t="s">
        <v>1135</v>
      </c>
      <c r="CU11" s="354" t="s">
        <v>1135</v>
      </c>
      <c r="CV11" s="355" t="s">
        <v>1135</v>
      </c>
      <c r="CW11" s="356" t="s">
        <v>1135</v>
      </c>
      <c r="CX11" s="356" t="s">
        <v>1135</v>
      </c>
      <c r="CY11" s="356" t="s">
        <v>1135</v>
      </c>
      <c r="CZ11" s="356" t="s">
        <v>1135</v>
      </c>
      <c r="DA11" s="356" t="s">
        <v>1135</v>
      </c>
      <c r="DB11" s="356" t="s">
        <v>1135</v>
      </c>
      <c r="DC11" s="356" t="s">
        <v>1135</v>
      </c>
      <c r="DD11" s="356" t="s">
        <v>1135</v>
      </c>
      <c r="DE11" s="356" t="s">
        <v>1135</v>
      </c>
      <c r="DF11" s="356" t="s">
        <v>1135</v>
      </c>
      <c r="DG11" s="356" t="s">
        <v>1135</v>
      </c>
      <c r="DH11" s="356" t="s">
        <v>1135</v>
      </c>
      <c r="DI11" s="356" t="s">
        <v>1135</v>
      </c>
      <c r="DJ11" s="356" t="s">
        <v>1135</v>
      </c>
      <c r="DK11" s="356" t="s">
        <v>1135</v>
      </c>
      <c r="DL11" s="356" t="s">
        <v>1135</v>
      </c>
      <c r="DM11" s="356" t="s">
        <v>1135</v>
      </c>
      <c r="DN11" s="356" t="s">
        <v>1135</v>
      </c>
      <c r="DO11" s="356" t="s">
        <v>1135</v>
      </c>
      <c r="DP11" s="356" t="s">
        <v>1135</v>
      </c>
      <c r="DQ11" s="356" t="s">
        <v>1135</v>
      </c>
      <c r="DR11" s="356" t="s">
        <v>1135</v>
      </c>
      <c r="DS11" s="356" t="s">
        <v>1135</v>
      </c>
      <c r="DT11" s="356" t="s">
        <v>1135</v>
      </c>
      <c r="DU11" s="356" t="s">
        <v>1135</v>
      </c>
      <c r="DV11" s="356" t="s">
        <v>1135</v>
      </c>
      <c r="DW11" s="356" t="s">
        <v>1135</v>
      </c>
      <c r="DX11" s="356" t="s">
        <v>1135</v>
      </c>
      <c r="DY11" s="356" t="s">
        <v>1135</v>
      </c>
      <c r="DZ11" s="356" t="s">
        <v>1135</v>
      </c>
      <c r="EA11" s="356" t="s">
        <v>1135</v>
      </c>
      <c r="EB11" s="356" t="s">
        <v>1135</v>
      </c>
      <c r="EC11" s="356" t="s">
        <v>1135</v>
      </c>
      <c r="ED11" s="356" t="s">
        <v>1135</v>
      </c>
      <c r="EE11" s="356" t="s">
        <v>1135</v>
      </c>
      <c r="EF11" s="356" t="s">
        <v>1135</v>
      </c>
      <c r="EG11" s="356" t="s">
        <v>1135</v>
      </c>
      <c r="EH11" s="356" t="s">
        <v>1135</v>
      </c>
      <c r="EI11" s="356" t="s">
        <v>1135</v>
      </c>
      <c r="EJ11" s="356" t="s">
        <v>1135</v>
      </c>
      <c r="EK11" s="356" t="s">
        <v>1135</v>
      </c>
      <c r="EL11" s="356" t="s">
        <v>1135</v>
      </c>
      <c r="EM11" s="356" t="s">
        <v>1135</v>
      </c>
      <c r="EN11" s="356" t="s">
        <v>1135</v>
      </c>
      <c r="EO11" s="356" t="s">
        <v>1135</v>
      </c>
      <c r="EP11" s="356" t="s">
        <v>1135</v>
      </c>
      <c r="EQ11" s="356" t="s">
        <v>1135</v>
      </c>
      <c r="ER11" s="356" t="s">
        <v>1135</v>
      </c>
      <c r="ES11" s="356" t="s">
        <v>1135</v>
      </c>
      <c r="ET11" s="356" t="s">
        <v>1135</v>
      </c>
      <c r="EU11" s="356" t="s">
        <v>1135</v>
      </c>
      <c r="EV11" s="356" t="s">
        <v>1135</v>
      </c>
      <c r="EW11" s="356" t="s">
        <v>1135</v>
      </c>
      <c r="EX11" s="356" t="s">
        <v>1135</v>
      </c>
      <c r="EY11" s="356" t="s">
        <v>1135</v>
      </c>
      <c r="EZ11" s="356" t="s">
        <v>1135</v>
      </c>
      <c r="FA11" s="356" t="s">
        <v>1135</v>
      </c>
      <c r="FB11" s="356" t="s">
        <v>1135</v>
      </c>
      <c r="FC11" s="356" t="s">
        <v>1135</v>
      </c>
      <c r="FD11" s="356" t="s">
        <v>1135</v>
      </c>
      <c r="FE11" s="356" t="s">
        <v>1135</v>
      </c>
      <c r="FF11" s="356" t="s">
        <v>1135</v>
      </c>
      <c r="FG11" s="356" t="s">
        <v>1135</v>
      </c>
      <c r="FH11" s="356" t="s">
        <v>1135</v>
      </c>
      <c r="FI11" s="356" t="s">
        <v>1135</v>
      </c>
      <c r="FJ11" s="356" t="s">
        <v>1135</v>
      </c>
      <c r="FK11" s="356" t="s">
        <v>1135</v>
      </c>
      <c r="FL11" s="356" t="s">
        <v>1135</v>
      </c>
      <c r="FM11" s="356" t="s">
        <v>1135</v>
      </c>
      <c r="FN11" s="356" t="s">
        <v>1135</v>
      </c>
      <c r="FO11" s="356" t="s">
        <v>1135</v>
      </c>
      <c r="FP11" s="356" t="s">
        <v>1135</v>
      </c>
      <c r="FQ11" s="356" t="s">
        <v>1135</v>
      </c>
      <c r="FR11" s="356" t="s">
        <v>1135</v>
      </c>
      <c r="FS11" s="356" t="s">
        <v>1135</v>
      </c>
    </row>
    <row r="12" customFormat="false" ht="16" hidden="false" customHeight="false" outlineLevel="0" collapsed="false">
      <c r="A12" s="345" t="s">
        <v>1135</v>
      </c>
      <c r="B12" s="345" t="s">
        <v>1135</v>
      </c>
      <c r="C12" s="345" t="s">
        <v>1135</v>
      </c>
      <c r="D12" s="345" t="s">
        <v>1135</v>
      </c>
      <c r="E12" s="357" t="s">
        <v>1135</v>
      </c>
      <c r="F12" s="346" t="s">
        <v>1135</v>
      </c>
      <c r="G12" s="347" t="s">
        <v>1135</v>
      </c>
      <c r="H12" s="348" t="s">
        <v>1135</v>
      </c>
      <c r="I12" s="349" t="s">
        <v>1135</v>
      </c>
      <c r="J12" s="349" t="s">
        <v>1135</v>
      </c>
      <c r="K12" s="349" t="s">
        <v>1135</v>
      </c>
      <c r="L12" s="349" t="s">
        <v>1135</v>
      </c>
      <c r="M12" s="349" t="s">
        <v>1135</v>
      </c>
      <c r="N12" s="349" t="s">
        <v>1135</v>
      </c>
      <c r="O12" s="349" t="s">
        <v>1135</v>
      </c>
      <c r="P12" s="349" t="s">
        <v>1135</v>
      </c>
      <c r="Q12" s="349" t="s">
        <v>1135</v>
      </c>
      <c r="R12" s="349" t="s">
        <v>1135</v>
      </c>
      <c r="S12" s="349" t="s">
        <v>1135</v>
      </c>
      <c r="T12" s="349" t="s">
        <v>1135</v>
      </c>
      <c r="U12" s="350" t="s">
        <v>1135</v>
      </c>
      <c r="V12" s="350" t="s">
        <v>1135</v>
      </c>
      <c r="W12" s="350" t="s">
        <v>1135</v>
      </c>
      <c r="X12" s="350" t="s">
        <v>1135</v>
      </c>
      <c r="Y12" s="350" t="s">
        <v>1135</v>
      </c>
      <c r="Z12" s="350" t="s">
        <v>1135</v>
      </c>
      <c r="AA12" s="350" t="s">
        <v>1135</v>
      </c>
      <c r="AB12" s="350" t="s">
        <v>1135</v>
      </c>
      <c r="AC12" s="350" t="s">
        <v>1135</v>
      </c>
      <c r="AD12" s="350" t="s">
        <v>1135</v>
      </c>
      <c r="AE12" s="350" t="s">
        <v>1135</v>
      </c>
      <c r="AF12" s="350" t="s">
        <v>1135</v>
      </c>
      <c r="AG12" s="350" t="s">
        <v>1135</v>
      </c>
      <c r="AH12" s="350" t="s">
        <v>1135</v>
      </c>
      <c r="AI12" s="350" t="s">
        <v>1135</v>
      </c>
      <c r="AJ12" s="350" t="s">
        <v>1135</v>
      </c>
      <c r="AK12" s="350" t="s">
        <v>1135</v>
      </c>
      <c r="AL12" s="350" t="s">
        <v>1135</v>
      </c>
      <c r="AM12" s="350" t="s">
        <v>1135</v>
      </c>
      <c r="AN12" s="350" t="s">
        <v>1135</v>
      </c>
      <c r="AO12" s="350" t="s">
        <v>1135</v>
      </c>
      <c r="AP12" s="350" t="s">
        <v>1135</v>
      </c>
      <c r="AQ12" s="350" t="s">
        <v>1135</v>
      </c>
      <c r="AR12" s="350" t="s">
        <v>1135</v>
      </c>
      <c r="AS12" s="350" t="s">
        <v>1135</v>
      </c>
      <c r="AT12" s="350" t="s">
        <v>1135</v>
      </c>
      <c r="AU12" s="350" t="s">
        <v>1135</v>
      </c>
      <c r="AV12" s="350" t="s">
        <v>1135</v>
      </c>
      <c r="AW12" s="350" t="s">
        <v>1135</v>
      </c>
      <c r="AX12" s="350" t="s">
        <v>1135</v>
      </c>
      <c r="AY12" s="350" t="s">
        <v>1135</v>
      </c>
      <c r="AZ12" s="350" t="s">
        <v>1135</v>
      </c>
      <c r="BA12" s="350" t="s">
        <v>1135</v>
      </c>
      <c r="BB12" s="350" t="s">
        <v>1135</v>
      </c>
      <c r="BC12" s="350" t="s">
        <v>1135</v>
      </c>
      <c r="BD12" s="350" t="s">
        <v>1135</v>
      </c>
      <c r="BE12" s="350" t="s">
        <v>1135</v>
      </c>
      <c r="BF12" s="350" t="s">
        <v>1135</v>
      </c>
      <c r="BG12" s="350" t="s">
        <v>1135</v>
      </c>
      <c r="BH12" s="350" t="s">
        <v>1135</v>
      </c>
      <c r="BI12" s="350" t="s">
        <v>1135</v>
      </c>
      <c r="BJ12" s="350" t="s">
        <v>1135</v>
      </c>
      <c r="BK12" s="350" t="s">
        <v>1135</v>
      </c>
      <c r="BL12" s="350" t="s">
        <v>1135</v>
      </c>
      <c r="BM12" s="350" t="s">
        <v>1135</v>
      </c>
      <c r="BN12" s="350" t="s">
        <v>1135</v>
      </c>
      <c r="BO12" s="350" t="s">
        <v>1135</v>
      </c>
      <c r="BP12" s="350" t="s">
        <v>1135</v>
      </c>
      <c r="BQ12" s="350" t="s">
        <v>1135</v>
      </c>
      <c r="BR12" s="350" t="s">
        <v>1135</v>
      </c>
      <c r="BS12" s="350" t="s">
        <v>1135</v>
      </c>
      <c r="BT12" s="350" t="s">
        <v>1135</v>
      </c>
      <c r="BU12" s="350" t="s">
        <v>1135</v>
      </c>
      <c r="BV12" s="350" t="s">
        <v>1135</v>
      </c>
      <c r="BW12" s="350" t="s">
        <v>1135</v>
      </c>
      <c r="BX12" s="350" t="s">
        <v>1135</v>
      </c>
      <c r="BY12" s="350" t="s">
        <v>1135</v>
      </c>
      <c r="BZ12" s="350" t="s">
        <v>1135</v>
      </c>
      <c r="CA12" s="350" t="s">
        <v>1135</v>
      </c>
      <c r="CB12" s="350" t="s">
        <v>1135</v>
      </c>
      <c r="CC12" s="350" t="s">
        <v>1135</v>
      </c>
      <c r="CD12" s="350" t="s">
        <v>1135</v>
      </c>
      <c r="CE12" s="351" t="s">
        <v>1135</v>
      </c>
      <c r="CF12" s="352" t="s">
        <v>1135</v>
      </c>
      <c r="CG12" s="352" t="s">
        <v>1135</v>
      </c>
      <c r="CH12" s="353" t="s">
        <v>1135</v>
      </c>
      <c r="CI12" s="354" t="s">
        <v>1135</v>
      </c>
      <c r="CJ12" s="355" t="s">
        <v>1135</v>
      </c>
      <c r="CK12" s="352" t="s">
        <v>1135</v>
      </c>
      <c r="CL12" s="352" t="s">
        <v>1135</v>
      </c>
      <c r="CM12" s="352" t="s">
        <v>1135</v>
      </c>
      <c r="CN12" s="353" t="s">
        <v>1135</v>
      </c>
      <c r="CO12" s="350" t="s">
        <v>1135</v>
      </c>
      <c r="CP12" s="355" t="s">
        <v>1135</v>
      </c>
      <c r="CQ12" s="352" t="s">
        <v>1135</v>
      </c>
      <c r="CR12" s="352" t="s">
        <v>1135</v>
      </c>
      <c r="CS12" s="352" t="s">
        <v>1135</v>
      </c>
      <c r="CT12" s="353" t="s">
        <v>1135</v>
      </c>
      <c r="CU12" s="354" t="s">
        <v>1135</v>
      </c>
      <c r="CV12" s="355" t="s">
        <v>1135</v>
      </c>
      <c r="CW12" s="356" t="s">
        <v>1135</v>
      </c>
      <c r="CX12" s="356" t="s">
        <v>1135</v>
      </c>
      <c r="CY12" s="356" t="s">
        <v>1135</v>
      </c>
      <c r="CZ12" s="356" t="s">
        <v>1135</v>
      </c>
      <c r="DA12" s="356" t="s">
        <v>1135</v>
      </c>
      <c r="DB12" s="356" t="s">
        <v>1135</v>
      </c>
      <c r="DC12" s="356" t="s">
        <v>1135</v>
      </c>
      <c r="DD12" s="356" t="s">
        <v>1135</v>
      </c>
      <c r="DE12" s="356" t="s">
        <v>1135</v>
      </c>
      <c r="DF12" s="356" t="s">
        <v>1135</v>
      </c>
      <c r="DG12" s="356" t="s">
        <v>1135</v>
      </c>
      <c r="DH12" s="356" t="s">
        <v>1135</v>
      </c>
      <c r="DI12" s="356" t="s">
        <v>1135</v>
      </c>
      <c r="DJ12" s="356" t="s">
        <v>1135</v>
      </c>
      <c r="DK12" s="356" t="s">
        <v>1135</v>
      </c>
      <c r="DL12" s="356" t="s">
        <v>1135</v>
      </c>
      <c r="DM12" s="356" t="s">
        <v>1135</v>
      </c>
      <c r="DN12" s="356" t="s">
        <v>1135</v>
      </c>
      <c r="DO12" s="356" t="s">
        <v>1135</v>
      </c>
      <c r="DP12" s="356" t="s">
        <v>1135</v>
      </c>
      <c r="DQ12" s="356" t="s">
        <v>1135</v>
      </c>
      <c r="DR12" s="356" t="s">
        <v>1135</v>
      </c>
      <c r="DS12" s="356" t="s">
        <v>1135</v>
      </c>
      <c r="DT12" s="356" t="s">
        <v>1135</v>
      </c>
      <c r="DU12" s="356" t="s">
        <v>1135</v>
      </c>
      <c r="DV12" s="356" t="s">
        <v>1135</v>
      </c>
      <c r="DW12" s="356" t="s">
        <v>1135</v>
      </c>
      <c r="DX12" s="356" t="s">
        <v>1135</v>
      </c>
      <c r="DY12" s="356" t="s">
        <v>1135</v>
      </c>
      <c r="DZ12" s="356" t="s">
        <v>1135</v>
      </c>
      <c r="EA12" s="356" t="s">
        <v>1135</v>
      </c>
      <c r="EB12" s="356" t="s">
        <v>1135</v>
      </c>
      <c r="EC12" s="356" t="s">
        <v>1135</v>
      </c>
      <c r="ED12" s="356" t="s">
        <v>1135</v>
      </c>
      <c r="EE12" s="356" t="s">
        <v>1135</v>
      </c>
      <c r="EF12" s="356" t="s">
        <v>1135</v>
      </c>
      <c r="EG12" s="356" t="s">
        <v>1135</v>
      </c>
      <c r="EH12" s="356" t="s">
        <v>1135</v>
      </c>
      <c r="EI12" s="356" t="s">
        <v>1135</v>
      </c>
      <c r="EJ12" s="356" t="s">
        <v>1135</v>
      </c>
      <c r="EK12" s="356" t="s">
        <v>1135</v>
      </c>
      <c r="EL12" s="356" t="s">
        <v>1135</v>
      </c>
      <c r="EM12" s="356" t="s">
        <v>1135</v>
      </c>
      <c r="EN12" s="356" t="s">
        <v>1135</v>
      </c>
      <c r="EO12" s="356" t="s">
        <v>1135</v>
      </c>
      <c r="EP12" s="356" t="s">
        <v>1135</v>
      </c>
      <c r="EQ12" s="356" t="s">
        <v>1135</v>
      </c>
      <c r="ER12" s="356" t="s">
        <v>1135</v>
      </c>
      <c r="ES12" s="356" t="s">
        <v>1135</v>
      </c>
      <c r="ET12" s="356" t="s">
        <v>1135</v>
      </c>
      <c r="EU12" s="356" t="s">
        <v>1135</v>
      </c>
      <c r="EV12" s="356" t="s">
        <v>1135</v>
      </c>
      <c r="EW12" s="356" t="s">
        <v>1135</v>
      </c>
      <c r="EX12" s="356" t="s">
        <v>1135</v>
      </c>
      <c r="EY12" s="356" t="s">
        <v>1135</v>
      </c>
      <c r="EZ12" s="356" t="s">
        <v>1135</v>
      </c>
      <c r="FA12" s="356" t="s">
        <v>1135</v>
      </c>
      <c r="FB12" s="356" t="s">
        <v>1135</v>
      </c>
      <c r="FC12" s="356" t="s">
        <v>1135</v>
      </c>
      <c r="FD12" s="356" t="s">
        <v>1135</v>
      </c>
      <c r="FE12" s="356" t="s">
        <v>1135</v>
      </c>
      <c r="FF12" s="356" t="s">
        <v>1135</v>
      </c>
      <c r="FG12" s="356" t="s">
        <v>1135</v>
      </c>
      <c r="FH12" s="356" t="s">
        <v>1135</v>
      </c>
      <c r="FI12" s="356" t="s">
        <v>1135</v>
      </c>
      <c r="FJ12" s="356" t="s">
        <v>1135</v>
      </c>
      <c r="FK12" s="356" t="s">
        <v>1135</v>
      </c>
      <c r="FL12" s="356" t="s">
        <v>1135</v>
      </c>
      <c r="FM12" s="356" t="s">
        <v>1135</v>
      </c>
      <c r="FN12" s="356" t="s">
        <v>1135</v>
      </c>
      <c r="FO12" s="356" t="s">
        <v>1135</v>
      </c>
      <c r="FP12" s="356" t="s">
        <v>1135</v>
      </c>
      <c r="FQ12" s="356" t="s">
        <v>1135</v>
      </c>
      <c r="FR12" s="356" t="s">
        <v>1135</v>
      </c>
      <c r="FS12" s="356" t="s">
        <v>1135</v>
      </c>
    </row>
    <row r="13" customFormat="false" ht="16" hidden="false" customHeight="false" outlineLevel="0" collapsed="false">
      <c r="A13" s="345" t="s">
        <v>1135</v>
      </c>
      <c r="B13" s="345" t="s">
        <v>1135</v>
      </c>
      <c r="C13" s="345" t="s">
        <v>1135</v>
      </c>
      <c r="D13" s="345" t="s">
        <v>1135</v>
      </c>
      <c r="E13" s="357" t="s">
        <v>1135</v>
      </c>
      <c r="F13" s="346" t="s">
        <v>1135</v>
      </c>
      <c r="G13" s="347" t="s">
        <v>1135</v>
      </c>
      <c r="H13" s="348" t="s">
        <v>1135</v>
      </c>
      <c r="I13" s="349" t="s">
        <v>1135</v>
      </c>
      <c r="J13" s="349" t="s">
        <v>1135</v>
      </c>
      <c r="K13" s="349" t="s">
        <v>1135</v>
      </c>
      <c r="L13" s="349" t="s">
        <v>1135</v>
      </c>
      <c r="M13" s="349" t="s">
        <v>1135</v>
      </c>
      <c r="N13" s="349" t="s">
        <v>1135</v>
      </c>
      <c r="O13" s="349" t="s">
        <v>1135</v>
      </c>
      <c r="P13" s="349" t="s">
        <v>1135</v>
      </c>
      <c r="Q13" s="349" t="s">
        <v>1135</v>
      </c>
      <c r="R13" s="349" t="s">
        <v>1135</v>
      </c>
      <c r="S13" s="349" t="s">
        <v>1135</v>
      </c>
      <c r="T13" s="349" t="s">
        <v>1135</v>
      </c>
      <c r="U13" s="349" t="s">
        <v>1135</v>
      </c>
      <c r="V13" s="349" t="s">
        <v>1135</v>
      </c>
      <c r="W13" s="349" t="s">
        <v>1135</v>
      </c>
      <c r="X13" s="349" t="s">
        <v>1135</v>
      </c>
      <c r="Y13" s="349" t="s">
        <v>1135</v>
      </c>
      <c r="Z13" s="349" t="s">
        <v>1135</v>
      </c>
      <c r="AA13" s="349" t="s">
        <v>1135</v>
      </c>
      <c r="AB13" s="349" t="s">
        <v>1135</v>
      </c>
      <c r="AC13" s="349" t="s">
        <v>1135</v>
      </c>
      <c r="AD13" s="349" t="s">
        <v>1135</v>
      </c>
      <c r="AE13" s="349" t="s">
        <v>1135</v>
      </c>
      <c r="AF13" s="349" t="s">
        <v>1135</v>
      </c>
      <c r="AG13" s="349" t="s">
        <v>1135</v>
      </c>
      <c r="AH13" s="349" t="s">
        <v>1135</v>
      </c>
      <c r="AI13" s="349" t="s">
        <v>1135</v>
      </c>
      <c r="AJ13" s="349" t="s">
        <v>1135</v>
      </c>
      <c r="AK13" s="349" t="s">
        <v>1135</v>
      </c>
      <c r="AL13" s="349" t="s">
        <v>1135</v>
      </c>
      <c r="AM13" s="349" t="s">
        <v>1135</v>
      </c>
      <c r="AN13" s="349" t="s">
        <v>1135</v>
      </c>
      <c r="AO13" s="349" t="s">
        <v>1135</v>
      </c>
      <c r="AP13" s="349" t="s">
        <v>1135</v>
      </c>
      <c r="AQ13" s="349" t="s">
        <v>1135</v>
      </c>
      <c r="AR13" s="349" t="s">
        <v>1135</v>
      </c>
      <c r="AS13" s="349" t="s">
        <v>1135</v>
      </c>
      <c r="AT13" s="349" t="s">
        <v>1135</v>
      </c>
      <c r="AU13" s="349" t="s">
        <v>1135</v>
      </c>
      <c r="AV13" s="349" t="s">
        <v>1135</v>
      </c>
      <c r="AW13" s="349" t="s">
        <v>1135</v>
      </c>
      <c r="AX13" s="349" t="s">
        <v>1135</v>
      </c>
      <c r="AY13" s="349" t="s">
        <v>1135</v>
      </c>
      <c r="AZ13" s="349" t="s">
        <v>1135</v>
      </c>
      <c r="BA13" s="349" t="s">
        <v>1135</v>
      </c>
      <c r="BB13" s="349" t="s">
        <v>1135</v>
      </c>
      <c r="BC13" s="349" t="s">
        <v>1135</v>
      </c>
      <c r="BD13" s="349" t="s">
        <v>1135</v>
      </c>
      <c r="BE13" s="349" t="s">
        <v>1135</v>
      </c>
      <c r="BF13" s="349" t="s">
        <v>1135</v>
      </c>
      <c r="BG13" s="349" t="s">
        <v>1135</v>
      </c>
      <c r="BH13" s="349" t="s">
        <v>1135</v>
      </c>
      <c r="BI13" s="349" t="s">
        <v>1135</v>
      </c>
      <c r="BJ13" s="349" t="s">
        <v>1135</v>
      </c>
      <c r="BK13" s="349" t="s">
        <v>1135</v>
      </c>
      <c r="BL13" s="349" t="s">
        <v>1135</v>
      </c>
      <c r="BM13" s="349" t="s">
        <v>1135</v>
      </c>
      <c r="BN13" s="349" t="s">
        <v>1135</v>
      </c>
      <c r="BO13" s="349" t="s">
        <v>1135</v>
      </c>
      <c r="BP13" s="349" t="s">
        <v>1135</v>
      </c>
      <c r="BQ13" s="349" t="s">
        <v>1135</v>
      </c>
      <c r="BR13" s="349" t="s">
        <v>1135</v>
      </c>
      <c r="BS13" s="349" t="s">
        <v>1135</v>
      </c>
      <c r="BT13" s="349" t="s">
        <v>1135</v>
      </c>
      <c r="BU13" s="349" t="s">
        <v>1135</v>
      </c>
      <c r="BV13" s="349" t="s">
        <v>1135</v>
      </c>
      <c r="BW13" s="349" t="s">
        <v>1135</v>
      </c>
      <c r="BX13" s="349" t="s">
        <v>1135</v>
      </c>
      <c r="BY13" s="349" t="s">
        <v>1135</v>
      </c>
      <c r="BZ13" s="349" t="s">
        <v>1135</v>
      </c>
      <c r="CA13" s="349" t="s">
        <v>1135</v>
      </c>
      <c r="CB13" s="349" t="s">
        <v>1135</v>
      </c>
      <c r="CC13" s="349" t="s">
        <v>1135</v>
      </c>
      <c r="CD13" s="349" t="s">
        <v>1135</v>
      </c>
      <c r="CE13" s="358" t="s">
        <v>1135</v>
      </c>
      <c r="CF13" s="352" t="s">
        <v>1135</v>
      </c>
      <c r="CG13" s="352" t="s">
        <v>1135</v>
      </c>
      <c r="CH13" s="353" t="s">
        <v>1135</v>
      </c>
      <c r="CI13" s="354" t="s">
        <v>1135</v>
      </c>
      <c r="CJ13" s="355" t="s">
        <v>1135</v>
      </c>
      <c r="CK13" s="352" t="s">
        <v>1135</v>
      </c>
      <c r="CL13" s="352" t="s">
        <v>1135</v>
      </c>
      <c r="CM13" s="352" t="s">
        <v>1135</v>
      </c>
      <c r="CN13" s="353" t="s">
        <v>1135</v>
      </c>
      <c r="CO13" s="350" t="s">
        <v>1135</v>
      </c>
      <c r="CP13" s="355" t="s">
        <v>1135</v>
      </c>
      <c r="CQ13" s="352" t="s">
        <v>1135</v>
      </c>
      <c r="CR13" s="352" t="s">
        <v>1135</v>
      </c>
      <c r="CS13" s="352" t="s">
        <v>1135</v>
      </c>
      <c r="CT13" s="353" t="s">
        <v>1135</v>
      </c>
      <c r="CU13" s="354" t="s">
        <v>1135</v>
      </c>
      <c r="CV13" s="355" t="s">
        <v>1135</v>
      </c>
      <c r="CW13" s="356" t="s">
        <v>1135</v>
      </c>
      <c r="CX13" s="356" t="s">
        <v>1135</v>
      </c>
      <c r="CY13" s="356" t="s">
        <v>1135</v>
      </c>
      <c r="CZ13" s="356" t="s">
        <v>1135</v>
      </c>
      <c r="DA13" s="356" t="s">
        <v>1135</v>
      </c>
      <c r="DB13" s="356" t="s">
        <v>1135</v>
      </c>
      <c r="DC13" s="356" t="s">
        <v>1135</v>
      </c>
      <c r="DD13" s="356" t="s">
        <v>1135</v>
      </c>
      <c r="DE13" s="356" t="s">
        <v>1135</v>
      </c>
      <c r="DF13" s="356" t="s">
        <v>1135</v>
      </c>
      <c r="DG13" s="356" t="s">
        <v>1135</v>
      </c>
      <c r="DH13" s="356" t="s">
        <v>1135</v>
      </c>
      <c r="DI13" s="356" t="s">
        <v>1135</v>
      </c>
      <c r="DJ13" s="356" t="s">
        <v>1135</v>
      </c>
      <c r="DK13" s="356" t="s">
        <v>1135</v>
      </c>
      <c r="DL13" s="356" t="s">
        <v>1135</v>
      </c>
      <c r="DM13" s="356" t="s">
        <v>1135</v>
      </c>
      <c r="DN13" s="356" t="s">
        <v>1135</v>
      </c>
      <c r="DO13" s="356" t="s">
        <v>1135</v>
      </c>
      <c r="DP13" s="356" t="s">
        <v>1135</v>
      </c>
      <c r="DQ13" s="356" t="s">
        <v>1135</v>
      </c>
      <c r="DR13" s="356" t="s">
        <v>1135</v>
      </c>
      <c r="DS13" s="356" t="s">
        <v>1135</v>
      </c>
      <c r="DT13" s="356" t="s">
        <v>1135</v>
      </c>
      <c r="DU13" s="356" t="s">
        <v>1135</v>
      </c>
      <c r="DV13" s="356" t="s">
        <v>1135</v>
      </c>
      <c r="DW13" s="356" t="s">
        <v>1135</v>
      </c>
      <c r="DX13" s="356" t="s">
        <v>1135</v>
      </c>
      <c r="DY13" s="356" t="s">
        <v>1135</v>
      </c>
      <c r="DZ13" s="356" t="s">
        <v>1135</v>
      </c>
      <c r="EA13" s="356" t="s">
        <v>1135</v>
      </c>
      <c r="EB13" s="356" t="s">
        <v>1135</v>
      </c>
      <c r="EC13" s="356" t="s">
        <v>1135</v>
      </c>
      <c r="ED13" s="356" t="s">
        <v>1135</v>
      </c>
      <c r="EE13" s="356" t="s">
        <v>1135</v>
      </c>
      <c r="EF13" s="356" t="s">
        <v>1135</v>
      </c>
      <c r="EG13" s="356" t="s">
        <v>1135</v>
      </c>
      <c r="EH13" s="356" t="s">
        <v>1135</v>
      </c>
      <c r="EI13" s="356" t="s">
        <v>1135</v>
      </c>
      <c r="EJ13" s="356" t="s">
        <v>1135</v>
      </c>
      <c r="EK13" s="356" t="s">
        <v>1135</v>
      </c>
      <c r="EL13" s="356" t="s">
        <v>1135</v>
      </c>
      <c r="EM13" s="356" t="s">
        <v>1135</v>
      </c>
      <c r="EN13" s="356" t="s">
        <v>1135</v>
      </c>
      <c r="EO13" s="356" t="s">
        <v>1135</v>
      </c>
      <c r="EP13" s="356" t="s">
        <v>1135</v>
      </c>
      <c r="EQ13" s="356" t="s">
        <v>1135</v>
      </c>
      <c r="ER13" s="356" t="s">
        <v>1135</v>
      </c>
      <c r="ES13" s="356" t="s">
        <v>1135</v>
      </c>
      <c r="ET13" s="356" t="s">
        <v>1135</v>
      </c>
      <c r="EU13" s="356" t="s">
        <v>1135</v>
      </c>
      <c r="EV13" s="356" t="s">
        <v>1135</v>
      </c>
      <c r="EW13" s="356" t="s">
        <v>1135</v>
      </c>
      <c r="EX13" s="356" t="s">
        <v>1135</v>
      </c>
      <c r="EY13" s="356" t="s">
        <v>1135</v>
      </c>
      <c r="EZ13" s="356" t="s">
        <v>1135</v>
      </c>
      <c r="FA13" s="356" t="s">
        <v>1135</v>
      </c>
      <c r="FB13" s="356" t="s">
        <v>1135</v>
      </c>
      <c r="FC13" s="356" t="s">
        <v>1135</v>
      </c>
      <c r="FD13" s="356" t="s">
        <v>1135</v>
      </c>
      <c r="FE13" s="356" t="s">
        <v>1135</v>
      </c>
      <c r="FF13" s="356" t="s">
        <v>1135</v>
      </c>
      <c r="FG13" s="356" t="s">
        <v>1135</v>
      </c>
      <c r="FH13" s="356" t="s">
        <v>1135</v>
      </c>
      <c r="FI13" s="356" t="s">
        <v>1135</v>
      </c>
      <c r="FJ13" s="356" t="s">
        <v>1135</v>
      </c>
      <c r="FK13" s="356" t="s">
        <v>1135</v>
      </c>
      <c r="FL13" s="356" t="s">
        <v>1135</v>
      </c>
      <c r="FM13" s="356" t="s">
        <v>1135</v>
      </c>
      <c r="FN13" s="356" t="s">
        <v>1135</v>
      </c>
      <c r="FO13" s="356" t="s">
        <v>1135</v>
      </c>
      <c r="FP13" s="356" t="s">
        <v>1135</v>
      </c>
      <c r="FQ13" s="356" t="s">
        <v>1135</v>
      </c>
      <c r="FR13" s="356" t="s">
        <v>1135</v>
      </c>
      <c r="FS13" s="356" t="s">
        <v>1135</v>
      </c>
    </row>
    <row r="14" customFormat="false" ht="117" hidden="false" customHeight="true" outlineLevel="0" collapsed="false">
      <c r="A14" s="359" t="s">
        <v>70</v>
      </c>
      <c r="B14" s="359" t="s">
        <v>30</v>
      </c>
      <c r="C14" s="359" t="s">
        <v>203</v>
      </c>
      <c r="D14" s="359" t="s">
        <v>204</v>
      </c>
      <c r="E14" s="359" t="s">
        <v>982</v>
      </c>
      <c r="F14" s="360" t="s">
        <v>40</v>
      </c>
      <c r="G14" s="361" t="s">
        <v>1136</v>
      </c>
      <c r="H14" s="362" t="s">
        <v>1137</v>
      </c>
      <c r="I14" s="363" t="s">
        <v>1138</v>
      </c>
      <c r="J14" s="363"/>
      <c r="K14" s="363"/>
      <c r="L14" s="363"/>
      <c r="M14" s="363"/>
      <c r="N14" s="363"/>
      <c r="O14" s="363"/>
      <c r="P14" s="363"/>
      <c r="Q14" s="363"/>
      <c r="R14" s="363"/>
      <c r="S14" s="363"/>
      <c r="T14" s="363"/>
      <c r="U14" s="363"/>
      <c r="V14" s="363"/>
      <c r="W14" s="363"/>
      <c r="X14" s="363"/>
      <c r="Y14" s="363"/>
      <c r="Z14" s="363"/>
      <c r="AA14" s="363"/>
      <c r="AB14" s="363"/>
      <c r="AC14" s="363"/>
      <c r="AD14" s="363"/>
      <c r="AE14" s="363"/>
      <c r="AF14" s="363"/>
      <c r="AG14" s="363"/>
      <c r="AH14" s="363"/>
      <c r="AI14" s="363"/>
      <c r="AJ14" s="363"/>
      <c r="AK14" s="363"/>
      <c r="AL14" s="364"/>
      <c r="AM14" s="364"/>
      <c r="AN14" s="364"/>
      <c r="AO14" s="364"/>
      <c r="AP14" s="364"/>
      <c r="AQ14" s="364"/>
      <c r="AR14" s="364"/>
      <c r="AS14" s="364"/>
      <c r="AT14" s="364"/>
      <c r="AU14" s="364"/>
      <c r="AV14" s="364"/>
      <c r="AW14" s="364"/>
      <c r="AX14" s="364"/>
      <c r="AY14" s="364"/>
      <c r="AZ14" s="364"/>
      <c r="BA14" s="364"/>
      <c r="BB14" s="364"/>
      <c r="BC14" s="364"/>
      <c r="BD14" s="364"/>
      <c r="BE14" s="364"/>
      <c r="BF14" s="364"/>
      <c r="BG14" s="364"/>
      <c r="BH14" s="364"/>
      <c r="BI14" s="364"/>
      <c r="BJ14" s="364"/>
      <c r="BK14" s="364"/>
      <c r="BL14" s="364"/>
      <c r="BM14" s="364"/>
      <c r="BN14" s="364"/>
      <c r="BO14" s="364"/>
      <c r="BP14" s="364"/>
      <c r="BQ14" s="364"/>
      <c r="BR14" s="364"/>
      <c r="BS14" s="364"/>
      <c r="BT14" s="364"/>
      <c r="BU14" s="364"/>
      <c r="BV14" s="364"/>
      <c r="BW14" s="364"/>
      <c r="BX14" s="364"/>
      <c r="BY14" s="364"/>
      <c r="BZ14" s="364"/>
      <c r="CA14" s="364"/>
      <c r="CB14" s="364"/>
      <c r="CC14" s="364"/>
      <c r="CD14" s="364"/>
      <c r="CE14" s="365"/>
      <c r="CF14" s="156" t="s">
        <v>1139</v>
      </c>
      <c r="CG14" s="156" t="s">
        <v>1140</v>
      </c>
      <c r="CH14" s="366" t="s">
        <v>1141</v>
      </c>
      <c r="CI14" s="155" t="s">
        <v>1142</v>
      </c>
      <c r="CJ14" s="367" t="s">
        <v>1143</v>
      </c>
      <c r="CK14" s="156" t="s">
        <v>1144</v>
      </c>
      <c r="CL14" s="156" t="s">
        <v>1145</v>
      </c>
      <c r="CM14" s="156" t="s">
        <v>1146</v>
      </c>
      <c r="CN14" s="366" t="s">
        <v>1147</v>
      </c>
      <c r="CO14" s="259" t="s">
        <v>1148</v>
      </c>
      <c r="CP14" s="367" t="s">
        <v>1149</v>
      </c>
      <c r="CQ14" s="156" t="s">
        <v>1150</v>
      </c>
      <c r="CR14" s="156" t="s">
        <v>1151</v>
      </c>
      <c r="CS14" s="156" t="s">
        <v>1152</v>
      </c>
      <c r="CT14" s="366" t="s">
        <v>1153</v>
      </c>
      <c r="CU14" s="155" t="s">
        <v>1154</v>
      </c>
      <c r="CV14" s="367" t="s">
        <v>1155</v>
      </c>
      <c r="CW14" s="368" t="str">
        <f aca="false">IF(I14="","",I$14)</f>
        <v>12345_DSD</v>
      </c>
      <c r="CX14" s="368" t="str">
        <f aca="false">IF(J14="","",J$14)</f>
        <v/>
      </c>
      <c r="CY14" s="368" t="str">
        <f aca="false">IF(K14="","",K$14)</f>
        <v/>
      </c>
      <c r="CZ14" s="368" t="str">
        <f aca="false">IF(L14="","",L$14)</f>
        <v/>
      </c>
      <c r="DA14" s="368" t="str">
        <f aca="false">IF(M14="","",M$14)</f>
        <v/>
      </c>
      <c r="DB14" s="368" t="str">
        <f aca="false">IF(N14="","",N$14)</f>
        <v/>
      </c>
      <c r="DC14" s="368" t="str">
        <f aca="false">IF(O14="","",O$14)</f>
        <v/>
      </c>
      <c r="DD14" s="368" t="str">
        <f aca="false">IF(P14="","",P$14)</f>
        <v/>
      </c>
      <c r="DE14" s="368" t="str">
        <f aca="false">IF(Q14="","",Q$14)</f>
        <v/>
      </c>
      <c r="DF14" s="368" t="str">
        <f aca="false">IF(R14="","",R$14)</f>
        <v/>
      </c>
      <c r="DG14" s="368" t="str">
        <f aca="false">IF(S14="","",S$14)</f>
        <v/>
      </c>
      <c r="DH14" s="368" t="str">
        <f aca="false">IF(T14="","",T$14)</f>
        <v/>
      </c>
      <c r="DI14" s="368" t="str">
        <f aca="false">IF(U14="","",U$14)</f>
        <v/>
      </c>
      <c r="DJ14" s="368" t="str">
        <f aca="false">IF(V14="","",V$14)</f>
        <v/>
      </c>
      <c r="DK14" s="368" t="str">
        <f aca="false">IF(W14="","",W$14)</f>
        <v/>
      </c>
      <c r="DL14" s="368" t="str">
        <f aca="false">IF(X14="","",X$14)</f>
        <v/>
      </c>
      <c r="DM14" s="368" t="str">
        <f aca="false">IF(Y14="","",Y$14)</f>
        <v/>
      </c>
      <c r="DN14" s="368" t="str">
        <f aca="false">IF(Z14="","",Z$14)</f>
        <v/>
      </c>
      <c r="DO14" s="368" t="str">
        <f aca="false">IF(AA14="","",AA$14)</f>
        <v/>
      </c>
      <c r="DP14" s="368" t="str">
        <f aca="false">IF(AB14="","",AB$14)</f>
        <v/>
      </c>
      <c r="DQ14" s="368" t="str">
        <f aca="false">IF(AC14="","",AC$14)</f>
        <v/>
      </c>
      <c r="DR14" s="368" t="str">
        <f aca="false">IF(AD14="","",AD$14)</f>
        <v/>
      </c>
      <c r="DS14" s="368" t="str">
        <f aca="false">IF(AE14="","",AE$14)</f>
        <v/>
      </c>
      <c r="DT14" s="368" t="str">
        <f aca="false">IF(AF14="","",AF$14)</f>
        <v/>
      </c>
      <c r="DU14" s="368" t="str">
        <f aca="false">IF(AG14="","",AG$14)</f>
        <v/>
      </c>
      <c r="DV14" s="368" t="str">
        <f aca="false">IF(AH14="","",AH$14)</f>
        <v/>
      </c>
      <c r="DW14" s="368" t="str">
        <f aca="false">IF(AI14="","",AI$14)</f>
        <v/>
      </c>
      <c r="DX14" s="368" t="str">
        <f aca="false">IF(AJ14="","",AJ$14)</f>
        <v/>
      </c>
      <c r="DY14" s="368" t="str">
        <f aca="false">IF(AK14="","",AK$14)</f>
        <v/>
      </c>
      <c r="DZ14" s="368" t="str">
        <f aca="false">IF(AL14="","",AL$14)</f>
        <v/>
      </c>
      <c r="EA14" s="368" t="str">
        <f aca="false">IF(AM14="","",AM$14)</f>
        <v/>
      </c>
      <c r="EB14" s="368" t="str">
        <f aca="false">IF(AN14="","",AN$14)</f>
        <v/>
      </c>
      <c r="EC14" s="368" t="str">
        <f aca="false">IF(AO14="","",AO$14)</f>
        <v/>
      </c>
      <c r="ED14" s="368" t="str">
        <f aca="false">IF(AP14="","",AP$14)</f>
        <v/>
      </c>
      <c r="EE14" s="368" t="str">
        <f aca="false">IF(AQ14="","",AQ$14)</f>
        <v/>
      </c>
      <c r="EF14" s="368" t="str">
        <f aca="false">IF(AR14="","",AR$14)</f>
        <v/>
      </c>
      <c r="EG14" s="368" t="str">
        <f aca="false">IF(AS14="","",AS$14)</f>
        <v/>
      </c>
      <c r="EH14" s="368" t="str">
        <f aca="false">IF(AT14="","",AT$14)</f>
        <v/>
      </c>
      <c r="EI14" s="368" t="str">
        <f aca="false">IF(AU14="","",AU$14)</f>
        <v/>
      </c>
      <c r="EJ14" s="368" t="str">
        <f aca="false">IF(AV14="","",AV$14)</f>
        <v/>
      </c>
      <c r="EK14" s="368" t="str">
        <f aca="false">IF(AW14="","",AW$14)</f>
        <v/>
      </c>
      <c r="EL14" s="368" t="str">
        <f aca="false">IF(AX14="","",AX$14)</f>
        <v/>
      </c>
      <c r="EM14" s="368" t="str">
        <f aca="false">IF(AY14="","",AY$14)</f>
        <v/>
      </c>
      <c r="EN14" s="368" t="str">
        <f aca="false">IF(AZ14="","",AZ$14)</f>
        <v/>
      </c>
      <c r="EO14" s="368" t="str">
        <f aca="false">IF(BA14="","",BA$14)</f>
        <v/>
      </c>
      <c r="EP14" s="368" t="str">
        <f aca="false">IF(BB14="","",BB$14)</f>
        <v/>
      </c>
      <c r="EQ14" s="368" t="str">
        <f aca="false">IF(BC14="","",BC$14)</f>
        <v/>
      </c>
      <c r="ER14" s="368" t="str">
        <f aca="false">IF(BD14="","",BD$14)</f>
        <v/>
      </c>
      <c r="ES14" s="368" t="str">
        <f aca="false">IF(BE14="","",BE$14)</f>
        <v/>
      </c>
      <c r="ET14" s="368" t="str">
        <f aca="false">IF(BF14="","",BF$14)</f>
        <v/>
      </c>
      <c r="EU14" s="368" t="str">
        <f aca="false">IF(BG14="","",BG$14)</f>
        <v/>
      </c>
      <c r="EV14" s="368" t="str">
        <f aca="false">IF(BH14="","",BH$14)</f>
        <v/>
      </c>
      <c r="EW14" s="368" t="str">
        <f aca="false">IF(BI14="","",BI$14)</f>
        <v/>
      </c>
      <c r="EX14" s="368" t="str">
        <f aca="false">IF(BJ14="","",BJ$14)</f>
        <v/>
      </c>
      <c r="EY14" s="368" t="str">
        <f aca="false">IF(BK14="","",BK$14)</f>
        <v/>
      </c>
      <c r="EZ14" s="368" t="str">
        <f aca="false">IF(BL14="","",BL$14)</f>
        <v/>
      </c>
      <c r="FA14" s="368" t="str">
        <f aca="false">IF(BM14="","",BM$14)</f>
        <v/>
      </c>
      <c r="FB14" s="368" t="str">
        <f aca="false">IF(BN14="","",BN$14)</f>
        <v/>
      </c>
      <c r="FC14" s="368" t="str">
        <f aca="false">IF(BO14="","",BO$14)</f>
        <v/>
      </c>
      <c r="FD14" s="368" t="str">
        <f aca="false">IF(BP14="","",BP$14)</f>
        <v/>
      </c>
      <c r="FE14" s="368" t="str">
        <f aca="false">IF(BQ14="","",BQ$14)</f>
        <v/>
      </c>
      <c r="FF14" s="368" t="str">
        <f aca="false">IF(BR14="","",BR$14)</f>
        <v/>
      </c>
      <c r="FG14" s="368" t="str">
        <f aca="false">IF(BS14="","",BS$14)</f>
        <v/>
      </c>
      <c r="FH14" s="368" t="str">
        <f aca="false">IF(BT14="","",BT$14)</f>
        <v/>
      </c>
      <c r="FI14" s="368" t="str">
        <f aca="false">IF(BU14="","",BU$14)</f>
        <v/>
      </c>
      <c r="FJ14" s="368" t="str">
        <f aca="false">IF(BV14="","",BV$14)</f>
        <v/>
      </c>
      <c r="FK14" s="368" t="str">
        <f aca="false">IF(BW14="","",BW$14)</f>
        <v/>
      </c>
      <c r="FL14" s="368" t="str">
        <f aca="false">IF(BX14="","",BX$14)</f>
        <v/>
      </c>
      <c r="FM14" s="368" t="str">
        <f aca="false">IF(BY14="","",BY$14)</f>
        <v/>
      </c>
      <c r="FN14" s="368" t="str">
        <f aca="false">IF(BZ14="","",BZ$14)</f>
        <v/>
      </c>
      <c r="FO14" s="368" t="str">
        <f aca="false">IF(CA14="","",CA$14)</f>
        <v/>
      </c>
      <c r="FP14" s="368" t="str">
        <f aca="false">IF(CB14="","",CB$14)</f>
        <v/>
      </c>
      <c r="FQ14" s="368" t="str">
        <f aca="false">IF(CC14="","",CC$14)</f>
        <v/>
      </c>
      <c r="FR14" s="368" t="str">
        <f aca="false">IF(CD14="","",CD$14)</f>
        <v/>
      </c>
      <c r="FS14" s="368" t="str">
        <f aca="false">IF(CE14="","",CE$14)</f>
        <v/>
      </c>
    </row>
    <row r="15" customFormat="false" ht="16" hidden="false" customHeight="false" outlineLevel="0" collapsed="false">
      <c r="A15" s="49"/>
      <c r="B15" s="49"/>
      <c r="C15" s="49"/>
      <c r="D15" s="49"/>
      <c r="E15" s="49"/>
      <c r="F15" s="48" t="str">
        <f aca="false">$A15&amp;IF($C15&lt;&gt;"","|"&amp;$C15,"")&amp;IF($D15&lt;&gt;"","|"&amp;$D15,"")&amp;IF($E15&lt;&gt;"","|"&amp;$E15,"")</f>
        <v/>
      </c>
      <c r="G15" s="369"/>
      <c r="H15" s="343" t="n">
        <f aca="false">SUM($CJ15)</f>
        <v>0</v>
      </c>
      <c r="I15" s="208"/>
      <c r="J15" s="208"/>
      <c r="K15" s="208"/>
      <c r="L15" s="208"/>
      <c r="M15" s="208"/>
      <c r="N15" s="208"/>
      <c r="O15" s="208"/>
      <c r="P15" s="208"/>
      <c r="Q15" s="208"/>
      <c r="R15" s="208"/>
      <c r="S15" s="208"/>
      <c r="T15" s="208"/>
      <c r="U15" s="208"/>
      <c r="V15" s="208"/>
      <c r="W15" s="208"/>
      <c r="X15" s="208"/>
      <c r="Y15" s="208"/>
      <c r="Z15" s="208"/>
      <c r="AA15" s="208"/>
      <c r="AB15" s="208"/>
      <c r="AC15" s="208"/>
      <c r="AD15" s="208"/>
      <c r="AE15" s="208"/>
      <c r="AF15" s="208"/>
      <c r="AG15" s="208"/>
      <c r="AH15" s="208"/>
      <c r="AI15" s="208"/>
      <c r="AJ15" s="208"/>
      <c r="AK15" s="208"/>
      <c r="AL15" s="208"/>
      <c r="AM15" s="208"/>
      <c r="AN15" s="208"/>
      <c r="AO15" s="208"/>
      <c r="AP15" s="208"/>
      <c r="AQ15" s="208"/>
      <c r="AR15" s="208"/>
      <c r="AS15" s="208"/>
      <c r="AT15" s="208"/>
      <c r="AU15" s="208"/>
      <c r="AV15" s="208"/>
      <c r="AW15" s="208"/>
      <c r="AX15" s="208"/>
      <c r="AY15" s="208"/>
      <c r="AZ15" s="208"/>
      <c r="BA15" s="208"/>
      <c r="BB15" s="208"/>
      <c r="BC15" s="208"/>
      <c r="BD15" s="208"/>
      <c r="BE15" s="208"/>
      <c r="BF15" s="208"/>
      <c r="BG15" s="208"/>
      <c r="BH15" s="208"/>
      <c r="BI15" s="208"/>
      <c r="BJ15" s="208"/>
      <c r="BK15" s="208"/>
      <c r="BL15" s="208"/>
      <c r="BM15" s="208"/>
      <c r="BN15" s="208"/>
      <c r="BO15" s="208"/>
      <c r="BP15" s="208"/>
      <c r="BQ15" s="208"/>
      <c r="BR15" s="208"/>
      <c r="BS15" s="208"/>
      <c r="BT15" s="208"/>
      <c r="BU15" s="208"/>
      <c r="BV15" s="208"/>
      <c r="BW15" s="208"/>
      <c r="BX15" s="208"/>
      <c r="BY15" s="208"/>
      <c r="BZ15" s="208"/>
      <c r="CA15" s="208"/>
      <c r="CB15" s="208"/>
      <c r="CC15" s="208"/>
      <c r="CD15" s="208"/>
      <c r="CE15" s="342"/>
      <c r="CF15" s="93" t="n">
        <f aca="false">ROUND(SUM($CP15,$CV15),0)</f>
        <v>0</v>
      </c>
      <c r="CG15" s="93" t="n">
        <f aca="false">ROUND(MAX($CP15,$CV15),0)</f>
        <v>0</v>
      </c>
      <c r="CH15" s="370"/>
      <c r="CI15" s="92"/>
      <c r="CJ15" s="343" t="str">
        <f aca="false">IF(SUM($CF15)=0,"",IF(SUM($CF15)=SUM($CG15),SUM($CF15),IF(UPPER($CH15)="MAX",$CG15,IF(UPPER($CH15)="CUSTOM",MIN(MAX(ROUND($CF15+$G15*($CI15),0),$CG15),$CF15),$CF15))))</f>
        <v/>
      </c>
      <c r="CK15" s="93" t="n">
        <f aca="false">ROUND(SUMIFS($CW15:$FS15,$CW$14:$FS$14,"*DSD*"),0)</f>
        <v>0</v>
      </c>
      <c r="CL15" s="93" t="n">
        <f aca="false" t="array" ref="CL15:CL15">MIN_DSD</f>
        <v>0</v>
      </c>
      <c r="CM15" s="93" t="n">
        <f aca="false">COUNTIFS($CW$14:$FS$14,"*DSD*",$CW15:$FS15,"&gt;0")</f>
        <v>0</v>
      </c>
      <c r="CN15" s="370"/>
      <c r="CO15" s="208"/>
      <c r="CP15" s="343" t="str">
        <f aca="false">IF(SUM($CK15)=0,"",IF(OR(SUM($CK15)=SUM($CL15),AND(SUM($CK15)=SUM($G15),SUM($CQ15)=0)),SUM($CK15),IF(UPPER($CN15)="MAX",$CL15,IF(UPPER($CN15)="CUSTOM",MIN(MAX(ROUND($CK15+$G15*($CO15),0),$CL15),$CK15),$CK15))))</f>
        <v/>
      </c>
      <c r="CQ15" s="93" t="n">
        <f aca="false">ROUND(SUMIFS($CW15:$FS15,$CW$14:$FS$14,"*TA*"),0)</f>
        <v>0</v>
      </c>
      <c r="CR15" s="93" t="n">
        <f aca="false" t="array" ref="CR15:CR15">MIN_TA</f>
        <v>0</v>
      </c>
      <c r="CS15" s="93" t="n">
        <f aca="false">COUNTIFS($CW$14:$FS$14,"*TA*",$CW15:$FS15,"&gt;0")</f>
        <v>0</v>
      </c>
      <c r="CT15" s="370"/>
      <c r="CU15" s="92"/>
      <c r="CV15" s="343" t="str">
        <f aca="false">IF(SUM($CQ15)=0,"",IF(OR(SUM($CQ15)=SUM($CR15),AND(SUM($CQ15)=SUM($G15),SUM($CK15)=0)),SUM($CQ15),IF(UPPER($CT15)="MAX",$CR15,IF(UPPER($CT15)="CUSTOM",MIN(MAX(ROUND($CQ15+$G15*($CU15),0),$CR15),$CQ15),$CQ15))))</f>
        <v/>
      </c>
      <c r="CW15" s="344" t="str">
        <f aca="false">IF(OR(CW$14="",SUM($G15)=0,SUM(I15)=0),"",ROUND($G15*I15,0))</f>
        <v/>
      </c>
      <c r="CX15" s="344" t="str">
        <f aca="false">IF(OR(CX$14="",SUM($G15)=0,SUM(J15)=0),"",ROUND($G15*J15,0))</f>
        <v/>
      </c>
      <c r="CY15" s="344" t="str">
        <f aca="false">IF(OR(CY$14="",SUM($G15)=0,SUM(K15)=0),"",ROUND($G15*K15,0))</f>
        <v/>
      </c>
      <c r="CZ15" s="344" t="str">
        <f aca="false">IF(OR(CZ$14="",SUM($G15)=0,SUM(L15)=0),"",ROUND($G15*L15,0))</f>
        <v/>
      </c>
      <c r="DA15" s="344" t="str">
        <f aca="false">IF(OR(DA$14="",SUM($G15)=0,SUM(M15)=0),"",ROUND($G15*M15,0))</f>
        <v/>
      </c>
      <c r="DB15" s="344" t="str">
        <f aca="false">IF(OR(DB$14="",SUM($G15)=0,SUM(N15)=0),"",ROUND($G15*N15,0))</f>
        <v/>
      </c>
      <c r="DC15" s="344" t="str">
        <f aca="false">IF(OR(DC$14="",SUM($G15)=0,SUM(O15)=0),"",ROUND($G15*O15,0))</f>
        <v/>
      </c>
      <c r="DD15" s="344" t="str">
        <f aca="false">IF(OR(DD$14="",SUM($G15)=0,SUM(P15)=0),"",ROUND($G15*P15,0))</f>
        <v/>
      </c>
      <c r="DE15" s="344" t="str">
        <f aca="false">IF(OR(DE$14="",SUM($G15)=0,SUM(Q15)=0),"",ROUND($G15*Q15,0))</f>
        <v/>
      </c>
      <c r="DF15" s="344" t="str">
        <f aca="false">IF(OR(DF$14="",SUM($G15)=0,SUM(R15)=0),"",ROUND($G15*R15,0))</f>
        <v/>
      </c>
      <c r="DG15" s="344" t="str">
        <f aca="false">IF(OR(DG$14="",SUM($G15)=0,SUM(S15)=0),"",ROUND($G15*S15,0))</f>
        <v/>
      </c>
      <c r="DH15" s="344" t="str">
        <f aca="false">IF(OR(DH$14="",SUM($G15)=0,SUM(T15)=0),"",ROUND($G15*T15,0))</f>
        <v/>
      </c>
      <c r="DI15" s="344" t="str">
        <f aca="false">IF(OR(DI$14="",SUM($G15)=0,SUM(U15)=0),"",ROUND($G15*U15,0))</f>
        <v/>
      </c>
      <c r="DJ15" s="344" t="str">
        <f aca="false">IF(OR(DJ$14="",SUM($G15)=0,SUM(V15)=0),"",ROUND($G15*V15,0))</f>
        <v/>
      </c>
      <c r="DK15" s="344" t="str">
        <f aca="false">IF(OR(DK$14="",SUM($G15)=0,SUM(W15)=0),"",ROUND($G15*W15,0))</f>
        <v/>
      </c>
      <c r="DL15" s="344" t="str">
        <f aca="false">IF(OR(DL$14="",SUM($G15)=0,SUM(X15)=0),"",ROUND($G15*X15,0))</f>
        <v/>
      </c>
      <c r="DM15" s="344" t="str">
        <f aca="false">IF(OR(DM$14="",SUM($G15)=0,SUM(Y15)=0),"",ROUND($G15*Y15,0))</f>
        <v/>
      </c>
      <c r="DN15" s="344" t="str">
        <f aca="false">IF(OR(DN$14="",SUM($G15)=0,SUM(Z15)=0),"",ROUND($G15*Z15,0))</f>
        <v/>
      </c>
      <c r="DO15" s="344" t="str">
        <f aca="false">IF(OR(DO$14="",SUM($G15)=0,SUM(AA15)=0),"",ROUND($G15*AA15,0))</f>
        <v/>
      </c>
      <c r="DP15" s="344" t="str">
        <f aca="false">IF(OR(DP$14="",SUM($G15)=0,SUM(AB15)=0),"",ROUND($G15*AB15,0))</f>
        <v/>
      </c>
      <c r="DQ15" s="344" t="str">
        <f aca="false">IF(OR(DQ$14="",SUM($G15)=0,SUM(AC15)=0),"",ROUND($G15*AC15,0))</f>
        <v/>
      </c>
      <c r="DR15" s="344" t="str">
        <f aca="false">IF(OR(DR$14="",SUM($G15)=0,SUM(AD15)=0),"",ROUND($G15*AD15,0))</f>
        <v/>
      </c>
      <c r="DS15" s="344" t="str">
        <f aca="false">IF(OR(DS$14="",SUM($G15)=0,SUM(AE15)=0),"",ROUND($G15*AE15,0))</f>
        <v/>
      </c>
      <c r="DT15" s="344" t="str">
        <f aca="false">IF(OR(DT$14="",SUM($G15)=0,SUM(AF15)=0),"",ROUND($G15*AF15,0))</f>
        <v/>
      </c>
      <c r="DU15" s="344" t="str">
        <f aca="false">IF(OR(DU$14="",SUM($G15)=0,SUM(AG15)=0),"",ROUND($G15*AG15,0))</f>
        <v/>
      </c>
      <c r="DV15" s="344" t="str">
        <f aca="false">IF(OR(DV$14="",SUM($G15)=0,SUM(AH15)=0),"",ROUND($G15*AH15,0))</f>
        <v/>
      </c>
      <c r="DW15" s="344" t="str">
        <f aca="false">IF(OR(DW$14="",SUM($G15)=0,SUM(AI15)=0),"",ROUND($G15*AI15,0))</f>
        <v/>
      </c>
      <c r="DX15" s="344" t="str">
        <f aca="false">IF(OR(DX$14="",SUM($G15)=0,SUM(AJ15)=0),"",ROUND($G15*AJ15,0))</f>
        <v/>
      </c>
      <c r="DY15" s="344" t="str">
        <f aca="false">IF(OR(DY$14="",SUM($G15)=0,SUM(AK15)=0),"",ROUND($G15*AK15,0))</f>
        <v/>
      </c>
      <c r="DZ15" s="344" t="str">
        <f aca="false">IF(OR(DZ$14="",SUM($G15)=0,SUM(AL15)=0),"",ROUND($G15*AL15,0))</f>
        <v/>
      </c>
      <c r="EA15" s="344" t="str">
        <f aca="false">IF(OR(EA$14="",SUM($G15)=0,SUM(AM15)=0),"",ROUND($G15*AM15,0))</f>
        <v/>
      </c>
      <c r="EB15" s="344" t="str">
        <f aca="false">IF(OR(EB$14="",SUM($G15)=0,SUM(AN15)=0),"",ROUND($G15*AN15,0))</f>
        <v/>
      </c>
      <c r="EC15" s="344" t="str">
        <f aca="false">IF(OR(EC$14="",SUM($G15)=0,SUM(AO15)=0),"",ROUND($G15*AO15,0))</f>
        <v/>
      </c>
      <c r="ED15" s="344" t="str">
        <f aca="false">IF(OR(ED$14="",SUM($G15)=0,SUM(AP15)=0),"",ROUND($G15*AP15,0))</f>
        <v/>
      </c>
      <c r="EE15" s="344" t="str">
        <f aca="false">IF(OR(EE$14="",SUM($G15)=0,SUM(AQ15)=0),"",ROUND($G15*AQ15,0))</f>
        <v/>
      </c>
      <c r="EF15" s="344" t="str">
        <f aca="false">IF(OR(EF$14="",SUM($G15)=0,SUM(AR15)=0),"",ROUND($G15*AR15,0))</f>
        <v/>
      </c>
      <c r="EG15" s="344" t="str">
        <f aca="false">IF(OR(EG$14="",SUM($G15)=0,SUM(AS15)=0),"",ROUND($G15*AS15,0))</f>
        <v/>
      </c>
      <c r="EH15" s="344" t="str">
        <f aca="false">IF(OR(EH$14="",SUM($G15)=0,SUM(AT15)=0),"",ROUND($G15*AT15,0))</f>
        <v/>
      </c>
      <c r="EI15" s="344" t="str">
        <f aca="false">IF(OR(EI$14="",SUM($G15)=0,SUM(AU15)=0),"",ROUND($G15*AU15,0))</f>
        <v/>
      </c>
      <c r="EJ15" s="344" t="str">
        <f aca="false">IF(OR(EJ$14="",SUM($G15)=0,SUM(AV15)=0),"",ROUND($G15*AV15,0))</f>
        <v/>
      </c>
      <c r="EK15" s="344" t="str">
        <f aca="false">IF(OR(EK$14="",SUM($G15)=0,SUM(AW15)=0),"",ROUND($G15*AW15,0))</f>
        <v/>
      </c>
      <c r="EL15" s="344" t="str">
        <f aca="false">IF(OR(EL$14="",SUM($G15)=0,SUM(AX15)=0),"",ROUND($G15*AX15,0))</f>
        <v/>
      </c>
      <c r="EM15" s="344" t="str">
        <f aca="false">IF(OR(EM$14="",SUM($G15)=0,SUM(AY15)=0),"",ROUND($G15*AY15,0))</f>
        <v/>
      </c>
      <c r="EN15" s="344" t="str">
        <f aca="false">IF(OR(EN$14="",SUM($G15)=0,SUM(AZ15)=0),"",ROUND($G15*AZ15,0))</f>
        <v/>
      </c>
      <c r="EO15" s="344" t="str">
        <f aca="false">IF(OR(EO$14="",SUM($G15)=0,SUM(BA15)=0),"",ROUND($G15*BA15,0))</f>
        <v/>
      </c>
      <c r="EP15" s="344" t="str">
        <f aca="false">IF(OR(EP$14="",SUM($G15)=0,SUM(BB15)=0),"",ROUND($G15*BB15,0))</f>
        <v/>
      </c>
      <c r="EQ15" s="344" t="str">
        <f aca="false">IF(OR(EQ$14="",SUM($G15)=0,SUM(BC15)=0),"",ROUND($G15*BC15,0))</f>
        <v/>
      </c>
      <c r="ER15" s="344" t="str">
        <f aca="false">IF(OR(ER$14="",SUM($G15)=0,SUM(BD15)=0),"",ROUND($G15*BD15,0))</f>
        <v/>
      </c>
      <c r="ES15" s="344" t="str">
        <f aca="false">IF(OR(ES$14="",SUM($G15)=0,SUM(BE15)=0),"",ROUND($G15*BE15,0))</f>
        <v/>
      </c>
      <c r="ET15" s="344" t="str">
        <f aca="false">IF(OR(ET$14="",SUM($G15)=0,SUM(BF15)=0),"",ROUND($G15*BF15,0))</f>
        <v/>
      </c>
      <c r="EU15" s="344" t="str">
        <f aca="false">IF(OR(EU$14="",SUM($G15)=0,SUM(BG15)=0),"",ROUND($G15*BG15,0))</f>
        <v/>
      </c>
      <c r="EV15" s="344" t="str">
        <f aca="false">IF(OR(EV$14="",SUM($G15)=0,SUM(BH15)=0),"",ROUND($G15*BH15,0))</f>
        <v/>
      </c>
      <c r="EW15" s="344" t="str">
        <f aca="false">IF(OR(EW$14="",SUM($G15)=0,SUM(BI15)=0),"",ROUND($G15*BI15,0))</f>
        <v/>
      </c>
      <c r="EX15" s="344" t="str">
        <f aca="false">IF(OR(EX$14="",SUM($G15)=0,SUM(BJ15)=0),"",ROUND($G15*BJ15,0))</f>
        <v/>
      </c>
      <c r="EY15" s="344" t="str">
        <f aca="false">IF(OR(EY$14="",SUM($G15)=0,SUM(BK15)=0),"",ROUND($G15*BK15,0))</f>
        <v/>
      </c>
      <c r="EZ15" s="344" t="str">
        <f aca="false">IF(OR(EZ$14="",SUM($G15)=0,SUM(BL15)=0),"",ROUND($G15*BL15,0))</f>
        <v/>
      </c>
      <c r="FA15" s="344" t="str">
        <f aca="false">IF(OR(FA$14="",SUM($G15)=0,SUM(BM15)=0),"",ROUND($G15*BM15,0))</f>
        <v/>
      </c>
      <c r="FB15" s="344" t="str">
        <f aca="false">IF(OR(FB$14="",SUM($G15)=0,SUM(BN15)=0),"",ROUND($G15*BN15,0))</f>
        <v/>
      </c>
      <c r="FC15" s="344" t="str">
        <f aca="false">IF(OR(FC$14="",SUM($G15)=0,SUM(BO15)=0),"",ROUND($G15*BO15,0))</f>
        <v/>
      </c>
      <c r="FD15" s="344" t="str">
        <f aca="false">IF(OR(FD$14="",SUM($G15)=0,SUM(BP15)=0),"",ROUND($G15*BP15,0))</f>
        <v/>
      </c>
      <c r="FE15" s="344" t="str">
        <f aca="false">IF(OR(FE$14="",SUM($G15)=0,SUM(BQ15)=0),"",ROUND($G15*BQ15,0))</f>
        <v/>
      </c>
      <c r="FF15" s="344" t="str">
        <f aca="false">IF(OR(FF$14="",SUM($G15)=0,SUM(BR15)=0),"",ROUND($G15*BR15,0))</f>
        <v/>
      </c>
      <c r="FG15" s="344" t="str">
        <f aca="false">IF(OR(FG$14="",SUM($G15)=0,SUM(BS15)=0),"",ROUND($G15*BS15,0))</f>
        <v/>
      </c>
      <c r="FH15" s="344" t="str">
        <f aca="false">IF(OR(FH$14="",SUM($G15)=0,SUM(BT15)=0),"",ROUND($G15*BT15,0))</f>
        <v/>
      </c>
      <c r="FI15" s="344" t="str">
        <f aca="false">IF(OR(FI$14="",SUM($G15)=0,SUM(BU15)=0),"",ROUND($G15*BU15,0))</f>
        <v/>
      </c>
      <c r="FJ15" s="344" t="str">
        <f aca="false">IF(OR(FJ$14="",SUM($G15)=0,SUM(BV15)=0),"",ROUND($G15*BV15,0))</f>
        <v/>
      </c>
      <c r="FK15" s="344" t="str">
        <f aca="false">IF(OR(FK$14="",SUM($G15)=0,SUM(BW15)=0),"",ROUND($G15*BW15,0))</f>
        <v/>
      </c>
      <c r="FL15" s="344" t="str">
        <f aca="false">IF(OR(FL$14="",SUM($G15)=0,SUM(BX15)=0),"",ROUND($G15*BX15,0))</f>
        <v/>
      </c>
      <c r="FM15" s="344" t="str">
        <f aca="false">IF(OR(FM$14="",SUM($G15)=0,SUM(BY15)=0),"",ROUND($G15*BY15,0))</f>
        <v/>
      </c>
      <c r="FN15" s="344" t="str">
        <f aca="false">IF(OR(FN$14="",SUM($G15)=0,SUM(BZ15)=0),"",ROUND($G15*BZ15,0))</f>
        <v/>
      </c>
      <c r="FO15" s="344" t="str">
        <f aca="false">IF(OR(FO$14="",SUM($G15)=0,SUM(CA15)=0),"",ROUND($G15*CA15,0))</f>
        <v/>
      </c>
      <c r="FP15" s="344" t="str">
        <f aca="false">IF(OR(FP$14="",SUM($G15)=0,SUM(CB15)=0),"",ROUND($G15*CB15,0))</f>
        <v/>
      </c>
      <c r="FQ15" s="344" t="str">
        <f aca="false">IF(OR(FQ$14="",SUM($G15)=0,SUM(CC15)=0),"",ROUND($G15*CC15,0))</f>
        <v/>
      </c>
      <c r="FR15" s="344" t="str">
        <f aca="false">IF(OR(FR$14="",SUM($G15)=0,SUM(CD15)=0),"",ROUND($G15*CD15,0))</f>
        <v/>
      </c>
      <c r="FS15" s="344" t="str">
        <f aca="false">IF(OR(FS$14="",SUM($G15)=0,SUM(CE15)=0),"",ROUND($G15*CE15,0))</f>
        <v/>
      </c>
    </row>
  </sheetData>
  <conditionalFormatting sqref="CH1:CH1048576 CN1:CN1048576 CT1:CT1048576">
    <cfRule type="expression" priority="2" aboveAverage="0" equalAverage="0" bottom="0" percent="0" rank="0" text="" dxfId="0">
      <formula>AND(ROW(CH1)&gt;14,UPPER(CH1)&lt;&gt;"CUSTOM",UPPER(CH1)&lt;&gt;"MAX",UPPER(CH1)&lt;&gt;"SUM",CH1&lt;&gt;"")</formula>
    </cfRule>
  </conditionalFormatting>
  <conditionalFormatting sqref="CV1:CV1048576">
    <cfRule type="expression" priority="3" aboveAverage="0" equalAverage="0" bottom="0" percent="0" rank="0" text="" dxfId="1">
      <formula>AND(ROW($CV1)&gt;14,OR(SUM($CV1)&gt;SUM($CQ1),SUM($CV1)&lt;SUM($CR1)))</formula>
    </cfRule>
  </conditionalFormatting>
  <conditionalFormatting sqref="CJ1:CJ1048576">
    <cfRule type="expression" priority="4" aboveAverage="0" equalAverage="0" bottom="0" percent="0" rank="0" text="" dxfId="2">
      <formula>AND(ROW(CJ1)&gt;14,OR(CJ1&gt;CF1,CJ1&lt;CG1))</formula>
    </cfRule>
  </conditionalFormatting>
  <conditionalFormatting sqref="I1:CE1048576">
    <cfRule type="expression" priority="5" aboveAverage="0" equalAverage="0" bottom="0" percent="0" rank="0" text="" dxfId="3">
      <formula>AND(ROW(I1)&gt;14,OR(SUM(I1)&gt;1,SUM(I1)&lt;0))</formula>
    </cfRule>
  </conditionalFormatting>
  <conditionalFormatting sqref="CO1:CO1048576 CU1:CU1048576 CI1:CI1048576">
    <cfRule type="expression" priority="6" aboveAverage="0" equalAverage="0" bottom="0" percent="0" rank="0" text="" dxfId="4">
      <formula>AND(ROW(CI1)&gt;14,SUM(CI1)&gt;0)</formula>
    </cfRule>
  </conditionalFormatting>
  <conditionalFormatting sqref="H1:H1048576">
    <cfRule type="expression" priority="7" aboveAverage="0" equalAverage="0" bottom="0" percent="0" rank="0" text="" dxfId="5">
      <formula>AND(ROW($H1)&gt;14,ABS(ROUND(SUM($H1),0)-ROUND(SUM($G1),0))&gt;2)</formula>
    </cfRule>
    <cfRule type="expression" priority="8" aboveAverage="0" equalAverage="0" bottom="0" percent="0" rank="0" text="" dxfId="6">
      <formula>AND(ROW($H1)&gt;14,ROUND(SUM($H1),0)&lt;&gt;ROUND(SUM($G1),0))</formula>
    </cfRule>
  </conditionalFormatting>
  <conditionalFormatting sqref="CP1:CP1048576">
    <cfRule type="expression" priority="9" aboveAverage="0" equalAverage="0" bottom="0" percent="0" rank="0" text="" dxfId="7">
      <formula>AND(ROW($CP1)&gt;14,OR(SUM($CP1)&gt;SUM($CK1),SUM($CP1)&lt;SUM($CL1)))</formula>
    </cfRule>
  </conditionalFormatting>
  <conditionalFormatting sqref="CQ1:CU1048576">
    <cfRule type="expression" priority="10" aboveAverage="0" equalAverage="0" bottom="0" percent="0" rank="0" text="" dxfId="8">
      <formula>AND(ROW($CQ1)&gt;14,$A1&lt;&gt;"",OR(SUM($CQ1)=0,$CS1&lt;=1,SUM($CQ1)=SUM($CR1),AND(SUM($G1)=SUM($CQ1),SUM($CK1)=0)))</formula>
    </cfRule>
  </conditionalFormatting>
  <conditionalFormatting sqref="CF1:CI1048576">
    <cfRule type="expression" priority="11" aboveAverage="0" equalAverage="0" bottom="0" percent="0" rank="0" text="" dxfId="9">
      <formula>AND(ROW($CF1)&gt;14,$A1&lt;&gt;"",OR(SUM($CP1)=0,SUM($CV1)=0,$CM1=0,$CS1=0,SUM($CF1)=SUM($CG1),SUM($G1)&gt;=SUM($CF1)))</formula>
    </cfRule>
  </conditionalFormatting>
  <conditionalFormatting sqref="CO1:CO1048576">
    <cfRule type="expression" priority="12" aboveAverage="0" equalAverage="0" bottom="0" percent="0" rank="0" text="" dxfId="10">
      <formula>AND(ROW($CO1)&gt;14,$A1&lt;&gt;"",UPPER($CN1)&lt;&gt;"CUSTOM")</formula>
    </cfRule>
  </conditionalFormatting>
  <conditionalFormatting sqref="CK1:CO1048576">
    <cfRule type="expression" priority="13" aboveAverage="0" equalAverage="0" bottom="0" percent="0" rank="0" text="" dxfId="11">
      <formula>AND(ROW($CK1)&gt;14,$A1&lt;&gt;"",OR(SUM($CK1)=0,$CM1&lt;=1,SUM($CK1)=SUM($CL1),AND(SUM($G1)=SUM($CK1),SUM($CQ1)=0)))</formula>
    </cfRule>
  </conditionalFormatting>
  <conditionalFormatting sqref="CU1:CU1048576">
    <cfRule type="expression" priority="14" aboveAverage="0" equalAverage="0" bottom="0" percent="0" rank="0" text="" dxfId="12">
      <formula>AND(ROW($CU1)&gt;14,$A1&lt;&gt;"",UPPER($CT1)&lt;&gt;"CUSTOM")</formula>
    </cfRule>
  </conditionalFormatting>
  <conditionalFormatting sqref="CI1:CI1048576">
    <cfRule type="expression" priority="15" aboveAverage="0" equalAverage="0" bottom="0" percent="0" rank="0" text="" dxfId="13">
      <formula>AND(ROW($CF1)&gt;14,$A1&lt;&gt;"",UPPER($CH1)&lt;&gt;"CUSTOM")</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2018-11-07T14:50:29Z</dcterms:created>
  <dc:creator>Scott Jackson</dc:creator>
  <dc:description/>
  <dc:language>en-US</dc:language>
  <cp:lastModifiedBy/>
  <dcterms:modified xsi:type="dcterms:W3CDTF">2021-05-19T10:55:45Z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