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F7666327-8C7C-5947-80B2-4CC90A4D4ADA}" xr6:coauthVersionLast="47" xr6:coauthVersionMax="47" xr10:uidLastSave="{00000000-0000-0000-0000-000000000000}"/>
  <bookViews>
    <workbookView xWindow="-10480" yWindow="-28300" windowWidth="51200" windowHeight="28300" activeTab="12" xr2:uid="{6350F473-330A-BA43-B59F-2231AEF8C02D}"/>
    <workbookView xWindow="0" yWindow="500" windowWidth="33600" windowHeight="20500" activeTab="5" xr2:uid="{A5D63EFD-801A-8845-866E-D658BAC35D0C}"/>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TX_TB_PREV!$B$14:$Z$15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4" i="9" l="1"/>
  <c r="U4" i="9" s="1"/>
  <c r="S15" i="9"/>
  <c r="S4" i="9" s="1"/>
  <c r="D16" i="49"/>
  <c r="D17" i="49"/>
  <c r="D18" i="49"/>
  <c r="D19" i="49"/>
  <c r="D20" i="49"/>
  <c r="D21" i="49"/>
  <c r="D22" i="49"/>
  <c r="D23" i="49"/>
  <c r="D24" i="49"/>
  <c r="D25" i="49"/>
  <c r="D26" i="49"/>
  <c r="D27" i="49"/>
  <c r="D28" i="49"/>
  <c r="D29" i="49"/>
  <c r="D30" i="49"/>
  <c r="D31" i="49"/>
  <c r="D32" i="49"/>
  <c r="D33" i="49"/>
  <c r="D15" i="49"/>
  <c r="M15" i="46" l="1" a="1"/>
  <c r="M15" i="46" s="1"/>
  <c r="L15" i="46" a="1"/>
  <c r="L15" i="46" s="1"/>
  <c r="K15" i="46" a="1"/>
  <c r="K15" i="46" s="1"/>
  <c r="E15" i="46" a="1"/>
  <c r="E15" i="46" s="1"/>
  <c r="D15" i="46" a="1"/>
  <c r="D15" i="46" s="1"/>
  <c r="C15" i="46" a="1"/>
  <c r="C15" i="46" s="1"/>
  <c r="Y15" i="12"/>
  <c r="AB15" i="12"/>
  <c r="AE15" i="12"/>
  <c r="AH15" i="12"/>
  <c r="AK15" i="12"/>
  <c r="I15" i="16" a="1"/>
  <c r="I15" i="16" s="1"/>
  <c r="H15" i="16" a="1"/>
  <c r="H15" i="16" s="1"/>
  <c r="AJ15" i="13"/>
  <c r="AI15" i="13"/>
  <c r="Z15" i="10"/>
  <c r="AA15" i="10"/>
  <c r="O15" i="8"/>
  <c r="AC15" i="7"/>
  <c r="P15" i="8"/>
  <c r="AB15" i="7"/>
  <c r="AA4" i="13"/>
  <c r="Y4" i="13"/>
  <c r="W4" i="13"/>
  <c r="S4" i="7"/>
  <c r="AO4" i="5"/>
  <c r="AI4" i="5"/>
  <c r="AE4" i="5"/>
  <c r="AC4" i="5"/>
  <c r="AA4" i="5"/>
  <c r="Z4" i="5"/>
  <c r="X4" i="5"/>
  <c r="Z4" i="13"/>
  <c r="V4" i="13"/>
  <c r="P4" i="13"/>
  <c r="AJ4" i="5"/>
  <c r="AH4" i="5"/>
  <c r="A15" i="46"/>
  <c r="A15" i="40"/>
  <c r="A15" i="44"/>
  <c r="A15" i="34"/>
  <c r="A15" i="14"/>
  <c r="A15" i="15"/>
  <c r="A15" i="9"/>
  <c r="A15" i="6"/>
  <c r="A15" i="12"/>
  <c r="A15" i="16"/>
  <c r="A15" i="13"/>
  <c r="A15" i="10"/>
  <c r="A15" i="8"/>
  <c r="A15" i="20"/>
  <c r="A15" i="7"/>
  <c r="A15" i="5"/>
  <c r="D15" i="45"/>
  <c r="AN15" i="5"/>
  <c r="BD15" i="5"/>
  <c r="BA15" i="5"/>
  <c r="AX15" i="5"/>
  <c r="AV15" i="5"/>
  <c r="R15" i="5"/>
  <c r="O15" i="5"/>
  <c r="E15" i="5"/>
  <c r="F15" i="9" a="1"/>
  <c r="F15" i="9" s="1"/>
  <c r="T15" i="9" s="1"/>
  <c r="G15" i="9" a="1"/>
  <c r="G15" i="9" s="1"/>
  <c r="AS15" i="12"/>
  <c r="AZ15" i="12"/>
  <c r="AX15" i="12"/>
  <c r="AY15" i="12"/>
  <c r="E15" i="14"/>
  <c r="U15" i="14"/>
  <c r="T15" i="14"/>
  <c r="S15" i="14"/>
  <c r="R15" i="14"/>
  <c r="Q15" i="14"/>
  <c r="P15" i="14"/>
  <c r="M15" i="14"/>
  <c r="O15" i="14"/>
  <c r="CM16" i="49" l="1"/>
  <c r="CN16" i="49"/>
  <c r="CO16" i="49"/>
  <c r="CP16" i="49"/>
  <c r="CQ16" i="49"/>
  <c r="CR16" i="49"/>
  <c r="CS16" i="49"/>
  <c r="CT16" i="49"/>
  <c r="CU16" i="49"/>
  <c r="CV16" i="49"/>
  <c r="CW16" i="49"/>
  <c r="CX16" i="49"/>
  <c r="CY16" i="49"/>
  <c r="CZ16" i="49"/>
  <c r="DA16" i="49"/>
  <c r="DB16" i="49"/>
  <c r="DC16" i="49"/>
  <c r="CM17" i="49"/>
  <c r="CN17" i="49"/>
  <c r="CO17" i="49"/>
  <c r="CP17" i="49"/>
  <c r="CQ17" i="49"/>
  <c r="CR17" i="49"/>
  <c r="CS17" i="49"/>
  <c r="CT17" i="49"/>
  <c r="CU17" i="49"/>
  <c r="CV17" i="49"/>
  <c r="CW17" i="49"/>
  <c r="CX17" i="49"/>
  <c r="CY17" i="49"/>
  <c r="CZ17" i="49"/>
  <c r="DA17" i="49"/>
  <c r="DB17" i="49"/>
  <c r="DC17" i="49"/>
  <c r="CM18" i="49"/>
  <c r="CN18" i="49"/>
  <c r="CO18" i="49"/>
  <c r="CP18" i="49"/>
  <c r="CQ18" i="49"/>
  <c r="CR18" i="49"/>
  <c r="CS18" i="49"/>
  <c r="CT18" i="49"/>
  <c r="CU18" i="49"/>
  <c r="CV18" i="49"/>
  <c r="CW18" i="49"/>
  <c r="CX18" i="49"/>
  <c r="CY18" i="49"/>
  <c r="CZ18" i="49"/>
  <c r="DA18" i="49"/>
  <c r="DB18" i="49"/>
  <c r="DC18" i="49"/>
  <c r="CM19" i="49"/>
  <c r="CN19" i="49"/>
  <c r="CO19" i="49"/>
  <c r="CP19" i="49"/>
  <c r="CQ19" i="49"/>
  <c r="CR19" i="49"/>
  <c r="CS19" i="49"/>
  <c r="CT19" i="49"/>
  <c r="CU19" i="49"/>
  <c r="CV19" i="49"/>
  <c r="CW19" i="49"/>
  <c r="CX19" i="49"/>
  <c r="CY19" i="49"/>
  <c r="CZ19" i="49"/>
  <c r="DA19" i="49"/>
  <c r="DB19" i="49"/>
  <c r="DC19" i="49"/>
  <c r="CM20" i="49"/>
  <c r="CN20" i="49"/>
  <c r="CO20" i="49"/>
  <c r="CP20" i="49"/>
  <c r="CQ20" i="49"/>
  <c r="CR20" i="49"/>
  <c r="CS20" i="49"/>
  <c r="CT20" i="49"/>
  <c r="CU20" i="49"/>
  <c r="CV20" i="49"/>
  <c r="CW20" i="49"/>
  <c r="CX20" i="49"/>
  <c r="CY20" i="49"/>
  <c r="CZ20" i="49"/>
  <c r="DA20" i="49"/>
  <c r="DB20" i="49"/>
  <c r="DC20" i="49"/>
  <c r="CM21" i="49"/>
  <c r="CN21" i="49"/>
  <c r="CO21" i="49"/>
  <c r="CP21" i="49"/>
  <c r="CQ21" i="49"/>
  <c r="CR21" i="49"/>
  <c r="CS21" i="49"/>
  <c r="CT21" i="49"/>
  <c r="CU21" i="49"/>
  <c r="CV21" i="49"/>
  <c r="CW21" i="49"/>
  <c r="CX21" i="49"/>
  <c r="CY21" i="49"/>
  <c r="CZ21" i="49"/>
  <c r="DA21" i="49"/>
  <c r="DB21" i="49"/>
  <c r="DC21" i="49"/>
  <c r="CM22" i="49"/>
  <c r="CN22" i="49"/>
  <c r="CO22" i="49"/>
  <c r="CP22" i="49"/>
  <c r="CQ22" i="49"/>
  <c r="CR22" i="49"/>
  <c r="CS22" i="49"/>
  <c r="CT22" i="49"/>
  <c r="CU22" i="49"/>
  <c r="CV22" i="49"/>
  <c r="CW22" i="49"/>
  <c r="CX22" i="49"/>
  <c r="CY22" i="49"/>
  <c r="CZ22" i="49"/>
  <c r="DA22" i="49"/>
  <c r="DB22" i="49"/>
  <c r="DC22" i="49"/>
  <c r="CM23" i="49"/>
  <c r="CN23" i="49"/>
  <c r="CO23" i="49"/>
  <c r="CP23" i="49"/>
  <c r="CQ23" i="49"/>
  <c r="CR23" i="49"/>
  <c r="CS23" i="49"/>
  <c r="CT23" i="49"/>
  <c r="CU23" i="49"/>
  <c r="CV23" i="49"/>
  <c r="CW23" i="49"/>
  <c r="CX23" i="49"/>
  <c r="CY23" i="49"/>
  <c r="CZ23" i="49"/>
  <c r="DA23" i="49"/>
  <c r="DB23" i="49"/>
  <c r="DC23" i="49"/>
  <c r="CM24" i="49"/>
  <c r="CN24" i="49"/>
  <c r="CO24" i="49"/>
  <c r="CP24" i="49"/>
  <c r="CQ24" i="49"/>
  <c r="CR24" i="49"/>
  <c r="CS24" i="49"/>
  <c r="CT24" i="49"/>
  <c r="CU24" i="49"/>
  <c r="CV24" i="49"/>
  <c r="CW24" i="49"/>
  <c r="CX24" i="49"/>
  <c r="CY24" i="49"/>
  <c r="CZ24" i="49"/>
  <c r="DA24" i="49"/>
  <c r="DB24" i="49"/>
  <c r="DC24" i="49"/>
  <c r="CM25" i="49"/>
  <c r="CN25" i="49"/>
  <c r="CO25" i="49"/>
  <c r="CP25" i="49"/>
  <c r="CQ25" i="49"/>
  <c r="CR25" i="49"/>
  <c r="CS25" i="49"/>
  <c r="CT25" i="49"/>
  <c r="CU25" i="49"/>
  <c r="CV25" i="49"/>
  <c r="CW25" i="49"/>
  <c r="CX25" i="49"/>
  <c r="CY25" i="49"/>
  <c r="CZ25" i="49"/>
  <c r="DA25" i="49"/>
  <c r="DB25" i="49"/>
  <c r="DC25" i="49"/>
  <c r="CM26" i="49"/>
  <c r="CN26" i="49"/>
  <c r="CO26" i="49"/>
  <c r="CP26" i="49"/>
  <c r="CQ26" i="49"/>
  <c r="CR26" i="49"/>
  <c r="CS26" i="49"/>
  <c r="CT26" i="49"/>
  <c r="CU26" i="49"/>
  <c r="CV26" i="49"/>
  <c r="CW26" i="49"/>
  <c r="CX26" i="49"/>
  <c r="CY26" i="49"/>
  <c r="CZ26" i="49"/>
  <c r="DA26" i="49"/>
  <c r="DB26" i="49"/>
  <c r="DC26" i="49"/>
  <c r="CM27" i="49"/>
  <c r="CN27" i="49"/>
  <c r="CO27" i="49"/>
  <c r="CP27" i="49"/>
  <c r="CQ27" i="49"/>
  <c r="CR27" i="49"/>
  <c r="CS27" i="49"/>
  <c r="CT27" i="49"/>
  <c r="CU27" i="49"/>
  <c r="CV27" i="49"/>
  <c r="CW27" i="49"/>
  <c r="CX27" i="49"/>
  <c r="CY27" i="49"/>
  <c r="CZ27" i="49"/>
  <c r="DA27" i="49"/>
  <c r="DB27" i="49"/>
  <c r="DC27" i="49"/>
  <c r="CM28" i="49"/>
  <c r="CN28" i="49"/>
  <c r="CO28" i="49"/>
  <c r="CP28" i="49"/>
  <c r="CQ28" i="49"/>
  <c r="CR28" i="49"/>
  <c r="CS28" i="49"/>
  <c r="CT28" i="49"/>
  <c r="CU28" i="49"/>
  <c r="CV28" i="49"/>
  <c r="CW28" i="49"/>
  <c r="CX28" i="49"/>
  <c r="CY28" i="49"/>
  <c r="CZ28" i="49"/>
  <c r="DA28" i="49"/>
  <c r="DB28" i="49"/>
  <c r="DC28" i="49"/>
  <c r="CM15" i="49"/>
  <c r="CN15" i="49"/>
  <c r="CO15" i="49"/>
  <c r="CP15" i="49"/>
  <c r="CQ15" i="49"/>
  <c r="CR15" i="49"/>
  <c r="CS15" i="49"/>
  <c r="CT15" i="49"/>
  <c r="CU15" i="49"/>
  <c r="CV15" i="49"/>
  <c r="CW15" i="49"/>
  <c r="CX15" i="49"/>
  <c r="CY15" i="49"/>
  <c r="CZ15" i="49"/>
  <c r="DA15" i="49"/>
  <c r="DB15" i="49"/>
  <c r="DC15" i="49"/>
  <c r="BR28" i="49" a="1"/>
  <c r="BR28" i="49" s="1"/>
  <c r="CL28" i="49" s="1"/>
  <c r="BR27" i="49" a="1"/>
  <c r="BR27" i="49" s="1"/>
  <c r="CL27" i="49" s="1"/>
  <c r="BR26" i="49" a="1"/>
  <c r="BR26" i="49" s="1"/>
  <c r="CL26" i="49" s="1"/>
  <c r="BR25" i="49" a="1"/>
  <c r="BR25" i="49" s="1"/>
  <c r="CL25" i="49" s="1"/>
  <c r="BR24" i="49" a="1"/>
  <c r="BR24" i="49" s="1"/>
  <c r="CL24" i="49" s="1"/>
  <c r="BR23" i="49" a="1"/>
  <c r="BR23" i="49" s="1"/>
  <c r="CL23" i="49" s="1"/>
  <c r="BR22" i="49" a="1"/>
  <c r="BR22" i="49" s="1"/>
  <c r="CL22" i="49" s="1"/>
  <c r="BR21" i="49" a="1"/>
  <c r="BR21" i="49" s="1"/>
  <c r="CL21" i="49" s="1"/>
  <c r="BR20" i="49" a="1"/>
  <c r="BR20" i="49" s="1"/>
  <c r="CL20" i="49" s="1"/>
  <c r="BR15" i="49" a="1"/>
  <c r="BR15" i="49" s="1"/>
  <c r="CL15" i="49" s="1"/>
  <c r="BR19" i="49" a="1"/>
  <c r="BR19" i="49" s="1"/>
  <c r="CL19" i="49" s="1"/>
  <c r="BR18" i="49" a="1"/>
  <c r="BR18" i="49" s="1"/>
  <c r="CL18" i="49" s="1"/>
  <c r="BR17" i="49" a="1"/>
  <c r="BR17" i="49" s="1"/>
  <c r="CL17" i="49" s="1"/>
  <c r="BR16" i="49" a="1"/>
  <c r="BR16" i="49" s="1"/>
  <c r="CL16" i="49" s="1"/>
  <c r="E24" i="49" a="1"/>
  <c r="E24" i="49" s="1"/>
  <c r="CK24" i="49" s="1"/>
  <c r="E23" i="49" a="1"/>
  <c r="E23" i="49" s="1"/>
  <c r="CK23" i="49" s="1"/>
  <c r="E22" i="49" a="1"/>
  <c r="E22" i="49" s="1"/>
  <c r="CK22" i="49" s="1"/>
  <c r="E21" i="49" a="1"/>
  <c r="E21" i="49" s="1"/>
  <c r="CK21" i="49" s="1"/>
  <c r="E20" i="49" a="1"/>
  <c r="E20" i="49" s="1"/>
  <c r="CK20" i="49" s="1"/>
  <c r="E19" i="49" a="1"/>
  <c r="E19" i="49" s="1"/>
  <c r="CK19" i="49" s="1"/>
  <c r="E18" i="49" a="1"/>
  <c r="E18" i="49" s="1"/>
  <c r="CK18" i="49" s="1"/>
  <c r="E17" i="49" a="1"/>
  <c r="E17" i="49" s="1"/>
  <c r="CK17" i="49" s="1"/>
  <c r="E16" i="49" a="1"/>
  <c r="E16" i="49" s="1"/>
  <c r="CK16" i="49" s="1"/>
  <c r="E15" i="49" a="1"/>
  <c r="E15" i="49" s="1"/>
  <c r="CK15" i="49" s="1"/>
  <c r="AM4" i="13"/>
  <c r="AV15" i="46" a="1"/>
  <c r="AV15" i="46" s="1"/>
  <c r="AU15" i="46" a="1"/>
  <c r="AU15" i="46" s="1"/>
  <c r="AM15" i="46"/>
  <c r="AM4" i="46" s="1"/>
  <c r="T15" i="46" a="1"/>
  <c r="T15" i="46" s="1"/>
  <c r="S15" i="46" a="1"/>
  <c r="S15" i="46" s="1"/>
  <c r="EA14" i="47"/>
  <c r="EA15" i="47" s="1"/>
  <c r="E28" i="49" a="1"/>
  <c r="E28" i="49" s="1"/>
  <c r="CK28" i="49" s="1"/>
  <c r="E27" i="49" a="1"/>
  <c r="E27" i="49" s="1"/>
  <c r="CK27" i="49" s="1"/>
  <c r="E26" i="49" a="1"/>
  <c r="E26" i="49" s="1"/>
  <c r="CK26" i="49" s="1"/>
  <c r="E25" i="49" a="1"/>
  <c r="E25" i="49" s="1"/>
  <c r="CK25" i="49" s="1"/>
  <c r="P15" i="13" l="1"/>
  <c r="U15" i="13" s="1"/>
  <c r="V15" i="13" l="1"/>
  <c r="X15" i="13" s="1"/>
  <c r="E15" i="12"/>
  <c r="K15" i="40"/>
  <c r="G15" i="40"/>
  <c r="Z15" i="13" l="1"/>
  <c r="AB15" i="13" s="1"/>
  <c r="AD15" i="13" s="1"/>
  <c r="M15" i="9"/>
  <c r="W15" i="9" s="1"/>
  <c r="Z15" i="9" s="1"/>
  <c r="N15" i="9"/>
  <c r="H15" i="6"/>
  <c r="M15" i="6" s="1"/>
  <c r="O15" i="16"/>
  <c r="Q15" i="16" s="1"/>
  <c r="AE15" i="10"/>
  <c r="AE4" i="10" s="1"/>
  <c r="V15" i="10"/>
  <c r="S15" i="10"/>
  <c r="M15" i="10"/>
  <c r="N15" i="10" s="1"/>
  <c r="V15" i="8"/>
  <c r="V4" i="8" s="1"/>
  <c r="T15" i="8"/>
  <c r="R15" i="8"/>
  <c r="Q15" i="8"/>
  <c r="AQ15" i="12" s="1"/>
  <c r="N15" i="8"/>
  <c r="M15" i="8"/>
  <c r="K15" i="8"/>
  <c r="AQ15" i="7"/>
  <c r="H15" i="8"/>
  <c r="AJ15" i="7"/>
  <c r="AE15" i="7"/>
  <c r="AA15" i="7"/>
  <c r="Z15" i="7"/>
  <c r="U15" i="7"/>
  <c r="T15" i="7"/>
  <c r="AG15" i="5"/>
  <c r="AF15" i="5"/>
  <c r="AD15" i="5"/>
  <c r="AB15" i="5"/>
  <c r="Z15" i="5"/>
  <c r="Y15" i="5"/>
  <c r="W15" i="5"/>
  <c r="V15" i="5"/>
  <c r="U15" i="5"/>
  <c r="F15" i="16" s="1"/>
  <c r="T15" i="5"/>
  <c r="S15" i="5"/>
  <c r="P15" i="7"/>
  <c r="O15" i="7"/>
  <c r="N15" i="7"/>
  <c r="M15" i="7"/>
  <c r="L15" i="7"/>
  <c r="K15" i="7"/>
  <c r="H15" i="7"/>
  <c r="F15" i="7"/>
  <c r="AK15" i="5"/>
  <c r="G15" i="7" l="1"/>
  <c r="F15" i="14" a="1"/>
  <c r="F15" i="14" s="1"/>
  <c r="I15" i="7"/>
  <c r="AC15" i="5"/>
  <c r="L15" i="9"/>
  <c r="O15" i="9"/>
  <c r="X15" i="9" s="1"/>
  <c r="AA15" i="9" s="1"/>
  <c r="AZ15" i="5" l="1"/>
  <c r="AZ4" i="5" s="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K4" i="5" l="1"/>
  <c r="AQ15" i="5" l="1"/>
  <c r="AP15" i="5"/>
  <c r="S4" i="5"/>
  <c r="AN4" i="5" l="1"/>
  <c r="R4" i="5" l="1"/>
  <c r="Q4" i="16" l="1"/>
  <c r="AE15" i="5" l="1"/>
  <c r="AA15" i="5"/>
  <c r="AH15" i="5" l="1"/>
  <c r="X15" i="5"/>
  <c r="AT15" i="5"/>
  <c r="AB4" i="5"/>
  <c r="AG4" i="5"/>
  <c r="T4" i="5"/>
  <c r="Q4" i="5"/>
  <c r="P4" i="5"/>
  <c r="N4" i="5"/>
  <c r="M4" i="5"/>
  <c r="L4" i="5"/>
  <c r="K4" i="5"/>
  <c r="J4" i="5"/>
  <c r="I4" i="5"/>
  <c r="H4" i="5"/>
  <c r="G4" i="5"/>
  <c r="AD4" i="5"/>
  <c r="Y4" i="5"/>
  <c r="W4" i="5"/>
  <c r="U4" i="5"/>
  <c r="AI15" i="5" l="1"/>
  <c r="J15" i="7"/>
  <c r="AO15" i="5"/>
  <c r="AJ15" i="5"/>
  <c r="AL15" i="5" s="1"/>
  <c r="AF4" i="5"/>
  <c r="V4" i="5"/>
  <c r="AM15" i="5" l="1"/>
  <c r="AL4" i="5"/>
  <c r="AR15" i="5"/>
  <c r="BC15" i="5"/>
  <c r="AM4" i="5"/>
  <c r="AS15" i="5"/>
  <c r="J15" i="40"/>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AC15" i="9" l="1"/>
  <c r="P4" i="9"/>
  <c r="X15" i="10"/>
  <c r="S15" i="8" l="1"/>
  <c r="X15" i="7" l="1"/>
  <c r="AD15" i="7"/>
  <c r="AO15" i="12" s="1"/>
  <c r="Q15" i="7"/>
  <c r="V15" i="7" l="1"/>
  <c r="AH15" i="7" s="1"/>
  <c r="AG15" i="7" l="1"/>
  <c r="AN15" i="7" s="1"/>
  <c r="AF15" i="7"/>
  <c r="AM15" i="7" s="1"/>
  <c r="AM4" i="7" s="1"/>
  <c r="W15" i="8" l="1"/>
  <c r="W4" i="8" s="1"/>
  <c r="H15" i="12"/>
  <c r="AX15" i="7"/>
  <c r="AX4" i="7" s="1"/>
  <c r="AO15" i="7"/>
  <c r="AS15" i="7" s="1"/>
  <c r="AI15" i="7"/>
  <c r="AK15" i="7"/>
  <c r="AL15" i="7"/>
  <c r="AR15" i="7" l="1"/>
  <c r="AT15" i="7"/>
  <c r="AP15" i="12" s="1"/>
  <c r="X15" i="8" l="1"/>
  <c r="X4" i="8" s="1"/>
  <c r="I15" i="12"/>
  <c r="AY15" i="7"/>
  <c r="AY4" i="7" s="1"/>
  <c r="AV15" i="7"/>
  <c r="AU15" i="7"/>
  <c r="I15" i="40" l="1"/>
  <c r="H15" i="40"/>
  <c r="H15" i="34"/>
  <c r="G15" i="34"/>
  <c r="F15" i="34"/>
  <c r="E15" i="34"/>
  <c r="N15" i="14"/>
  <c r="J15" i="14"/>
  <c r="H15" i="15"/>
  <c r="G15" i="15"/>
  <c r="AB15" i="9"/>
  <c r="F15" i="20" l="1"/>
  <c r="J15" i="20" s="1"/>
  <c r="G15" i="20" l="1"/>
  <c r="K15" i="20" s="1"/>
  <c r="AL15" i="13" l="1"/>
  <c r="L15" i="20"/>
  <c r="N15" i="20" s="1"/>
  <c r="P15" i="20" s="1"/>
  <c r="P4" i="20" s="1"/>
  <c r="R15" i="20" l="1"/>
  <c r="T15" i="20" s="1"/>
  <c r="V15" i="20" s="1"/>
  <c r="R4" i="20" l="1"/>
  <c r="S4" i="20" s="1"/>
  <c r="H4" i="14"/>
  <c r="M4" i="16"/>
  <c r="J4" i="16"/>
  <c r="M4" i="13"/>
  <c r="L4" i="13"/>
  <c r="AF4" i="13"/>
  <c r="AE4" i="13"/>
  <c r="D4" i="46"/>
  <c r="L4" i="46"/>
  <c r="L15" i="44" l="1"/>
  <c r="P15" i="44" s="1"/>
  <c r="L4" i="44"/>
  <c r="M4" i="44" l="1"/>
  <c r="O4" i="44"/>
  <c r="Q15" i="44"/>
  <c r="O15" i="44"/>
  <c r="N15" i="44"/>
  <c r="M15" i="44"/>
  <c r="T15" i="10" l="1"/>
  <c r="C15" i="45" l="1"/>
  <c r="M4" i="46" l="1"/>
  <c r="K4" i="46"/>
  <c r="C4" i="46"/>
  <c r="E4" i="46"/>
  <c r="BP4" i="46"/>
  <c r="BQ4" i="46"/>
  <c r="AN4" i="13" l="1"/>
  <c r="O4" i="13"/>
  <c r="N4" i="13"/>
  <c r="G4" i="44" l="1"/>
  <c r="L4" i="10" l="1"/>
  <c r="K4" i="10"/>
  <c r="D4" i="45" l="1"/>
  <c r="U4" i="13" l="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AG4" i="7"/>
  <c r="AJ4" i="7"/>
  <c r="AF4" i="7"/>
  <c r="AL4" i="7"/>
  <c r="AA4" i="46" l="1"/>
  <c r="Z4" i="46"/>
  <c r="S4" i="46"/>
  <c r="T4" i="46"/>
  <c r="AN4" i="46" l="1"/>
  <c r="AG4" i="46"/>
  <c r="AO4" i="46"/>
  <c r="AH4" i="46"/>
  <c r="D15" i="40" l="1"/>
  <c r="J4" i="40"/>
  <c r="F4" i="40"/>
  <c r="I4" i="40" s="1"/>
  <c r="E4" i="40"/>
  <c r="G4" i="40" s="1"/>
  <c r="Q4" i="14" l="1"/>
  <c r="P4" i="14"/>
  <c r="O4" i="14" l="1"/>
  <c r="K4" i="14" l="1"/>
  <c r="M4" i="14"/>
  <c r="L4" i="14"/>
  <c r="I4" i="8"/>
  <c r="E15" i="16" l="1"/>
  <c r="F4" i="16" l="1"/>
  <c r="I4" i="16"/>
  <c r="H4" i="16"/>
  <c r="N4" i="16"/>
  <c r="Q4" i="9"/>
  <c r="AB4" i="9" s="1"/>
  <c r="R4" i="9"/>
  <c r="AC4" i="9" s="1"/>
  <c r="D4" i="34" l="1"/>
  <c r="F4" i="34" s="1"/>
  <c r="C4" i="34"/>
  <c r="E4" i="34" s="1"/>
  <c r="O4" i="16"/>
  <c r="P4" i="16" s="1"/>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AK4" i="13" l="1"/>
  <c r="AH4" i="13"/>
  <c r="AG4" i="13"/>
  <c r="AL4" i="13"/>
  <c r="H4" i="34" l="1"/>
  <c r="G4" i="34"/>
  <c r="T4" i="7"/>
  <c r="E15" i="9"/>
  <c r="AY4" i="12"/>
  <c r="E15" i="6"/>
  <c r="E15" i="10"/>
  <c r="E15" i="8"/>
  <c r="AZ15" i="7" s="1"/>
  <c r="AZ4"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AB15" i="10" l="1"/>
  <c r="K15" i="12"/>
  <c r="P4" i="10"/>
  <c r="O4" i="10"/>
  <c r="H4" i="10"/>
  <c r="Q4" i="10"/>
  <c r="AR15" i="12" l="1"/>
  <c r="AR4" i="12" s="1"/>
  <c r="AD15" i="10"/>
  <c r="AD4" i="10" s="1"/>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G4" i="9"/>
  <c r="I4" i="9" s="1"/>
  <c r="N4" i="9"/>
  <c r="O4" i="9"/>
  <c r="V4" i="9" s="1"/>
  <c r="K4" i="9" l="1"/>
  <c r="F4" i="9"/>
  <c r="L4" i="9"/>
  <c r="X4" i="9"/>
  <c r="H4" i="9" l="1"/>
  <c r="AA4" i="9"/>
  <c r="M4" i="9"/>
  <c r="Z4" i="9"/>
  <c r="W4" i="9"/>
  <c r="Y4" i="9" s="1"/>
  <c r="J4" i="9" l="1"/>
  <c r="BI4" i="46" l="1"/>
  <c r="H4" i="6" l="1"/>
  <c r="M4" i="6"/>
  <c r="I15" i="6" l="1"/>
  <c r="I4" i="6" s="1"/>
  <c r="AR4" i="5"/>
  <c r="BC4" i="5"/>
  <c r="AW15" i="5"/>
  <c r="AS4" i="5"/>
  <c r="AU15" i="5"/>
  <c r="AU4" i="5" s="1"/>
  <c r="BD4" i="5" s="1"/>
  <c r="AY15" i="5" l="1"/>
  <c r="AW4" i="5"/>
  <c r="AX4" i="5" s="1"/>
  <c r="AV4" i="5"/>
  <c r="AT4" i="5"/>
  <c r="BE15" i="5"/>
  <c r="BE4" i="5" s="1"/>
  <c r="U15" i="8"/>
  <c r="Z15" i="8" s="1"/>
  <c r="Z4" i="8" s="1"/>
  <c r="AY4" i="5"/>
  <c r="BA4" i="5" s="1"/>
  <c r="BB15" i="5"/>
  <c r="BB4" i="5" s="1"/>
  <c r="G15" i="12" l="1"/>
  <c r="AC15" i="10"/>
  <c r="AC4" i="10" s="1"/>
  <c r="AW15" i="7"/>
  <c r="BA15" i="7" s="1"/>
  <c r="BA4" i="7" s="1"/>
  <c r="O15" i="12"/>
  <c r="N15" i="12"/>
  <c r="M15" i="12"/>
  <c r="P15" i="12"/>
  <c r="U4" i="8"/>
  <c r="AA15" i="12"/>
  <c r="G4" i="12"/>
  <c r="AL15" i="12"/>
  <c r="AL4" i="12" s="1"/>
  <c r="AJ15" i="12"/>
  <c r="AD15" i="12"/>
  <c r="L15" i="12"/>
  <c r="L4" i="12" s="1"/>
  <c r="AG15" i="12"/>
  <c r="X15" i="12"/>
  <c r="AW4" i="7" l="1"/>
  <c r="AF15" i="10"/>
  <c r="AF4" i="10" s="1"/>
  <c r="P4" i="12"/>
  <c r="X4" i="12"/>
  <c r="Q4" i="12" s="1"/>
  <c r="AM15" i="12"/>
  <c r="BA15" i="12" s="1"/>
  <c r="AK4" i="12"/>
  <c r="AJ4" i="12"/>
  <c r="U4" i="12" s="1"/>
  <c r="AG4" i="12"/>
  <c r="T4" i="12" s="1"/>
  <c r="AH4" i="12"/>
  <c r="V15" i="12"/>
  <c r="M4" i="12"/>
  <c r="N4" i="12"/>
  <c r="O4" i="12"/>
  <c r="AB4" i="12"/>
  <c r="AA4" i="12"/>
  <c r="R4" i="12" s="1"/>
  <c r="AD4" i="12"/>
  <c r="S4" i="12" s="1"/>
  <c r="AE4" i="12"/>
  <c r="AI4" i="12" l="1"/>
  <c r="AF4" i="12"/>
  <c r="AC4" i="12"/>
  <c r="V4" i="12"/>
  <c r="AM4" i="12"/>
  <c r="AZ4" i="12" s="1"/>
  <c r="BA4" i="12"/>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<sst xmlns="http://schemas.openxmlformats.org/spreadsheetml/2006/main" count="5347" uniqueCount="1097">
  <si>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</si>
  <si>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</si>
  <si>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</si>
  <si>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</si>
  <si>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</si>
  <si>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</si>
  <si>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</si>
  <si>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</si>
  <si>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</si>
  <si>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</si>
  <si>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</si>
  <si>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</si>
  <si>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</si>
  <si>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</si>
  <si>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</si>
  <si>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</si>
  <si>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</si>
  <si>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</si>
  <si>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</si>
  <si>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</si>
  <si>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</si>
  <si>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</si>
  <si>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</si>
  <si>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</si>
  <si>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</si>
  <si>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</si>
  <si>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</si>
  <si>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</si>
  <si>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</si>
  <si>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</si>
  <si>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</si>
  <si>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</si>
  <si>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</si>
  <si>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</si>
  <si>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</si>
  <si>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</si>
  <si>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</si>
  <si>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</si>
  <si>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</si>
  <si>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</si>
  <si>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</si>
  <si>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</si>
  <si>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</si>
  <si>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</si>
  <si>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</si>
  <si>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</si>
  <si>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</si>
  <si>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</si>
  <si>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</si>
  <si>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</si>
  <si>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</si>
  <si>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</si>
  <si>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</si>
  <si>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</si>
  <si>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</si>
  <si>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</si>
  <si>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</si>
  <si>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</si>
  <si>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</si>
  <si>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</si>
  <si>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</si>
  <si>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</si>
  <si>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</si>
  <si>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</si>
  <si>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</si>
  <si>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</si>
  <si>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</si>
  <si>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</si>
  <si>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</si>
  <si>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</si>
  <si>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</si>
  <si>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</si>
  <si>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</si>
  <si>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</si>
  <si>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</si>
  <si>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</si>
  <si>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</si>
  <si>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</si>
  <si>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</si>
  <si>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</si>
  <si>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</si>
  <si>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</si>
  <si>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</si>
  <si>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</si>
  <si>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</si>
  <si>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</si>
  <si>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</si>
  <si>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</si>
  <si>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</si>
  <si>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</si>
  <si>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</si>
  <si>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</si>
  <si>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</si>
  <si>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</si>
  <si>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</si>
  <si>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</si>
  <si>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</si>
  <si>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</si>
  <si>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</si>
  <si>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</si>
  <si>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</si>
  <si>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</si>
  <si>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</si>
  <si>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</si>
  <si>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</si>
  <si>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</si>
  <si>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</si>
  <si>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</si>
  <si>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</si>
  <si>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</si>
  <si>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</si>
  <si>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</si>
  <si>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</si>
  <si>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</si>
  <si>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</si>
  <si>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</si>
  <si>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</si>
  <si>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</si>
  <si>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</si>
  <si>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</si>
  <si>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</si>
  <si>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</si>
  <si>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</si>
  <si>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</si>
  <si>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</si>
  <si>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</si>
  <si>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</si>
  <si>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</si>
  <si>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</si>
  <si>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</si>
  <si>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</si>
  <si>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</si>
  <si>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</si>
  <si>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</si>
  <si>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</si>
  <si>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</si>
  <si>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</si>
  <si>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</si>
  <si>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</si>
  <si>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</si>
  <si>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</si>
  <si>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</si>
  <si>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</si>
  <si>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</si>
  <si>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</si>
  <si>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</si>
  <si>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</si>
  <si>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</si>
  <si>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</si>
  <si>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</si>
  <si>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</si>
  <si>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</si>
  <si>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</si>
  <si>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</si>
  <si>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</si>
  <si>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</si>
  <si>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</si>
  <si>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</si>
  <si>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</si>
  <si>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</si>
  <si>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</si>
  <si>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</si>
  <si>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</si>
  <si>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</si>
  <si>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</si>
  <si>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</si>
  <si>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</si>
  <si>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</si>
  <si>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</si>
  <si>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</si>
  <si>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</si>
  <si>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</si>
  <si>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</si>
  <si>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</si>
  <si>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</si>
  <si>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</si>
  <si>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</si>
  <si>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</si>
  <si>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</si>
  <si>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</si>
  <si>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</si>
  <si>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</si>
  <si>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</si>
  <si>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</si>
  <si>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</si>
  <si>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</si>
  <si>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</si>
  <si>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</si>
  <si>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</si>
  <si>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</si>
  <si>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</si>
  <si>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</si>
  <si>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</si>
  <si>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</si>
  <si>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</si>
  <si>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</si>
  <si>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</si>
  <si>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</si>
  <si>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</si>
  <si>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</si>
  <si>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</si>
  <si>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</si>
  <si>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</si>
  <si>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</si>
  <si>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</si>
  <si>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</si>
  <si>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</si>
  <si>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</si>
  <si>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</si>
  <si>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</si>
  <si>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</si>
  <si>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</si>
  <si>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</si>
  <si>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</si>
  <si>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</si>
  <si>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</si>
  <si>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</si>
  <si>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</si>
  <si>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</si>
  <si>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</si>
  <si>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</si>
  <si>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</si>
  <si>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</si>
  <si>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</si>
  <si>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</si>
  <si>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</si>
  <si>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</si>
  <si>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</si>
  <si>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</si>
  <si>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</si>
  <si>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</si>
  <si>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</si>
  <si>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</si>
  <si>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</si>
  <si>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</si>
  <si>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</si>
  <si>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</si>
  <si>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</si>
  <si>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</si>
  <si>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</si>
  <si>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</si>
  <si>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</si>
  <si>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</si>
  <si>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</si>
  <si>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</si>
  <si>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</si>
  <si>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</si>
  <si>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</si>
  <si>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</si>
  <si>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</si>
  <si>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</si>
  <si>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</si>
  <si>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</si>
  <si>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</si>
  <si>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</si>
  <si>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</si>
  <si>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</si>
  <si>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</si>
  <si>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</si>
  <si>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</si>
  <si>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</si>
  <si>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</si>
  <si>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</si>
  <si>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</si>
  <si>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</si>
  <si>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</si>
  <si>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</si>
  <si>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</si>
  <si>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</si>
  <si>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</si>
  <si>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</si>
  <si>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</si>
  <si>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</si>
  <si>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</si>
  <si>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</si>
  <si>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</si>
  <si>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</si>
  <si>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</si>
  <si>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</si>
  <si>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</si>
  <si>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</si>
  <si>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</si>
  <si>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</si>
  <si>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</si>
  <si>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</si>
  <si>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</si>
  <si>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</si>
  <si>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</si>
  <si>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</si>
  <si>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</si>
  <si>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</si>
  <si>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</si>
  <si>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</si>
  <si>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</si>
  <si>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</si>
  <si>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</si>
  <si>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</si>
  <si>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</si>
  <si>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</si>
  <si>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</si>
  <si>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</si>
  <si>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</si>
  <si>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</si>
  <si>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</si>
  <si>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</si>
  <si>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</si>
  <si>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</si>
  <si>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</si>
  <si>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</si>
  <si>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</si>
  <si>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</si>
  <si>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</si>
  <si>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</si>
  <si>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</si>
  <si>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</si>
  <si>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</si>
  <si>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</si>
  <si>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</si>
  <si>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</si>
  <si>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</si>
  <si>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</si>
  <si>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</si>
  <si>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</si>
  <si>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</si>
  <si>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</si>
  <si>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</si>
  <si>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</si>
  <si>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</si>
  <si>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</si>
  <si>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</si>
  <si>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</si>
  <si>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</si>
  <si>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</si>
  <si>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</si>
  <si>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</si>
  <si>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</si>
  <si>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</si>
  <si>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</si>
  <si>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</si>
  <si>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</si>
  <si>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</si>
  <si>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</si>
  <si>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</si>
  <si>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</si>
  <si>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</si>
  <si>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</si>
  <si>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</si>
  <si>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</si>
  <si>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</si>
  <si>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</si>
  <si>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</si>
  <si>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</si>
  <si>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</si>
  <si>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</si>
  <si>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</si>
  <si>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</si>
  <si>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</si>
  <si>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</si>
  <si>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</si>
  <si>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</si>
  <si>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</si>
  <si>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</si>
  <si>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</si>
  <si>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</si>
  <si>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</si>
  <si>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</si>
  <si>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</si>
  <si>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</si>
  <si>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</si>
  <si>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</si>
  <si>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</si>
  <si>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</si>
  <si>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</si>
  <si>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</si>
  <si>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</si>
  <si>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</si>
  <si>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</si>
  <si>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</si>
  <si>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</si>
  <si>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</si>
  <si>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</si>
  <si>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</si>
  <si>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</si>
  <si>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</si>
  <si>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</si>
  <si>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</si>
  <si>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</si>
  <si>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</si>
  <si>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</si>
  <si>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</si>
  <si>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</si>
  <si>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</si>
  <si>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</si>
  <si>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</si>
  <si>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</si>
  <si>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</si>
  <si>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</si>
  <si>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</si>
  <si>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</si>
  <si>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</si>
  <si>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</si>
  <si>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</si>
  <si>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</si>
  <si>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</si>
  <si>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</si>
  <si>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</si>
  <si>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</si>
  <si>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</si>
  <si>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</si>
  <si>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</si>
  <si>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</si>
  <si>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</si>
  <si>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</si>
  <si>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</si>
  <si>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</si>
  <si>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</si>
  <si>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</si>
  <si>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</si>
  <si>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</si>
  <si>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</si>
  <si>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</si>
  <si>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</si>
  <si>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</si>
  <si>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</si>
  <si>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</si>
  <si>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</si>
  <si>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</si>
  <si>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</si>
  <si>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</si>
  <si>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</si>
  <si>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</si>
  <si>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</si>
  <si>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</si>
  <si>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</si>
  <si>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</si>
  <si>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</si>
  <si>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</si>
  <si>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</si>
  <si>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</si>
  <si>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</si>
  <si>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</si>
  <si>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</si>
  <si>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</si>
  <si>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</si>
  <si>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</si>
  <si>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</si>
  <si>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</si>
  <si>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</si>
  <si>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</si>
  <si>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</si>
  <si>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</si>
  <si>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</si>
  <si>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</si>
  <si>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</si>
  <si>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</si>
  <si>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</si>
  <si>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</si>
  <si>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</si>
  <si>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</si>
  <si>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</si>
  <si>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</si>
  <si>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</si>
  <si>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</si>
  <si>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</si>
  <si>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</si>
  <si>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</si>
  <si>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</si>
  <si>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</si>
  <si>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</si>
  <si>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</si>
  <si>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</si>
  <si>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</si>
  <si>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</si>
  <si>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</si>
  <si>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</si>
  <si>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</si>
  <si>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</si>
  <si>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</si>
  <si>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</si>
  <si>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</si>
  <si>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</si>
  <si>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</si>
  <si>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</si>
  <si>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</si>
  <si>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</si>
  <si>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</si>
  <si>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</si>
  <si>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</si>
  <si>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</si>
  <si>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</si>
  <si>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</si>
  <si>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</si>
  <si>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</si>
  <si>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</si>
  <si>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</si>
  <si>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</si>
  <si>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</si>
  <si>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</si>
  <si>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</si>
  <si>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</si>
  <si>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</si>
  <si>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</si>
  <si>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</si>
  <si>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</si>
  <si>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</si>
  <si>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</si>
  <si>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</si>
  <si>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</si>
  <si>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</si>
  <si>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</si>
  <si>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</si>
  <si>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</si>
  <si>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</si>
  <si>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</si>
  <si>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</si>
  <si>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</si>
  <si>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</si>
  <si>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</si>
  <si>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</si>
  <si>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</si>
  <si>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</si>
  <si>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</si>
  <si>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</si>
  <si>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</si>
  <si>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</si>
  <si>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</si>
  <si>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</si>
  <si>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</si>
  <si>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</si>
  <si>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</si>
  <si>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</si>
  <si>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</si>
  <si>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</si>
  <si>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</si>
  <si>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</si>
  <si>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</si>
  <si>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</si>
  <si>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</si>
  <si>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</si>
  <si>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</si>
  <si>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</si>
  <si>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</si>
  <si>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</si>
  <si>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</si>
  <si>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</si>
  <si>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</si>
  <si>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</si>
  <si>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</si>
  <si>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</si>
  <si>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</si>
  <si>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</si>
  <si>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</si>
  <si>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</si>
  <si>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</si>
  <si>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</si>
  <si>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</si>
  <si>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</si>
  <si>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</si>
  <si>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</si>
  <si>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</si>
  <si>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</si>
  <si>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</si>
  <si>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</si>
  <si>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</si>
  <si>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</si>
  <si>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</si>
  <si>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</si>
  <si>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</si>
  <si>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</si>
  <si>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</si>
  <si>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</si>
  <si>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</si>
  <si>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</si>
  <si>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</si>
  <si>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</si>
  <si>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</si>
  <si>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</si>
  <si>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</si>
  <si>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</si>
  <si>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</si>
  <si>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</si>
  <si>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</si>
  <si>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</si>
  <si>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</si>
  <si>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</si>
  <si>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</si>
  <si>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</si>
  <si>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</si>
  <si>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</si>
  <si>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</si>
  <si>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</si>
  <si>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</si>
  <si>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</si>
  <si>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</si>
  <si>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</si>
  <si>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</si>
  <si>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</si>
  <si>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</si>
  <si>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</si>
  <si>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</si>
  <si>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</si>
  <si>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</si>
  <si>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</si>
  <si>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</si>
  <si>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</si>
  <si>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</si>
  <si>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</si>
  <si>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</si>
  <si>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</si>
  <si>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</si>
  <si>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</si>
  <si>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</si>
  <si>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</si>
  <si>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</si>
  <si>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</si>
  <si>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</si>
  <si>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</si>
  <si>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</si>
  <si>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</si>
  <si>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</si>
  <si>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</si>
  <si>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</si>
  <si>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</si>
  <si>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</si>
  <si>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</si>
  <si>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</si>
  <si>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</si>
  <si>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</si>
  <si>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</si>
  <si>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</si>
  <si>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</si>
  <si>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</si>
  <si>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</si>
  <si>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</si>
  <si>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</si>
  <si>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</si>
  <si>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</si>
  <si>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</si>
  <si>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</si>
  <si>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</si>
  <si>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</si>
  <si>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</si>
  <si>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</si>
  <si>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</si>
  <si>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</si>
  <si>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</si>
  <si>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</si>
  <si>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</si>
  <si>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</si>
  <si>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</si>
  <si>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</si>
  <si>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</si>
  <si>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</si>
  <si>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</si>
  <si>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</si>
  <si>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</si>
  <si>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</si>
  <si>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</si>
  <si>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</si>
  <si>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</si>
  <si>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</si>
  <si>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</si>
  <si>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</si>
  <si>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</si>
  <si>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</si>
  <si>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</si>
  <si>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</si>
  <si>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</si>
  <si>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</si>
  <si>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</si>
  <si>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</si>
  <si>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</si>
  <si>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</si>
  <si>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</si>
  <si>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</si>
  <si>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</si>
  <si>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</si>
  <si>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</si>
  <si>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</si>
  <si>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</si>
  <si>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</si>
  <si>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</si>
  <si>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</si>
  <si>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</si>
  <si>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</si>
  <si>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</si>
  <si>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</si>
  <si>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</si>
  <si>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</si>
  <si>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</si>
  <si>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</si>
  <si>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</si>
  <si>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</si>
  <si>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</si>
  <si>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</si>
  <si>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</si>
  <si>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</si>
  <si>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</si>
  <si>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</si>
  <si>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</si>
  <si>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</si>
  <si>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</si>
  <si>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</si>
  <si>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</si>
  <si>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</si>
  <si>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</si>
  <si>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</si>
  <si>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</si>
  <si>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</si>
  <si>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</si>
  <si>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</si>
  <si>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</si>
  <si>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</si>
  <si>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</si>
  <si>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</si>
  <si>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</si>
  <si>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</si>
  <si>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</si>
  <si>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</si>
  <si>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</si>
  <si>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</si>
  <si>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</si>
  <si>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</si>
  <si>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</si>
  <si>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</si>
  <si>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</si>
  <si>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</si>
  <si>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</si>
  <si>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</si>
  <si>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</si>
  <si>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</si>
  <si>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</si>
  <si>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</si>
  <si>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</si>
  <si>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</si>
  <si>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</si>
  <si>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</si>
  <si>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</si>
  <si>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</si>
  <si>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</si>
  <si>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</si>
  <si>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</si>
  <si>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</si>
  <si>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</si>
  <si>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</si>
  <si>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</si>
  <si>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</si>
  <si>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</si>
  <si>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</si>
  <si>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</si>
  <si>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</si>
  <si>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</si>
  <si>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</si>
  <si>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</si>
  <si>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</si>
  <si>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</si>
  <si>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</si>
  <si>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</si>
  <si>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</si>
  <si>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</si>
  <si>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</si>
  <si>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</si>
  <si>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</si>
  <si>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</si>
  <si>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</si>
  <si>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</si>
  <si>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</si>
  <si>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</si>
  <si>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</si>
  <si>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</si>
  <si>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</si>
  <si>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</si>
  <si>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</si>
  <si>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</si>
  <si>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</si>
  <si>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</si>
  <si>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</si>
  <si>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</si>
  <si>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</si>
  <si>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</si>
  <si>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</si>
  <si>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</si>
  <si>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</si>
  <si>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</si>
  <si>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</si>
  <si>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</si>
  <si>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</si>
  <si>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</si>
  <si>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</si>
  <si>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</si>
  <si>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</si>
  <si>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</si>
  <si>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</si>
  <si>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</si>
  <si>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</si>
  <si>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</si>
  <si>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</si>
  <si>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</si>
  <si>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</si>
  <si>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</si>
  <si>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</si>
  <si>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</si>
  <si>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</si>
  <si>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</si>
  <si>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</si>
  <si>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</si>
  <si>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</si>
  <si>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</si>
  <si>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</si>
  <si>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</si>
  <si>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</si>
  <si>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</si>
  <si>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</si>
  <si>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</si>
  <si>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</si>
  <si>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</si>
  <si>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</si>
  <si>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</si>
  <si>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</si>
  <si>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</si>
  <si>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</si>
  <si>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</si>
  <si>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</si>
  <si>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</si>
  <si>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</si>
  <si>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</si>
  <si>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</si>
  <si>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</si>
  <si>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</si>
  <si>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</si>
  <si>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</si>
  <si>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</si>
  <si>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</si>
  <si>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</si>
  <si>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</si>
  <si>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</si>
  <si>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</si>
  <si>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</si>
  <si>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</si>
  <si>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</si>
  <si>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</si>
  <si>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</si>
  <si>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</si>
  <si>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</si>
  <si>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</si>
  <si>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</si>
  <si>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</si>
  <si>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</si>
  <si>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</si>
  <si>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</si>
  <si>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</si>
  <si>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</si>
  <si>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</si>
  <si>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</si>
  <si>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</si>
  <si>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</si>
  <si>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</si>
  <si>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</si>
  <si>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</si>
  <si>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</si>
  <si>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</si>
  <si>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</si>
  <si>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</si>
  <si>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</si>
  <si>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</si>
  <si>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</si>
  <si>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</si>
  <si>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</si>
  <si>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</si>
  <si>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</si>
  <si>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</si>
  <si>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</si>
  <si>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</si>
  <si>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</si>
  <si>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</si>
  <si>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</si>
  <si>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</si>
  <si>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</si>
  <si>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</si>
  <si>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</si>
  <si>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</si>
  <si>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</si>
  <si>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</si>
  <si>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</si>
  <si>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</si>
  <si>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</si>
  <si>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</si>
  <si>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</si>
  <si>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</si>
  <si>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</si>
  <si>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</si>
  <si>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</si>
  <si>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</si>
  <si>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</si>
  <si>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</si>
  <si>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</si>
  <si>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</si>
  <si>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</si>
  <si>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</si>
  <si>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</si>
  <si>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</si>
  <si>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</si>
  <si>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</si>
  <si>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</si>
  <si>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</si>
  <si>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</si>
  <si>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</si>
  <si>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</si>
  <si>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</si>
  <si>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</si>
  <si>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</si>
  <si>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</si>
  <si>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</si>
  <si>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</si>
  <si>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</si>
  <si>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</si>
  <si>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</si>
  <si>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</si>
  <si>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</si>
  <si>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</si>
  <si>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</si>
  <si>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</si>
  <si>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</si>
  <si>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</si>
  <si>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</si>
  <si>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</si>
  <si>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</si>
  <si>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</si>
  <si>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</si>
  <si>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</si>
  <si>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</si>
  <si>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</si>
  <si>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</si>
  <si>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</si>
  <si>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</si>
  <si>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</si>
  <si>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</si>
  <si>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</si>
  <si>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</si>
  <si>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</si>
  <si>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</si>
  <si>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</si>
  <si>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</si>
  <si>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</si>
  <si>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</si>
  <si>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</si>
  <si>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</si>
  <si>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</si>
  <si>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</si>
  <si>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</si>
  <si>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</si>
  <si>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</si>
  <si>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</si>
  <si>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</si>
  <si>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</si>
  <si>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</si>
  <si>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</si>
  <si>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</si>
  <si>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</si>
  <si>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</si>
  <si>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</si>
  <si>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</si>
  <si>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</si>
  <si>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</si>
  <si>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</si>
  <si>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</si>
  <si>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</si>
  <si>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</si>
  <si>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</si>
  <si>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</si>
  <si>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</si>
  <si>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</si>
  <si>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</si>
  <si>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</si>
  <si>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</si>
  <si>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</si>
  <si>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</si>
  <si>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</si>
  <si>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</si>
  <si>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</si>
  <si>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</si>
  <si>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</si>
  <si>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</si>
  <si>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</si>
  <si>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</si>
  <si>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</si>
  <si>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</si>
  <si>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</si>
  <si>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</si>
  <si>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</si>
  <si>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</si>
  <si>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</si>
  <si>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</si>
  <si>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</si>
  <si>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</si>
  <si>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</si>
  <si>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</si>
  <si>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</si>
  <si>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</si>
  <si>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</si>
  <si>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</si>
  <si>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</si>
  <si>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</si>
  <si>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</si>
  <si>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</si>
  <si>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</si>
  <si>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</si>
  <si>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</si>
  <si>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</si>
  <si>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</si>
  <si>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</si>
  <si>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</si>
  <si>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</si>
  <si>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</si>
  <si>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</si>
  <si>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</si>
  <si>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</si>
  <si>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</si>
  <si>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</si>
  <si>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</si>
  <si>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</si>
  <si>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</si>
  <si>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</si>
  <si>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</si>
  <si>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</si>
  <si>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</si>
  <si>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</si>
  <si>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</si>
  <si>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</si>
  <si>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</si>
  <si>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</si>
  <si>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</si>
  <si>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</si>
  <si>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</si>
  <si>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</si>
  <si>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</si>
  <si>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</si>
  <si>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</si>
  <si>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</si>
  <si>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</si>
  <si>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</si>
  <si>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</si>
  <si>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</si>
  <si>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</si>
  <si>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</si>
  <si>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</si>
  <si>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</si>
  <si>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</si>
  <si>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</si>
  <si>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Targeted H.C. ART Coverage (ART/PLHIV)
(FY25)</t>
  </si>
  <si>
    <t>H.C. ART Coverage (ART/PLHIV)
(FY24)</t>
  </si>
  <si>
    <t>Targeted H.C. # on ART
(FY25)</t>
  </si>
  <si>
    <t>H.C. # on ART
(FY24)</t>
  </si>
  <si>
    <t>Modeled ART</t>
  </si>
  <si>
    <t>Context</t>
  </si>
  <si>
    <t>H.C. # on ART
(FY25)</t>
  </si>
  <si>
    <t>H.C. ART Coverage
(ART/PHIV)
(FY25)</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</si>
  <si>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</si>
  <si>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</si>
  <si>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</si>
  <si>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</si>
  <si>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</si>
  <si>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</si>
  <si>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</si>
  <si>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</si>
  <si>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</si>
  <si>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Positives to Identify (HTS_TST_POS + PMTCT_HEI_POS) (FY25)</t>
  </si>
  <si>
    <t>VL Suppression</t>
  </si>
  <si>
    <t>ANC1 Testing</t>
  </si>
  <si>
    <t>% ANC1 clients Known HIV+ (FY25) (%)</t>
  </si>
  <si>
    <t>Yield among Newly Tested ANC1 clients (FY25) (%)</t>
  </si>
  <si>
    <t>PMTCT_STAT (N) - Known Positive (FY25)</t>
  </si>
  <si>
    <t>PMTCT_STAT (N) - New Positive (FY25)</t>
  </si>
  <si>
    <t>PMTCT_STAT (N) - New Negative (FY25)</t>
  </si>
  <si>
    <t>Targeted ART Linkage Rate (FY25) (%)</t>
  </si>
  <si>
    <t>PMTCT_ART - Already on ART (FY25)</t>
  </si>
  <si>
    <t>PMTCT_ART - New on ART (FY25)</t>
  </si>
  <si>
    <t>Total eligible for Post ANC1 retesting (FY25)</t>
  </si>
  <si>
    <t>% Initiated on ART that are TX Naïve (FY25) (%)</t>
  </si>
  <si>
    <t>H.C. % ART clients served at PEPFAR-supported sites (FY25) (%)</t>
  </si>
  <si>
    <t>Yield (FY25) (%)</t>
  </si>
  <si>
    <t>HTS_TST Post ANC1 - Positive (FY25)</t>
  </si>
  <si>
    <t>HTS_TST Post ANC1 - Negative (FY25)</t>
  </si>
  <si>
    <t>Post ANC1 Linked to ART (FY25)</t>
  </si>
  <si>
    <t>EID</t>
  </si>
  <si>
    <t>Estimated # infants born to HIV-positive women (FY25)</t>
  </si>
  <si>
    <t>Targeted % HIV-exposed infants tested by 2 months (FY25) (%)</t>
  </si>
  <si>
    <t>Targeted % HIV-exposed infants tested by 12 months (FY25) (%)</t>
  </si>
  <si>
    <t>≤ 02 months (FY25)</t>
  </si>
  <si>
    <t>02 - 12 months (FY25)</t>
  </si>
  <si>
    <t>PMTCT_HEI_POS</t>
  </si>
  <si>
    <t>Est. Positivity Rate, ≤ 02 months (FY25) (%)</t>
  </si>
  <si>
    <t>Est. Positivity Rate, 02 - 12 months (FY25) (%)</t>
  </si>
  <si>
    <t>Total HIV+ infants identified (FY25)</t>
  </si>
  <si>
    <t>HTS_RECENT.T</t>
  </si>
  <si>
    <t>Est. total # completed TPT in last 7 years (FY24)</t>
  </si>
  <si>
    <t>Est. % Eligible for TPT among Already on ART, TB Screen - (FY24)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</si>
</sst>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rgb="FFC2D8D8"/>
      <name val="Calibri"/>
      <family val="2"/>
      <scheme val="minor"/>
    </font>
  </fonts>
  <fills count="12">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2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5" borderId="2" xfId="1" applyFont="1" applyFill="1" applyBorder="1" applyAlignment="1">
      <alignment horizontal="center" vertical="center" wrapText="1"/>
    </xf>
    <xf numFmtId="9" fontId="20" fillId="5" borderId="0" xfId="1" applyFont="1" applyFill="1" applyBorder="1" applyAlignment="1">
      <alignment horizontal="center" vertical="center" wrapText="1"/>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8" borderId="1" xfId="1" applyNumberFormat="1" applyFont="1" applyFill="1" applyBorder="1" applyAlignment="1">
      <alignment horizontal="center" vertical="center" wrapText="1"/>
    </xf>
    <xf numFmtId="9" fontId="32" fillId="8"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3" fontId="19" fillId="0" borderId="0" xfId="0" applyNumberFormat="1" applyFont="1" applyAlignment="1">
      <alignment horizontal="right"/>
    </xf>
    <xf numFmtId="3" fontId="22" fillId="0" borderId="0" xfId="1" applyNumberFormat="1" applyFont="1"/>
    <xf numFmtId="9" fontId="22" fillId="0" borderId="0" xfId="0" applyNumberFormat="1" applyFont="1"/>
    <xf numFmtId="49" fontId="0" fillId="0" borderId="0" xfId="0" quotePrefix="1" applyNumberFormat="1"/>
    <xf numFmtId="9" fontId="0" fillId="0" borderId="0" xfId="0" applyNumberFormat="1" applyAlignment="1">
      <alignment horizontal="right"/>
    </xf>
    <xf numFmtId="9" fontId="1" fillId="10" borderId="0" xfId="0" applyNumberFormat="1" applyFont="1" applyFill="1" applyAlignment="1">
      <alignment horizontal="center" vertical="center" wrapText="1"/>
    </xf>
    <xf numFmtId="3" fontId="34" fillId="9" borderId="0" xfId="1" applyNumberFormat="1" applyFont="1" applyFill="1" applyBorder="1" applyAlignment="1">
      <alignment vertical="center"/>
    </xf>
    <xf numFmtId="3" fontId="35" fillId="9" borderId="0" xfId="0" applyNumberFormat="1" applyFont="1" applyFill="1" applyAlignment="1">
      <alignment vertical="center"/>
    </xf>
    <xf numFmtId="3" fontId="34" fillId="9" borderId="0" xfId="0" applyNumberFormat="1" applyFont="1" applyFill="1" applyAlignment="1">
      <alignment vertical="center"/>
    </xf>
    <xf numFmtId="3" fontId="35" fillId="9" borderId="0" xfId="1" applyNumberFormat="1" applyFont="1" applyFill="1" applyBorder="1" applyAlignment="1">
      <alignment vertical="center"/>
    </xf>
    <xf numFmtId="3" fontId="35" fillId="9" borderId="0" xfId="1" applyNumberFormat="1" applyFont="1" applyFill="1" applyAlignment="1">
      <alignment vertical="center"/>
    </xf>
    <xf numFmtId="9" fontId="34" fillId="9" borderId="0" xfId="1" applyFont="1" applyFill="1" applyAlignment="1">
      <alignment vertical="center"/>
    </xf>
    <xf numFmtId="9" fontId="35" fillId="9" borderId="0" xfId="1" applyFont="1" applyFill="1" applyAlignment="1">
      <alignment vertical="center"/>
    </xf>
    <xf numFmtId="9" fontId="34" fillId="9" borderId="0" xfId="1" applyFont="1" applyFill="1" applyBorder="1" applyAlignment="1">
      <alignment vertical="center"/>
    </xf>
    <xf numFmtId="3" fontId="34" fillId="9" borderId="0" xfId="1" applyNumberFormat="1" applyFont="1" applyFill="1" applyAlignment="1">
      <alignment vertical="center"/>
    </xf>
    <xf numFmtId="9" fontId="35" fillId="9"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6" fillId="5" borderId="0" xfId="1" applyNumberFormat="1" applyFont="1" applyFill="1" applyBorder="1"/>
    <xf numFmtId="3" fontId="37" fillId="5" borderId="0" xfId="4" applyNumberFormat="1" applyFont="1" applyFill="1" applyBorder="1" applyAlignment="1">
      <alignment horizontal="left"/>
    </xf>
    <xf numFmtId="3" fontId="37" fillId="5" borderId="0" xfId="0" applyNumberFormat="1" applyFont="1" applyFill="1" applyAlignment="1">
      <alignment horizontal="left"/>
    </xf>
    <xf numFmtId="3" fontId="36" fillId="5" borderId="0" xfId="1" applyNumberFormat="1" applyFont="1" applyFill="1"/>
    <xf numFmtId="9" fontId="36" fillId="5" borderId="0" xfId="1" applyFont="1" applyFill="1"/>
    <xf numFmtId="9" fontId="36" fillId="5" borderId="0" xfId="1" applyFont="1" applyFill="1" applyBorder="1"/>
    <xf numFmtId="3" fontId="37" fillId="5" borderId="0" xfId="1" applyNumberFormat="1" applyFont="1" applyFill="1" applyBorder="1"/>
    <xf numFmtId="3" fontId="37" fillId="5" borderId="0" xfId="1" applyNumberFormat="1" applyFont="1" applyFill="1" applyAlignment="1">
      <alignment horizontal="left"/>
    </xf>
    <xf numFmtId="9" fontId="36" fillId="5" borderId="0" xfId="0" applyNumberFormat="1" applyFont="1" applyFill="1" applyAlignment="1">
      <alignment horizontal="left"/>
    </xf>
    <xf numFmtId="3" fontId="1" fillId="10" borderId="0" xfId="0" applyNumberFormat="1" applyFont="1" applyFill="1" applyAlignment="1">
      <alignment horizontal="center" vertical="center" wrapText="1"/>
    </xf>
    <xf numFmtId="3" fontId="1" fillId="10" borderId="0" xfId="1" applyNumberFormat="1" applyFont="1" applyFill="1" applyAlignment="1">
      <alignment horizontal="center" vertical="center" wrapText="1"/>
    </xf>
    <xf numFmtId="9" fontId="1" fillId="10" borderId="0" xfId="1" applyFont="1" applyFill="1" applyAlignment="1">
      <alignment horizontal="center" vertical="center" wrapText="1"/>
    </xf>
    <xf numFmtId="0" fontId="34" fillId="9" borderId="2" xfId="1" applyNumberFormat="1" applyFont="1" applyFill="1" applyBorder="1" applyAlignment="1">
      <alignment horizontal="left" vertical="center"/>
    </xf>
    <xf numFmtId="0" fontId="34" fillId="9" borderId="0" xfId="1" applyNumberFormat="1" applyFont="1" applyFill="1" applyAlignment="1">
      <alignment horizontal="left" vertical="center"/>
    </xf>
    <xf numFmtId="0" fontId="35" fillId="9" borderId="0" xfId="1" applyNumberFormat="1" applyFont="1" applyFill="1" applyAlignment="1">
      <alignment vertical="center"/>
    </xf>
    <xf numFmtId="0" fontId="13" fillId="10" borderId="0" xfId="1" applyNumberFormat="1" applyFont="1" applyFill="1" applyAlignment="1">
      <alignment horizontal="center" vertical="center" wrapText="1"/>
    </xf>
    <xf numFmtId="49" fontId="13" fillId="5" borderId="0" xfId="0" applyNumberFormat="1" applyFont="1" applyFill="1"/>
    <xf numFmtId="0" fontId="37" fillId="5" borderId="2" xfId="1" applyNumberFormat="1" applyFont="1" applyFill="1" applyBorder="1" applyAlignment="1">
      <alignment horizontal="left"/>
    </xf>
    <xf numFmtId="0" fontId="37" fillId="5" borderId="0" xfId="1" applyNumberFormat="1" applyFont="1" applyFill="1" applyAlignment="1">
      <alignment horizontal="left"/>
    </xf>
    <xf numFmtId="0" fontId="36" fillId="5" borderId="0" xfId="1" applyNumberFormat="1" applyFont="1" applyFill="1"/>
    <xf numFmtId="10" fontId="35" fillId="9" borderId="0" xfId="1" applyNumberFormat="1" applyFont="1" applyFill="1" applyAlignment="1">
      <alignment vertical="center"/>
    </xf>
    <xf numFmtId="3" fontId="34" fillId="9" borderId="2" xfId="1" applyNumberFormat="1" applyFont="1" applyFill="1" applyBorder="1" applyAlignment="1">
      <alignment vertical="center"/>
    </xf>
    <xf numFmtId="3" fontId="34" fillId="9" borderId="0" xfId="4" applyNumberFormat="1" applyFont="1" applyFill="1" applyAlignment="1">
      <alignment vertical="center"/>
    </xf>
    <xf numFmtId="9" fontId="34" fillId="9" borderId="2" xfId="1" applyFont="1" applyFill="1" applyBorder="1" applyAlignment="1">
      <alignment vertical="center"/>
    </xf>
    <xf numFmtId="3" fontId="34" fillId="9" borderId="2" xfId="0" applyNumberFormat="1" applyFont="1" applyFill="1" applyBorder="1" applyAlignment="1">
      <alignment vertical="center"/>
    </xf>
    <xf numFmtId="10" fontId="36" fillId="5" borderId="0" xfId="1" applyNumberFormat="1" applyFont="1" applyFill="1"/>
    <xf numFmtId="3" fontId="37" fillId="5" borderId="0" xfId="1" applyNumberFormat="1" applyFont="1" applyFill="1"/>
    <xf numFmtId="3" fontId="36" fillId="5" borderId="2" xfId="1" applyNumberFormat="1" applyFont="1" applyFill="1" applyBorder="1"/>
    <xf numFmtId="9" fontId="36" fillId="5" borderId="0" xfId="0" applyNumberFormat="1" applyFont="1" applyFill="1"/>
    <xf numFmtId="3" fontId="36" fillId="5" borderId="0" xfId="0" applyNumberFormat="1" applyFont="1" applyFill="1"/>
    <xf numFmtId="3" fontId="37" fillId="5" borderId="0" xfId="0" applyNumberFormat="1" applyFont="1" applyFill="1"/>
    <xf numFmtId="3" fontId="36" fillId="5" borderId="2" xfId="0" applyNumberFormat="1" applyFont="1" applyFill="1" applyBorder="1"/>
    <xf numFmtId="9" fontId="36" fillId="5" borderId="2" xfId="1" applyFont="1" applyFill="1" applyBorder="1"/>
    <xf numFmtId="9" fontId="0" fillId="10" borderId="0" xfId="1" applyFont="1" applyFill="1" applyAlignment="1">
      <alignment horizontal="center" vertical="center" wrapText="1"/>
    </xf>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9" fontId="34" fillId="9" borderId="0" xfId="0" applyNumberFormat="1" applyFont="1" applyFill="1" applyAlignment="1">
      <alignment vertical="center"/>
    </xf>
    <xf numFmtId="10" fontId="34" fillId="9" borderId="0" xfId="1" applyNumberFormat="1" applyFont="1" applyFill="1" applyAlignment="1">
      <alignment vertical="center"/>
    </xf>
    <xf numFmtId="3" fontId="34" fillId="9" borderId="0" xfId="0" applyNumberFormat="1" applyFont="1" applyFill="1" applyAlignment="1">
      <alignment horizontal="left" vertical="center"/>
    </xf>
    <xf numFmtId="3" fontId="34" fillId="9" borderId="2" xfId="0" applyNumberFormat="1" applyFont="1" applyFill="1" applyBorder="1" applyAlignment="1">
      <alignment horizontal="left" vertical="center"/>
    </xf>
    <xf numFmtId="9" fontId="34" fillId="9" borderId="0" xfId="1" applyFont="1" applyFill="1" applyAlignment="1">
      <alignment horizontal="left" vertical="center"/>
    </xf>
    <xf numFmtId="3" fontId="34" fillId="9" borderId="8" xfId="0" applyNumberFormat="1" applyFont="1" applyFill="1" applyBorder="1" applyAlignment="1">
      <alignment vertical="center"/>
    </xf>
    <xf numFmtId="3" fontId="34" fillId="9" borderId="7" xfId="0" applyNumberFormat="1" applyFont="1" applyFill="1" applyBorder="1" applyAlignment="1">
      <alignment vertical="center"/>
    </xf>
    <xf numFmtId="0" fontId="38" fillId="0" borderId="0" xfId="0" applyFont="1"/>
    <xf numFmtId="3" fontId="37" fillId="5" borderId="0" xfId="6" applyNumberFormat="1" applyFont="1" applyFill="1"/>
    <xf numFmtId="3" fontId="21" fillId="5" borderId="2" xfId="1" applyNumberFormat="1" applyFont="1" applyFill="1" applyBorder="1"/>
    <xf numFmtId="3" fontId="37" fillId="5" borderId="2" xfId="1" applyNumberFormat="1" applyFont="1" applyFill="1" applyBorder="1"/>
    <xf numFmtId="10" fontId="37" fillId="5" borderId="0" xfId="1" applyNumberFormat="1" applyFont="1" applyFill="1"/>
    <xf numFmtId="3" fontId="36" fillId="5" borderId="0" xfId="1" applyNumberFormat="1" applyFont="1" applyFill="1" applyAlignment="1">
      <alignment horizontal="left"/>
    </xf>
    <xf numFmtId="3" fontId="36" fillId="5" borderId="8" xfId="1" applyNumberFormat="1" applyFont="1" applyFill="1" applyBorder="1"/>
    <xf numFmtId="3" fontId="37" fillId="5" borderId="7" xfId="1" applyNumberFormat="1" applyFont="1" applyFill="1" applyBorder="1"/>
    <xf numFmtId="3" fontId="19" fillId="10" borderId="0" xfId="0" applyNumberFormat="1" applyFont="1" applyFill="1" applyAlignment="1">
      <alignment horizontal="center" vertical="center" wrapText="1"/>
    </xf>
    <xf numFmtId="3" fontId="1" fillId="10" borderId="2" xfId="1" applyNumberFormat="1" applyFont="1" applyFill="1" applyBorder="1" applyAlignment="1">
      <alignment horizontal="center" vertical="center" wrapText="1"/>
    </xf>
    <xf numFmtId="3" fontId="0" fillId="10" borderId="0" xfId="0" applyNumberFormat="1" applyFill="1" applyAlignment="1">
      <alignment horizontal="center" vertical="center" wrapText="1"/>
    </xf>
    <xf numFmtId="9" fontId="15" fillId="10" borderId="0" xfId="5" applyNumberFormat="1" applyFill="1" applyAlignment="1">
      <alignment horizontal="center" vertical="center" wrapText="1"/>
    </xf>
    <xf numFmtId="3" fontId="0" fillId="10" borderId="2" xfId="0" applyNumberFormat="1" applyFill="1" applyBorder="1" applyAlignment="1">
      <alignment horizontal="center" vertical="center" wrapText="1"/>
    </xf>
    <xf numFmtId="9" fontId="1" fillId="10" borderId="2" xfId="1" applyFont="1" applyFill="1" applyBorder="1" applyAlignment="1">
      <alignment horizontal="center" vertical="center" wrapText="1"/>
    </xf>
    <xf numFmtId="9" fontId="20" fillId="10" borderId="0" xfId="1" applyFont="1" applyFill="1" applyAlignment="1">
      <alignment horizontal="center" vertical="center" wrapText="1"/>
    </xf>
    <xf numFmtId="164" fontId="35" fillId="9" borderId="0" xfId="4" applyNumberFormat="1" applyFont="1" applyFill="1" applyAlignment="1">
      <alignment vertical="center"/>
    </xf>
    <xf numFmtId="9" fontId="5" fillId="0" borderId="0" xfId="0" applyNumberFormat="1" applyFont="1" applyAlignment="1">
      <alignment horizontal="center"/>
    </xf>
    <xf numFmtId="0" fontId="40" fillId="9" borderId="0" xfId="0" applyFont="1" applyFill="1"/>
    <xf numFmtId="0" fontId="41" fillId="9" borderId="0" xfId="0" applyFont="1" applyFill="1" applyAlignment="1">
      <alignment horizontal="center"/>
    </xf>
    <xf numFmtId="0" fontId="40" fillId="9" borderId="0" xfId="0" applyFont="1" applyFill="1" applyAlignment="1">
      <alignment vertical="top" wrapText="1"/>
    </xf>
    <xf numFmtId="0" fontId="39" fillId="9" borderId="0" xfId="0" quotePrefix="1" applyFont="1" applyFill="1"/>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6" fillId="5" borderId="0" xfId="4" applyNumberFormat="1" applyFont="1" applyFill="1" applyAlignment="1">
      <alignment horizontal="left"/>
    </xf>
    <xf numFmtId="164" fontId="22" fillId="0" borderId="0" xfId="4" applyNumberFormat="1" applyFont="1"/>
    <xf numFmtId="164" fontId="1" fillId="10" borderId="0" xfId="4" applyNumberFormat="1" applyFont="1" applyFill="1" applyAlignment="1">
      <alignment horizontal="center" vertical="center" wrapText="1"/>
    </xf>
    <xf numFmtId="3" fontId="13" fillId="10"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10"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0"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1" borderId="0" xfId="0" applyNumberFormat="1" applyFont="1" applyFill="1" applyAlignment="1">
      <alignment vertical="center"/>
    </xf>
    <xf numFmtId="3" fontId="13" fillId="11" borderId="0" xfId="0" applyNumberFormat="1" applyFont="1" applyFill="1"/>
    <xf numFmtId="10" fontId="6" fillId="0" borderId="0" xfId="1" applyNumberFormat="1" applyFont="1" applyAlignment="1">
      <alignment horizontal="center"/>
    </xf>
    <xf numFmtId="10" fontId="13" fillId="10" borderId="0" xfId="1" applyNumberFormat="1" applyFont="1" applyFill="1" applyAlignment="1">
      <alignment horizontal="center" vertical="center" wrapText="1"/>
    </xf>
    <xf numFmtId="9" fontId="19" fillId="10" borderId="0" xfId="1" applyFont="1" applyFill="1" applyAlignment="1">
      <alignment horizontal="center" vertical="center" wrapText="1"/>
    </xf>
    <xf numFmtId="9" fontId="21" fillId="5" borderId="0" xfId="1" applyFont="1" applyFill="1" applyBorder="1"/>
    <xf numFmtId="3" fontId="13" fillId="11" borderId="0" xfId="1" applyNumberFormat="1" applyFont="1" applyFill="1" applyBorder="1"/>
    <xf numFmtId="3" fontId="0" fillId="11" borderId="0" xfId="0" applyNumberFormat="1" applyFill="1"/>
    <xf numFmtId="3" fontId="0" fillId="11" borderId="2" xfId="1" applyNumberFormat="1" applyFont="1" applyFill="1" applyBorder="1"/>
    <xf numFmtId="3" fontId="0" fillId="11" borderId="2" xfId="0" applyNumberFormat="1" applyFill="1" applyBorder="1"/>
    <xf numFmtId="3" fontId="1" fillId="11" borderId="2" xfId="0" applyNumberFormat="1" applyFont="1" applyFill="1" applyBorder="1"/>
    <xf numFmtId="3" fontId="13" fillId="11" borderId="0" xfId="1" applyNumberFormat="1" applyFont="1" applyFill="1"/>
    <xf numFmtId="3" fontId="1" fillId="11" borderId="0" xfId="1" applyNumberFormat="1" applyFont="1" applyFill="1"/>
    <xf numFmtId="3" fontId="20" fillId="11" borderId="2" xfId="6" applyNumberFormat="1" applyFont="1" applyFill="1" applyBorder="1"/>
    <xf numFmtId="3" fontId="20" fillId="11" borderId="2" xfId="0" applyNumberFormat="1" applyFont="1" applyFill="1" applyBorder="1"/>
    <xf numFmtId="3" fontId="25" fillId="11" borderId="0" xfId="0" applyNumberFormat="1" applyFont="1" applyFill="1"/>
    <xf numFmtId="3" fontId="20" fillId="11" borderId="0" xfId="0" applyNumberFormat="1" applyFont="1" applyFill="1"/>
    <xf numFmtId="3" fontId="1" fillId="11" borderId="0" xfId="0" applyNumberFormat="1" applyFont="1" applyFill="1"/>
    <xf numFmtId="0" fontId="0" fillId="11" borderId="2" xfId="0" applyFill="1" applyBorder="1" applyAlignment="1">
      <alignment horizontal="left"/>
    </xf>
    <xf numFmtId="0" fontId="13" fillId="11" borderId="0" xfId="0" applyFont="1" applyFill="1" applyAlignment="1">
      <alignment horizontal="left"/>
    </xf>
    <xf numFmtId="3" fontId="13" fillId="11" borderId="2" xfId="0" applyNumberFormat="1" applyFont="1" applyFill="1" applyBorder="1"/>
    <xf numFmtId="10" fontId="13" fillId="11" borderId="0" xfId="1" applyNumberFormat="1" applyFont="1" applyFill="1"/>
    <xf numFmtId="3" fontId="0" fillId="11" borderId="0" xfId="4" applyNumberFormat="1" applyFont="1" applyFill="1" applyBorder="1"/>
    <xf numFmtId="3" fontId="1" fillId="11" borderId="2" xfId="1" applyNumberFormat="1" applyFont="1" applyFill="1" applyBorder="1"/>
    <xf numFmtId="3" fontId="20" fillId="11" borderId="0" xfId="0" applyNumberFormat="1" applyFont="1" applyFill="1" applyAlignment="1">
      <alignment horizontal="left"/>
    </xf>
    <xf numFmtId="3" fontId="0" fillId="11"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5" borderId="0" xfId="0" applyFont="1" applyFill="1"/>
    <xf numFmtId="0" fontId="4" fillId="0" borderId="0" xfId="0" applyFont="1" applyAlignment="1">
      <alignment vertical="center"/>
    </xf>
    <xf numFmtId="0" fontId="19" fillId="5" borderId="0" xfId="0" applyFont="1" applyFill="1"/>
    <xf numFmtId="0" fontId="40" fillId="9"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8" borderId="10" xfId="0" applyNumberFormat="1" applyFont="1" applyFill="1" applyBorder="1" applyAlignment="1">
      <alignment horizontal="left" vertical="center" wrapText="1"/>
    </xf>
    <xf numFmtId="49" fontId="6" fillId="8" borderId="11" xfId="0" applyNumberFormat="1" applyFont="1" applyFill="1" applyBorder="1" applyAlignment="1">
      <alignment horizontal="left" vertical="center" wrapText="1"/>
    </xf>
    <xf numFmtId="0" fontId="0" fillId="0" borderId="0" xfId="0" applyNumberFormat="1"/>
    <xf numFmtId="0" fontId="22" fillId="0" borderId="0" xfId="0" applyNumberFormat="1" applyFont="1"/>
    <xf numFmtId="0" fontId="4" fillId="0" borderId="0" xfId="0" applyNumberFormat="1" applyFont="1" applyAlignment="1">
      <alignment vertical="center"/>
    </xf>
    <xf numFmtId="0" fontId="0" fillId="0" borderId="0" xfId="0" applyNumberFormat="1" applyAlignment="1">
      <alignment horizontal="right"/>
    </xf>
    <xf numFmtId="0" fontId="19" fillId="5" borderId="0" xfId="0" applyNumberFormat="1" applyFont="1" applyFill="1"/>
    <xf numFmtId="0" fontId="0" fillId="0" borderId="0" xfId="0" applyNumberFormat="1" applyAlignment="1">
      <alignment horizontal="center" vertical="center" wrapText="1"/>
    </xf>
    <xf numFmtId="0" fontId="13" fillId="5" borderId="0" xfId="0" applyNumberFormat="1" applyFont="1" applyFill="1"/>
    <xf numFmtId="0" fontId="19" fillId="5" borderId="0" xfId="0" applyNumberFormat="1" applyFont="1" applyFill="1" applyAlignment="1">
      <alignment horizontal="left"/>
    </xf>
    <xf numFmtId="0" fontId="7" fillId="0" borderId="0" xfId="0" applyNumberFormat="1" applyFont="1"/>
    <xf numFmtId="0" fontId="1" fillId="0" borderId="0" xfId="0" applyNumberFormat="1" applyFont="1" applyAlignment="1">
      <alignment horizontal="right"/>
    </xf>
    <xf numFmtId="0" fontId="1" fillId="0" borderId="0" xfId="0" applyNumberFormat="1" applyFont="1"/>
    <xf numFmtId="0" fontId="2" fillId="0" borderId="0" xfId="0" applyNumberFormat="1" applyFont="1" applyAlignment="1">
      <alignment horizontal="left" vertical="center"/>
    </xf>
    <xf numFmtId="3" fontId="0" fillId="0" borderId="0" xfId="0" applyNumberFormat="1" applyBorder="1"/>
    <xf numFmtId="3" fontId="0" fillId="10" borderId="2" xfId="1" applyNumberFormat="1" applyFont="1" applyFill="1" applyBorder="1" applyAlignment="1">
      <alignment horizontal="center" vertical="center" wrapText="1"/>
    </xf>
    <xf numFmtId="3" fontId="1" fillId="10" borderId="2" xfId="0" applyNumberFormat="1" applyFont="1" applyFill="1" applyBorder="1" applyAlignment="1">
      <alignment horizontal="center" vertical="center" wrapText="1"/>
    </xf>
    <xf numFmtId="3" fontId="22" fillId="0" borderId="2" xfId="0" applyNumberFormat="1" applyFont="1" applyBorder="1"/>
    <xf numFmtId="3" fontId="33" fillId="0" borderId="2" xfId="0" applyNumberFormat="1" applyFont="1" applyBorder="1" applyAlignment="1">
      <alignment horizontal="center"/>
    </xf>
    <xf numFmtId="3" fontId="13" fillId="5" borderId="2" xfId="0" applyNumberFormat="1" applyFont="1" applyFill="1" applyBorder="1" applyAlignment="1">
      <alignment horizontal="center" vertical="center" wrapText="1"/>
    </xf>
    <xf numFmtId="0" fontId="13" fillId="0" borderId="2" xfId="0" applyFont="1" applyBorder="1"/>
    <xf numFmtId="9" fontId="34" fillId="9" borderId="2" xfId="0" applyNumberFormat="1" applyFont="1" applyFill="1" applyBorder="1" applyAlignment="1">
      <alignment vertical="center"/>
    </xf>
    <xf numFmtId="9" fontId="5" fillId="0" borderId="2" xfId="0" applyNumberFormat="1" applyFont="1" applyBorder="1" applyAlignment="1">
      <alignment horizontal="left"/>
    </xf>
    <xf numFmtId="9" fontId="1" fillId="10"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7" fillId="5" borderId="2" xfId="0" applyNumberFormat="1" applyFont="1" applyFill="1" applyBorder="1" applyAlignment="1">
      <alignment horizontal="left"/>
    </xf>
    <xf numFmtId="9" fontId="22" fillId="0" borderId="2" xfId="0" applyNumberFormat="1" applyFont="1" applyBorder="1"/>
    <xf numFmtId="9" fontId="5" fillId="0" borderId="2" xfId="0" applyNumberFormat="1" applyFont="1" applyBorder="1"/>
    <xf numFmtId="9" fontId="22" fillId="0" borderId="2" xfId="0" applyNumberFormat="1" applyFont="1" applyBorder="1" applyAlignment="1">
      <alignment horizontal="right"/>
    </xf>
    <xf numFmtId="9" fontId="36" fillId="5" borderId="2" xfId="0" applyNumberFormat="1" applyFont="1" applyFill="1" applyBorder="1" applyAlignment="1">
      <alignment horizontal="left"/>
    </xf>
    <xf numFmtId="3" fontId="1" fillId="10" borderId="0" xfId="1" applyNumberFormat="1" applyFont="1" applyFill="1" applyBorder="1" applyAlignment="1">
      <alignment horizontal="center" vertical="center" wrapText="1"/>
    </xf>
    <xf numFmtId="3" fontId="35" fillId="9" borderId="0" xfId="4" applyNumberFormat="1" applyFont="1" applyFill="1" applyBorder="1" applyAlignment="1">
      <alignment vertical="center"/>
    </xf>
    <xf numFmtId="3" fontId="5" fillId="0" borderId="0" xfId="4" applyNumberFormat="1" applyFont="1" applyBorder="1" applyAlignment="1">
      <alignment horizontal="center"/>
    </xf>
    <xf numFmtId="3" fontId="1" fillId="5"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6" fillId="5" borderId="0" xfId="4" applyNumberFormat="1" applyFont="1" applyFill="1" applyBorder="1" applyAlignment="1">
      <alignment horizontal="left"/>
    </xf>
    <xf numFmtId="3" fontId="22" fillId="0" borderId="0" xfId="4" applyNumberFormat="1" applyFont="1" applyBorder="1"/>
    <xf numFmtId="10" fontId="1" fillId="10" borderId="0" xfId="1" applyNumberFormat="1" applyFont="1" applyFill="1" applyAlignment="1">
      <alignment horizontal="center" vertical="center" wrapText="1"/>
    </xf>
    <xf numFmtId="10" fontId="1" fillId="0" borderId="0" xfId="1" applyNumberFormat="1" applyFont="1" applyAlignment="1">
      <alignment horizontal="right"/>
    </xf>
    <xf numFmtId="10" fontId="0" fillId="11" borderId="0" xfId="1" applyNumberFormat="1" applyFont="1" applyFill="1"/>
    <xf numFmtId="10" fontId="1" fillId="0" borderId="0" xfId="1" applyNumberFormat="1" applyFont="1" applyFill="1"/>
    <xf numFmtId="10" fontId="22" fillId="0" borderId="0" xfId="1" applyNumberFormat="1" applyFont="1"/>
    <xf numFmtId="9" fontId="34" fillId="9" borderId="0" xfId="1" applyNumberFormat="1" applyFont="1" applyFill="1" applyAlignment="1">
      <alignment vertical="center"/>
    </xf>
    <xf numFmtId="9" fontId="7" fillId="0" borderId="0" xfId="1" applyNumberFormat="1" applyFont="1"/>
    <xf numFmtId="9" fontId="1" fillId="10" borderId="0" xfId="1" applyNumberFormat="1" applyFont="1" applyFill="1" applyAlignment="1">
      <alignment horizontal="center" vertical="center" wrapText="1"/>
    </xf>
    <xf numFmtId="9" fontId="1" fillId="0" borderId="0" xfId="1" applyNumberFormat="1" applyFont="1" applyAlignment="1">
      <alignment horizontal="right"/>
    </xf>
    <xf numFmtId="9" fontId="0" fillId="0" borderId="0" xfId="1" applyNumberFormat="1" applyFont="1"/>
    <xf numFmtId="9" fontId="36" fillId="5" borderId="0" xfId="1" applyNumberFormat="1" applyFont="1" applyFill="1"/>
    <xf numFmtId="9" fontId="35" fillId="9" borderId="0" xfId="1" applyNumberFormat="1" applyFont="1" applyFill="1" applyAlignment="1">
      <alignment vertical="center"/>
    </xf>
    <xf numFmtId="9" fontId="22" fillId="0" borderId="0" xfId="1" applyNumberFormat="1" applyFont="1" applyAlignment="1">
      <alignment horizontal="right"/>
    </xf>
    <xf numFmtId="9" fontId="1" fillId="0" borderId="0" xfId="1" applyNumberFormat="1" applyFont="1"/>
    <xf numFmtId="9" fontId="1" fillId="0" borderId="0" xfId="1" applyNumberFormat="1" applyFont="1" applyFill="1"/>
    <xf numFmtId="9" fontId="35" fillId="9" borderId="0" xfId="1" applyNumberFormat="1" applyFont="1" applyFill="1" applyBorder="1" applyAlignment="1">
      <alignment vertical="center"/>
    </xf>
    <xf numFmtId="9" fontId="7" fillId="0" borderId="0" xfId="1" applyNumberFormat="1" applyFont="1" applyBorder="1"/>
    <xf numFmtId="9" fontId="1" fillId="10" borderId="0" xfId="1" applyNumberFormat="1" applyFont="1" applyFill="1" applyBorder="1" applyAlignment="1">
      <alignment horizontal="center" vertical="center" wrapText="1"/>
    </xf>
    <xf numFmtId="9" fontId="22" fillId="0" borderId="0" xfId="1" applyNumberFormat="1" applyFont="1" applyBorder="1" applyAlignment="1">
      <alignment horizontal="right"/>
    </xf>
    <xf numFmtId="9" fontId="0" fillId="0" borderId="0" xfId="1" applyNumberFormat="1" applyFont="1" applyBorder="1"/>
    <xf numFmtId="9" fontId="1" fillId="0" borderId="0" xfId="1" applyNumberFormat="1" applyFont="1" applyBorder="1"/>
    <xf numFmtId="9" fontId="36" fillId="5" borderId="0" xfId="1" applyNumberFormat="1" applyFont="1" applyFill="1" applyBorder="1"/>
    <xf numFmtId="9" fontId="22" fillId="0" borderId="0" xfId="1" applyNumberFormat="1" applyFont="1" applyBorder="1"/>
    <xf numFmtId="9" fontId="22" fillId="0" borderId="0" xfId="1" applyNumberFormat="1" applyFont="1"/>
    <xf numFmtId="9" fontId="34" fillId="9" borderId="2" xfId="1" applyNumberFormat="1" applyFont="1" applyFill="1" applyBorder="1" applyAlignment="1">
      <alignment vertical="center"/>
    </xf>
    <xf numFmtId="9" fontId="7" fillId="0" borderId="2" xfId="1" applyNumberFormat="1" applyFont="1" applyBorder="1"/>
    <xf numFmtId="9" fontId="1" fillId="10" borderId="2" xfId="1" applyNumberFormat="1" applyFont="1" applyFill="1" applyBorder="1" applyAlignment="1">
      <alignment horizontal="center" vertical="center" wrapText="1"/>
    </xf>
    <xf numFmtId="9" fontId="22" fillId="0" borderId="2" xfId="1" applyNumberFormat="1" applyFont="1" applyBorder="1" applyAlignment="1">
      <alignment horizontal="right"/>
    </xf>
    <xf numFmtId="9" fontId="0" fillId="0" borderId="2" xfId="1" applyNumberFormat="1" applyFont="1" applyBorder="1"/>
    <xf numFmtId="9" fontId="36" fillId="5" borderId="2" xfId="1" applyNumberFormat="1" applyFont="1" applyFill="1" applyBorder="1"/>
    <xf numFmtId="9" fontId="22" fillId="0" borderId="2" xfId="1" applyNumberFormat="1" applyFont="1" applyBorder="1"/>
    <xf numFmtId="9" fontId="1" fillId="5" borderId="0" xfId="1" applyNumberFormat="1" applyFont="1" applyFill="1" applyBorder="1" applyAlignment="1">
      <alignment horizontal="center" vertical="center" wrapText="1"/>
    </xf>
    <xf numFmtId="9" fontId="34" fillId="9" borderId="0" xfId="1" applyNumberFormat="1" applyFont="1" applyFill="1" applyBorder="1" applyAlignment="1">
      <alignment vertical="center"/>
    </xf>
    <xf numFmtId="9" fontId="5" fillId="0" borderId="0" xfId="1" applyNumberFormat="1" applyFont="1" applyBorder="1"/>
    <xf numFmtId="9" fontId="36" fillId="5" borderId="0" xfId="1" applyNumberFormat="1" applyFont="1" applyFill="1" applyBorder="1" applyAlignment="1">
      <alignment horizontal="left"/>
    </xf>
    <xf numFmtId="9" fontId="5" fillId="0" borderId="2" xfId="1" applyNumberFormat="1" applyFont="1" applyBorder="1"/>
    <xf numFmtId="9" fontId="0" fillId="0" borderId="2" xfId="1" applyNumberFormat="1" applyFont="1" applyBorder="1" applyAlignment="1">
      <alignment horizontal="right"/>
    </xf>
    <xf numFmtId="9" fontId="36" fillId="5" borderId="2" xfId="1" applyNumberFormat="1" applyFont="1" applyFill="1" applyBorder="1" applyAlignment="1">
      <alignment horizontal="left"/>
    </xf>
    <xf numFmtId="3" fontId="34" fillId="9" borderId="0" xfId="4" applyNumberFormat="1" applyFont="1" applyFill="1" applyBorder="1" applyAlignment="1">
      <alignment vertical="center"/>
    </xf>
    <xf numFmtId="3" fontId="7" fillId="0" borderId="0" xfId="4" applyNumberFormat="1" applyFont="1" applyBorder="1"/>
    <xf numFmtId="3" fontId="36" fillId="5" borderId="0" xfId="4" applyNumberFormat="1" applyFont="1" applyFill="1" applyBorder="1"/>
    <xf numFmtId="9" fontId="0" fillId="10" borderId="0" xfId="1" applyNumberFormat="1" applyFont="1" applyFill="1" applyAlignment="1">
      <alignment horizontal="center" vertical="center" wrapText="1"/>
    </xf>
    <xf numFmtId="9" fontId="0" fillId="0" borderId="0" xfId="1" applyNumberFormat="1" applyFont="1" applyAlignment="1">
      <alignment horizontal="right"/>
    </xf>
    <xf numFmtId="9" fontId="0" fillId="0" borderId="0" xfId="1" applyNumberFormat="1" applyFont="1" applyFill="1"/>
    <xf numFmtId="9" fontId="0" fillId="5" borderId="2" xfId="1" applyNumberFormat="1" applyFont="1" applyFill="1" applyBorder="1" applyAlignment="1">
      <alignment horizontal="center" vertical="center" wrapText="1"/>
    </xf>
    <xf numFmtId="9" fontId="0" fillId="10" borderId="0" xfId="1" applyNumberFormat="1" applyFont="1" applyFill="1" applyBorder="1" applyAlignment="1">
      <alignment horizontal="center" vertical="center" wrapText="1"/>
    </xf>
    <xf numFmtId="9" fontId="0" fillId="5"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20" fillId="5" borderId="2" xfId="1" applyNumberFormat="1" applyFont="1" applyFill="1" applyBorder="1" applyAlignment="1">
      <alignment horizontal="center" vertical="center" wrapText="1"/>
    </xf>
    <xf numFmtId="9" fontId="0" fillId="0" borderId="2" xfId="1" applyNumberFormat="1" applyFont="1" applyFill="1" applyBorder="1"/>
    <xf numFmtId="9" fontId="13" fillId="0" borderId="2" xfId="1" applyNumberFormat="1" applyFont="1" applyBorder="1"/>
    <xf numFmtId="9" fontId="20" fillId="5" borderId="0" xfId="1" applyNumberFormat="1" applyFont="1" applyFill="1" applyBorder="1" applyAlignment="1">
      <alignment horizontal="center" vertical="center" wrapText="1"/>
    </xf>
    <xf numFmtId="9" fontId="20" fillId="10"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34" fillId="9" borderId="2" xfId="4" applyNumberFormat="1" applyFont="1" applyFill="1" applyBorder="1" applyAlignment="1">
      <alignment vertical="center"/>
    </xf>
    <xf numFmtId="3" fontId="35" fillId="9"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6" fillId="5" borderId="2" xfId="4" applyNumberFormat="1" applyFont="1" applyFill="1" applyBorder="1"/>
    <xf numFmtId="3" fontId="36" fillId="5" borderId="0" xfId="4" applyNumberFormat="1" applyFont="1" applyFill="1"/>
    <xf numFmtId="3" fontId="22" fillId="5" borderId="0"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1" fillId="0" borderId="2" xfId="1" applyNumberFormat="1" applyFont="1" applyBorder="1"/>
    <xf numFmtId="9" fontId="1" fillId="0" borderId="2" xfId="1" applyNumberFormat="1" applyFont="1" applyFill="1" applyBorder="1"/>
    <xf numFmtId="9" fontId="22" fillId="10" borderId="2" xfId="1" applyNumberFormat="1" applyFont="1" applyFill="1" applyBorder="1" applyAlignment="1">
      <alignment horizontal="center" vertical="center" wrapText="1"/>
    </xf>
    <xf numFmtId="9" fontId="22" fillId="10" borderId="0" xfId="1" applyNumberFormat="1" applyFont="1" applyFill="1" applyAlignment="1">
      <alignment horizontal="center" vertical="center" wrapText="1"/>
    </xf>
    <xf numFmtId="9" fontId="1" fillId="0" borderId="0" xfId="1" applyNumberFormat="1" applyFont="1" applyBorder="1" applyAlignment="1">
      <alignment horizontal="right"/>
    </xf>
    <xf numFmtId="9" fontId="1" fillId="0" borderId="0" xfId="1" applyNumberFormat="1" applyFont="1" applyFill="1" applyBorder="1"/>
    <xf numFmtId="9" fontId="0" fillId="10" borderId="2" xfId="1" applyNumberFormat="1" applyFont="1" applyFill="1" applyBorder="1" applyAlignment="1">
      <alignment horizontal="center" vertical="center" wrapText="1"/>
    </xf>
    <xf numFmtId="9" fontId="0" fillId="5" borderId="0" xfId="1" applyNumberFormat="1" applyFont="1" applyFill="1" applyAlignment="1">
      <alignment horizontal="center" vertical="center" wrapText="1"/>
    </xf>
    <xf numFmtId="0" fontId="34" fillId="9" borderId="0" xfId="0" applyNumberFormat="1" applyFont="1" applyFill="1" applyAlignment="1">
      <alignment horizontal="left" vertical="center"/>
    </xf>
    <xf numFmtId="0" fontId="7" fillId="0" borderId="0" xfId="0" applyNumberFormat="1" applyFont="1" applyAlignment="1">
      <alignment horizontal="left"/>
    </xf>
    <xf numFmtId="0" fontId="0" fillId="5" borderId="0" xfId="0" applyNumberFormat="1" applyFill="1" applyAlignment="1">
      <alignment horizontal="center" vertical="center" wrapText="1"/>
    </xf>
    <xf numFmtId="0" fontId="0" fillId="0" borderId="0" xfId="0" applyNumberFormat="1" applyAlignment="1">
      <alignment horizontal="center"/>
    </xf>
    <xf numFmtId="0" fontId="0" fillId="0" borderId="0" xfId="0" applyNumberFormat="1" applyAlignment="1">
      <alignment horizontal="left"/>
    </xf>
    <xf numFmtId="0" fontId="36" fillId="5" borderId="0" xfId="1" applyNumberFormat="1" applyFont="1" applyFill="1" applyAlignment="1">
      <alignment horizontal="center"/>
    </xf>
    <xf numFmtId="3" fontId="35" fillId="9" borderId="2" xfId="1" applyNumberFormat="1" applyFont="1" applyFill="1" applyBorder="1" applyAlignment="1">
      <alignment vertical="center"/>
    </xf>
    <xf numFmtId="3" fontId="22" fillId="5" borderId="0" xfId="0" applyNumberFormat="1" applyFont="1" applyFill="1" applyAlignment="1">
      <alignment horizontal="center" vertical="center" wrapText="1"/>
    </xf>
    <xf numFmtId="3" fontId="22" fillId="5" borderId="2" xfId="0" applyNumberFormat="1" applyFont="1" applyFill="1" applyBorder="1" applyAlignment="1">
      <alignment horizontal="center" vertical="center" wrapText="1"/>
    </xf>
    <xf numFmtId="0" fontId="0" fillId="0" borderId="0" xfId="0" applyFont="1"/>
    <xf numFmtId="3" fontId="0" fillId="0" borderId="2" xfId="0" applyNumberFormat="1" applyFont="1" applyBorder="1"/>
    <xf numFmtId="49" fontId="0" fillId="0" borderId="0" xfId="0" applyNumberFormat="1" applyFont="1"/>
    <xf numFmtId="3" fontId="42" fillId="5" borderId="0" xfId="1" applyNumberFormat="1" applyFont="1" applyFill="1" applyBorder="1"/>
    <xf numFmtId="3" fontId="42" fillId="5" borderId="2" xfId="1" applyNumberFormat="1" applyFont="1" applyFill="1" applyBorder="1"/>
    <xf numFmtId="0" fontId="0" fillId="0" borderId="2" xfId="0" applyFont="1" applyBorder="1"/>
    <xf numFmtId="3" fontId="22" fillId="10" borderId="0" xfId="0" applyNumberFormat="1" applyFont="1" applyFill="1" applyAlignment="1">
      <alignment horizontal="center" vertical="center" wrapText="1"/>
    </xf>
    <xf numFmtId="3" fontId="22" fillId="10" borderId="2" xfId="0" applyNumberFormat="1" applyFont="1" applyFill="1" applyBorder="1" applyAlignment="1">
      <alignment horizontal="center" vertical="center" wrapText="1"/>
    </xf>
    <xf numFmtId="3" fontId="19" fillId="10" borderId="2" xfId="0" applyNumberFormat="1" applyFont="1" applyFill="1" applyBorder="1" applyAlignment="1">
      <alignment horizontal="center" vertical="center" wrapText="1"/>
    </xf>
    <xf numFmtId="0" fontId="8" fillId="0" borderId="2" xfId="0" applyFont="1" applyBorder="1" applyAlignment="1"/>
    <xf numFmtId="0" fontId="8" fillId="0" borderId="0" xfId="0" applyFont="1" applyAlignment="1"/>
    <xf numFmtId="0" fontId="23" fillId="0" borderId="0" xfId="0" applyFont="1" applyAlignment="1">
      <alignment horizontal="center"/>
    </xf>
    <xf numFmtId="0" fontId="8" fillId="0" borderId="2" xfId="0" applyFont="1" applyBorder="1" applyAlignment="1">
      <alignment horizontal="center"/>
    </xf>
    <xf numFmtId="0" fontId="8" fillId="0" borderId="0" xfId="0" applyFont="1" applyAlignment="1">
      <alignment horizontal="center"/>
    </xf>
    <xf numFmtId="0" fontId="7" fillId="0" borderId="0" xfId="0" applyFont="1" applyAlignment="1">
      <alignment horizontal="center"/>
    </xf>
    <xf numFmtId="9" fontId="8" fillId="0" borderId="0" xfId="1" applyFont="1" applyAlignment="1">
      <alignment horizontal="center"/>
    </xf>
    <xf numFmtId="0" fontId="8" fillId="0" borderId="9" xfId="0" applyFont="1" applyBorder="1" applyAlignment="1">
      <alignment horizontal="center"/>
    </xf>
    <xf numFmtId="0" fontId="8" fillId="0" borderId="0" xfId="0" applyFont="1" applyBorder="1" applyAlignment="1"/>
    <xf numFmtId="3" fontId="22" fillId="5" borderId="0" xfId="0" applyNumberFormat="1" applyFont="1" applyFill="1" applyBorder="1" applyAlignment="1">
      <alignment horizontal="center" vertical="center" wrapText="1"/>
    </xf>
    <xf numFmtId="0" fontId="0" fillId="0" borderId="0" xfId="0" applyFont="1" applyBorder="1"/>
    <xf numFmtId="3" fontId="22" fillId="10" borderId="0" xfId="0" applyNumberFormat="1" applyFont="1" applyFill="1" applyBorder="1" applyAlignment="1">
      <alignment horizontal="center" vertical="center" wrapText="1"/>
    </xf>
    <xf numFmtId="3" fontId="19" fillId="5" borderId="0" xfId="0" applyNumberFormat="1" applyFont="1" applyFill="1" applyBorder="1" applyAlignment="1">
      <alignment horizontal="center" vertical="center" wrapText="1"/>
    </xf>
    <xf numFmtId="0" fontId="13" fillId="0" borderId="0" xfId="0" applyFont="1" applyBorder="1"/>
    <xf numFmtId="49" fontId="0" fillId="4" borderId="0" xfId="0" applyNumberFormat="1" applyFill="1" applyBorder="1" applyAlignment="1">
      <alignment horizontal="center" vertical="center" wrapText="1"/>
    </xf>
    <xf numFmtId="3" fontId="34" fillId="9" borderId="0" xfId="0" applyNumberFormat="1" applyFont="1" applyFill="1" applyBorder="1" applyAlignment="1">
      <alignment vertical="center"/>
    </xf>
    <xf numFmtId="3" fontId="7" fillId="0" borderId="0" xfId="0" applyNumberFormat="1" applyFont="1" applyBorder="1"/>
    <xf numFmtId="3" fontId="0" fillId="0" borderId="0" xfId="0" applyNumberFormat="1" applyBorder="1" applyAlignment="1">
      <alignment horizontal="right"/>
    </xf>
    <xf numFmtId="3" fontId="0" fillId="10" borderId="0" xfId="1" applyNumberFormat="1" applyFont="1" applyFill="1" applyBorder="1" applyAlignment="1">
      <alignment horizontal="center" vertical="center" wrapText="1"/>
    </xf>
    <xf numFmtId="9" fontId="0" fillId="0" borderId="0" xfId="1" applyNumberFormat="1" applyFon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36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 workbookViewId="1"/>
  </sheetViews>
  <sheetFormatPr baseColWidth="10" defaultRowHeight="16" x14ac:dyDescent="0.2"/>
  <cols>
    <col min="1" max="1" width="4.83203125" customWidth="1"/>
  </cols>
  <sheetData>
    <row r="2" spans="2:2" ht="47" x14ac:dyDescent="0.2">
      <c r="B2" s="7" t="s">
        <v>23</v>
      </c>
    </row>
    <row r="10" spans="2:2" ht="97" x14ac:dyDescent="0.2">
      <c r="B10" s="6" t="s">
        <v>840</v>
      </c>
    </row>
    <row r="20" spans="2:2" ht="82" x14ac:dyDescent="0.9">
      <c r="B20" s="292" t="s">
        <v>308</v>
      </c>
    </row>
    <row r="25" spans="2:2" x14ac:dyDescent="0.2">
      <c r="B25"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 workbookViewId="1"/>
  </sheetViews>
  <sheetFormatPr baseColWidth="10" defaultColWidth="10.83203125" defaultRowHeight="16" x14ac:dyDescent="0.2"/>
  <cols>
    <col min="1" max="1" width="1.83203125" style="309" customWidth="1"/>
    <col min="2" max="2" width="49" style="309" customWidth="1"/>
    <col min="3" max="3" width="3.1640625" style="30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167</v>
      </c>
      <c r="E1" s="8" t="s">
        <v>309</v>
      </c>
      <c r="F1" s="8" t="s">
        <v>491</v>
      </c>
      <c r="G1" s="8" t="s">
        <v>183</v>
      </c>
      <c r="H1" s="8" t="s">
        <v>510</v>
      </c>
      <c r="I1" s="9" t="s">
        <v>184</v>
      </c>
      <c r="J1" s="8" t="s">
        <v>185</v>
      </c>
      <c r="K1" s="8" t="s">
        <v>186</v>
      </c>
      <c r="L1" s="8" t="s">
        <v>187</v>
      </c>
      <c r="M1" s="8" t="s">
        <v>490</v>
      </c>
      <c r="N1" s="8" t="s">
        <v>49</v>
      </c>
      <c r="O1" s="8" t="s">
        <v>181</v>
      </c>
      <c r="P1" s="8" t="s">
        <v>180</v>
      </c>
      <c r="Q1" s="8" t="s">
        <v>48</v>
      </c>
    </row>
    <row r="2" spans="2:17" ht="17" thickBot="1" x14ac:dyDescent="0.25">
      <c r="B2" s="10" t="s">
        <v>175</v>
      </c>
      <c r="C2" s="312" t="s">
        <v>50</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310" t="s">
        <v>51</v>
      </c>
      <c r="D4" s="5"/>
      <c r="E4" s="5"/>
      <c r="F4" s="5"/>
      <c r="G4" s="5"/>
      <c r="H4" s="5"/>
      <c r="J4" s="5"/>
      <c r="K4" s="5"/>
      <c r="L4" s="5"/>
    </row>
    <row r="5" spans="2:17" x14ac:dyDescent="0.2">
      <c r="D5" s="5"/>
      <c r="E5" s="5"/>
      <c r="F5" s="5"/>
      <c r="G5" s="5"/>
      <c r="H5" s="5"/>
      <c r="J5" s="5"/>
      <c r="K5" s="5"/>
      <c r="L5" s="5"/>
    </row>
    <row r="6" spans="2:17" x14ac:dyDescent="0.2">
      <c r="B6" s="369" t="s">
        <v>168</v>
      </c>
      <c r="D6" s="5"/>
      <c r="E6" s="5"/>
      <c r="F6" s="5"/>
      <c r="G6" s="5"/>
      <c r="H6" s="5"/>
      <c r="J6" s="5"/>
      <c r="K6" s="5"/>
      <c r="L6" s="5"/>
    </row>
    <row r="7" spans="2:17" x14ac:dyDescent="0.2">
      <c r="B7" s="369"/>
      <c r="D7" s="5"/>
      <c r="E7" s="5"/>
      <c r="F7" s="5"/>
      <c r="G7" s="5"/>
      <c r="H7" s="5"/>
      <c r="J7" s="5"/>
      <c r="K7" s="5"/>
      <c r="L7" s="5"/>
    </row>
    <row r="8" spans="2:17" x14ac:dyDescent="0.2">
      <c r="B8" s="311"/>
      <c r="D8" s="5"/>
      <c r="E8" s="5"/>
      <c r="F8" s="5"/>
      <c r="G8" s="5"/>
      <c r="H8" s="5"/>
      <c r="J8" s="5"/>
      <c r="K8" s="5"/>
      <c r="L8" s="5"/>
    </row>
    <row r="9" spans="2:17" ht="17" x14ac:dyDescent="0.2">
      <c r="B9" s="311" t="s">
        <v>169</v>
      </c>
      <c r="D9" s="5"/>
      <c r="E9" s="5"/>
      <c r="F9" s="5"/>
      <c r="G9" s="5"/>
      <c r="H9" s="5"/>
      <c r="J9" s="5"/>
      <c r="K9" s="5"/>
      <c r="L9" s="5"/>
    </row>
    <row r="10" spans="2:17" x14ac:dyDescent="0.2">
      <c r="B10" s="311"/>
      <c r="D10" s="5"/>
      <c r="E10" s="5"/>
      <c r="F10" s="5"/>
      <c r="G10" s="5"/>
      <c r="H10" s="5"/>
      <c r="J10" s="5"/>
      <c r="K10" s="5"/>
      <c r="L10" s="5"/>
    </row>
    <row r="11" spans="2:17" x14ac:dyDescent="0.2">
      <c r="B11" s="369" t="s">
        <v>170</v>
      </c>
      <c r="D11" s="5"/>
      <c r="E11" s="5"/>
      <c r="F11" s="5"/>
      <c r="G11" s="5"/>
      <c r="H11" s="5"/>
      <c r="J11" s="5"/>
      <c r="K11" s="5"/>
      <c r="L11" s="5"/>
    </row>
    <row r="12" spans="2:17" x14ac:dyDescent="0.2">
      <c r="B12" s="369"/>
      <c r="D12" s="5"/>
      <c r="E12" s="5"/>
      <c r="F12" s="5"/>
      <c r="G12" s="5"/>
      <c r="H12" s="5"/>
      <c r="J12" s="5"/>
      <c r="K12" s="5"/>
      <c r="L12" s="5"/>
    </row>
    <row r="13" spans="2:17" x14ac:dyDescent="0.2">
      <c r="B13" s="311"/>
      <c r="D13" s="5"/>
      <c r="E13" s="5"/>
      <c r="F13" s="5"/>
      <c r="G13" s="5"/>
      <c r="H13" s="5"/>
      <c r="J13" s="5"/>
      <c r="K13" s="5"/>
      <c r="L13" s="5"/>
    </row>
    <row r="14" spans="2:17" ht="17" x14ac:dyDescent="0.2">
      <c r="B14" s="311" t="s">
        <v>171</v>
      </c>
      <c r="D14" s="5"/>
      <c r="E14" s="5"/>
      <c r="F14" s="5"/>
      <c r="G14" s="5"/>
      <c r="H14" s="5"/>
      <c r="J14" s="5"/>
      <c r="K14" s="5"/>
      <c r="L14" s="5"/>
    </row>
    <row r="15" spans="2:17" x14ac:dyDescent="0.2">
      <c r="B15" s="311"/>
      <c r="D15" s="5"/>
      <c r="E15" s="5"/>
      <c r="F15" s="5"/>
      <c r="G15" s="5"/>
      <c r="H15" s="5"/>
      <c r="J15" s="5"/>
      <c r="K15" s="5"/>
      <c r="L15" s="5"/>
    </row>
    <row r="16" spans="2:17" x14ac:dyDescent="0.2">
      <c r="B16" s="369" t="s">
        <v>172</v>
      </c>
      <c r="D16" s="5"/>
      <c r="E16" s="5"/>
      <c r="F16" s="5"/>
      <c r="G16" s="5"/>
      <c r="H16" s="5"/>
      <c r="J16" s="5"/>
      <c r="K16" s="5"/>
      <c r="L16" s="5"/>
    </row>
    <row r="17" spans="2:12" x14ac:dyDescent="0.2">
      <c r="B17" s="369"/>
      <c r="D17" s="5"/>
      <c r="E17" s="5"/>
      <c r="F17" s="5"/>
      <c r="G17" s="5"/>
      <c r="H17" s="5"/>
      <c r="J17" s="5"/>
      <c r="K17" s="5"/>
      <c r="L17" s="5"/>
    </row>
    <row r="18" spans="2:12" x14ac:dyDescent="0.2">
      <c r="B18" s="311"/>
      <c r="D18" s="5"/>
      <c r="E18" s="5"/>
      <c r="F18" s="5"/>
      <c r="G18" s="5"/>
      <c r="H18" s="5"/>
      <c r="J18" s="5"/>
      <c r="K18" s="5"/>
      <c r="L18" s="5"/>
    </row>
    <row r="19" spans="2:12" x14ac:dyDescent="0.2">
      <c r="B19" s="369" t="s">
        <v>173</v>
      </c>
      <c r="D19" s="5"/>
      <c r="E19" s="5"/>
      <c r="F19" s="5"/>
      <c r="G19" s="5"/>
      <c r="H19" s="5"/>
      <c r="J19" s="5"/>
      <c r="K19" s="5"/>
      <c r="L19" s="5"/>
    </row>
    <row r="20" spans="2:12" x14ac:dyDescent="0.2">
      <c r="B20" s="369"/>
      <c r="D20" s="5"/>
      <c r="E20" s="5"/>
      <c r="F20" s="5"/>
      <c r="G20" s="5"/>
      <c r="H20" s="5"/>
      <c r="J20" s="5"/>
      <c r="K20" s="5"/>
      <c r="L20" s="5"/>
    </row>
    <row r="21" spans="2:12" x14ac:dyDescent="0.2">
      <c r="D21" s="5"/>
      <c r="E21" s="5"/>
      <c r="F21" s="5"/>
      <c r="G21" s="5"/>
      <c r="H21" s="5"/>
      <c r="J21" s="5"/>
      <c r="K21" s="5"/>
      <c r="L21" s="5"/>
    </row>
    <row r="22" spans="2:12" ht="16" customHeight="1" x14ac:dyDescent="0.2">
      <c r="B22" s="311" t="s">
        <v>515</v>
      </c>
      <c r="D22" s="5"/>
      <c r="E22" s="5"/>
      <c r="F22" s="5"/>
      <c r="G22" s="5"/>
      <c r="H22" s="5"/>
      <c r="J22" s="5"/>
      <c r="K22" s="5"/>
      <c r="L22" s="5"/>
    </row>
    <row r="23" spans="2:12" x14ac:dyDescent="0.2">
      <c r="B23" s="311"/>
      <c r="D23" s="5"/>
      <c r="E23" s="5"/>
      <c r="F23" s="5"/>
      <c r="G23" s="5"/>
      <c r="H23" s="5"/>
      <c r="J23" s="5"/>
      <c r="K23" s="5"/>
      <c r="L23" s="5"/>
    </row>
    <row r="24" spans="2:12" x14ac:dyDescent="0.2">
      <c r="B24" s="309" t="s">
        <v>174</v>
      </c>
      <c r="D24" s="5"/>
      <c r="E24" s="5"/>
      <c r="F24" s="5"/>
      <c r="G24" s="5"/>
      <c r="H24" s="5"/>
      <c r="J24" s="5"/>
      <c r="K24" s="5"/>
      <c r="L24" s="5"/>
    </row>
    <row r="25" spans="2:12" x14ac:dyDescent="0.2">
      <c r="D25" s="5"/>
      <c r="E25" s="5"/>
      <c r="F25" s="5"/>
      <c r="G25" s="5"/>
      <c r="H25" s="5"/>
      <c r="J25" s="5"/>
      <c r="K25" s="5"/>
      <c r="L25" s="5"/>
    </row>
    <row r="26" spans="2:12" x14ac:dyDescent="0.2">
      <c r="B26" s="369" t="s">
        <v>514</v>
      </c>
      <c r="D26" s="5"/>
      <c r="E26" s="5"/>
      <c r="F26" s="5"/>
      <c r="G26" s="5"/>
      <c r="H26" s="5"/>
      <c r="J26" s="5"/>
      <c r="K26" s="5"/>
      <c r="L26" s="5"/>
    </row>
    <row r="27" spans="2:12" x14ac:dyDescent="0.2">
      <c r="B27" s="369"/>
      <c r="D27" s="5"/>
      <c r="E27" s="5"/>
      <c r="F27" s="5"/>
      <c r="G27" s="5"/>
      <c r="H27" s="5"/>
      <c r="J27" s="5"/>
      <c r="K27" s="5"/>
      <c r="L27" s="5"/>
    </row>
    <row r="28" spans="2:12" x14ac:dyDescent="0.2">
      <c r="D28" s="5"/>
      <c r="E28" s="5"/>
      <c r="F28" s="5"/>
      <c r="G28" s="5"/>
      <c r="H28" s="5"/>
      <c r="J28" s="5"/>
      <c r="K28" s="5"/>
      <c r="L28" s="5"/>
    </row>
    <row r="29" spans="2:12" x14ac:dyDescent="0.2">
      <c r="B29" s="311"/>
      <c r="D29" s="5"/>
      <c r="E29" s="5"/>
      <c r="F29" s="5"/>
      <c r="G29" s="5"/>
      <c r="H29" s="5"/>
      <c r="J29" s="5"/>
      <c r="K29" s="5"/>
      <c r="L29" s="5"/>
    </row>
    <row r="30" spans="2:12" x14ac:dyDescent="0.2">
      <c r="B30" s="311"/>
      <c r="D30" s="5"/>
      <c r="E30" s="5"/>
      <c r="F30" s="5"/>
      <c r="G30" s="5"/>
      <c r="H30" s="5"/>
      <c r="J30" s="5"/>
      <c r="K30" s="5"/>
      <c r="L30" s="5"/>
    </row>
    <row r="31" spans="2:12" x14ac:dyDescent="0.2">
      <c r="B31" s="31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pane="topRight"/>
      <selection pane="bottomLeft"/>
      <selection pane="bottomRight"/>
    </sheetView>
    <sheetView workbookViewId="1"/>
  </sheetViews>
  <sheetFormatPr baseColWidth="10" defaultRowHeight="16" x14ac:dyDescent="0.2"/>
  <cols>
    <col min="1" max="1" width="62.33203125" style="5" customWidth="1"/>
    <col min="2" max="2" width="13.1640625" style="172" customWidth="1"/>
    <col min="3" max="3" width="13.1640625" style="88" customWidth="1"/>
    <col min="4" max="4" width="28" customWidth="1"/>
  </cols>
  <sheetData>
    <row r="1" spans="1:4" s="22" customFormat="1" ht="31" customHeight="1" x14ac:dyDescent="0.3">
      <c r="A1" s="4" t="s">
        <v>44</v>
      </c>
      <c r="B1" s="259" t="s">
        <v>44</v>
      </c>
      <c r="C1" s="260"/>
      <c r="D1" s="261"/>
    </row>
    <row r="2" spans="1:4" s="86" customFormat="1" ht="19" x14ac:dyDescent="0.25">
      <c r="A2" s="14"/>
      <c r="B2" s="170"/>
      <c r="C2" s="333" t="s">
        <v>850</v>
      </c>
      <c r="D2" s="77"/>
    </row>
    <row r="3" spans="1:4" ht="117" customHeight="1" x14ac:dyDescent="0.2">
      <c r="A3" s="17"/>
      <c r="B3" s="153" t="s">
        <v>548</v>
      </c>
      <c r="C3" s="262" t="s">
        <v>841</v>
      </c>
      <c r="D3" s="78" t="s">
        <v>826</v>
      </c>
    </row>
    <row r="4" spans="1:4" x14ac:dyDescent="0.2">
      <c r="A4" s="15"/>
      <c r="B4" s="171"/>
      <c r="C4" s="89"/>
      <c r="D4" s="87" t="str">
        <f>IF(COUNTIF(C$15:INDEX($C:$C,COUNTA($A:$A)+14-COUNTA($A$1:$A$14)),"")&gt;0,"BLANK PRIORITIZATIONS","")</f>
        <v>BLANK PRIORITIZATIONS</v>
      </c>
    </row>
    <row r="5" spans="1:4" x14ac:dyDescent="0.2">
      <c r="A5" s="5" t="s">
        <v>60</v>
      </c>
      <c r="B5" s="171" t="s">
        <v>68</v>
      </c>
      <c r="C5" s="89" t="s">
        <v>68</v>
      </c>
      <c r="D5" t="s">
        <v>60</v>
      </c>
    </row>
    <row r="6" spans="1:4" x14ac:dyDescent="0.2">
      <c r="A6" s="5" t="s">
        <v>138</v>
      </c>
      <c r="B6" s="171" t="s">
        <v>72</v>
      </c>
      <c r="C6" s="89" t="s">
        <v>54</v>
      </c>
      <c r="D6" t="s">
        <v>55</v>
      </c>
    </row>
    <row r="7" spans="1:4" x14ac:dyDescent="0.2">
      <c r="A7" s="5" t="s">
        <v>70</v>
      </c>
      <c r="B7" s="171" t="s">
        <v>56</v>
      </c>
      <c r="C7" s="89" t="s">
        <v>56</v>
      </c>
      <c r="D7" t="s">
        <v>70</v>
      </c>
    </row>
    <row r="8" spans="1:4" x14ac:dyDescent="0.2">
      <c r="B8" s="355" t="s">
        <v>67</v>
      </c>
      <c r="C8" s="356" t="s">
        <v>67</v>
      </c>
    </row>
    <row r="9" spans="1:4" x14ac:dyDescent="0.2">
      <c r="B9" s="355"/>
      <c r="C9" s="356"/>
    </row>
    <row r="10" spans="1:4" x14ac:dyDescent="0.2">
      <c r="B10" s="355"/>
      <c r="C10" s="356"/>
    </row>
    <row r="11" spans="1:4" x14ac:dyDescent="0.2">
      <c r="B11" s="171"/>
      <c r="C11" s="89"/>
    </row>
    <row r="12" spans="1:4" x14ac:dyDescent="0.2">
      <c r="B12" s="171"/>
      <c r="C12" s="89"/>
    </row>
    <row r="13" spans="1:4" x14ac:dyDescent="0.2">
      <c r="B13" s="171"/>
      <c r="C13" s="89"/>
    </row>
    <row r="14" spans="1:4" x14ac:dyDescent="0.2">
      <c r="A14" s="263" t="s">
        <v>3</v>
      </c>
      <c r="B14" s="264" t="s">
        <v>365</v>
      </c>
      <c r="C14" s="265" t="s">
        <v>366</v>
      </c>
      <c r="D14" s="266" t="s">
        <v>486</v>
      </c>
    </row>
    <row r="15" spans="1:4" x14ac:dyDescent="0.2">
      <c r="C15" s="8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359" priority="3" operator="containsText" text="BLANK PRIORITIZATIONS">
      <formula>NOT(ISERROR(SEARCH("BLANK PRIORITIZATIONS",D4)))</formula>
    </cfRule>
  </conditionalFormatting>
  <conditionalFormatting sqref="B1:C1048576">
    <cfRule type="expression" dxfId="358" priority="2">
      <formula>AND(ROW(B1)&gt;14,$A1&lt;&gt;"",B1&lt;&gt;1,B1&lt;&gt;2,B1&lt;&gt;4,B1&lt;&gt;5,B1&lt;&gt;6,B1&lt;&gt;7,B1&lt;&gt;8,B1&lt;&gt;"M",B1&lt;&gt;"NA")</formula>
    </cfRule>
  </conditionalFormatting>
  <conditionalFormatting sqref="C1:C1048576">
    <cfRule type="expression" dxfId="35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zoomScaleNormal="100" workbookViewId="0">
      <pane xSplit="6" ySplit="14" topLeftCell="G15" activePane="bottomRight" state="frozen"/>
      <selection pane="topRight"/>
      <selection pane="bottomLeft"/>
      <selection pane="bottomRight"/>
    </sheetView>
    <sheetView topLeftCell="AR1" workbookViewId="1">
      <selection activeCell="AS15" sqref="AS15"/>
    </sheetView>
  </sheetViews>
  <sheetFormatPr baseColWidth="10" defaultRowHeight="16" x14ac:dyDescent="0.2"/>
  <cols>
    <col min="1" max="1" width="13.6640625" style="377"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8" customWidth="1"/>
    <col min="16" max="18" width="13.1640625" style="36" customWidth="1"/>
    <col min="19" max="19" width="13.1640625" style="47" customWidth="1"/>
    <col min="20" max="21" width="13.1640625" style="36" customWidth="1"/>
    <col min="22" max="22" width="13.1640625" style="83" customWidth="1"/>
    <col min="23" max="23" width="13.1640625" style="36" customWidth="1"/>
    <col min="24" max="24" width="13.1640625" style="19" customWidth="1"/>
    <col min="25" max="25" width="13.1640625" style="36" customWidth="1"/>
    <col min="26" max="26" width="13.1640625" style="432" customWidth="1"/>
    <col min="27" max="28" width="13.1640625" style="19" customWidth="1"/>
    <col min="29" max="29" width="13.1640625" style="433" customWidth="1"/>
    <col min="30" max="30" width="13.1640625" style="36" customWidth="1"/>
    <col min="31" max="31" width="13.1640625" style="433" customWidth="1"/>
    <col min="32" max="32" width="13.1640625" style="83" customWidth="1"/>
    <col min="33" max="34" width="13.1640625" style="36" customWidth="1"/>
    <col min="35" max="35" width="13.1640625" style="441" customWidth="1"/>
    <col min="36" max="38" width="13.1640625" style="36" customWidth="1"/>
    <col min="39" max="39" width="13.1640625" style="61" customWidth="1"/>
    <col min="40" max="40" width="13.1640625" style="33" customWidth="1"/>
    <col min="41" max="41" width="13.1640625" style="432" customWidth="1"/>
    <col min="42" max="42" width="13.1640625" style="441" customWidth="1"/>
    <col min="43" max="43" width="13.1640625" style="432" customWidth="1"/>
    <col min="44" max="45" width="13.1640625" style="36" customWidth="1"/>
    <col min="46" max="46" width="13.1640625" style="19" customWidth="1"/>
    <col min="47" max="47" width="13.1640625" style="47" customWidth="1"/>
    <col min="48" max="48" width="13.1640625" style="152" customWidth="1"/>
    <col min="49" max="49" width="13.1640625" style="410" customWidth="1"/>
    <col min="50" max="50" width="13.1640625" style="19" customWidth="1"/>
    <col min="51" max="51" width="13.1640625" style="33" customWidth="1"/>
    <col min="52" max="52" width="13.1640625" style="318" customWidth="1"/>
    <col min="53" max="53" width="13.1640625" style="441" customWidth="1"/>
    <col min="54" max="54" width="13.1640625" style="36" customWidth="1"/>
    <col min="55" max="55" width="13.1640625" style="33" customWidth="1"/>
    <col min="56" max="56" width="13.1640625" style="152" customWidth="1"/>
    <col min="57" max="57" width="13.1640625" style="33" customWidth="1"/>
  </cols>
  <sheetData>
    <row r="1" spans="1:57" ht="31" customHeight="1" thickBot="1" x14ac:dyDescent="0.25">
      <c r="A1" s="379" t="s">
        <v>188</v>
      </c>
      <c r="B1" s="4"/>
      <c r="C1" s="4"/>
      <c r="D1" s="4"/>
      <c r="E1" s="367"/>
      <c r="F1" s="268" t="s">
        <v>626</v>
      </c>
      <c r="G1" s="268" t="s">
        <v>630</v>
      </c>
      <c r="H1" s="235"/>
      <c r="I1" s="236"/>
      <c r="J1" s="237"/>
      <c r="K1" s="236"/>
      <c r="L1" s="268" t="s">
        <v>629</v>
      </c>
      <c r="M1" s="235"/>
      <c r="N1" s="235"/>
      <c r="O1" s="234"/>
      <c r="P1" s="238"/>
      <c r="Q1" s="236"/>
      <c r="R1" s="236"/>
      <c r="S1" s="268" t="s">
        <v>691</v>
      </c>
      <c r="T1" s="234"/>
      <c r="U1" s="236"/>
      <c r="V1" s="286"/>
      <c r="W1" s="236"/>
      <c r="X1" s="424"/>
      <c r="Y1" s="236"/>
      <c r="Z1" s="428"/>
      <c r="AA1" s="424"/>
      <c r="AB1" s="285"/>
      <c r="AC1" s="428"/>
      <c r="AD1" s="242"/>
      <c r="AE1" s="428"/>
      <c r="AF1" s="286"/>
      <c r="AG1" s="242"/>
      <c r="AH1" s="237"/>
      <c r="AI1" s="437" t="s">
        <v>706</v>
      </c>
      <c r="AJ1" s="237"/>
      <c r="AK1" s="237"/>
      <c r="AL1" s="237"/>
      <c r="AM1" s="268" t="s">
        <v>701</v>
      </c>
      <c r="AN1" s="234"/>
      <c r="AO1" s="428"/>
      <c r="AP1" s="437" t="s">
        <v>702</v>
      </c>
      <c r="AQ1" s="428"/>
      <c r="AR1" s="237"/>
      <c r="AS1" s="237"/>
      <c r="AT1" s="445"/>
      <c r="AU1" s="242"/>
      <c r="AV1" s="396" t="s">
        <v>700</v>
      </c>
      <c r="AW1" s="406"/>
      <c r="AX1" s="243"/>
      <c r="AY1" s="236"/>
      <c r="AZ1" s="307"/>
      <c r="BA1" s="437" t="s">
        <v>699</v>
      </c>
      <c r="BB1" s="236"/>
      <c r="BC1" s="236"/>
      <c r="BD1" s="437" t="s">
        <v>624</v>
      </c>
      <c r="BE1" s="236"/>
    </row>
    <row r="2" spans="1:57" ht="19" x14ac:dyDescent="0.25">
      <c r="A2" s="370" t="s">
        <v>704</v>
      </c>
      <c r="B2" s="371"/>
      <c r="C2" s="2"/>
      <c r="D2" s="2"/>
      <c r="E2" s="13"/>
      <c r="F2" s="52"/>
      <c r="G2" s="52"/>
      <c r="H2" s="43"/>
      <c r="I2" s="43"/>
      <c r="J2" s="56"/>
      <c r="K2" s="43"/>
      <c r="L2" s="52"/>
      <c r="M2" s="43"/>
      <c r="N2" s="43"/>
      <c r="O2" s="56"/>
      <c r="P2" s="46"/>
      <c r="Q2" s="43"/>
      <c r="R2" s="43"/>
      <c r="S2" s="52" t="s">
        <v>703</v>
      </c>
      <c r="T2" s="56" t="s">
        <v>847</v>
      </c>
      <c r="U2" s="46"/>
      <c r="V2" s="90"/>
      <c r="W2" s="46"/>
      <c r="X2" s="419"/>
      <c r="Y2" s="46"/>
      <c r="Z2" s="429"/>
      <c r="AA2" s="419"/>
      <c r="AB2" s="419"/>
      <c r="AC2" s="429"/>
      <c r="AD2" s="46"/>
      <c r="AE2" s="429"/>
      <c r="AF2" s="90" t="s">
        <v>846</v>
      </c>
      <c r="AG2" s="46"/>
      <c r="AH2" s="56"/>
      <c r="AI2" s="438" t="s">
        <v>707</v>
      </c>
      <c r="AJ2" s="56"/>
      <c r="AK2" s="56"/>
      <c r="AL2" s="56"/>
      <c r="AM2" s="393" t="s">
        <v>850</v>
      </c>
      <c r="AN2" s="314" t="s">
        <v>850</v>
      </c>
      <c r="AO2" s="429"/>
      <c r="AP2" s="438"/>
      <c r="AQ2" s="429"/>
      <c r="AR2" s="56"/>
      <c r="AS2" s="56"/>
      <c r="AT2" s="446"/>
      <c r="AU2" s="315" t="s">
        <v>850</v>
      </c>
      <c r="AV2" s="397"/>
      <c r="AW2" s="407"/>
      <c r="AX2" s="308"/>
      <c r="AY2" s="313" t="s">
        <v>850</v>
      </c>
      <c r="AZ2" s="316"/>
      <c r="BA2" s="448"/>
      <c r="BB2" s="313" t="s">
        <v>850</v>
      </c>
      <c r="BC2" s="313" t="s">
        <v>850</v>
      </c>
      <c r="BD2" s="402"/>
      <c r="BE2" s="313" t="s">
        <v>850</v>
      </c>
    </row>
    <row r="3" spans="1:57" ht="134" customHeight="1" thickBot="1" x14ac:dyDescent="0.25">
      <c r="A3" s="372"/>
      <c r="B3" s="373"/>
      <c r="C3" s="17"/>
      <c r="D3" s="17"/>
      <c r="E3" s="364"/>
      <c r="F3" s="390" t="s">
        <v>849</v>
      </c>
      <c r="G3" s="106" t="s">
        <v>579</v>
      </c>
      <c r="H3" s="148" t="s">
        <v>1</v>
      </c>
      <c r="I3" s="148" t="s">
        <v>0</v>
      </c>
      <c r="J3" s="142" t="s">
        <v>36</v>
      </c>
      <c r="K3" s="148" t="s">
        <v>35</v>
      </c>
      <c r="L3" s="106" t="s">
        <v>579</v>
      </c>
      <c r="M3" s="148" t="s">
        <v>1</v>
      </c>
      <c r="N3" s="148" t="s">
        <v>0</v>
      </c>
      <c r="O3" s="405" t="s">
        <v>842</v>
      </c>
      <c r="P3" s="75" t="s">
        <v>36</v>
      </c>
      <c r="Q3" s="148" t="s">
        <v>35</v>
      </c>
      <c r="R3" s="148" t="s">
        <v>677</v>
      </c>
      <c r="S3" s="391" t="s">
        <v>843</v>
      </c>
      <c r="T3" s="256" t="s">
        <v>678</v>
      </c>
      <c r="U3" s="257" t="s">
        <v>679</v>
      </c>
      <c r="V3" s="413" t="s">
        <v>680</v>
      </c>
      <c r="W3" s="257" t="s">
        <v>683</v>
      </c>
      <c r="X3" s="420" t="s">
        <v>684</v>
      </c>
      <c r="Y3" s="257" t="s">
        <v>844</v>
      </c>
      <c r="Z3" s="430" t="s">
        <v>685</v>
      </c>
      <c r="AA3" s="420" t="s">
        <v>686</v>
      </c>
      <c r="AB3" s="420" t="s">
        <v>687</v>
      </c>
      <c r="AC3" s="430" t="s">
        <v>689</v>
      </c>
      <c r="AD3" s="257" t="s">
        <v>688</v>
      </c>
      <c r="AE3" s="430" t="s">
        <v>845</v>
      </c>
      <c r="AF3" s="413" t="s">
        <v>681</v>
      </c>
      <c r="AG3" s="257" t="s">
        <v>682</v>
      </c>
      <c r="AH3" s="302" t="s">
        <v>690</v>
      </c>
      <c r="AI3" s="439" t="s">
        <v>705</v>
      </c>
      <c r="AJ3" s="76" t="s">
        <v>708</v>
      </c>
      <c r="AK3" s="69" t="s">
        <v>868</v>
      </c>
      <c r="AL3" s="256" t="s">
        <v>848</v>
      </c>
      <c r="AM3" s="394" t="s">
        <v>626</v>
      </c>
      <c r="AN3" s="322" t="s">
        <v>852</v>
      </c>
      <c r="AO3" s="444" t="s">
        <v>717</v>
      </c>
      <c r="AP3" s="439" t="s">
        <v>695</v>
      </c>
      <c r="AQ3" s="430" t="s">
        <v>694</v>
      </c>
      <c r="AR3" s="76" t="s">
        <v>625</v>
      </c>
      <c r="AS3" s="76" t="s">
        <v>693</v>
      </c>
      <c r="AT3" s="430" t="s">
        <v>692</v>
      </c>
      <c r="AU3" s="30" t="s">
        <v>627</v>
      </c>
      <c r="AV3" s="398" t="s">
        <v>696</v>
      </c>
      <c r="AW3" s="408" t="s">
        <v>697</v>
      </c>
      <c r="AX3" s="233" t="s">
        <v>698</v>
      </c>
      <c r="AY3" s="30" t="s">
        <v>628</v>
      </c>
      <c r="AZ3" s="321" t="s">
        <v>851</v>
      </c>
      <c r="BA3" s="439" t="s">
        <v>632</v>
      </c>
      <c r="BB3" s="30" t="s">
        <v>853</v>
      </c>
      <c r="BC3" s="322" t="s">
        <v>854</v>
      </c>
      <c r="BD3" s="398" t="s">
        <v>731</v>
      </c>
      <c r="BE3" s="30" t="s">
        <v>855</v>
      </c>
    </row>
    <row r="4" spans="1:57" x14ac:dyDescent="0.2">
      <c r="A4" s="380"/>
      <c r="B4" s="15"/>
      <c r="C4" s="15"/>
      <c r="D4" s="15" t="s">
        <v>2</v>
      </c>
      <c r="E4" s="365"/>
      <c r="F4" s="59"/>
      <c r="G4" s="59">
        <f>SUBTOTAL(109,G$15:INDEX(G:G,COUNTA($B:$B)+14-COUNTA($B$1:$B$14)))</f>
        <v>0</v>
      </c>
      <c r="H4" s="49">
        <f>SUBTOTAL(109,H$15:INDEX(H:H,COUNTA($B:$B)+14-COUNTA($B$1:$B$14)))</f>
        <v>0</v>
      </c>
      <c r="I4" s="49">
        <f>SUBTOTAL(109,I$15:INDEX(I:I,COUNTA($B:$B)+14-COUNTA($B$1:$B$14)))</f>
        <v>0</v>
      </c>
      <c r="J4" s="151">
        <f>SUBTOTAL(109,J$15:INDEX(J:J,COUNTA($B:$B)+14-COUNTA($B$1:$B$14)))</f>
        <v>0</v>
      </c>
      <c r="K4" s="35">
        <f>SUBTOTAL(109,K$15:INDEX(K:K,COUNTA($B:$B)+14-COUNTA($B$1:$B$14)))</f>
        <v>0</v>
      </c>
      <c r="L4" s="59">
        <f>SUBTOTAL(109,L$15:INDEX(L:L,COUNTA($B:$B)+14-COUNTA($B$1:$B$14)))</f>
        <v>0</v>
      </c>
      <c r="M4" s="49">
        <f>SUBTOTAL(109,M$15:INDEX(M:M,COUNTA($B:$B)+14-COUNTA($B$1:$B$14)))</f>
        <v>0</v>
      </c>
      <c r="N4" s="49">
        <f>SUBTOTAL(109,N$15:INDEX(N:N,COUNTA($B:$B)+14-COUNTA($B$1:$B$14)))</f>
        <v>0</v>
      </c>
      <c r="O4" s="49">
        <f>SUBTOTAL(109,O$15:INDEX(O:O,COUNTA($B:$B)+14-COUNTA($B$1:$B$14)))</f>
        <v>0</v>
      </c>
      <c r="P4" s="67">
        <f>SUBTOTAL(109,P$15:INDEX(P:P,COUNTA($B:$B)+14-COUNTA($B$1:$B$14)))</f>
        <v>0</v>
      </c>
      <c r="Q4" s="35">
        <f>SUBTOTAL(109,Q$15:INDEX(Q:Q,COUNTA($B:$B)+14-COUNTA($B$1:$B$14)))</f>
        <v>0</v>
      </c>
      <c r="R4" s="35">
        <f>SUBTOTAL(109,R$15:INDEX(R:R,COUNTA($B:$B)+14-COUNTA($B$1:$B$14)))</f>
        <v>0</v>
      </c>
      <c r="S4" s="65">
        <f>SUBTOTAL(109,S$15:INDEX(S:S,COUNTA($B:$B)+14-COUNTA($B$1:$B$14)))</f>
        <v>0</v>
      </c>
      <c r="T4" s="80">
        <f>SUBTOTAL(109,T$15:INDEX(T:T,COUNTA($B:$B)+14-COUNTA($B$1:$B$14)))</f>
        <v>0</v>
      </c>
      <c r="U4" s="44">
        <f>SUBTOTAL(109,U$15:INDEX(U:U,COUNTA($B:$B)+14-COUNTA($B$1:$B$14)))</f>
        <v>0</v>
      </c>
      <c r="V4" s="414" t="str">
        <f>IF(SUM($T4)=0,"",SUM($U4)/$T4)</f>
        <v/>
      </c>
      <c r="W4" s="44">
        <f>SUBTOTAL(109,W$15:INDEX(W:W,COUNTA($B:$B)+14-COUNTA($B$1:$B$14)))</f>
        <v>0</v>
      </c>
      <c r="X4" s="425" t="str">
        <f>IF(SUM($U4)=0,"",SUM($W4)/$U4)</f>
        <v/>
      </c>
      <c r="Y4" s="44">
        <f>SUBTOTAL(109,Y$15:INDEX(Y:Y,COUNTA($B:$B)+14-COUNTA($B$1:$B$14)))</f>
        <v>0</v>
      </c>
      <c r="Z4" s="431" t="str">
        <f>IF(SUM($U4)=0,"",SUM($Y4)/$U4)</f>
        <v/>
      </c>
      <c r="AA4" s="425" t="str">
        <f>IF(SUM($W4)=0,"",SUM($Y4)/$W4)</f>
        <v/>
      </c>
      <c r="AB4" s="425">
        <f>SUBTOTAL(109,AB$15:INDEX(AB:AB,COUNTA($B:$B)+14-COUNTA($B$1:$B$14)))</f>
        <v>0</v>
      </c>
      <c r="AC4" s="431" t="str">
        <f>IF(SUM($Y4)=0,"",SUM($AB4)/$Y4)</f>
        <v/>
      </c>
      <c r="AD4" s="44">
        <f>SUBTOTAL(109,AD$15:INDEX(AD:AD,COUNTA($B:$B)+14-COUNTA($B$1:$B$14)))</f>
        <v>0</v>
      </c>
      <c r="AE4" s="431" t="str">
        <f>IF(SUM($AB4)=0,"",SUM($AD4)/$AB4)</f>
        <v/>
      </c>
      <c r="AF4" s="414" t="str">
        <f>IF(SUM($T4)=0,"",SUM($AG4)/$T4)</f>
        <v/>
      </c>
      <c r="AG4" s="104">
        <f>SUBTOTAL(109,AG$15:INDEX(AG:AG,COUNTA($B:$B)+14-COUNTA($B$1:$B$14)))</f>
        <v>0</v>
      </c>
      <c r="AH4" s="80">
        <f>SUBTOTAL(109,AH$15:INDEX(AH:AH,COUNTA($B:$B)+14-COUNTA($B$1:$B$14)))</f>
        <v>0</v>
      </c>
      <c r="AI4" s="440" t="str">
        <f>IF(SUM($AH4)=0,"",SUM($AJ4)/$AH4)</f>
        <v/>
      </c>
      <c r="AJ4" s="80">
        <f>SUBTOTAL(109,AJ$15:INDEX(AJ:AJ,COUNTA($B:$B)+14-COUNTA($B$1:$B$14)))</f>
        <v>0</v>
      </c>
      <c r="AK4" s="80">
        <f>SUBTOTAL(109,AK$15:INDEX(AK:AK,COUNTA($B:$B)+14-COUNTA($B$1:$B$14)))</f>
        <v>0</v>
      </c>
      <c r="AL4" s="80">
        <f>SUBTOTAL(109,AL$15:INDEX(AL:AL,COUNTA($B:$B)+14-COUNTA($B$1:$B$14)))</f>
        <v>0</v>
      </c>
      <c r="AM4" s="61">
        <f>SUBTOTAL(109,AM$15:INDEX(AM:AM,COUNTA($B:$B)+14-COUNTA($B$1:$B$14)))</f>
        <v>0</v>
      </c>
      <c r="AN4" s="33">
        <f>SUBTOTAL(109,AN$15:INDEX(AN:AN,COUNTA($B:$B)+14-COUNTA($B$1:$B$14)))</f>
        <v>0</v>
      </c>
      <c r="AO4" s="431" t="str">
        <f>IF(SUM($AH4)=0,"",SUM($AN4)/$AH4)</f>
        <v/>
      </c>
      <c r="AP4" s="440"/>
      <c r="AQ4" s="431"/>
      <c r="AR4" s="49">
        <f>SUBTOTAL(109,AR$15:INDEX(AR:AR,COUNTA($B:$B)+14-COUNTA($B$1:$B$14)))</f>
        <v>0</v>
      </c>
      <c r="AS4" s="49">
        <f>SUBTOTAL(109,AS$15:INDEX(AS:AS,COUNTA($B:$B)+14-COUNTA($B$1:$B$14)))</f>
        <v>0</v>
      </c>
      <c r="AT4" s="431" t="str">
        <f>IF(SUM($AS4)=0,"",SUM($AU4)/$AS4)</f>
        <v/>
      </c>
      <c r="AU4" s="41">
        <f>SUBTOTAL(109,AU$15:INDEX(AU:AU,COUNTA($B:$B)+14-COUNTA($B$1:$B$14)))</f>
        <v>0</v>
      </c>
      <c r="AV4" s="399" t="str">
        <f>IF(SUM($AS4)=0,"",(SUM($AW4)-SUM($O4))/$AS4)</f>
        <v/>
      </c>
      <c r="AW4" s="409" t="e">
        <f>SUBTOTAL(109,AW$15:INDEX(AW:AW,COUNTA($B:$B)+14-COUNTA($B$1:$B$14)))</f>
        <v>#VALUE!</v>
      </c>
      <c r="AX4" s="232" t="e">
        <f>IF(SUM($AW4)=0,"",SUM($AY4)/$AW4)</f>
        <v>#VALUE!</v>
      </c>
      <c r="AY4" s="228" t="e">
        <f>SUBTOTAL(109,AY$15:INDEX(AY:AY,COUNTA($B:$B)+14-COUNTA($B$1:$B$14)))</f>
        <v>#VALUE!</v>
      </c>
      <c r="AZ4" s="317">
        <f>SUBTOTAL(109,AZ$15:INDEX(AZ:AZ,COUNTA($B:$B)+14-COUNTA($B$1:$B$14)))</f>
        <v>0</v>
      </c>
      <c r="BA4" s="449" t="e">
        <f>IF(SUM($AY4)=0,"",SUM($BB4)/$AY4)</f>
        <v>#VALUE!</v>
      </c>
      <c r="BB4" s="228" t="e">
        <f>SUBTOTAL(109,BB$15:INDEX(BB:BB,COUNTA($B:$B)+14-COUNTA($B$1:$B$14)))</f>
        <v>#VALUE!</v>
      </c>
      <c r="BC4" s="228">
        <f>SUBTOTAL(109,BC$15:INDEX(BC:BC,COUNTA($B:$B)+14-COUNTA($B$1:$B$14)))</f>
        <v>0</v>
      </c>
      <c r="BD4" s="403" t="str">
        <f>IF(SUM($AU4)=0,"",SUM($BE4)/$AU4)</f>
        <v/>
      </c>
      <c r="BE4" s="228">
        <f>SUBTOTAL(109,BE$15:INDEX(BE:BE,COUNTA($B:$B)+14-COUNTA($B$1:$B$14)))</f>
        <v>0</v>
      </c>
    </row>
    <row r="5" spans="1:57" x14ac:dyDescent="0.2">
      <c r="A5" s="377" t="s">
        <v>60</v>
      </c>
      <c r="B5" s="5" t="s">
        <v>60</v>
      </c>
      <c r="C5" s="5" t="s">
        <v>60</v>
      </c>
      <c r="D5" s="5" t="s">
        <v>60</v>
      </c>
      <c r="E5" t="s">
        <v>60</v>
      </c>
      <c r="F5" s="47" t="s">
        <v>60</v>
      </c>
      <c r="G5" s="47" t="s">
        <v>60</v>
      </c>
      <c r="H5" s="158" t="s">
        <v>71</v>
      </c>
      <c r="I5" s="158" t="s">
        <v>71</v>
      </c>
      <c r="J5" s="36" t="s">
        <v>71</v>
      </c>
      <c r="K5" s="36" t="s">
        <v>71</v>
      </c>
      <c r="L5" s="47" t="s">
        <v>60</v>
      </c>
      <c r="M5" s="158" t="s">
        <v>71</v>
      </c>
      <c r="N5" s="158" t="s">
        <v>71</v>
      </c>
      <c r="O5" s="58" t="s">
        <v>60</v>
      </c>
      <c r="P5" s="36" t="s">
        <v>71</v>
      </c>
      <c r="Q5" s="36" t="s">
        <v>71</v>
      </c>
      <c r="R5" s="36" t="s">
        <v>60</v>
      </c>
      <c r="S5" s="47" t="s">
        <v>69</v>
      </c>
      <c r="T5" s="36" t="s">
        <v>68</v>
      </c>
      <c r="U5" s="36" t="s">
        <v>68</v>
      </c>
      <c r="V5" s="83" t="s">
        <v>68</v>
      </c>
      <c r="W5" s="36" t="s">
        <v>69</v>
      </c>
      <c r="X5" s="426" t="s">
        <v>60</v>
      </c>
      <c r="Y5" s="36" t="s">
        <v>69</v>
      </c>
      <c r="Z5" s="432" t="s">
        <v>60</v>
      </c>
      <c r="AA5" s="426" t="s">
        <v>60</v>
      </c>
      <c r="AB5" s="19" t="s">
        <v>60</v>
      </c>
      <c r="AC5" s="433" t="s">
        <v>60</v>
      </c>
      <c r="AD5" s="36" t="s">
        <v>69</v>
      </c>
      <c r="AE5" s="433" t="s">
        <v>60</v>
      </c>
      <c r="AF5" s="94" t="s">
        <v>60</v>
      </c>
      <c r="AG5" s="37" t="s">
        <v>60</v>
      </c>
      <c r="AH5" s="36" t="s">
        <v>60</v>
      </c>
      <c r="AI5" s="441" t="s">
        <v>60</v>
      </c>
      <c r="AJ5" s="36" t="s">
        <v>60</v>
      </c>
      <c r="AK5" s="36" t="s">
        <v>60</v>
      </c>
      <c r="AL5" s="36" t="s">
        <v>60</v>
      </c>
      <c r="AM5" s="61" t="s">
        <v>71</v>
      </c>
      <c r="AN5" s="33" t="s">
        <v>69</v>
      </c>
      <c r="AO5" s="432" t="s">
        <v>60</v>
      </c>
      <c r="AP5" s="441" t="s">
        <v>60</v>
      </c>
      <c r="AQ5" s="432" t="s">
        <v>60</v>
      </c>
      <c r="AR5" s="36" t="s">
        <v>60</v>
      </c>
      <c r="AS5" s="36" t="s">
        <v>60</v>
      </c>
      <c r="AT5" s="433" t="s">
        <v>60</v>
      </c>
      <c r="AU5" s="103" t="s">
        <v>71</v>
      </c>
      <c r="AV5" s="152" t="s">
        <v>60</v>
      </c>
      <c r="AW5" s="410" t="s">
        <v>60</v>
      </c>
      <c r="AX5" s="19" t="s">
        <v>60</v>
      </c>
      <c r="AY5" s="33" t="s">
        <v>71</v>
      </c>
      <c r="AZ5" s="318" t="s">
        <v>60</v>
      </c>
      <c r="BA5" s="441" t="s">
        <v>60</v>
      </c>
      <c r="BB5" s="33" t="s">
        <v>71</v>
      </c>
      <c r="BC5" s="33" t="s">
        <v>69</v>
      </c>
      <c r="BD5" s="152" t="s">
        <v>60</v>
      </c>
      <c r="BE5" s="33" t="s">
        <v>60</v>
      </c>
    </row>
    <row r="6" spans="1:57" x14ac:dyDescent="0.2">
      <c r="A6" s="377" t="s">
        <v>138</v>
      </c>
      <c r="B6" s="5" t="s">
        <v>138</v>
      </c>
      <c r="C6" s="5" t="s">
        <v>138</v>
      </c>
      <c r="D6" s="5" t="s">
        <v>138</v>
      </c>
      <c r="E6" t="s">
        <v>138</v>
      </c>
      <c r="F6" s="47" t="s">
        <v>74</v>
      </c>
      <c r="G6" s="47" t="s">
        <v>73</v>
      </c>
      <c r="H6" s="158" t="s">
        <v>72</v>
      </c>
      <c r="I6" s="158" t="s">
        <v>72</v>
      </c>
      <c r="J6" s="36" t="s">
        <v>72</v>
      </c>
      <c r="K6" s="36" t="s">
        <v>72</v>
      </c>
      <c r="L6" s="47" t="s">
        <v>73</v>
      </c>
      <c r="M6" s="158" t="s">
        <v>72</v>
      </c>
      <c r="N6" s="158" t="s">
        <v>72</v>
      </c>
      <c r="O6" s="58" t="s">
        <v>74</v>
      </c>
      <c r="P6" s="36" t="s">
        <v>72</v>
      </c>
      <c r="Q6" s="36" t="s">
        <v>72</v>
      </c>
      <c r="R6" s="36" t="s">
        <v>55</v>
      </c>
      <c r="S6" s="47" t="s">
        <v>522</v>
      </c>
      <c r="T6" s="36" t="s">
        <v>54</v>
      </c>
      <c r="U6" s="36" t="s">
        <v>54</v>
      </c>
      <c r="V6" s="83" t="s">
        <v>54</v>
      </c>
      <c r="W6" s="36" t="s">
        <v>54</v>
      </c>
      <c r="X6" s="426" t="s">
        <v>55</v>
      </c>
      <c r="Y6" s="36" t="s">
        <v>54</v>
      </c>
      <c r="Z6" s="432" t="s">
        <v>55</v>
      </c>
      <c r="AA6" s="426" t="s">
        <v>55</v>
      </c>
      <c r="AB6" s="19" t="s">
        <v>55</v>
      </c>
      <c r="AC6" s="433" t="s">
        <v>55</v>
      </c>
      <c r="AD6" s="36" t="s">
        <v>54</v>
      </c>
      <c r="AE6" s="433" t="s">
        <v>55</v>
      </c>
      <c r="AF6" s="94" t="s">
        <v>55</v>
      </c>
      <c r="AG6" s="37" t="s">
        <v>55</v>
      </c>
      <c r="AH6" s="36" t="s">
        <v>55</v>
      </c>
      <c r="AI6" s="441" t="s">
        <v>74</v>
      </c>
      <c r="AJ6" s="36" t="s">
        <v>55</v>
      </c>
      <c r="AK6" s="36" t="s">
        <v>55</v>
      </c>
      <c r="AL6" s="36" t="s">
        <v>74</v>
      </c>
      <c r="AM6" s="61" t="s">
        <v>54</v>
      </c>
      <c r="AN6" s="33" t="s">
        <v>54</v>
      </c>
      <c r="AO6" s="432" t="s">
        <v>55</v>
      </c>
      <c r="AP6" s="441" t="s">
        <v>74</v>
      </c>
      <c r="AQ6" s="432" t="s">
        <v>74</v>
      </c>
      <c r="AR6" s="36" t="s">
        <v>55</v>
      </c>
      <c r="AS6" s="36" t="s">
        <v>55</v>
      </c>
      <c r="AT6" s="433" t="s">
        <v>74</v>
      </c>
      <c r="AU6" s="103" t="s">
        <v>54</v>
      </c>
      <c r="AV6" s="152" t="s">
        <v>74</v>
      </c>
      <c r="AW6" s="410" t="s">
        <v>55</v>
      </c>
      <c r="AX6" s="19" t="s">
        <v>74</v>
      </c>
      <c r="AY6" s="33" t="s">
        <v>54</v>
      </c>
      <c r="AZ6" s="318" t="s">
        <v>74</v>
      </c>
      <c r="BA6" s="441" t="s">
        <v>74</v>
      </c>
      <c r="BB6" s="33" t="s">
        <v>54</v>
      </c>
      <c r="BC6" s="33" t="s">
        <v>54</v>
      </c>
      <c r="BD6" s="152" t="s">
        <v>74</v>
      </c>
      <c r="BE6" s="33" t="s">
        <v>55</v>
      </c>
    </row>
    <row r="7" spans="1:57" x14ac:dyDescent="0.2">
      <c r="A7" s="377" t="s">
        <v>70</v>
      </c>
      <c r="B7" s="5" t="s">
        <v>70</v>
      </c>
      <c r="C7" s="5" t="s">
        <v>70</v>
      </c>
      <c r="D7" s="5" t="s">
        <v>70</v>
      </c>
      <c r="E7" t="s">
        <v>70</v>
      </c>
      <c r="F7" s="47" t="s">
        <v>56</v>
      </c>
      <c r="G7" s="47" t="s">
        <v>56</v>
      </c>
      <c r="H7" s="158" t="s">
        <v>56</v>
      </c>
      <c r="I7" s="158" t="s">
        <v>56</v>
      </c>
      <c r="J7" s="36" t="s">
        <v>56</v>
      </c>
      <c r="K7" s="36" t="s">
        <v>56</v>
      </c>
      <c r="L7" s="47" t="s">
        <v>56</v>
      </c>
      <c r="M7" s="158" t="s">
        <v>56</v>
      </c>
      <c r="N7" s="158" t="s">
        <v>56</v>
      </c>
      <c r="O7" s="58" t="s">
        <v>56</v>
      </c>
      <c r="P7" s="36" t="s">
        <v>56</v>
      </c>
      <c r="Q7" s="36" t="s">
        <v>56</v>
      </c>
      <c r="R7" s="36" t="s">
        <v>56</v>
      </c>
      <c r="S7" s="47" t="s">
        <v>56</v>
      </c>
      <c r="T7" s="36" t="s">
        <v>56</v>
      </c>
      <c r="U7" s="36" t="s">
        <v>56</v>
      </c>
      <c r="V7" s="83" t="s">
        <v>57</v>
      </c>
      <c r="W7" s="36" t="s">
        <v>56</v>
      </c>
      <c r="X7" s="426" t="s">
        <v>57</v>
      </c>
      <c r="Y7" s="36" t="s">
        <v>56</v>
      </c>
      <c r="Z7" s="432" t="s">
        <v>57</v>
      </c>
      <c r="AA7" s="426" t="s">
        <v>57</v>
      </c>
      <c r="AB7" s="19" t="s">
        <v>56</v>
      </c>
      <c r="AC7" s="433" t="s">
        <v>57</v>
      </c>
      <c r="AD7" s="36" t="s">
        <v>56</v>
      </c>
      <c r="AE7" s="433" t="s">
        <v>57</v>
      </c>
      <c r="AF7" s="94" t="s">
        <v>57</v>
      </c>
      <c r="AG7" s="37" t="s">
        <v>56</v>
      </c>
      <c r="AH7" s="36" t="s">
        <v>56</v>
      </c>
      <c r="AI7" s="441" t="s">
        <v>57</v>
      </c>
      <c r="AJ7" s="36" t="s">
        <v>56</v>
      </c>
      <c r="AK7" s="36" t="s">
        <v>56</v>
      </c>
      <c r="AL7" s="36" t="s">
        <v>56</v>
      </c>
      <c r="AM7" s="61" t="s">
        <v>56</v>
      </c>
      <c r="AN7" s="33" t="s">
        <v>56</v>
      </c>
      <c r="AO7" s="432" t="s">
        <v>57</v>
      </c>
      <c r="AP7" s="441" t="s">
        <v>57</v>
      </c>
      <c r="AQ7" s="432" t="s">
        <v>57</v>
      </c>
      <c r="AR7" s="36" t="s">
        <v>56</v>
      </c>
      <c r="AS7" s="36" t="s">
        <v>56</v>
      </c>
      <c r="AT7" s="433" t="s">
        <v>57</v>
      </c>
      <c r="AU7" s="103" t="s">
        <v>56</v>
      </c>
      <c r="AV7" s="152" t="s">
        <v>57</v>
      </c>
      <c r="AW7" s="410" t="s">
        <v>56</v>
      </c>
      <c r="AX7" s="19" t="s">
        <v>57</v>
      </c>
      <c r="AY7" s="33" t="s">
        <v>56</v>
      </c>
      <c r="AZ7" s="318" t="s">
        <v>56</v>
      </c>
      <c r="BA7" s="441" t="s">
        <v>57</v>
      </c>
      <c r="BB7" s="33" t="s">
        <v>56</v>
      </c>
      <c r="BC7" s="33" t="s">
        <v>56</v>
      </c>
      <c r="BD7" s="152" t="s">
        <v>57</v>
      </c>
      <c r="BE7" s="33" t="s">
        <v>56</v>
      </c>
    </row>
    <row r="8" spans="1:57" x14ac:dyDescent="0.2">
      <c r="B8" s="5"/>
      <c r="D8" s="36"/>
      <c r="G8" s="346"/>
      <c r="H8" s="359" t="s">
        <v>552</v>
      </c>
      <c r="I8" s="359" t="s">
        <v>517</v>
      </c>
      <c r="J8" s="344" t="s">
        <v>1011</v>
      </c>
      <c r="K8" s="344" t="s">
        <v>534</v>
      </c>
      <c r="L8" s="346"/>
      <c r="M8" s="359" t="s">
        <v>99</v>
      </c>
      <c r="N8" s="359" t="s">
        <v>97</v>
      </c>
      <c r="P8" s="344" t="s">
        <v>101</v>
      </c>
      <c r="Q8" s="344" t="s">
        <v>532</v>
      </c>
      <c r="S8" s="346" t="s">
        <v>389</v>
      </c>
      <c r="T8" s="344" t="s">
        <v>58</v>
      </c>
      <c r="U8" s="344" t="s">
        <v>178</v>
      </c>
      <c r="V8" s="415" t="s">
        <v>59</v>
      </c>
      <c r="W8" s="344" t="s">
        <v>61</v>
      </c>
      <c r="X8" s="427"/>
      <c r="Y8" s="344" t="s">
        <v>182</v>
      </c>
      <c r="AA8" s="427"/>
      <c r="AD8" s="344" t="s">
        <v>62</v>
      </c>
      <c r="AF8" s="416"/>
      <c r="AG8" s="105"/>
      <c r="AH8" s="344" t="s">
        <v>178</v>
      </c>
      <c r="AM8" s="357" t="s">
        <v>97</v>
      </c>
      <c r="AN8" s="338" t="s">
        <v>182</v>
      </c>
      <c r="AT8" s="433"/>
      <c r="AU8" s="343" t="s">
        <v>99</v>
      </c>
      <c r="AY8" s="338" t="s">
        <v>101</v>
      </c>
      <c r="BB8" s="338" t="s">
        <v>532</v>
      </c>
      <c r="BC8" s="338" t="s">
        <v>62</v>
      </c>
    </row>
    <row r="9" spans="1:57" x14ac:dyDescent="0.2">
      <c r="B9" s="5"/>
      <c r="D9" s="36"/>
      <c r="G9" s="346"/>
      <c r="H9" s="359" t="s">
        <v>553</v>
      </c>
      <c r="I9" s="359" t="s">
        <v>166</v>
      </c>
      <c r="J9" s="344" t="s">
        <v>1010</v>
      </c>
      <c r="K9" s="344" t="s">
        <v>535</v>
      </c>
      <c r="L9" s="346"/>
      <c r="M9" s="359" t="s">
        <v>100</v>
      </c>
      <c r="N9" s="359" t="s">
        <v>98</v>
      </c>
      <c r="P9" s="344" t="s">
        <v>102</v>
      </c>
      <c r="Q9" s="344" t="s">
        <v>533</v>
      </c>
      <c r="S9" s="346"/>
      <c r="T9" s="344"/>
      <c r="U9" s="344"/>
      <c r="V9" s="415"/>
      <c r="W9" s="344"/>
      <c r="X9" s="427"/>
      <c r="Y9" s="344"/>
      <c r="AA9" s="427"/>
      <c r="AD9" s="344"/>
      <c r="AF9" s="416"/>
      <c r="AG9" s="105"/>
      <c r="AH9" s="344"/>
      <c r="AM9" s="357" t="s">
        <v>98</v>
      </c>
      <c r="AN9" s="338"/>
      <c r="AT9" s="433"/>
      <c r="AU9" s="343" t="s">
        <v>100</v>
      </c>
      <c r="AY9" s="338" t="s">
        <v>102</v>
      </c>
      <c r="BB9" s="338" t="s">
        <v>533</v>
      </c>
      <c r="BC9" s="338"/>
    </row>
    <row r="10" spans="1:57" x14ac:dyDescent="0.2">
      <c r="B10" s="5"/>
      <c r="D10" s="36"/>
      <c r="G10" s="346"/>
      <c r="H10" s="359" t="s">
        <v>66</v>
      </c>
      <c r="I10" s="359" t="s">
        <v>66</v>
      </c>
      <c r="J10" s="344" t="s">
        <v>103</v>
      </c>
      <c r="K10" s="344" t="s">
        <v>103</v>
      </c>
      <c r="L10" s="346"/>
      <c r="M10" s="359" t="s">
        <v>66</v>
      </c>
      <c r="N10" s="359" t="s">
        <v>66</v>
      </c>
      <c r="P10" s="359" t="s">
        <v>103</v>
      </c>
      <c r="Q10" s="359" t="s">
        <v>103</v>
      </c>
      <c r="R10" s="159"/>
      <c r="S10" s="346" t="s">
        <v>66</v>
      </c>
      <c r="T10" s="344"/>
      <c r="U10" s="344" t="s">
        <v>66</v>
      </c>
      <c r="V10" s="415"/>
      <c r="W10" s="344" t="s">
        <v>66</v>
      </c>
      <c r="X10" s="427"/>
      <c r="Y10" s="344" t="s">
        <v>66</v>
      </c>
      <c r="AA10" s="427"/>
      <c r="AD10" s="344" t="s">
        <v>66</v>
      </c>
      <c r="AF10" s="416"/>
      <c r="AG10" s="105"/>
      <c r="AH10" s="344" t="s">
        <v>66</v>
      </c>
      <c r="AM10" s="357" t="s">
        <v>66</v>
      </c>
      <c r="AN10" s="338" t="s">
        <v>66</v>
      </c>
      <c r="AT10" s="433"/>
      <c r="AU10" s="343" t="s">
        <v>66</v>
      </c>
      <c r="AY10" s="338" t="s">
        <v>103</v>
      </c>
      <c r="BB10" s="338" t="s">
        <v>103</v>
      </c>
      <c r="BC10" s="338" t="s">
        <v>66</v>
      </c>
    </row>
    <row r="11" spans="1:57" x14ac:dyDescent="0.2">
      <c r="B11" s="5"/>
      <c r="D11" s="36"/>
      <c r="F11" s="47" t="s">
        <v>995</v>
      </c>
      <c r="G11" s="47" t="s">
        <v>996</v>
      </c>
      <c r="H11" s="158" t="s">
        <v>996</v>
      </c>
      <c r="I11" s="158" t="s">
        <v>996</v>
      </c>
      <c r="J11" s="36" t="s">
        <v>996</v>
      </c>
      <c r="K11" s="36" t="s">
        <v>996</v>
      </c>
      <c r="L11" s="47" t="s">
        <v>996</v>
      </c>
      <c r="M11" s="158" t="s">
        <v>996</v>
      </c>
      <c r="N11" s="158" t="s">
        <v>996</v>
      </c>
      <c r="O11" s="58" t="s">
        <v>996</v>
      </c>
      <c r="P11" s="36" t="s">
        <v>996</v>
      </c>
      <c r="Q11" s="158" t="s">
        <v>996</v>
      </c>
      <c r="R11" s="158" t="s">
        <v>996</v>
      </c>
      <c r="S11" s="47" t="s">
        <v>996</v>
      </c>
      <c r="T11" s="36" t="s">
        <v>996</v>
      </c>
      <c r="U11" s="36" t="s">
        <v>996</v>
      </c>
      <c r="V11" s="83" t="s">
        <v>996</v>
      </c>
      <c r="W11" s="36" t="s">
        <v>996</v>
      </c>
      <c r="X11" s="426" t="s">
        <v>996</v>
      </c>
      <c r="Y11" s="36" t="s">
        <v>996</v>
      </c>
      <c r="Z11" s="432" t="s">
        <v>996</v>
      </c>
      <c r="AA11" s="426" t="s">
        <v>996</v>
      </c>
      <c r="AB11" s="19" t="s">
        <v>996</v>
      </c>
      <c r="AC11" s="433" t="s">
        <v>996</v>
      </c>
      <c r="AD11" s="36" t="s">
        <v>996</v>
      </c>
      <c r="AE11" s="433" t="s">
        <v>996</v>
      </c>
      <c r="AF11" s="94" t="s">
        <v>996</v>
      </c>
      <c r="AG11" s="37" t="s">
        <v>996</v>
      </c>
      <c r="AH11" s="36" t="s">
        <v>996</v>
      </c>
      <c r="AI11" s="441" t="s">
        <v>995</v>
      </c>
      <c r="AJ11" s="36" t="s">
        <v>995</v>
      </c>
      <c r="AK11" s="36" t="s">
        <v>26</v>
      </c>
      <c r="AL11" s="36" t="s">
        <v>996</v>
      </c>
      <c r="AM11" s="61" t="s">
        <v>996</v>
      </c>
      <c r="AN11" s="33" t="s">
        <v>996</v>
      </c>
      <c r="AO11" s="432" t="s">
        <v>996</v>
      </c>
      <c r="AP11" s="441" t="s">
        <v>995</v>
      </c>
      <c r="AQ11" s="432" t="s">
        <v>995</v>
      </c>
      <c r="AR11" s="36" t="s">
        <v>996</v>
      </c>
      <c r="AS11" s="36" t="s">
        <v>996</v>
      </c>
      <c r="AT11" s="433" t="s">
        <v>995</v>
      </c>
      <c r="AU11" s="103" t="s">
        <v>996</v>
      </c>
      <c r="AV11" s="152" t="s">
        <v>995</v>
      </c>
      <c r="AW11" s="410" t="s">
        <v>996</v>
      </c>
      <c r="AX11" s="19" t="s">
        <v>995</v>
      </c>
      <c r="AY11" s="33" t="s">
        <v>996</v>
      </c>
      <c r="AZ11" s="318" t="s">
        <v>996</v>
      </c>
      <c r="BA11" s="441" t="s">
        <v>995</v>
      </c>
      <c r="BB11" s="33" t="s">
        <v>996</v>
      </c>
      <c r="BC11" s="33" t="s">
        <v>996</v>
      </c>
      <c r="BD11" s="152" t="s">
        <v>995</v>
      </c>
      <c r="BE11" s="33" t="s">
        <v>996</v>
      </c>
    </row>
    <row r="12" spans="1:57" x14ac:dyDescent="0.2">
      <c r="B12" s="5"/>
      <c r="D12" s="36"/>
      <c r="F12" s="47" t="s">
        <v>139</v>
      </c>
      <c r="G12" s="47" t="s">
        <v>139</v>
      </c>
      <c r="H12" s="158" t="s">
        <v>139</v>
      </c>
      <c r="I12" s="158" t="s">
        <v>139</v>
      </c>
      <c r="J12" s="36" t="s">
        <v>139</v>
      </c>
      <c r="K12" s="36" t="s">
        <v>139</v>
      </c>
      <c r="L12" s="47" t="s">
        <v>139</v>
      </c>
      <c r="M12" s="158" t="s">
        <v>139</v>
      </c>
      <c r="N12" s="158" t="s">
        <v>139</v>
      </c>
      <c r="O12" s="58" t="s">
        <v>139</v>
      </c>
      <c r="P12" s="36" t="s">
        <v>139</v>
      </c>
      <c r="Q12" s="158" t="s">
        <v>139</v>
      </c>
      <c r="R12" s="158" t="s">
        <v>139</v>
      </c>
      <c r="S12" s="47" t="s">
        <v>139</v>
      </c>
      <c r="T12" s="36" t="s">
        <v>139</v>
      </c>
      <c r="U12" s="36" t="s">
        <v>139</v>
      </c>
      <c r="V12" s="83" t="s">
        <v>139</v>
      </c>
      <c r="W12" s="36" t="s">
        <v>139</v>
      </c>
      <c r="X12" s="426" t="s">
        <v>139</v>
      </c>
      <c r="Y12" s="36" t="s">
        <v>139</v>
      </c>
      <c r="Z12" s="432" t="s">
        <v>139</v>
      </c>
      <c r="AA12" s="426" t="s">
        <v>139</v>
      </c>
      <c r="AB12" s="19" t="s">
        <v>139</v>
      </c>
      <c r="AC12" s="433" t="s">
        <v>139</v>
      </c>
      <c r="AD12" s="36" t="s">
        <v>139</v>
      </c>
      <c r="AE12" s="433" t="s">
        <v>139</v>
      </c>
      <c r="AF12" s="94" t="s">
        <v>139</v>
      </c>
      <c r="AG12" s="37" t="s">
        <v>139</v>
      </c>
      <c r="AH12" s="36" t="s">
        <v>139</v>
      </c>
      <c r="AI12" s="441" t="s">
        <v>139</v>
      </c>
      <c r="AJ12" s="36" t="s">
        <v>139</v>
      </c>
      <c r="AK12" s="36" t="s">
        <v>139</v>
      </c>
      <c r="AL12" s="36" t="s">
        <v>139</v>
      </c>
      <c r="AM12" s="61" t="s">
        <v>139</v>
      </c>
      <c r="AN12" s="33" t="s">
        <v>139</v>
      </c>
      <c r="AO12" s="432" t="s">
        <v>139</v>
      </c>
      <c r="AP12" s="441" t="s">
        <v>139</v>
      </c>
      <c r="AQ12" s="432" t="s">
        <v>139</v>
      </c>
      <c r="AR12" s="36" t="s">
        <v>139</v>
      </c>
      <c r="AS12" s="36" t="s">
        <v>139</v>
      </c>
      <c r="AT12" s="433" t="s">
        <v>139</v>
      </c>
      <c r="AU12" s="103" t="s">
        <v>139</v>
      </c>
      <c r="AV12" s="152" t="s">
        <v>139</v>
      </c>
      <c r="AW12" s="410" t="s">
        <v>139</v>
      </c>
      <c r="AX12" s="19" t="s">
        <v>139</v>
      </c>
      <c r="AY12" s="33" t="s">
        <v>139</v>
      </c>
      <c r="AZ12" s="318" t="s">
        <v>139</v>
      </c>
      <c r="BA12" s="441" t="s">
        <v>139</v>
      </c>
      <c r="BB12" s="33" t="s">
        <v>139</v>
      </c>
      <c r="BC12" s="33" t="s">
        <v>139</v>
      </c>
      <c r="BD12" s="152" t="s">
        <v>139</v>
      </c>
      <c r="BE12" s="33" t="s">
        <v>139</v>
      </c>
    </row>
    <row r="13" spans="1:57" x14ac:dyDescent="0.2">
      <c r="B13" s="5"/>
      <c r="D13" s="36"/>
      <c r="H13" s="158"/>
      <c r="I13" s="158"/>
      <c r="M13" s="158"/>
      <c r="N13" s="158"/>
      <c r="X13" s="426"/>
      <c r="AA13" s="426"/>
      <c r="AF13" s="94"/>
      <c r="AG13" s="37"/>
      <c r="AT13" s="433"/>
      <c r="AU13" s="40"/>
      <c r="BB13" s="33"/>
    </row>
    <row r="14" spans="1:57" x14ac:dyDescent="0.2">
      <c r="A14" s="384" t="s">
        <v>44</v>
      </c>
      <c r="B14" s="244" t="s">
        <v>3</v>
      </c>
      <c r="C14" s="245" t="s">
        <v>25</v>
      </c>
      <c r="D14" s="245" t="s">
        <v>4</v>
      </c>
      <c r="E14" s="368" t="s">
        <v>48</v>
      </c>
      <c r="F14" s="274" t="s">
        <v>718</v>
      </c>
      <c r="G14" s="274" t="s">
        <v>577</v>
      </c>
      <c r="H14" s="248" t="s">
        <v>554</v>
      </c>
      <c r="I14" s="248" t="s">
        <v>200</v>
      </c>
      <c r="J14" s="247" t="s">
        <v>576</v>
      </c>
      <c r="K14" s="249" t="s">
        <v>550</v>
      </c>
      <c r="L14" s="274" t="s">
        <v>578</v>
      </c>
      <c r="M14" s="248" t="s">
        <v>555</v>
      </c>
      <c r="N14" s="248" t="s">
        <v>201</v>
      </c>
      <c r="O14" s="247" t="s">
        <v>946</v>
      </c>
      <c r="P14" s="250" t="s">
        <v>575</v>
      </c>
      <c r="Q14" s="249" t="s">
        <v>549</v>
      </c>
      <c r="R14" s="249" t="s">
        <v>585</v>
      </c>
      <c r="S14" s="274" t="s">
        <v>388</v>
      </c>
      <c r="T14" s="247" t="s">
        <v>189</v>
      </c>
      <c r="U14" s="250" t="s">
        <v>190</v>
      </c>
      <c r="V14" s="272" t="s">
        <v>192</v>
      </c>
      <c r="W14" s="250" t="s">
        <v>191</v>
      </c>
      <c r="X14" s="423" t="s">
        <v>709</v>
      </c>
      <c r="Y14" s="250" t="s">
        <v>193</v>
      </c>
      <c r="Z14" s="434" t="s">
        <v>713</v>
      </c>
      <c r="AA14" s="423" t="s">
        <v>307</v>
      </c>
      <c r="AB14" s="423" t="s">
        <v>531</v>
      </c>
      <c r="AC14" s="434" t="s">
        <v>710</v>
      </c>
      <c r="AD14" s="250" t="s">
        <v>1026</v>
      </c>
      <c r="AE14" s="434" t="s">
        <v>1025</v>
      </c>
      <c r="AF14" s="272" t="s">
        <v>581</v>
      </c>
      <c r="AG14" s="250" t="s">
        <v>580</v>
      </c>
      <c r="AH14" s="247" t="s">
        <v>711</v>
      </c>
      <c r="AI14" s="442" t="s">
        <v>716</v>
      </c>
      <c r="AJ14" s="247" t="s">
        <v>714</v>
      </c>
      <c r="AK14" s="247" t="s">
        <v>327</v>
      </c>
      <c r="AL14" s="247" t="s">
        <v>715</v>
      </c>
      <c r="AM14" s="295" t="s">
        <v>202</v>
      </c>
      <c r="AN14" s="253" t="s">
        <v>556</v>
      </c>
      <c r="AO14" s="434" t="s">
        <v>712</v>
      </c>
      <c r="AP14" s="442" t="s">
        <v>288</v>
      </c>
      <c r="AQ14" s="434" t="s">
        <v>287</v>
      </c>
      <c r="AR14" s="247" t="s">
        <v>586</v>
      </c>
      <c r="AS14" s="247" t="s">
        <v>719</v>
      </c>
      <c r="AT14" s="447" t="s">
        <v>720</v>
      </c>
      <c r="AU14" s="254" t="s">
        <v>203</v>
      </c>
      <c r="AV14" s="400" t="s">
        <v>721</v>
      </c>
      <c r="AW14" s="411" t="s">
        <v>722</v>
      </c>
      <c r="AX14" s="255" t="s">
        <v>723</v>
      </c>
      <c r="AY14" s="249" t="s">
        <v>205</v>
      </c>
      <c r="AZ14" s="319" t="s">
        <v>997</v>
      </c>
      <c r="BA14" s="450" t="s">
        <v>551</v>
      </c>
      <c r="BB14" s="249" t="s">
        <v>547</v>
      </c>
      <c r="BC14" s="249" t="s">
        <v>1027</v>
      </c>
      <c r="BD14" s="404" t="s">
        <v>310</v>
      </c>
      <c r="BE14" s="249" t="s">
        <v>361</v>
      </c>
    </row>
    <row r="15" spans="1:57" x14ac:dyDescent="0.2">
      <c r="A15" s="377" t="e">
        <f>INDEX(Prioritization!$D:$D,MATCH($B15,Prioritization!$A:$A,0))</f>
        <v>#N/A</v>
      </c>
      <c r="B15" s="5"/>
      <c r="D15" s="5"/>
      <c r="E15" t="str">
        <f>$B15&amp;"|"&amp;$C15&amp;"|"&amp;$D15</f>
        <v>||</v>
      </c>
      <c r="F15" s="53"/>
      <c r="G15" s="53"/>
      <c r="H15" s="149"/>
      <c r="I15" s="149"/>
      <c r="J15" s="58"/>
      <c r="K15" s="149"/>
      <c r="L15" s="53"/>
      <c r="M15" s="149"/>
      <c r="N15" s="149"/>
      <c r="O15" s="149" t="str">
        <f>IFERROR(1/(1/MAX($I15,$N15)),"")</f>
        <v/>
      </c>
      <c r="P15" s="38"/>
      <c r="Q15" s="149"/>
      <c r="R15" s="149" t="str">
        <f>IF(AND(SUM($I15)=0,SUM($O15)=0),"",SUM($O15)-$I15)</f>
        <v/>
      </c>
      <c r="S15" s="392" t="str">
        <f>IF(LEFT($B15,4)="_Mil","",_xlfn.IFNA(ROUND(INDEX(Spectrum!$N:$N,MATCH(RIGHT($B15,13)&amp;"|"&amp;$C15&amp;"|"&amp;$D15&amp;"|"&amp;S$14&amp;"|"&amp;"CY2022Q4",Spectrum!$Q:$Q,0)),0),""))</f>
        <v/>
      </c>
      <c r="T15" s="45" t="str">
        <f>IF(LEFT($B15,4)="_Mil","",_xlfn.IFNA(ROUND(INDEX(Spectrum!$N:$N,MATCH(RIGHT($B15,13)&amp;"|"&amp;$C15&amp;"|"&amp;$D15&amp;"|"&amp;T$14&amp;"|"&amp;"CY2023Q3",Spectrum!$Q:$Q,0)),0),""))</f>
        <v/>
      </c>
      <c r="U15" s="37" t="str">
        <f>IF(LEFT($B15,4)="_Mil","",_xlfn.IFNA(ROUND(INDEX(Spectrum!$N:$N,MATCH(RIGHT($B15,13)&amp;"|"&amp;$C15&amp;"|"&amp;$D15&amp;"|"&amp;U$14&amp;"|"&amp;"CY2023Q3",Spectrum!$Q:$Q,0)),0),""))</f>
        <v/>
      </c>
      <c r="V15" s="83" t="str">
        <f>IF(LEFT($B15,4)="_Mil","",_xlfn.IFNA(INDEX(Spectrum!$N:$N,MATCH(RIGHT($B15,13)&amp;"|"&amp;$C15&amp;"|"&amp;$D15&amp;"|"&amp;V$14&amp;"|"&amp;"CY2023Q3",Spectrum!$Q:$Q,0)),""))</f>
        <v/>
      </c>
      <c r="W15" s="37" t="str">
        <f>IF(LEFT($B15,4)="_Mil","",_xlfn.IFNA(ROUND(INDEX(Spectrum!$N:$N,MATCH(RIGHT($B15,13)&amp;"|"&amp;$C15&amp;"|"&amp;$D15&amp;"|"&amp;W$14&amp;"|"&amp;"CY2023Q3",Spectrum!$Q:$Q,0)),0),""))</f>
        <v/>
      </c>
      <c r="X15" s="426" t="str">
        <f>IF(OR(SUM($U15)=0,LEFT($B15,4)="_Mil"),"",SUM($W15)/$U15)</f>
        <v/>
      </c>
      <c r="Y15" s="36" t="str">
        <f>IF(LEFT($B15,4)="_Mil","",_xlfn.IFNA(ROUND(INDEX(Spectrum!$N:$N,MATCH(RIGHT($B15,13)&amp;"|"&amp;$C15&amp;"|"&amp;$D15&amp;"|"&amp;Y$14&amp;"|"&amp;"CY2023Q3",Spectrum!$Q:$Q,0)),0),""))</f>
        <v/>
      </c>
      <c r="Z15" s="435" t="str">
        <f>IF(LEFT($B15,4)="_Mil","",IFERROR(1/(1/INDEX(Spectrum!$N:$N,MATCH(RIGHT($B15,13)&amp;"|"&amp;$C15&amp;"|"&amp;$D15&amp;"|"&amp;Z$14&amp;"|"&amp;"CY2023Q3",Spectrum!$Q:$Q,0))),IF(SUM($U15)=0,"",SUM($Y15)/$U15)))</f>
        <v/>
      </c>
      <c r="AA15" s="426" t="str">
        <f>IF(OR(LEFT($B15,4)="_Mil",SUM($W15)=0),"",SUM($Y15)/$W15)</f>
        <v/>
      </c>
      <c r="AB15" s="230" t="str">
        <f>IF(LEFT($B15,4)="_Mil","",_xlfn.IFNA(ROUND(INDEX(Spectrum!$N:$N,MATCH(RIGHT($B15,13)&amp;"|"&amp;$C15&amp;"|"&amp;$D15&amp;"|"&amp;AB$14&amp;"|"&amp;"CY2023Q3",Spectrum!$Q:$Q,0)),0),""))</f>
        <v/>
      </c>
      <c r="AC15" s="435" t="str">
        <f>IF(OR(LEFT($B15,4)="_Mil",SUM($Y15)=0),"",SUM($AB15)/$Y15)</f>
        <v/>
      </c>
      <c r="AD15" s="37" t="str">
        <f>IF(LEFT($B15,4)="_Mil","",_xlfn.IFNA(ROUND(INDEX(Spectrum!$N:$N,MATCH(RIGHT($B15,13)&amp;"|"&amp;$C15&amp;"|"&amp;$D15&amp;"|"&amp;AD$14&amp;"|"&amp;"CY2023Q3",Spectrum!$Q:$Q,0)),0),""))</f>
        <v/>
      </c>
      <c r="AE15" s="435" t="str">
        <f>IF(OR(LEFT($B15,4)="_Mil",SUM($AB15)=0),"",SUM($AD15)/$AB15)</f>
        <v/>
      </c>
      <c r="AF15" s="417" t="str">
        <f>IF(LEFT($B15,4)="_Mil","",_xlfn.IFNA(INDEX(Spectrum!$N:$N,MATCH(RIGHT($B15,13)&amp;"|"&amp;$C15&amp;"|"&amp;$D15&amp;"|"&amp;AF$14&amp;"|"&amp;"CY2023Q3",Spectrum!$Q:$Q,0)),""))</f>
        <v/>
      </c>
      <c r="AG15" s="229" t="str">
        <f>IF(LEFT($B15,4)="_Mil","",_xlfn.IFNA(ROUND(INDEX(Spectrum!$N:$N,MATCH(RIGHT($B15,13)&amp;"|"&amp;$C15&amp;"|"&amp;$D15&amp;"|"&amp;AG$14&amp;"|"&amp;"CY2023Q3",Spectrum!$Q:$Q,0)),0),""))</f>
        <v/>
      </c>
      <c r="AH15" s="45">
        <f>IF(LEFT($B15,4)="_Mil","",SUM($U15)+SUM($AG15))</f>
        <v>0</v>
      </c>
      <c r="AI15" s="443">
        <f>IF(OR(LEFT($B15,4)="_Mil",$C15="&lt;01"),"",MAX(SUM($Z15),90%))</f>
        <v>0.9</v>
      </c>
      <c r="AJ15" s="45">
        <f>IF(OR(LEFT($B15,4)="_Mil",$C15="&lt;01"),"",ROUND(SUM($AH15)*SUM($AI15),0))</f>
        <v>0</v>
      </c>
      <c r="AK15" s="45" t="str">
        <f>IF($C15="&lt;01",ROUND(INDEX(EID!$P:$P,MATCH($B15,EID!$B:$B,0))/2,0),"")</f>
        <v/>
      </c>
      <c r="AL15" s="45">
        <f>IF($C15="&lt;01",SUM($AK15),ROUND(SUM($AJ15)*SUM($O15)/IF(SUM($Y15)=0,1,$Y15),0))</f>
        <v>0</v>
      </c>
      <c r="AM15" s="175">
        <f>IF(OR($F15="",$C15="&lt;01"),$AL15,$F15)</f>
        <v>0</v>
      </c>
      <c r="AN15" s="42" t="str">
        <f>IF(OR(SUM($O15)=0,LEFT($B15,4)="_Mil"),"",ROUND(SUM($AM15)*SUM($Y15)/SUM($O15),0))</f>
        <v/>
      </c>
      <c r="AO15" s="435" t="str">
        <f>IF(OR(LEFT($B15,4)="_Mil",SUM($AH15)=0),"",SUM($AN15)/$AH15)</f>
        <v/>
      </c>
      <c r="AP15" s="443">
        <f>IF($C15="&lt;01","",98%)</f>
        <v>0.98</v>
      </c>
      <c r="AQ15" s="435">
        <f>IF($C15="&lt;01","",98%)</f>
        <v>0.98</v>
      </c>
      <c r="AR15" s="45">
        <f>IF($C15="&lt;01","",SUM($AM15)-SUM($O15))</f>
        <v>0</v>
      </c>
      <c r="AS15" s="45">
        <f>IF($C15="&lt;01",ROUND(INDEX(EID!$N:$N,MATCH($B15,EID!$B:$B,0))/2,0),IF(SUM($AQ15)=0,"",ROUND((SUM($AM15)-(SUM($O15)*SUM($AP15)))/$AQ15,0)))</f>
        <v>0</v>
      </c>
      <c r="AT15" s="435">
        <f>IF($C15="&lt;01","",100%)</f>
        <v>1</v>
      </c>
      <c r="AU15" s="174">
        <f>IF($C15="&lt;01",SUM($AS15),ROUND(SUM($AS15)*SUM($AT15),0))</f>
        <v>0</v>
      </c>
      <c r="AV15" s="443">
        <f>IF($C15="&lt;01","",70%)</f>
        <v>0.7</v>
      </c>
      <c r="AW15" s="412" t="e">
        <f>IF($C15="&lt;01",ROUND(INDEX(EID!$R:$R,MATCH($B15,EID!$B:$B,0))/2,0),ROUND($O15+(SUM($AS15)*$AV15),0))</f>
        <v>#VALUE!</v>
      </c>
      <c r="AX15" s="230">
        <f>IF($C15="&lt;01","",95%)</f>
        <v>0.95</v>
      </c>
      <c r="AY15" s="42" t="e">
        <f>IF($C15="&lt;01",ROUND(INDEX(EID!$T:$T,MATCH($B15,EID!$B:$B,0))/2,0),ROUND($AW15*$AX15,0))</f>
        <v>#VALUE!</v>
      </c>
      <c r="AZ15" s="320" t="str">
        <f>IF(OR(SUM($P15)=0,LEFT($B15,4)="_Mil"),"",ROUND($AY15*$AB15/$P15,0))</f>
        <v/>
      </c>
      <c r="BA15" s="443">
        <f>IF($C15="&lt;01","",95%)</f>
        <v>0.95</v>
      </c>
      <c r="BB15" s="174" t="e">
        <f>IF($C15="&lt;01",ROUND(INDEX(EID!$V:$V,MATCH($B15,EID!$B:$B,0))/2,0),ROUND($BA15*$AY15,0))</f>
        <v>#VALUE!</v>
      </c>
      <c r="BC15" s="174" t="str">
        <f>IF(OR(LEFT($B15,4)="_Mil",SUM($AM15)=0),"",ROUND($BB15*$AN15/$AM15,0))</f>
        <v/>
      </c>
      <c r="BD15" s="401">
        <f>IF($C15="&lt;01","",95%)</f>
        <v>0.95</v>
      </c>
      <c r="BE15" s="42">
        <f>IF($C15="&lt;01",ROUND(INDEX(EID!$L:$L,MATCH($B15,EID!$B:$B,0)),0)/2,IF(SUM($BD15)=0,"",ROUND($AU15/$BD15,0)))</f>
        <v>0</v>
      </c>
    </row>
    <row r="16" spans="1:57" x14ac:dyDescent="0.2">
      <c r="O16" s="149"/>
      <c r="R16" s="149"/>
      <c r="X16" s="426"/>
      <c r="AA16" s="426"/>
      <c r="AC16" s="435"/>
      <c r="AE16" s="435"/>
      <c r="AH16" s="45"/>
      <c r="AI16" s="443"/>
      <c r="AJ16" s="45"/>
      <c r="AK16" s="45"/>
      <c r="AL16" s="45"/>
      <c r="AM16" s="175"/>
      <c r="AN16" s="42"/>
      <c r="AO16" s="435"/>
      <c r="AP16" s="443"/>
      <c r="AQ16" s="435"/>
      <c r="AR16" s="45"/>
      <c r="AS16" s="45"/>
      <c r="AT16" s="435"/>
      <c r="AU16" s="174"/>
      <c r="AV16" s="443"/>
      <c r="AW16" s="412"/>
      <c r="AX16" s="230"/>
      <c r="AY16" s="42"/>
      <c r="AZ16" s="320"/>
      <c r="BB16" s="174"/>
      <c r="BC16" s="174"/>
      <c r="BD16" s="401"/>
      <c r="BE16" s="42"/>
    </row>
    <row r="17" spans="48:57" x14ac:dyDescent="0.2">
      <c r="AV17" s="401"/>
      <c r="AW17" s="412"/>
      <c r="AX17" s="230"/>
      <c r="AY17" s="42"/>
      <c r="AZ17" s="320"/>
      <c r="BD17" s="401"/>
      <c r="BE17" s="42"/>
    </row>
    <row r="18" spans="48:57" x14ac:dyDescent="0.2">
      <c r="AV18" s="401"/>
      <c r="AW18" s="412"/>
      <c r="AX18" s="230"/>
      <c r="AY18" s="42"/>
      <c r="AZ18" s="320"/>
      <c r="BD18" s="401"/>
      <c r="BE18" s="42"/>
    </row>
    <row r="19" spans="48:57" x14ac:dyDescent="0.2">
      <c r="AV19" s="401"/>
      <c r="AW19" s="412"/>
      <c r="AX19" s="230"/>
      <c r="AY19" s="42"/>
      <c r="AZ19" s="320"/>
      <c r="BD19" s="401"/>
      <c r="BE19" s="42"/>
    </row>
    <row r="20" spans="48:57" x14ac:dyDescent="0.2">
      <c r="AV20" s="401"/>
      <c r="AW20" s="412"/>
      <c r="AX20" s="230"/>
      <c r="AY20" s="42"/>
      <c r="AZ20" s="320"/>
      <c r="BD20" s="401"/>
      <c r="BE20" s="42"/>
    </row>
    <row r="21" spans="48:57" x14ac:dyDescent="0.2">
      <c r="AV21" s="401"/>
      <c r="AW21" s="412"/>
      <c r="AX21" s="230"/>
      <c r="AY21" s="42"/>
      <c r="AZ21" s="320"/>
      <c r="BD21" s="401"/>
      <c r="BE21" s="42"/>
    </row>
    <row r="22" spans="48:57" x14ac:dyDescent="0.2">
      <c r="AV22" s="401"/>
      <c r="AW22" s="412"/>
      <c r="AX22" s="230"/>
      <c r="AY22" s="42"/>
      <c r="AZ22" s="320"/>
      <c r="BD22" s="401"/>
      <c r="BE22" s="42"/>
    </row>
    <row r="23" spans="48:57" x14ac:dyDescent="0.2">
      <c r="AV23" s="401"/>
      <c r="AW23" s="412"/>
      <c r="AX23" s="230"/>
      <c r="AY23" s="42"/>
      <c r="AZ23" s="320"/>
      <c r="BD23" s="401"/>
      <c r="BE23" s="42"/>
    </row>
    <row r="24" spans="48:57" x14ac:dyDescent="0.2">
      <c r="AV24" s="401"/>
      <c r="AW24" s="412"/>
      <c r="AX24" s="230"/>
      <c r="AY24" s="42"/>
      <c r="AZ24" s="320"/>
      <c r="BD24" s="401"/>
      <c r="BE24" s="42"/>
    </row>
    <row r="25" spans="48:57" x14ac:dyDescent="0.2">
      <c r="AV25" s="401"/>
      <c r="AW25" s="412"/>
      <c r="AX25" s="230"/>
      <c r="AY25" s="42"/>
      <c r="AZ25" s="320"/>
      <c r="BD25" s="401"/>
      <c r="BE25" s="42"/>
    </row>
    <row r="26" spans="48:57" x14ac:dyDescent="0.2">
      <c r="AV26" s="401"/>
      <c r="AW26" s="412"/>
      <c r="AX26" s="230"/>
      <c r="AY26" s="42"/>
      <c r="AZ26" s="320"/>
      <c r="BD26" s="401"/>
      <c r="BE26" s="42"/>
    </row>
    <row r="27" spans="48:57" x14ac:dyDescent="0.2">
      <c r="AV27" s="401"/>
      <c r="AW27" s="412"/>
      <c r="AX27" s="230"/>
      <c r="AY27" s="42"/>
      <c r="AZ27" s="320"/>
      <c r="BD27" s="401"/>
      <c r="BE27" s="42"/>
    </row>
    <row r="28" spans="48:57" x14ac:dyDescent="0.2">
      <c r="AV28" s="401"/>
      <c r="AW28" s="412"/>
      <c r="AX28" s="230"/>
      <c r="AY28" s="42"/>
      <c r="AZ28" s="320"/>
      <c r="BD28" s="401"/>
      <c r="BE28" s="42"/>
    </row>
    <row r="29" spans="48:57" x14ac:dyDescent="0.2">
      <c r="AV29" s="401"/>
      <c r="AW29" s="412"/>
      <c r="AX29" s="230"/>
      <c r="AY29" s="42"/>
      <c r="AZ29" s="320"/>
      <c r="BD29" s="401"/>
      <c r="BE29" s="42"/>
    </row>
    <row r="30" spans="48:57" x14ac:dyDescent="0.2">
      <c r="AV30" s="401"/>
      <c r="AW30" s="412"/>
      <c r="AX30" s="230"/>
      <c r="AY30" s="42"/>
      <c r="AZ30" s="320"/>
      <c r="BD30" s="401"/>
      <c r="BE30" s="42"/>
    </row>
    <row r="31" spans="48:57" x14ac:dyDescent="0.2">
      <c r="AV31" s="401"/>
      <c r="AW31" s="412"/>
      <c r="AX31" s="230"/>
      <c r="AY31" s="42"/>
      <c r="AZ31" s="320"/>
      <c r="BD31" s="401"/>
      <c r="BE31" s="42"/>
    </row>
    <row r="32" spans="48:57" x14ac:dyDescent="0.2">
      <c r="AV32" s="401"/>
      <c r="AW32" s="412"/>
      <c r="AX32" s="230"/>
      <c r="AY32" s="42"/>
      <c r="AZ32" s="320"/>
      <c r="BD32" s="401"/>
      <c r="BE32" s="42"/>
    </row>
    <row r="33" spans="48:57" x14ac:dyDescent="0.2">
      <c r="AV33" s="401"/>
      <c r="AW33" s="412"/>
      <c r="AX33" s="230"/>
      <c r="AY33" s="42"/>
      <c r="AZ33" s="320"/>
      <c r="BD33" s="401"/>
      <c r="BE33" s="42"/>
    </row>
    <row r="34" spans="48:57" x14ac:dyDescent="0.2">
      <c r="AV34" s="401"/>
      <c r="AW34" s="412"/>
      <c r="AX34" s="230"/>
      <c r="AY34" s="42"/>
      <c r="AZ34" s="320"/>
      <c r="BD34" s="401"/>
      <c r="BE34" s="42"/>
    </row>
    <row r="35" spans="48:57" x14ac:dyDescent="0.2">
      <c r="AV35" s="401"/>
      <c r="AW35" s="412"/>
      <c r="AX35" s="230"/>
      <c r="AY35" s="42"/>
      <c r="AZ35" s="320"/>
      <c r="BD35" s="401"/>
      <c r="BE35" s="42"/>
    </row>
    <row r="36" spans="48:57" x14ac:dyDescent="0.2">
      <c r="AV36" s="401"/>
      <c r="AW36" s="412"/>
      <c r="AX36" s="230"/>
      <c r="AY36" s="42"/>
      <c r="AZ36" s="320"/>
      <c r="BD36" s="401"/>
      <c r="BE36" s="42"/>
    </row>
    <row r="37" spans="48:57" x14ac:dyDescent="0.2">
      <c r="AV37" s="401"/>
      <c r="AW37" s="412"/>
      <c r="AX37" s="230"/>
      <c r="AY37" s="42"/>
      <c r="AZ37" s="320"/>
      <c r="BD37" s="401"/>
      <c r="BE37" s="42"/>
    </row>
    <row r="38" spans="48:57" x14ac:dyDescent="0.2">
      <c r="AV38" s="401"/>
      <c r="AW38" s="412"/>
      <c r="AX38" s="230"/>
      <c r="AY38" s="42"/>
      <c r="AZ38" s="320"/>
      <c r="BD38" s="401"/>
      <c r="BE38" s="42"/>
    </row>
    <row r="39" spans="48:57" x14ac:dyDescent="0.2">
      <c r="AV39" s="401"/>
      <c r="AW39" s="412"/>
      <c r="AX39" s="230"/>
      <c r="AY39" s="42"/>
      <c r="AZ39" s="320"/>
      <c r="BD39" s="401"/>
      <c r="BE39" s="42"/>
    </row>
    <row r="40" spans="48:57" x14ac:dyDescent="0.2">
      <c r="AV40" s="401"/>
      <c r="AW40" s="412"/>
      <c r="AX40" s="230"/>
      <c r="AY40" s="42"/>
      <c r="AZ40" s="320"/>
      <c r="BD40" s="401"/>
      <c r="BE40" s="42"/>
    </row>
    <row r="41" spans="48:57" x14ac:dyDescent="0.2">
      <c r="AV41" s="401"/>
      <c r="AW41" s="412"/>
      <c r="AX41" s="230"/>
      <c r="AY41" s="42"/>
      <c r="AZ41" s="320"/>
      <c r="BD41" s="401"/>
      <c r="BE41" s="42"/>
    </row>
    <row r="42" spans="48:57" x14ac:dyDescent="0.2">
      <c r="AV42" s="401"/>
      <c r="AW42" s="412"/>
      <c r="AX42" s="230"/>
      <c r="AY42" s="42"/>
      <c r="AZ42" s="320"/>
      <c r="BD42" s="401"/>
      <c r="BE42" s="42"/>
    </row>
    <row r="43" spans="48:57" x14ac:dyDescent="0.2">
      <c r="AV43" s="401"/>
      <c r="AW43" s="412"/>
      <c r="AX43" s="230"/>
      <c r="AY43" s="42"/>
      <c r="AZ43" s="320"/>
      <c r="BD43" s="401"/>
      <c r="BE43" s="42"/>
    </row>
    <row r="44" spans="48:57" x14ac:dyDescent="0.2">
      <c r="AV44" s="401"/>
      <c r="AW44" s="412"/>
      <c r="AX44" s="230"/>
      <c r="AY44" s="42"/>
      <c r="AZ44" s="320"/>
      <c r="BD44" s="401"/>
      <c r="BE44" s="42"/>
    </row>
    <row r="45" spans="48:57" x14ac:dyDescent="0.2">
      <c r="AV45" s="401"/>
      <c r="AW45" s="412"/>
      <c r="AX45" s="230"/>
      <c r="AY45" s="42"/>
      <c r="AZ45" s="320"/>
      <c r="BD45" s="401"/>
      <c r="BE45" s="42"/>
    </row>
    <row r="46" spans="48:57" x14ac:dyDescent="0.2">
      <c r="AV46" s="401"/>
      <c r="AW46" s="412"/>
      <c r="AX46" s="230"/>
      <c r="AY46" s="42"/>
      <c r="AZ46" s="320"/>
      <c r="BD46" s="401"/>
      <c r="BE46" s="42"/>
    </row>
    <row r="47" spans="48:57" x14ac:dyDescent="0.2">
      <c r="AV47" s="401"/>
      <c r="AW47" s="412"/>
      <c r="AX47" s="230"/>
      <c r="AY47" s="42"/>
      <c r="AZ47" s="320"/>
      <c r="BD47" s="401"/>
      <c r="BE47" s="42"/>
    </row>
    <row r="48" spans="48:57" x14ac:dyDescent="0.2">
      <c r="AV48" s="401"/>
      <c r="AW48" s="412"/>
      <c r="AX48" s="230"/>
      <c r="AY48" s="42"/>
      <c r="AZ48" s="320"/>
      <c r="BD48" s="401"/>
      <c r="BE48" s="42"/>
    </row>
    <row r="49" spans="48:57" x14ac:dyDescent="0.2">
      <c r="AV49" s="401"/>
      <c r="AW49" s="412"/>
      <c r="AX49" s="230"/>
      <c r="AY49" s="42"/>
      <c r="AZ49" s="320"/>
      <c r="BD49" s="401"/>
      <c r="BE49" s="42"/>
    </row>
    <row r="50" spans="48:57" x14ac:dyDescent="0.2">
      <c r="AV50" s="401"/>
      <c r="AW50" s="412"/>
      <c r="AX50" s="230"/>
      <c r="AY50" s="42"/>
      <c r="AZ50" s="320"/>
      <c r="BD50" s="401"/>
      <c r="BE50" s="42"/>
    </row>
    <row r="51" spans="48:57" x14ac:dyDescent="0.2">
      <c r="AV51" s="401"/>
      <c r="AW51" s="412"/>
      <c r="AX51" s="230"/>
      <c r="AY51" s="42"/>
      <c r="AZ51" s="320"/>
      <c r="BD51" s="401"/>
      <c r="BE51" s="42"/>
    </row>
    <row r="52" spans="48:57" x14ac:dyDescent="0.2">
      <c r="AV52" s="401"/>
      <c r="AW52" s="412"/>
      <c r="AX52" s="230"/>
      <c r="AY52" s="42"/>
      <c r="AZ52" s="320"/>
      <c r="BD52" s="401"/>
      <c r="BE52" s="42"/>
    </row>
    <row r="53" spans="48:57" x14ac:dyDescent="0.2">
      <c r="AV53" s="401"/>
      <c r="AW53" s="412"/>
      <c r="AX53" s="230"/>
      <c r="AY53" s="42"/>
      <c r="AZ53" s="320"/>
      <c r="BD53" s="401"/>
      <c r="BE53" s="42"/>
    </row>
    <row r="54" spans="48:57" x14ac:dyDescent="0.2">
      <c r="AV54" s="401"/>
      <c r="AW54" s="412"/>
      <c r="AX54" s="230"/>
      <c r="AY54" s="42"/>
      <c r="AZ54" s="320"/>
      <c r="BD54" s="401"/>
      <c r="BE54" s="42"/>
    </row>
    <row r="55" spans="48:57" x14ac:dyDescent="0.2">
      <c r="AV55" s="401"/>
      <c r="AW55" s="412"/>
      <c r="AX55" s="230"/>
      <c r="AY55" s="42"/>
      <c r="AZ55" s="320"/>
      <c r="BD55" s="401"/>
      <c r="BE55" s="42"/>
    </row>
    <row r="56" spans="48:57" x14ac:dyDescent="0.2">
      <c r="AV56" s="401"/>
      <c r="AW56" s="412"/>
      <c r="AX56" s="230"/>
      <c r="AY56" s="42"/>
      <c r="AZ56" s="320"/>
      <c r="BD56" s="401"/>
      <c r="BE56" s="42"/>
    </row>
    <row r="57" spans="48:57" x14ac:dyDescent="0.2">
      <c r="AV57" s="401"/>
      <c r="AW57" s="412"/>
      <c r="AX57" s="230"/>
      <c r="AY57" s="42"/>
      <c r="AZ57" s="320"/>
      <c r="BD57" s="401"/>
      <c r="BE57" s="42"/>
    </row>
    <row r="58" spans="48:57" x14ac:dyDescent="0.2">
      <c r="AV58" s="401"/>
      <c r="AW58" s="412"/>
      <c r="AX58" s="230"/>
      <c r="AY58" s="42"/>
      <c r="AZ58" s="320"/>
      <c r="BD58" s="401"/>
      <c r="BE58" s="42"/>
    </row>
    <row r="59" spans="48:57" x14ac:dyDescent="0.2">
      <c r="AV59" s="401"/>
      <c r="AW59" s="412"/>
      <c r="AX59" s="230"/>
      <c r="AY59" s="42"/>
      <c r="AZ59" s="320"/>
      <c r="BD59" s="401"/>
      <c r="BE59" s="42"/>
    </row>
    <row r="60" spans="48:57" x14ac:dyDescent="0.2">
      <c r="AV60" s="401"/>
      <c r="AW60" s="412"/>
      <c r="AX60" s="230"/>
      <c r="AY60" s="42"/>
      <c r="AZ60" s="320"/>
      <c r="BD60" s="401"/>
      <c r="BE60" s="42"/>
    </row>
    <row r="61" spans="48:57" x14ac:dyDescent="0.2">
      <c r="AV61" s="401"/>
      <c r="AW61" s="412"/>
      <c r="AX61" s="230"/>
      <c r="AY61" s="42"/>
      <c r="AZ61" s="320"/>
      <c r="BD61" s="401"/>
      <c r="BE61" s="42"/>
    </row>
    <row r="62" spans="48:57" x14ac:dyDescent="0.2">
      <c r="AV62" s="401"/>
      <c r="AW62" s="412"/>
      <c r="AX62" s="230"/>
      <c r="AY62" s="42"/>
      <c r="AZ62" s="320"/>
      <c r="BD62" s="401"/>
      <c r="BE62" s="42"/>
    </row>
    <row r="63" spans="48:57" x14ac:dyDescent="0.2">
      <c r="AV63" s="401"/>
      <c r="AW63" s="412"/>
      <c r="AX63" s="230"/>
      <c r="AY63" s="42"/>
      <c r="AZ63" s="320"/>
      <c r="BD63" s="401"/>
      <c r="BE63" s="42"/>
    </row>
    <row r="64" spans="48:57" x14ac:dyDescent="0.2">
      <c r="AV64" s="401"/>
      <c r="AW64" s="412"/>
      <c r="AX64" s="230"/>
      <c r="AY64" s="42"/>
      <c r="AZ64" s="320"/>
      <c r="BD64" s="401"/>
      <c r="BE64" s="42"/>
    </row>
    <row r="65" spans="48:57" x14ac:dyDescent="0.2">
      <c r="AV65" s="401"/>
      <c r="AW65" s="412"/>
      <c r="AX65" s="230"/>
      <c r="AY65" s="42"/>
      <c r="AZ65" s="320"/>
      <c r="BD65" s="401"/>
      <c r="BE65" s="42"/>
    </row>
    <row r="66" spans="48:57" x14ac:dyDescent="0.2">
      <c r="AV66" s="401"/>
      <c r="AW66" s="412"/>
      <c r="AX66" s="230"/>
      <c r="AY66" s="42"/>
      <c r="AZ66" s="320"/>
      <c r="BD66" s="401"/>
      <c r="BE66" s="42"/>
    </row>
    <row r="67" spans="48:57" x14ac:dyDescent="0.2">
      <c r="AV67" s="401"/>
      <c r="AW67" s="412"/>
      <c r="AX67" s="230"/>
      <c r="AY67" s="42"/>
      <c r="AZ67" s="320"/>
      <c r="BD67" s="401"/>
      <c r="BE67" s="42"/>
    </row>
    <row r="68" spans="48:57" x14ac:dyDescent="0.2">
      <c r="AV68" s="401"/>
      <c r="AW68" s="412"/>
      <c r="AX68" s="230"/>
      <c r="AY68" s="42"/>
      <c r="AZ68" s="320"/>
      <c r="BD68" s="401"/>
      <c r="BE68" s="42"/>
    </row>
    <row r="69" spans="48:57" x14ac:dyDescent="0.2">
      <c r="AV69" s="401"/>
      <c r="AW69" s="412"/>
      <c r="AX69" s="230"/>
      <c r="AY69" s="42"/>
      <c r="AZ69" s="320"/>
      <c r="BD69" s="401"/>
      <c r="BE69" s="42"/>
    </row>
    <row r="70" spans="48:57" x14ac:dyDescent="0.2">
      <c r="AV70" s="401"/>
      <c r="AW70" s="412"/>
      <c r="AX70" s="230"/>
      <c r="AY70" s="42"/>
      <c r="AZ70" s="320"/>
      <c r="BD70" s="401"/>
      <c r="BE70" s="42"/>
    </row>
    <row r="71" spans="48:57" x14ac:dyDescent="0.2">
      <c r="AV71" s="401"/>
      <c r="AW71" s="412"/>
      <c r="AX71" s="230"/>
      <c r="AY71" s="42"/>
      <c r="AZ71" s="320"/>
      <c r="BD71" s="401"/>
      <c r="BE71" s="42"/>
    </row>
    <row r="72" spans="48:57" x14ac:dyDescent="0.2">
      <c r="AV72" s="401"/>
      <c r="AW72" s="412"/>
      <c r="AX72" s="230"/>
      <c r="AY72" s="42"/>
      <c r="AZ72" s="320"/>
      <c r="BD72" s="401"/>
      <c r="BE72" s="42"/>
    </row>
    <row r="73" spans="48:57" x14ac:dyDescent="0.2">
      <c r="AV73" s="401"/>
      <c r="AW73" s="412"/>
      <c r="AX73" s="230"/>
      <c r="AY73" s="42"/>
      <c r="AZ73" s="320"/>
      <c r="BD73" s="401"/>
      <c r="BE73" s="42"/>
    </row>
    <row r="74" spans="48:57" x14ac:dyDescent="0.2">
      <c r="AV74" s="401"/>
      <c r="AW74" s="412"/>
      <c r="AX74" s="230"/>
      <c r="AY74" s="42"/>
      <c r="AZ74" s="320"/>
      <c r="BD74" s="401"/>
      <c r="BE74" s="42"/>
    </row>
    <row r="75" spans="48:57" x14ac:dyDescent="0.2">
      <c r="AV75" s="401"/>
      <c r="AW75" s="412"/>
      <c r="AX75" s="230"/>
      <c r="AY75" s="42"/>
      <c r="AZ75" s="320"/>
      <c r="BD75" s="401"/>
      <c r="BE75" s="42"/>
    </row>
    <row r="76" spans="48:57" x14ac:dyDescent="0.2">
      <c r="AV76" s="401"/>
      <c r="AW76" s="412"/>
      <c r="AX76" s="230"/>
      <c r="AY76" s="42"/>
      <c r="AZ76" s="320"/>
      <c r="BD76" s="401"/>
      <c r="BE76" s="42"/>
    </row>
    <row r="77" spans="48:57" x14ac:dyDescent="0.2">
      <c r="AV77" s="401"/>
      <c r="AW77" s="412"/>
      <c r="AX77" s="230"/>
      <c r="AY77" s="42"/>
      <c r="AZ77" s="320"/>
      <c r="BD77" s="401"/>
      <c r="BE77" s="42"/>
    </row>
    <row r="78" spans="48:57" x14ac:dyDescent="0.2">
      <c r="AV78" s="401"/>
      <c r="AW78" s="412"/>
      <c r="AX78" s="230"/>
      <c r="AY78" s="42"/>
      <c r="AZ78" s="320"/>
      <c r="BD78" s="401"/>
      <c r="BE78" s="42"/>
    </row>
    <row r="79" spans="48:57" x14ac:dyDescent="0.2">
      <c r="AV79" s="401"/>
      <c r="AW79" s="412"/>
      <c r="AX79" s="230"/>
      <c r="AY79" s="42"/>
      <c r="AZ79" s="320"/>
      <c r="BD79" s="401"/>
      <c r="BE79" s="42"/>
    </row>
    <row r="80" spans="48:57" x14ac:dyDescent="0.2">
      <c r="AV80" s="401"/>
      <c r="AW80" s="412"/>
      <c r="AX80" s="230"/>
      <c r="AY80" s="42"/>
      <c r="AZ80" s="320"/>
      <c r="BD80" s="401"/>
      <c r="BE80" s="42"/>
    </row>
    <row r="81" spans="48:57" x14ac:dyDescent="0.2">
      <c r="AV81" s="401"/>
      <c r="AW81" s="412"/>
      <c r="AX81" s="230"/>
      <c r="AY81" s="42"/>
      <c r="AZ81" s="320"/>
      <c r="BD81" s="401"/>
      <c r="BE81" s="42"/>
    </row>
    <row r="82" spans="48:57" x14ac:dyDescent="0.2">
      <c r="AV82" s="401"/>
      <c r="AW82" s="412"/>
      <c r="AX82" s="230"/>
      <c r="AY82" s="42"/>
      <c r="AZ82" s="320"/>
      <c r="BD82" s="401"/>
      <c r="BE82" s="42"/>
    </row>
    <row r="83" spans="48:57" x14ac:dyDescent="0.2">
      <c r="AV83" s="401"/>
      <c r="AW83" s="412"/>
      <c r="AX83" s="230"/>
      <c r="AY83" s="42"/>
      <c r="AZ83" s="320"/>
      <c r="BD83" s="401"/>
      <c r="BE83" s="42"/>
    </row>
    <row r="84" spans="48:57" x14ac:dyDescent="0.2">
      <c r="AV84" s="401"/>
      <c r="AW84" s="412"/>
      <c r="AX84" s="230"/>
      <c r="AY84" s="42"/>
      <c r="AZ84" s="320"/>
      <c r="BD84" s="401"/>
      <c r="BE84" s="42"/>
    </row>
    <row r="85" spans="48:57" x14ac:dyDescent="0.2">
      <c r="AV85" s="401"/>
      <c r="AW85" s="412"/>
      <c r="AX85" s="230"/>
      <c r="AY85" s="42"/>
      <c r="AZ85" s="320"/>
      <c r="BD85" s="401"/>
      <c r="BE85" s="42"/>
    </row>
    <row r="86" spans="48:57" x14ac:dyDescent="0.2">
      <c r="AV86" s="401"/>
      <c r="AW86" s="412"/>
      <c r="AX86" s="230"/>
      <c r="AY86" s="42"/>
      <c r="AZ86" s="320"/>
      <c r="BD86" s="401"/>
      <c r="BE86" s="42"/>
    </row>
    <row r="87" spans="48:57" x14ac:dyDescent="0.2">
      <c r="AV87" s="401"/>
      <c r="AW87" s="412"/>
      <c r="AX87" s="230"/>
      <c r="AY87" s="42"/>
      <c r="AZ87" s="320"/>
      <c r="BD87" s="401"/>
      <c r="BE87" s="42"/>
    </row>
    <row r="88" spans="48:57" x14ac:dyDescent="0.2">
      <c r="AV88" s="401"/>
      <c r="AW88" s="412"/>
      <c r="AX88" s="230"/>
      <c r="AY88" s="42"/>
      <c r="AZ88" s="320"/>
      <c r="BD88" s="401"/>
      <c r="BE88" s="42"/>
    </row>
    <row r="89" spans="48:57" x14ac:dyDescent="0.2">
      <c r="AV89" s="401"/>
      <c r="AW89" s="412"/>
      <c r="AX89" s="230"/>
      <c r="AY89" s="42"/>
      <c r="AZ89" s="320"/>
      <c r="BD89" s="401"/>
      <c r="BE89" s="42"/>
    </row>
    <row r="90" spans="48:57" x14ac:dyDescent="0.2">
      <c r="AV90" s="401"/>
      <c r="AW90" s="412"/>
      <c r="AX90" s="230"/>
      <c r="AY90" s="42"/>
      <c r="AZ90" s="320"/>
      <c r="BD90" s="401"/>
      <c r="BE90" s="42"/>
    </row>
    <row r="91" spans="48:57" x14ac:dyDescent="0.2">
      <c r="AV91" s="401"/>
      <c r="AW91" s="412"/>
      <c r="AX91" s="230"/>
      <c r="AY91" s="42"/>
      <c r="AZ91" s="320"/>
      <c r="BD91" s="401"/>
      <c r="BE91" s="42"/>
    </row>
    <row r="92" spans="48:57" x14ac:dyDescent="0.2">
      <c r="AV92" s="401"/>
      <c r="AW92" s="412"/>
      <c r="AX92" s="230"/>
      <c r="AY92" s="42"/>
      <c r="AZ92" s="320"/>
      <c r="BD92" s="401"/>
      <c r="BE92" s="42"/>
    </row>
    <row r="93" spans="48:57" x14ac:dyDescent="0.2">
      <c r="AV93" s="401"/>
      <c r="AW93" s="412"/>
      <c r="AX93" s="230"/>
      <c r="AY93" s="42"/>
      <c r="AZ93" s="320"/>
      <c r="BD93" s="401"/>
      <c r="BE93" s="42"/>
    </row>
    <row r="94" spans="48:57" x14ac:dyDescent="0.2">
      <c r="AV94" s="401"/>
      <c r="AW94" s="412"/>
      <c r="AX94" s="230"/>
      <c r="AY94" s="42"/>
      <c r="AZ94" s="320"/>
      <c r="BD94" s="401"/>
      <c r="BE94" s="42"/>
    </row>
    <row r="95" spans="48:57" x14ac:dyDescent="0.2">
      <c r="AV95" s="401"/>
      <c r="AW95" s="412"/>
      <c r="AX95" s="230"/>
      <c r="AY95" s="42"/>
      <c r="AZ95" s="320"/>
      <c r="BD95" s="401"/>
      <c r="BE95" s="42"/>
    </row>
    <row r="96" spans="48:57" x14ac:dyDescent="0.2">
      <c r="AV96" s="401"/>
      <c r="AW96" s="412"/>
      <c r="AX96" s="230"/>
      <c r="AY96" s="42"/>
      <c r="AZ96" s="320"/>
      <c r="BD96" s="401"/>
      <c r="BE96" s="42"/>
    </row>
    <row r="97" spans="48:57" x14ac:dyDescent="0.2">
      <c r="AV97" s="401"/>
      <c r="AW97" s="412"/>
      <c r="AX97" s="230"/>
      <c r="AY97" s="42"/>
      <c r="AZ97" s="320"/>
      <c r="BD97" s="401"/>
      <c r="BE97" s="42"/>
    </row>
    <row r="98" spans="48:57" x14ac:dyDescent="0.2">
      <c r="AV98" s="401"/>
      <c r="AW98" s="412"/>
      <c r="AX98" s="230"/>
      <c r="AY98" s="42"/>
      <c r="AZ98" s="320"/>
      <c r="BD98" s="401"/>
      <c r="BE98" s="42"/>
    </row>
    <row r="99" spans="48:57" x14ac:dyDescent="0.2">
      <c r="AV99" s="401"/>
      <c r="AW99" s="412"/>
      <c r="AX99" s="230"/>
      <c r="AY99" s="42"/>
      <c r="AZ99" s="320"/>
      <c r="BD99" s="401"/>
      <c r="BE99" s="42"/>
    </row>
    <row r="100" spans="48:57" x14ac:dyDescent="0.2">
      <c r="AV100" s="401"/>
      <c r="AW100" s="412"/>
      <c r="AX100" s="230"/>
      <c r="AY100" s="42"/>
      <c r="AZ100" s="320"/>
      <c r="BD100" s="401"/>
      <c r="BE100" s="42"/>
    </row>
    <row r="101" spans="48:57" x14ac:dyDescent="0.2">
      <c r="AV101" s="401"/>
      <c r="AW101" s="412"/>
      <c r="AX101" s="230"/>
      <c r="AY101" s="42"/>
      <c r="AZ101" s="320"/>
      <c r="BD101" s="401"/>
      <c r="BE101" s="42"/>
    </row>
    <row r="102" spans="48:57" x14ac:dyDescent="0.2">
      <c r="AV102" s="401"/>
      <c r="AW102" s="412"/>
      <c r="AX102" s="230"/>
      <c r="AY102" s="42"/>
      <c r="AZ102" s="320"/>
      <c r="BD102" s="401"/>
      <c r="BE102" s="42"/>
    </row>
    <row r="103" spans="48:57" x14ac:dyDescent="0.2">
      <c r="AV103" s="401"/>
      <c r="AW103" s="412"/>
      <c r="AX103" s="230"/>
      <c r="AY103" s="42"/>
      <c r="AZ103" s="320"/>
      <c r="BD103" s="401"/>
      <c r="BE103" s="42"/>
    </row>
    <row r="104" spans="48:57" x14ac:dyDescent="0.2">
      <c r="AV104" s="401"/>
      <c r="AW104" s="412"/>
      <c r="AX104" s="230"/>
      <c r="AY104" s="42"/>
      <c r="AZ104" s="320"/>
      <c r="BD104" s="401"/>
      <c r="BE104" s="42"/>
    </row>
    <row r="105" spans="48:57" x14ac:dyDescent="0.2">
      <c r="AV105" s="401"/>
      <c r="AW105" s="412"/>
      <c r="AX105" s="230"/>
      <c r="AY105" s="42"/>
      <c r="AZ105" s="320"/>
      <c r="BD105" s="401"/>
      <c r="BE105" s="42"/>
    </row>
    <row r="106" spans="48:57" x14ac:dyDescent="0.2">
      <c r="AV106" s="401"/>
      <c r="AW106" s="412"/>
      <c r="AX106" s="230"/>
      <c r="AY106" s="42"/>
      <c r="AZ106" s="320"/>
      <c r="BD106" s="401"/>
      <c r="BE106" s="42"/>
    </row>
    <row r="107" spans="48:57" x14ac:dyDescent="0.2">
      <c r="AV107" s="401"/>
      <c r="AW107" s="412"/>
      <c r="AX107" s="230"/>
      <c r="AY107" s="42"/>
      <c r="AZ107" s="320"/>
      <c r="BD107" s="401"/>
      <c r="BE107" s="42"/>
    </row>
    <row r="108" spans="48:57" x14ac:dyDescent="0.2">
      <c r="AV108" s="401"/>
      <c r="AW108" s="412"/>
      <c r="AX108" s="230"/>
      <c r="AY108" s="42"/>
      <c r="AZ108" s="320"/>
      <c r="BD108" s="401"/>
      <c r="BE108" s="42"/>
    </row>
    <row r="109" spans="48:57" x14ac:dyDescent="0.2">
      <c r="AV109" s="401"/>
      <c r="AW109" s="412"/>
      <c r="AX109" s="230"/>
      <c r="AY109" s="42"/>
      <c r="AZ109" s="320"/>
      <c r="BD109" s="401"/>
      <c r="BE109" s="42"/>
    </row>
    <row r="110" spans="48:57" x14ac:dyDescent="0.2">
      <c r="AV110" s="401"/>
      <c r="AW110" s="412"/>
      <c r="AX110" s="230"/>
      <c r="AY110" s="42"/>
      <c r="AZ110" s="320"/>
      <c r="BD110" s="401"/>
      <c r="BE110" s="42"/>
    </row>
    <row r="111" spans="48:57" x14ac:dyDescent="0.2">
      <c r="AV111" s="401"/>
      <c r="AW111" s="412"/>
      <c r="AX111" s="230"/>
      <c r="AY111" s="42"/>
      <c r="AZ111" s="320"/>
      <c r="BD111" s="401"/>
      <c r="BE111" s="42"/>
    </row>
    <row r="112" spans="48:57" x14ac:dyDescent="0.2">
      <c r="AV112" s="401"/>
      <c r="AW112" s="412"/>
      <c r="AX112" s="230"/>
      <c r="AY112" s="42"/>
      <c r="AZ112" s="320"/>
      <c r="BD112" s="401"/>
      <c r="BE112" s="42"/>
    </row>
    <row r="113" spans="48:57" x14ac:dyDescent="0.2">
      <c r="AV113" s="401"/>
      <c r="AW113" s="412"/>
      <c r="AX113" s="230"/>
      <c r="AY113" s="42"/>
      <c r="AZ113" s="320"/>
      <c r="BD113" s="401"/>
      <c r="BE113" s="42"/>
    </row>
    <row r="114" spans="48:57" x14ac:dyDescent="0.2">
      <c r="AV114" s="401"/>
      <c r="AW114" s="412"/>
      <c r="AX114" s="230"/>
      <c r="AY114" s="42"/>
      <c r="AZ114" s="320"/>
      <c r="BD114" s="401"/>
      <c r="BE114" s="42"/>
    </row>
    <row r="115" spans="48:57" x14ac:dyDescent="0.2">
      <c r="AV115" s="401"/>
      <c r="AW115" s="412"/>
      <c r="AX115" s="230"/>
      <c r="AY115" s="42"/>
      <c r="AZ115" s="320"/>
      <c r="BD115" s="401"/>
      <c r="BE115" s="42"/>
    </row>
    <row r="116" spans="48:57" x14ac:dyDescent="0.2">
      <c r="AV116" s="401"/>
      <c r="AW116" s="412"/>
      <c r="AX116" s="230"/>
      <c r="AY116" s="42"/>
      <c r="AZ116" s="320"/>
      <c r="BD116" s="401"/>
      <c r="BE116" s="42"/>
    </row>
    <row r="117" spans="48:57" x14ac:dyDescent="0.2">
      <c r="AV117" s="401"/>
      <c r="AW117" s="412"/>
      <c r="AX117" s="230"/>
      <c r="AY117" s="42"/>
      <c r="AZ117" s="320"/>
      <c r="BD117" s="401"/>
      <c r="BE117" s="42"/>
    </row>
    <row r="118" spans="48:57" x14ac:dyDescent="0.2">
      <c r="AV118" s="401"/>
      <c r="AW118" s="412"/>
      <c r="AX118" s="230"/>
      <c r="AY118" s="42"/>
      <c r="AZ118" s="320"/>
      <c r="BD118" s="401"/>
      <c r="BE118" s="42"/>
    </row>
    <row r="119" spans="48:57" x14ac:dyDescent="0.2">
      <c r="AV119" s="401"/>
      <c r="AW119" s="412"/>
      <c r="AX119" s="230"/>
      <c r="AY119" s="42"/>
      <c r="AZ119" s="320"/>
      <c r="BD119" s="401"/>
      <c r="BE119" s="42"/>
    </row>
    <row r="120" spans="48:57" x14ac:dyDescent="0.2">
      <c r="AV120" s="401"/>
      <c r="AW120" s="412"/>
      <c r="AX120" s="230"/>
      <c r="AY120" s="42"/>
      <c r="AZ120" s="320"/>
      <c r="BD120" s="401"/>
      <c r="BE120" s="42"/>
    </row>
    <row r="121" spans="48:57" x14ac:dyDescent="0.2">
      <c r="AV121" s="401"/>
      <c r="AW121" s="412"/>
      <c r="AX121" s="230"/>
      <c r="AY121" s="42"/>
      <c r="AZ121" s="320"/>
      <c r="BD121" s="401"/>
      <c r="BE121" s="42"/>
    </row>
    <row r="122" spans="48:57" x14ac:dyDescent="0.2">
      <c r="AV122" s="401"/>
      <c r="AW122" s="412"/>
      <c r="AX122" s="230"/>
      <c r="AY122" s="42"/>
      <c r="AZ122" s="320"/>
      <c r="BD122" s="401"/>
      <c r="BE122" s="42"/>
    </row>
    <row r="123" spans="48:57" x14ac:dyDescent="0.2">
      <c r="AV123" s="401"/>
      <c r="AW123" s="412"/>
      <c r="AX123" s="230"/>
      <c r="AY123" s="42"/>
      <c r="AZ123" s="320"/>
      <c r="BD123" s="401"/>
      <c r="BE123" s="42"/>
    </row>
    <row r="124" spans="48:57" x14ac:dyDescent="0.2">
      <c r="AV124" s="401"/>
      <c r="AW124" s="412"/>
      <c r="AX124" s="230"/>
      <c r="AY124" s="42"/>
      <c r="AZ124" s="320"/>
      <c r="BD124" s="401"/>
      <c r="BE124" s="42"/>
    </row>
    <row r="125" spans="48:57" x14ac:dyDescent="0.2">
      <c r="AV125" s="401"/>
      <c r="AW125" s="412"/>
      <c r="AX125" s="230"/>
      <c r="AY125" s="42"/>
      <c r="AZ125" s="320"/>
      <c r="BD125" s="401"/>
      <c r="BE125" s="42"/>
    </row>
    <row r="126" spans="48:57" x14ac:dyDescent="0.2">
      <c r="AV126" s="401"/>
      <c r="AW126" s="412"/>
      <c r="AX126" s="230"/>
      <c r="AY126" s="42"/>
      <c r="AZ126" s="320"/>
      <c r="BD126" s="401"/>
      <c r="BE126" s="42"/>
    </row>
    <row r="127" spans="48:57" x14ac:dyDescent="0.2">
      <c r="AV127" s="401"/>
      <c r="AW127" s="412"/>
      <c r="AX127" s="230"/>
      <c r="AY127" s="42"/>
      <c r="AZ127" s="320"/>
      <c r="BD127" s="401"/>
      <c r="BE127" s="42"/>
    </row>
    <row r="128" spans="48:57" x14ac:dyDescent="0.2">
      <c r="AV128" s="401"/>
      <c r="AW128" s="412"/>
      <c r="AX128" s="230"/>
      <c r="AY128" s="42"/>
      <c r="AZ128" s="320"/>
      <c r="BD128" s="401"/>
      <c r="BE128" s="42"/>
    </row>
    <row r="129" spans="48:57" x14ac:dyDescent="0.2">
      <c r="AV129" s="401"/>
      <c r="AW129" s="412"/>
      <c r="AX129" s="230"/>
      <c r="AY129" s="42"/>
      <c r="AZ129" s="320"/>
      <c r="BD129" s="401"/>
      <c r="BE129" s="42"/>
    </row>
    <row r="130" spans="48:57" x14ac:dyDescent="0.2">
      <c r="AV130" s="401"/>
      <c r="AW130" s="412"/>
      <c r="AX130" s="230"/>
      <c r="AY130" s="42"/>
      <c r="AZ130" s="320"/>
      <c r="BD130" s="401"/>
      <c r="BE130" s="42"/>
    </row>
    <row r="131" spans="48:57" x14ac:dyDescent="0.2">
      <c r="AV131" s="401"/>
      <c r="AW131" s="412"/>
      <c r="AX131" s="230"/>
      <c r="AY131" s="42"/>
      <c r="AZ131" s="320"/>
      <c r="BD131" s="401"/>
      <c r="BE131" s="42"/>
    </row>
    <row r="132" spans="48:57" x14ac:dyDescent="0.2">
      <c r="AV132" s="401"/>
      <c r="AW132" s="412"/>
      <c r="AX132" s="230"/>
      <c r="AY132" s="42"/>
      <c r="AZ132" s="320"/>
      <c r="BD132" s="401"/>
      <c r="BE132" s="42"/>
    </row>
    <row r="133" spans="48:57" x14ac:dyDescent="0.2">
      <c r="AV133" s="401"/>
      <c r="AW133" s="412"/>
      <c r="AX133" s="230"/>
      <c r="AY133" s="42"/>
      <c r="AZ133" s="320"/>
      <c r="BD133" s="401"/>
      <c r="BE133" s="42"/>
    </row>
    <row r="134" spans="48:57" x14ac:dyDescent="0.2">
      <c r="AV134" s="401"/>
      <c r="AW134" s="412"/>
      <c r="AX134" s="230"/>
      <c r="AY134" s="42"/>
      <c r="AZ134" s="320"/>
      <c r="BD134" s="401"/>
      <c r="BE134" s="42"/>
    </row>
    <row r="135" spans="48:57" x14ac:dyDescent="0.2">
      <c r="AV135" s="401"/>
      <c r="AW135" s="412"/>
      <c r="AX135" s="230"/>
      <c r="AY135" s="42"/>
      <c r="AZ135" s="320"/>
      <c r="BD135" s="401"/>
      <c r="BE135" s="42"/>
    </row>
    <row r="136" spans="48:57" x14ac:dyDescent="0.2">
      <c r="AV136" s="401"/>
      <c r="AW136" s="412"/>
      <c r="AX136" s="230"/>
      <c r="AY136" s="42"/>
      <c r="AZ136" s="320"/>
      <c r="BD136" s="401"/>
      <c r="BE136" s="42"/>
    </row>
    <row r="137" spans="48:57" x14ac:dyDescent="0.2">
      <c r="AV137" s="401"/>
      <c r="AW137" s="412"/>
      <c r="AX137" s="230"/>
      <c r="AY137" s="42"/>
      <c r="AZ137" s="320"/>
      <c r="BD137" s="401"/>
      <c r="BE137" s="42"/>
    </row>
    <row r="138" spans="48:57" x14ac:dyDescent="0.2">
      <c r="AV138" s="401"/>
      <c r="AW138" s="412"/>
      <c r="AX138" s="230"/>
      <c r="AY138" s="42"/>
      <c r="AZ138" s="320"/>
      <c r="BD138" s="401"/>
      <c r="BE138" s="42"/>
    </row>
    <row r="139" spans="48:57" x14ac:dyDescent="0.2">
      <c r="AV139" s="401"/>
      <c r="AW139" s="412"/>
      <c r="AX139" s="230"/>
      <c r="AY139" s="42"/>
      <c r="AZ139" s="320"/>
      <c r="BD139" s="401"/>
      <c r="BE139" s="42"/>
    </row>
    <row r="140" spans="48:57" x14ac:dyDescent="0.2">
      <c r="AV140" s="401"/>
      <c r="AW140" s="412"/>
      <c r="AX140" s="230"/>
      <c r="AY140" s="42"/>
      <c r="AZ140" s="320"/>
      <c r="BD140" s="401"/>
      <c r="BE140" s="42"/>
    </row>
    <row r="141" spans="48:57" x14ac:dyDescent="0.2">
      <c r="AV141" s="401"/>
      <c r="AW141" s="412"/>
      <c r="AX141" s="230"/>
      <c r="AY141" s="42"/>
      <c r="AZ141" s="320"/>
      <c r="BD141" s="401"/>
      <c r="BE141" s="42"/>
    </row>
    <row r="142" spans="48:57" x14ac:dyDescent="0.2">
      <c r="AV142" s="401"/>
      <c r="AW142" s="412"/>
      <c r="AX142" s="230"/>
      <c r="AY142" s="42"/>
      <c r="AZ142" s="320"/>
      <c r="BD142" s="401"/>
      <c r="BE142" s="42"/>
    </row>
    <row r="143" spans="48:57" x14ac:dyDescent="0.2">
      <c r="AV143" s="401"/>
      <c r="AW143" s="412"/>
      <c r="AX143" s="230"/>
      <c r="AY143" s="42"/>
      <c r="AZ143" s="320"/>
      <c r="BD143" s="401"/>
      <c r="BE143" s="42"/>
    </row>
    <row r="144" spans="48:57" x14ac:dyDescent="0.2">
      <c r="AV144" s="401"/>
      <c r="AW144" s="412"/>
      <c r="AX144" s="230"/>
      <c r="AY144" s="42"/>
      <c r="AZ144" s="320"/>
      <c r="BD144" s="401"/>
      <c r="BE144" s="42"/>
    </row>
    <row r="145" spans="48:57" x14ac:dyDescent="0.2">
      <c r="AV145" s="401"/>
      <c r="AW145" s="412"/>
      <c r="AX145" s="230"/>
      <c r="AY145" s="42"/>
      <c r="AZ145" s="320"/>
      <c r="BD145" s="401"/>
      <c r="BE145" s="42"/>
    </row>
    <row r="146" spans="48:57" x14ac:dyDescent="0.2">
      <c r="AV146" s="401"/>
      <c r="AW146" s="412"/>
      <c r="AX146" s="230"/>
      <c r="AY146" s="42"/>
      <c r="AZ146" s="320"/>
      <c r="BD146" s="401"/>
      <c r="BE146" s="42"/>
    </row>
    <row r="147" spans="48:57" x14ac:dyDescent="0.2">
      <c r="AV147" s="401"/>
      <c r="AW147" s="412"/>
      <c r="AX147" s="230"/>
      <c r="AY147" s="42"/>
      <c r="AZ147" s="320"/>
      <c r="BD147" s="401"/>
      <c r="BE147" s="42"/>
    </row>
    <row r="148" spans="48:57" x14ac:dyDescent="0.2">
      <c r="AV148" s="401"/>
      <c r="AW148" s="412"/>
      <c r="AX148" s="230"/>
      <c r="AY148" s="42"/>
      <c r="AZ148" s="320"/>
      <c r="BD148" s="401"/>
      <c r="BE148" s="42"/>
    </row>
    <row r="149" spans="48:57" x14ac:dyDescent="0.2">
      <c r="AV149" s="401"/>
      <c r="AW149" s="412"/>
      <c r="AX149" s="230"/>
      <c r="AY149" s="42"/>
      <c r="AZ149" s="320"/>
      <c r="BD149" s="401"/>
      <c r="BE149" s="42"/>
    </row>
    <row r="150" spans="48:57" x14ac:dyDescent="0.2">
      <c r="AV150" s="401"/>
      <c r="AW150" s="412"/>
      <c r="AX150" s="230"/>
      <c r="AY150" s="42"/>
      <c r="AZ150" s="320"/>
      <c r="BD150" s="401"/>
      <c r="BE150" s="42"/>
    </row>
    <row r="151" spans="48:57" x14ac:dyDescent="0.2">
      <c r="AV151" s="401"/>
      <c r="AW151" s="412"/>
      <c r="AX151" s="230"/>
      <c r="AY151" s="42"/>
      <c r="AZ151" s="320"/>
      <c r="BD151" s="401"/>
      <c r="BE151" s="42"/>
    </row>
    <row r="152" spans="48:57" x14ac:dyDescent="0.2">
      <c r="AV152" s="401"/>
      <c r="AW152" s="412"/>
      <c r="AX152" s="230"/>
      <c r="AY152" s="42"/>
      <c r="AZ152" s="320"/>
      <c r="BD152" s="401"/>
      <c r="BE152" s="42"/>
    </row>
    <row r="153" spans="48:57" x14ac:dyDescent="0.2">
      <c r="AV153" s="401"/>
      <c r="AW153" s="412"/>
      <c r="AX153" s="230"/>
      <c r="AY153" s="42"/>
      <c r="AZ153" s="320"/>
      <c r="BD153" s="401"/>
      <c r="BE153" s="42"/>
    </row>
    <row r="154" spans="48:57" x14ac:dyDescent="0.2">
      <c r="AV154" s="401"/>
      <c r="AW154" s="412"/>
      <c r="AX154" s="230"/>
      <c r="AY154" s="42"/>
      <c r="AZ154" s="320"/>
      <c r="BD154" s="401"/>
      <c r="BE154" s="42"/>
    </row>
    <row r="155" spans="48:57" x14ac:dyDescent="0.2">
      <c r="AV155" s="401"/>
      <c r="AW155" s="412"/>
      <c r="AX155" s="230"/>
      <c r="AY155" s="42"/>
      <c r="AZ155" s="320"/>
      <c r="BD155" s="401"/>
      <c r="BE155" s="42"/>
    </row>
    <row r="156" spans="48:57" x14ac:dyDescent="0.2">
      <c r="AV156" s="401"/>
      <c r="AW156" s="412"/>
      <c r="AX156" s="230"/>
      <c r="AY156" s="42"/>
      <c r="AZ156" s="320"/>
      <c r="BD156" s="401"/>
      <c r="BE156" s="42"/>
    </row>
    <row r="157" spans="48:57" x14ac:dyDescent="0.2">
      <c r="AV157" s="401"/>
      <c r="AW157" s="412"/>
      <c r="AX157" s="230"/>
      <c r="AY157" s="42"/>
      <c r="AZ157" s="320"/>
      <c r="BD157" s="401"/>
      <c r="BE157" s="42"/>
    </row>
    <row r="158" spans="48:57" x14ac:dyDescent="0.2">
      <c r="AV158" s="401"/>
      <c r="AW158" s="412"/>
      <c r="AX158" s="230"/>
      <c r="AY158" s="42"/>
      <c r="AZ158" s="320"/>
      <c r="BD158" s="401"/>
      <c r="BE158" s="42"/>
    </row>
    <row r="159" spans="48:57" x14ac:dyDescent="0.2">
      <c r="AV159" s="401"/>
      <c r="AW159" s="412"/>
      <c r="AX159" s="230"/>
      <c r="AY159" s="42"/>
      <c r="AZ159" s="320"/>
      <c r="BD159" s="401"/>
      <c r="BE159" s="42"/>
    </row>
    <row r="160" spans="48:57" x14ac:dyDescent="0.2">
      <c r="AV160" s="401"/>
      <c r="AW160" s="412"/>
      <c r="AX160" s="230"/>
      <c r="AY160" s="42"/>
      <c r="AZ160" s="320"/>
      <c r="BD160" s="401"/>
      <c r="BE160" s="42"/>
    </row>
    <row r="161" spans="48:57" x14ac:dyDescent="0.2">
      <c r="AV161" s="401"/>
      <c r="AW161" s="412"/>
      <c r="AX161" s="230"/>
      <c r="AY161" s="42"/>
      <c r="AZ161" s="320"/>
      <c r="BD161" s="401"/>
      <c r="BE161" s="42"/>
    </row>
    <row r="162" spans="48:57" x14ac:dyDescent="0.2">
      <c r="AV162" s="401"/>
      <c r="AW162" s="412"/>
      <c r="AX162" s="230"/>
      <c r="AY162" s="42"/>
      <c r="AZ162" s="320"/>
      <c r="BD162" s="401"/>
      <c r="BE162" s="42"/>
    </row>
    <row r="163" spans="48:57" x14ac:dyDescent="0.2">
      <c r="AV163" s="401"/>
      <c r="AW163" s="412"/>
      <c r="AX163" s="230"/>
      <c r="AY163" s="42"/>
      <c r="AZ163" s="320"/>
      <c r="BD163" s="401"/>
      <c r="BE163" s="42"/>
    </row>
    <row r="164" spans="48:57" x14ac:dyDescent="0.2">
      <c r="AV164" s="401"/>
      <c r="AW164" s="412"/>
      <c r="AX164" s="230"/>
      <c r="AY164" s="42"/>
      <c r="AZ164" s="320"/>
      <c r="BD164" s="401"/>
      <c r="BE164" s="42"/>
    </row>
    <row r="165" spans="48:57" x14ac:dyDescent="0.2">
      <c r="AV165" s="401"/>
      <c r="AW165" s="412"/>
      <c r="AX165" s="230"/>
      <c r="AY165" s="42"/>
      <c r="AZ165" s="320"/>
      <c r="BD165" s="401"/>
      <c r="BE165" s="42"/>
    </row>
    <row r="166" spans="48:57" x14ac:dyDescent="0.2">
      <c r="AV166" s="401"/>
      <c r="AW166" s="412"/>
      <c r="AX166" s="230"/>
      <c r="AY166" s="42"/>
      <c r="AZ166" s="320"/>
      <c r="BD166" s="401"/>
      <c r="BE166" s="42"/>
    </row>
    <row r="167" spans="48:57" x14ac:dyDescent="0.2">
      <c r="AV167" s="401"/>
      <c r="AW167" s="412"/>
      <c r="AX167" s="230"/>
      <c r="AY167" s="42"/>
      <c r="AZ167" s="320"/>
      <c r="BD167" s="401"/>
      <c r="BE167" s="42"/>
    </row>
    <row r="168" spans="48:57" x14ac:dyDescent="0.2">
      <c r="AV168" s="401"/>
      <c r="AW168" s="412"/>
      <c r="AX168" s="230"/>
      <c r="AY168" s="42"/>
      <c r="AZ168" s="320"/>
      <c r="BD168" s="401"/>
      <c r="BE168" s="42"/>
    </row>
    <row r="169" spans="48:57" x14ac:dyDescent="0.2">
      <c r="AV169" s="401"/>
      <c r="AW169" s="412"/>
      <c r="AX169" s="230"/>
      <c r="AY169" s="42"/>
      <c r="AZ169" s="320"/>
      <c r="BD169" s="401"/>
      <c r="BE169" s="42"/>
    </row>
    <row r="170" spans="48:57" x14ac:dyDescent="0.2">
      <c r="AV170" s="401"/>
      <c r="AW170" s="412"/>
      <c r="AX170" s="230"/>
      <c r="AY170" s="42"/>
      <c r="AZ170" s="320"/>
      <c r="BD170" s="401"/>
      <c r="BE170" s="42"/>
    </row>
    <row r="171" spans="48:57" x14ac:dyDescent="0.2">
      <c r="AV171" s="401"/>
      <c r="AW171" s="412"/>
      <c r="AX171" s="230"/>
      <c r="AY171" s="42"/>
      <c r="AZ171" s="320"/>
      <c r="BD171" s="401"/>
      <c r="BE171" s="42"/>
    </row>
    <row r="172" spans="48:57" x14ac:dyDescent="0.2">
      <c r="AV172" s="401"/>
      <c r="AW172" s="412"/>
      <c r="AX172" s="230"/>
      <c r="AY172" s="42"/>
      <c r="AZ172" s="320"/>
      <c r="BD172" s="401"/>
      <c r="BE172" s="42"/>
    </row>
    <row r="173" spans="48:57" x14ac:dyDescent="0.2">
      <c r="AV173" s="401"/>
      <c r="AW173" s="412"/>
      <c r="AX173" s="230"/>
      <c r="AY173" s="42"/>
      <c r="AZ173" s="320"/>
      <c r="BD173" s="401"/>
      <c r="BE173" s="42"/>
    </row>
    <row r="174" spans="48:57" x14ac:dyDescent="0.2">
      <c r="AV174" s="401"/>
      <c r="AW174" s="412"/>
      <c r="AX174" s="230"/>
      <c r="AY174" s="42"/>
      <c r="AZ174" s="320"/>
      <c r="BD174" s="401"/>
      <c r="BE174" s="42"/>
    </row>
    <row r="175" spans="48:57" x14ac:dyDescent="0.2">
      <c r="AV175" s="401"/>
      <c r="AW175" s="412"/>
      <c r="AX175" s="230"/>
      <c r="AY175" s="42"/>
      <c r="AZ175" s="320"/>
      <c r="BD175" s="401"/>
      <c r="BE175" s="42"/>
    </row>
    <row r="176" spans="48:57" x14ac:dyDescent="0.2">
      <c r="AV176" s="401"/>
      <c r="AW176" s="412"/>
      <c r="AX176" s="230"/>
      <c r="AY176" s="42"/>
      <c r="AZ176" s="320"/>
      <c r="BD176" s="401"/>
      <c r="BE176" s="42"/>
    </row>
    <row r="177" spans="48:57" x14ac:dyDescent="0.2">
      <c r="AV177" s="401"/>
      <c r="AW177" s="412"/>
      <c r="AX177" s="230"/>
      <c r="AY177" s="42"/>
      <c r="AZ177" s="320"/>
      <c r="BD177" s="401"/>
      <c r="BE177" s="42"/>
    </row>
    <row r="178" spans="48:57" x14ac:dyDescent="0.2">
      <c r="AV178" s="401"/>
      <c r="AW178" s="412"/>
      <c r="AX178" s="230"/>
      <c r="AY178" s="42"/>
      <c r="AZ178" s="320"/>
      <c r="BD178" s="401"/>
      <c r="BE178" s="42"/>
    </row>
    <row r="179" spans="48:57" x14ac:dyDescent="0.2">
      <c r="AV179" s="401"/>
      <c r="AW179" s="412"/>
      <c r="AX179" s="230"/>
      <c r="AY179" s="42"/>
      <c r="AZ179" s="320"/>
      <c r="BD179" s="401"/>
      <c r="BE179" s="42"/>
    </row>
    <row r="180" spans="48:57" x14ac:dyDescent="0.2">
      <c r="AV180" s="401"/>
      <c r="AW180" s="412"/>
      <c r="AX180" s="230"/>
      <c r="AY180" s="42"/>
      <c r="AZ180" s="320"/>
      <c r="BD180" s="401"/>
      <c r="BE180" s="42"/>
    </row>
    <row r="181" spans="48:57" x14ac:dyDescent="0.2">
      <c r="AV181" s="401"/>
      <c r="AW181" s="412"/>
      <c r="AX181" s="230"/>
      <c r="AY181" s="42"/>
      <c r="AZ181" s="320"/>
      <c r="BD181" s="401"/>
      <c r="BE181" s="42"/>
    </row>
    <row r="182" spans="48:57" x14ac:dyDescent="0.2">
      <c r="AV182" s="401"/>
      <c r="AW182" s="412"/>
      <c r="AX182" s="230"/>
      <c r="AY182" s="42"/>
      <c r="AZ182" s="320"/>
      <c r="BD182" s="401"/>
      <c r="BE182" s="42"/>
    </row>
    <row r="183" spans="48:57" x14ac:dyDescent="0.2">
      <c r="AV183" s="401"/>
      <c r="AW183" s="412"/>
      <c r="AX183" s="230"/>
      <c r="AY183" s="42"/>
      <c r="AZ183" s="320"/>
      <c r="BD183" s="401"/>
      <c r="BE183" s="42"/>
    </row>
    <row r="184" spans="48:57" x14ac:dyDescent="0.2">
      <c r="AV184" s="401"/>
      <c r="AW184" s="412"/>
      <c r="AX184" s="230"/>
      <c r="AY184" s="42"/>
      <c r="AZ184" s="320"/>
      <c r="BD184" s="401"/>
      <c r="BE184" s="42"/>
    </row>
    <row r="185" spans="48:57" x14ac:dyDescent="0.2">
      <c r="AV185" s="401"/>
      <c r="AW185" s="412"/>
      <c r="AX185" s="230"/>
      <c r="AY185" s="42"/>
      <c r="AZ185" s="320"/>
      <c r="BD185" s="401"/>
      <c r="BE185" s="42"/>
    </row>
    <row r="186" spans="48:57" x14ac:dyDescent="0.2">
      <c r="AV186" s="401"/>
      <c r="AW186" s="412"/>
      <c r="AX186" s="230"/>
      <c r="AY186" s="42"/>
      <c r="AZ186" s="320"/>
      <c r="BD186" s="401"/>
      <c r="BE186" s="42"/>
    </row>
    <row r="187" spans="48:57" x14ac:dyDescent="0.2">
      <c r="AV187" s="401"/>
      <c r="AW187" s="412"/>
      <c r="AX187" s="230"/>
      <c r="AY187" s="42"/>
      <c r="AZ187" s="320"/>
      <c r="BD187" s="401"/>
      <c r="BE187" s="42"/>
    </row>
    <row r="188" spans="48:57" x14ac:dyDescent="0.2">
      <c r="AV188" s="401"/>
      <c r="AW188" s="412"/>
      <c r="AX188" s="230"/>
      <c r="AY188" s="42"/>
      <c r="AZ188" s="320"/>
      <c r="BD188" s="401"/>
      <c r="BE188" s="42"/>
    </row>
    <row r="189" spans="48:57" x14ac:dyDescent="0.2">
      <c r="AV189" s="401"/>
      <c r="AW189" s="412"/>
      <c r="AX189" s="230"/>
      <c r="AY189" s="42"/>
      <c r="AZ189" s="320"/>
      <c r="BD189" s="401"/>
      <c r="BE189" s="42"/>
    </row>
    <row r="190" spans="48:57" x14ac:dyDescent="0.2">
      <c r="AV190" s="401"/>
      <c r="AW190" s="412"/>
      <c r="AX190" s="230"/>
      <c r="AY190" s="42"/>
      <c r="AZ190" s="320"/>
      <c r="BD190" s="401"/>
      <c r="BE190" s="42"/>
    </row>
    <row r="191" spans="48:57" x14ac:dyDescent="0.2">
      <c r="AV191" s="401"/>
      <c r="AW191" s="412"/>
      <c r="AX191" s="230"/>
      <c r="AY191" s="42"/>
      <c r="AZ191" s="320"/>
      <c r="BD191" s="401"/>
      <c r="BE191" s="42"/>
    </row>
    <row r="192" spans="48:57" x14ac:dyDescent="0.2">
      <c r="AV192" s="401"/>
      <c r="AW192" s="412"/>
      <c r="AX192" s="230"/>
      <c r="AY192" s="42"/>
      <c r="AZ192" s="320"/>
      <c r="BD192" s="401"/>
      <c r="BE192" s="42"/>
    </row>
    <row r="193" spans="48:57" x14ac:dyDescent="0.2">
      <c r="AV193" s="401"/>
      <c r="AW193" s="412"/>
      <c r="AX193" s="230"/>
      <c r="AY193" s="42"/>
      <c r="AZ193" s="320"/>
      <c r="BD193" s="401"/>
      <c r="BE193" s="42"/>
    </row>
    <row r="194" spans="48:57" x14ac:dyDescent="0.2">
      <c r="AV194" s="401"/>
      <c r="AW194" s="412"/>
      <c r="AX194" s="230"/>
      <c r="AY194" s="42"/>
      <c r="AZ194" s="320"/>
      <c r="BD194" s="401"/>
      <c r="BE194" s="42"/>
    </row>
    <row r="195" spans="48:57" x14ac:dyDescent="0.2">
      <c r="AV195" s="401"/>
      <c r="AW195" s="412"/>
      <c r="AX195" s="230"/>
      <c r="AY195" s="42"/>
      <c r="AZ195" s="320"/>
      <c r="BD195" s="401"/>
      <c r="BE195" s="42"/>
    </row>
    <row r="196" spans="48:57" x14ac:dyDescent="0.2">
      <c r="AV196" s="401"/>
      <c r="AW196" s="412"/>
      <c r="AX196" s="230"/>
      <c r="AY196" s="42"/>
      <c r="AZ196" s="320"/>
      <c r="BD196" s="401"/>
      <c r="BE196" s="42"/>
    </row>
    <row r="197" spans="48:57" x14ac:dyDescent="0.2">
      <c r="AV197" s="401"/>
      <c r="AW197" s="412"/>
      <c r="AX197" s="230"/>
      <c r="AY197" s="42"/>
      <c r="AZ197" s="320"/>
      <c r="BD197" s="401"/>
      <c r="BE197" s="42"/>
    </row>
    <row r="198" spans="48:57" x14ac:dyDescent="0.2">
      <c r="AV198" s="401"/>
      <c r="AW198" s="412"/>
      <c r="AX198" s="230"/>
      <c r="AY198" s="42"/>
      <c r="AZ198" s="320"/>
      <c r="BD198" s="401"/>
      <c r="BE198" s="42"/>
    </row>
    <row r="199" spans="48:57" x14ac:dyDescent="0.2">
      <c r="AV199" s="401"/>
      <c r="AW199" s="412"/>
      <c r="AX199" s="230"/>
      <c r="AY199" s="42"/>
      <c r="AZ199" s="320"/>
      <c r="BD199" s="401"/>
      <c r="BE199" s="42"/>
    </row>
    <row r="200" spans="48:57" x14ac:dyDescent="0.2">
      <c r="AV200" s="401"/>
      <c r="AW200" s="412"/>
      <c r="AX200" s="230"/>
      <c r="AY200" s="42"/>
      <c r="AZ200" s="320"/>
      <c r="BD200" s="401"/>
      <c r="BE200" s="42"/>
    </row>
    <row r="201" spans="48:57" x14ac:dyDescent="0.2">
      <c r="AV201" s="401"/>
      <c r="AW201" s="412"/>
      <c r="AX201" s="230"/>
      <c r="AY201" s="42"/>
      <c r="AZ201" s="320"/>
      <c r="BD201" s="401"/>
      <c r="BE201" s="42"/>
    </row>
    <row r="202" spans="48:57" x14ac:dyDescent="0.2">
      <c r="AV202" s="401"/>
      <c r="AW202" s="412"/>
      <c r="AX202" s="230"/>
      <c r="AY202" s="42"/>
      <c r="AZ202" s="320"/>
      <c r="BD202" s="401"/>
      <c r="BE202" s="42"/>
    </row>
    <row r="203" spans="48:57" x14ac:dyDescent="0.2">
      <c r="AV203" s="401"/>
      <c r="AW203" s="412"/>
      <c r="AX203" s="230"/>
      <c r="AY203" s="42"/>
      <c r="AZ203" s="320"/>
      <c r="BD203" s="401"/>
      <c r="BE203" s="42"/>
    </row>
    <row r="204" spans="48:57" x14ac:dyDescent="0.2">
      <c r="AV204" s="401"/>
      <c r="AW204" s="412"/>
      <c r="AX204" s="230"/>
      <c r="AY204" s="42"/>
      <c r="AZ204" s="320"/>
      <c r="BD204" s="401"/>
      <c r="BE204" s="42"/>
    </row>
    <row r="205" spans="48:57" x14ac:dyDescent="0.2">
      <c r="AV205" s="401"/>
      <c r="AW205" s="412"/>
      <c r="AX205" s="230"/>
      <c r="AY205" s="42"/>
      <c r="AZ205" s="320"/>
      <c r="BD205" s="401"/>
      <c r="BE205" s="42"/>
    </row>
    <row r="206" spans="48:57" x14ac:dyDescent="0.2">
      <c r="AV206" s="401"/>
      <c r="AW206" s="412"/>
      <c r="AX206" s="230"/>
      <c r="AY206" s="42"/>
      <c r="AZ206" s="320"/>
      <c r="BD206" s="401"/>
      <c r="BE206" s="42"/>
    </row>
    <row r="207" spans="48:57" x14ac:dyDescent="0.2">
      <c r="AV207" s="401"/>
      <c r="AW207" s="412"/>
      <c r="AX207" s="230"/>
      <c r="AY207" s="42"/>
      <c r="AZ207" s="320"/>
      <c r="BD207" s="401"/>
      <c r="BE207" s="42"/>
    </row>
    <row r="208" spans="48:57" x14ac:dyDescent="0.2">
      <c r="AV208" s="401"/>
      <c r="AW208" s="412"/>
      <c r="AX208" s="230"/>
      <c r="AY208" s="42"/>
      <c r="AZ208" s="320"/>
      <c r="BD208" s="401"/>
      <c r="BE208" s="42"/>
    </row>
    <row r="209" spans="48:57" x14ac:dyDescent="0.2">
      <c r="AV209" s="401"/>
      <c r="AW209" s="412"/>
      <c r="AX209" s="230"/>
      <c r="AY209" s="42"/>
      <c r="AZ209" s="320"/>
      <c r="BD209" s="401"/>
      <c r="BE209" s="42"/>
    </row>
    <row r="210" spans="48:57" x14ac:dyDescent="0.2">
      <c r="AV210" s="401"/>
      <c r="AW210" s="412"/>
      <c r="AX210" s="230"/>
      <c r="AY210" s="42"/>
      <c r="AZ210" s="320"/>
      <c r="BD210" s="401"/>
      <c r="BE210" s="42"/>
    </row>
    <row r="211" spans="48:57" x14ac:dyDescent="0.2">
      <c r="AV211" s="401"/>
      <c r="AW211" s="412"/>
      <c r="AX211" s="230"/>
      <c r="AY211" s="42"/>
      <c r="AZ211" s="320"/>
      <c r="BD211" s="401"/>
      <c r="BE211" s="42"/>
    </row>
    <row r="212" spans="48:57" x14ac:dyDescent="0.2">
      <c r="AV212" s="401"/>
      <c r="AW212" s="412"/>
      <c r="AX212" s="230"/>
      <c r="AY212" s="42"/>
      <c r="AZ212" s="320"/>
      <c r="BD212" s="401"/>
      <c r="BE212" s="42"/>
    </row>
    <row r="213" spans="48:57" x14ac:dyDescent="0.2">
      <c r="AV213" s="401"/>
      <c r="AW213" s="412"/>
      <c r="AX213" s="230"/>
      <c r="AY213" s="42"/>
      <c r="AZ213" s="320"/>
      <c r="BD213" s="401"/>
      <c r="BE213" s="42"/>
    </row>
    <row r="214" spans="48:57" x14ac:dyDescent="0.2">
      <c r="AV214" s="401"/>
      <c r="AW214" s="412"/>
      <c r="AX214" s="230"/>
      <c r="AY214" s="42"/>
      <c r="AZ214" s="320"/>
      <c r="BD214" s="401"/>
      <c r="BE214" s="42"/>
    </row>
    <row r="215" spans="48:57" x14ac:dyDescent="0.2">
      <c r="AV215" s="401"/>
      <c r="AW215" s="412"/>
      <c r="AX215" s="230"/>
      <c r="AY215" s="42"/>
      <c r="AZ215" s="320"/>
      <c r="BD215" s="401"/>
      <c r="BE215" s="42"/>
    </row>
    <row r="216" spans="48:57" x14ac:dyDescent="0.2">
      <c r="AV216" s="401"/>
      <c r="AW216" s="412"/>
      <c r="AX216" s="230"/>
      <c r="AY216" s="42"/>
      <c r="AZ216" s="320"/>
      <c r="BD216" s="401"/>
      <c r="BE216" s="42"/>
    </row>
    <row r="217" spans="48:57" x14ac:dyDescent="0.2">
      <c r="AV217" s="401"/>
      <c r="AW217" s="412"/>
      <c r="AX217" s="230"/>
      <c r="AY217" s="42"/>
      <c r="AZ217" s="320"/>
      <c r="BD217" s="401"/>
      <c r="BE217" s="42"/>
    </row>
    <row r="218" spans="48:57" x14ac:dyDescent="0.2">
      <c r="AV218" s="401"/>
      <c r="AW218" s="412"/>
      <c r="AX218" s="230"/>
      <c r="AY218" s="42"/>
      <c r="AZ218" s="320"/>
      <c r="BD218" s="401"/>
      <c r="BE218" s="42"/>
    </row>
    <row r="219" spans="48:57" x14ac:dyDescent="0.2">
      <c r="AV219" s="401"/>
      <c r="AW219" s="412"/>
      <c r="AX219" s="230"/>
      <c r="AY219" s="42"/>
      <c r="AZ219" s="320"/>
      <c r="BD219" s="401"/>
      <c r="BE219" s="42"/>
    </row>
    <row r="220" spans="48:57" x14ac:dyDescent="0.2">
      <c r="AV220" s="401"/>
      <c r="AW220" s="412"/>
      <c r="AX220" s="230"/>
      <c r="AY220" s="42"/>
      <c r="AZ220" s="320"/>
      <c r="BD220" s="401"/>
      <c r="BE220" s="42"/>
    </row>
    <row r="221" spans="48:57" x14ac:dyDescent="0.2">
      <c r="AV221" s="401"/>
      <c r="AW221" s="412"/>
      <c r="AX221" s="230"/>
      <c r="AY221" s="42"/>
      <c r="AZ221" s="320"/>
      <c r="BD221" s="401"/>
      <c r="BE221" s="42"/>
    </row>
    <row r="222" spans="48:57" x14ac:dyDescent="0.2">
      <c r="AV222" s="401"/>
      <c r="AW222" s="412"/>
      <c r="AX222" s="230"/>
      <c r="AY222" s="42"/>
      <c r="AZ222" s="320"/>
      <c r="BD222" s="401"/>
      <c r="BE222" s="42"/>
    </row>
    <row r="223" spans="48:57" x14ac:dyDescent="0.2">
      <c r="AV223" s="401"/>
      <c r="AW223" s="412"/>
      <c r="AX223" s="230"/>
      <c r="AY223" s="42"/>
      <c r="AZ223" s="320"/>
      <c r="BD223" s="401"/>
      <c r="BE223" s="42"/>
    </row>
    <row r="224" spans="48:57" x14ac:dyDescent="0.2">
      <c r="AV224" s="401"/>
      <c r="AW224" s="412"/>
      <c r="AX224" s="230"/>
      <c r="AY224" s="42"/>
      <c r="AZ224" s="320"/>
      <c r="BD224" s="401"/>
      <c r="BE224" s="42"/>
    </row>
    <row r="225" spans="48:57" x14ac:dyDescent="0.2">
      <c r="AV225" s="401"/>
      <c r="AW225" s="412"/>
      <c r="AX225" s="230"/>
      <c r="AY225" s="42"/>
      <c r="AZ225" s="320"/>
      <c r="BD225" s="401"/>
      <c r="BE225" s="42"/>
    </row>
    <row r="226" spans="48:57" x14ac:dyDescent="0.2">
      <c r="AV226" s="401"/>
      <c r="AW226" s="412"/>
      <c r="AX226" s="230"/>
      <c r="AY226" s="42"/>
      <c r="AZ226" s="320"/>
      <c r="BD226" s="401"/>
      <c r="BE226" s="42"/>
    </row>
    <row r="227" spans="48:57" x14ac:dyDescent="0.2">
      <c r="AV227" s="401"/>
      <c r="AW227" s="412"/>
      <c r="AX227" s="230"/>
      <c r="AY227" s="42"/>
      <c r="AZ227" s="320"/>
      <c r="BD227" s="401"/>
      <c r="BE227" s="42"/>
    </row>
    <row r="228" spans="48:57" x14ac:dyDescent="0.2">
      <c r="AV228" s="401"/>
      <c r="AW228" s="412"/>
      <c r="AX228" s="230"/>
      <c r="AY228" s="42"/>
      <c r="AZ228" s="320"/>
      <c r="BD228" s="401"/>
      <c r="BE228" s="42"/>
    </row>
    <row r="229" spans="48:57" x14ac:dyDescent="0.2">
      <c r="AV229" s="401"/>
      <c r="AW229" s="412"/>
      <c r="AX229" s="230"/>
      <c r="AY229" s="42"/>
      <c r="AZ229" s="320"/>
      <c r="BD229" s="401"/>
      <c r="BE229" s="42"/>
    </row>
    <row r="230" spans="48:57" x14ac:dyDescent="0.2">
      <c r="AV230" s="401"/>
      <c r="AW230" s="412"/>
      <c r="AX230" s="230"/>
      <c r="AY230" s="42"/>
      <c r="AZ230" s="320"/>
      <c r="BD230" s="401"/>
      <c r="BE230" s="42"/>
    </row>
    <row r="231" spans="48:57" x14ac:dyDescent="0.2">
      <c r="AV231" s="401"/>
      <c r="AW231" s="412"/>
      <c r="AX231" s="230"/>
      <c r="AY231" s="42"/>
      <c r="AZ231" s="320"/>
      <c r="BD231" s="401"/>
      <c r="BE231" s="42"/>
    </row>
    <row r="232" spans="48:57" x14ac:dyDescent="0.2">
      <c r="AV232" s="401"/>
      <c r="AW232" s="412"/>
      <c r="AX232" s="230"/>
      <c r="AY232" s="42"/>
      <c r="AZ232" s="320"/>
      <c r="BD232" s="401"/>
      <c r="BE232" s="42"/>
    </row>
    <row r="233" spans="48:57" x14ac:dyDescent="0.2">
      <c r="AV233" s="401"/>
      <c r="AW233" s="412"/>
      <c r="AX233" s="230"/>
      <c r="AY233" s="42"/>
      <c r="AZ233" s="320"/>
      <c r="BD233" s="401"/>
      <c r="BE233" s="42"/>
    </row>
    <row r="234" spans="48:57" x14ac:dyDescent="0.2">
      <c r="AV234" s="401"/>
      <c r="AW234" s="412"/>
      <c r="AX234" s="230"/>
      <c r="AY234" s="42"/>
      <c r="AZ234" s="320"/>
      <c r="BD234" s="401"/>
      <c r="BE234" s="42"/>
    </row>
    <row r="235" spans="48:57" x14ac:dyDescent="0.2">
      <c r="AV235" s="401"/>
      <c r="AW235" s="412"/>
      <c r="AX235" s="230"/>
      <c r="AY235" s="42"/>
      <c r="AZ235" s="320"/>
      <c r="BD235" s="401"/>
      <c r="BE235" s="42"/>
    </row>
    <row r="236" spans="48:57" x14ac:dyDescent="0.2">
      <c r="AV236" s="401"/>
      <c r="AW236" s="412"/>
      <c r="AX236" s="230"/>
      <c r="AY236" s="42"/>
      <c r="AZ236" s="320"/>
      <c r="BD236" s="401"/>
      <c r="BE236" s="42"/>
    </row>
    <row r="237" spans="48:57" x14ac:dyDescent="0.2">
      <c r="AV237" s="401"/>
      <c r="AW237" s="412"/>
      <c r="AX237" s="230"/>
      <c r="AY237" s="42"/>
      <c r="AZ237" s="320"/>
      <c r="BD237" s="401"/>
      <c r="BE237" s="42"/>
    </row>
    <row r="238" spans="48:57" x14ac:dyDescent="0.2">
      <c r="AV238" s="401"/>
      <c r="AW238" s="412"/>
      <c r="AX238" s="230"/>
      <c r="AY238" s="42"/>
      <c r="AZ238" s="320"/>
      <c r="BD238" s="401"/>
      <c r="BE238" s="42"/>
    </row>
    <row r="239" spans="48:57" x14ac:dyDescent="0.2">
      <c r="AV239" s="401"/>
      <c r="AW239" s="412"/>
      <c r="AX239" s="230"/>
      <c r="AY239" s="42"/>
      <c r="AZ239" s="320"/>
      <c r="BD239" s="401"/>
      <c r="BE239" s="42"/>
    </row>
    <row r="240" spans="48:57" x14ac:dyDescent="0.2">
      <c r="AV240" s="401"/>
      <c r="AW240" s="412"/>
      <c r="AX240" s="230"/>
      <c r="AY240" s="42"/>
      <c r="AZ240" s="320"/>
      <c r="BD240" s="401"/>
      <c r="BE240" s="42"/>
    </row>
    <row r="241" spans="48:57" x14ac:dyDescent="0.2">
      <c r="AV241" s="401"/>
      <c r="AW241" s="412"/>
      <c r="AX241" s="230"/>
      <c r="AY241" s="42"/>
      <c r="AZ241" s="320"/>
      <c r="BD241" s="401"/>
      <c r="BE241" s="42"/>
    </row>
    <row r="242" spans="48:57" x14ac:dyDescent="0.2">
      <c r="AV242" s="401"/>
      <c r="AW242" s="412"/>
      <c r="AX242" s="230"/>
      <c r="AY242" s="42"/>
      <c r="AZ242" s="320"/>
      <c r="BD242" s="401"/>
      <c r="BE242" s="42"/>
    </row>
    <row r="243" spans="48:57" x14ac:dyDescent="0.2">
      <c r="AV243" s="401"/>
      <c r="AW243" s="412"/>
      <c r="AX243" s="230"/>
      <c r="AY243" s="42"/>
      <c r="AZ243" s="320"/>
      <c r="BD243" s="401"/>
      <c r="BE243" s="42"/>
    </row>
    <row r="244" spans="48:57" x14ac:dyDescent="0.2">
      <c r="AV244" s="401"/>
      <c r="AW244" s="412"/>
      <c r="AX244" s="230"/>
      <c r="AY244" s="42"/>
      <c r="AZ244" s="320"/>
      <c r="BD244" s="401"/>
      <c r="BE244" s="42"/>
    </row>
    <row r="245" spans="48:57" x14ac:dyDescent="0.2">
      <c r="AV245" s="401"/>
      <c r="AW245" s="412"/>
      <c r="AX245" s="230"/>
      <c r="AY245" s="42"/>
      <c r="AZ245" s="320"/>
      <c r="BD245" s="401"/>
      <c r="BE245" s="42"/>
    </row>
    <row r="246" spans="48:57" x14ac:dyDescent="0.2">
      <c r="AV246" s="401"/>
      <c r="AW246" s="412"/>
      <c r="AX246" s="230"/>
      <c r="AY246" s="42"/>
      <c r="AZ246" s="320"/>
      <c r="BD246" s="401"/>
      <c r="BE246" s="42"/>
    </row>
    <row r="247" spans="48:57" x14ac:dyDescent="0.2">
      <c r="AV247" s="401"/>
      <c r="AW247" s="412"/>
      <c r="AX247" s="230"/>
      <c r="AY247" s="42"/>
      <c r="AZ247" s="320"/>
      <c r="BD247" s="401"/>
      <c r="BE247" s="42"/>
    </row>
    <row r="248" spans="48:57" x14ac:dyDescent="0.2">
      <c r="AV248" s="401"/>
      <c r="AW248" s="412"/>
      <c r="AX248" s="230"/>
      <c r="AY248" s="42"/>
      <c r="AZ248" s="320"/>
      <c r="BD248" s="401"/>
      <c r="BE248" s="42"/>
    </row>
    <row r="249" spans="48:57" x14ac:dyDescent="0.2">
      <c r="AV249" s="401"/>
      <c r="AW249" s="412"/>
      <c r="AX249" s="230"/>
      <c r="AY249" s="42"/>
      <c r="AZ249" s="320"/>
      <c r="BD249" s="401"/>
      <c r="BE249" s="42"/>
    </row>
    <row r="250" spans="48:57" x14ac:dyDescent="0.2">
      <c r="AV250" s="401"/>
      <c r="AW250" s="412"/>
      <c r="AX250" s="230"/>
      <c r="AY250" s="42"/>
      <c r="AZ250" s="320"/>
      <c r="BD250" s="401"/>
      <c r="BE250" s="42"/>
    </row>
    <row r="251" spans="48:57" x14ac:dyDescent="0.2">
      <c r="AV251" s="401"/>
      <c r="AW251" s="412"/>
      <c r="AX251" s="230"/>
      <c r="AY251" s="42"/>
      <c r="AZ251" s="320"/>
      <c r="BD251" s="401"/>
      <c r="BE251" s="42"/>
    </row>
    <row r="252" spans="48:57" x14ac:dyDescent="0.2">
      <c r="AV252" s="401"/>
      <c r="AW252" s="412"/>
      <c r="AX252" s="230"/>
      <c r="AY252" s="42"/>
      <c r="AZ252" s="320"/>
      <c r="BD252" s="401"/>
      <c r="BE252" s="42"/>
    </row>
    <row r="253" spans="48:57" x14ac:dyDescent="0.2">
      <c r="AV253" s="401"/>
      <c r="AW253" s="412"/>
      <c r="AX253" s="230"/>
      <c r="AY253" s="42"/>
      <c r="AZ253" s="320"/>
      <c r="BD253" s="401"/>
      <c r="BE253" s="42"/>
    </row>
    <row r="254" spans="48:57" x14ac:dyDescent="0.2">
      <c r="AV254" s="401"/>
      <c r="AW254" s="412"/>
      <c r="AX254" s="230"/>
      <c r="AY254" s="42"/>
      <c r="AZ254" s="320"/>
      <c r="BD254" s="401"/>
      <c r="BE254" s="42"/>
    </row>
    <row r="255" spans="48:57" x14ac:dyDescent="0.2">
      <c r="AV255" s="401"/>
      <c r="AW255" s="412"/>
      <c r="AX255" s="230"/>
      <c r="AY255" s="42"/>
      <c r="AZ255" s="320"/>
      <c r="BD255" s="401"/>
      <c r="BE255" s="42"/>
    </row>
    <row r="256" spans="48:57" x14ac:dyDescent="0.2">
      <c r="AV256" s="401"/>
      <c r="AW256" s="412"/>
      <c r="AX256" s="230"/>
      <c r="AY256" s="42"/>
      <c r="AZ256" s="320"/>
      <c r="BD256" s="401"/>
      <c r="BE256" s="42"/>
    </row>
    <row r="257" spans="48:57" x14ac:dyDescent="0.2">
      <c r="AV257" s="401"/>
      <c r="AW257" s="412"/>
      <c r="AX257" s="230"/>
      <c r="AY257" s="42"/>
      <c r="AZ257" s="320"/>
      <c r="BD257" s="401"/>
      <c r="BE257" s="42"/>
    </row>
    <row r="258" spans="48:57" x14ac:dyDescent="0.2">
      <c r="AV258" s="401"/>
      <c r="AW258" s="412"/>
      <c r="AX258" s="230"/>
      <c r="AY258" s="42"/>
      <c r="AZ258" s="320"/>
      <c r="BD258" s="401"/>
      <c r="BE258" s="42"/>
    </row>
    <row r="259" spans="48:57" x14ac:dyDescent="0.2">
      <c r="AV259" s="401"/>
      <c r="AW259" s="412"/>
      <c r="AX259" s="230"/>
      <c r="AY259" s="42"/>
      <c r="AZ259" s="320"/>
      <c r="BD259" s="401"/>
      <c r="BE259" s="42"/>
    </row>
    <row r="260" spans="48:57" x14ac:dyDescent="0.2">
      <c r="AV260" s="401"/>
      <c r="AW260" s="412"/>
      <c r="AX260" s="230"/>
      <c r="AY260" s="42"/>
      <c r="AZ260" s="320"/>
      <c r="BD260" s="401"/>
      <c r="BE260" s="42"/>
    </row>
    <row r="261" spans="48:57" x14ac:dyDescent="0.2">
      <c r="AV261" s="401"/>
      <c r="AW261" s="412"/>
      <c r="AX261" s="230"/>
      <c r="AY261" s="42"/>
      <c r="AZ261" s="320"/>
      <c r="BD261" s="401"/>
      <c r="BE261" s="42"/>
    </row>
    <row r="262" spans="48:57" x14ac:dyDescent="0.2">
      <c r="AV262" s="401"/>
      <c r="AW262" s="412"/>
      <c r="AX262" s="230"/>
      <c r="AY262" s="42"/>
      <c r="AZ262" s="320"/>
      <c r="BD262" s="401"/>
      <c r="BE262" s="42"/>
    </row>
    <row r="263" spans="48:57" x14ac:dyDescent="0.2">
      <c r="AV263" s="401"/>
      <c r="AW263" s="412"/>
      <c r="AX263" s="230"/>
      <c r="AY263" s="42"/>
      <c r="AZ263" s="320"/>
      <c r="BD263" s="401"/>
      <c r="BE263" s="42"/>
    </row>
    <row r="264" spans="48:57" x14ac:dyDescent="0.2">
      <c r="AV264" s="401"/>
      <c r="AW264" s="412"/>
      <c r="AX264" s="230"/>
      <c r="AY264" s="42"/>
      <c r="AZ264" s="320"/>
      <c r="BD264" s="401"/>
      <c r="BE264" s="42"/>
    </row>
    <row r="265" spans="48:57" x14ac:dyDescent="0.2">
      <c r="AV265" s="401"/>
      <c r="AW265" s="412"/>
      <c r="AX265" s="230"/>
      <c r="AY265" s="42"/>
      <c r="AZ265" s="320"/>
      <c r="BD265" s="401"/>
      <c r="BE265" s="42"/>
    </row>
    <row r="266" spans="48:57" x14ac:dyDescent="0.2">
      <c r="AV266" s="401"/>
      <c r="AW266" s="412"/>
      <c r="AX266" s="230"/>
      <c r="AY266" s="42"/>
      <c r="AZ266" s="320"/>
      <c r="BD266" s="401"/>
      <c r="BE266" s="42"/>
    </row>
    <row r="267" spans="48:57" x14ac:dyDescent="0.2">
      <c r="AV267" s="401"/>
      <c r="AW267" s="412"/>
      <c r="AX267" s="230"/>
      <c r="AY267" s="42"/>
      <c r="AZ267" s="320"/>
      <c r="BD267" s="401"/>
      <c r="BE267" s="42"/>
    </row>
    <row r="268" spans="48:57" x14ac:dyDescent="0.2">
      <c r="AV268" s="401"/>
      <c r="AW268" s="412"/>
      <c r="AX268" s="230"/>
      <c r="AY268" s="42"/>
      <c r="AZ268" s="320"/>
      <c r="BD268" s="401"/>
      <c r="BE268" s="42"/>
    </row>
    <row r="269" spans="48:57" x14ac:dyDescent="0.2">
      <c r="AV269" s="401"/>
      <c r="AW269" s="412"/>
      <c r="AX269" s="230"/>
      <c r="AY269" s="42"/>
      <c r="AZ269" s="320"/>
      <c r="BD269" s="401"/>
      <c r="BE269" s="42"/>
    </row>
    <row r="270" spans="48:57" x14ac:dyDescent="0.2">
      <c r="AV270" s="401"/>
      <c r="AW270" s="412"/>
      <c r="AX270" s="230"/>
      <c r="AY270" s="42"/>
      <c r="AZ270" s="320"/>
      <c r="BD270" s="401"/>
      <c r="BE270" s="42"/>
    </row>
    <row r="271" spans="48:57" x14ac:dyDescent="0.2">
      <c r="AV271" s="401"/>
      <c r="AW271" s="412"/>
      <c r="AX271" s="230"/>
      <c r="AY271" s="42"/>
      <c r="AZ271" s="320"/>
      <c r="BD271" s="401"/>
      <c r="BE271" s="42"/>
    </row>
    <row r="272" spans="48:57" x14ac:dyDescent="0.2">
      <c r="AV272" s="401"/>
      <c r="AW272" s="412"/>
      <c r="AX272" s="230"/>
      <c r="AY272" s="42"/>
      <c r="AZ272" s="320"/>
      <c r="BD272" s="401"/>
      <c r="BE272" s="42"/>
    </row>
    <row r="273" spans="48:57" x14ac:dyDescent="0.2">
      <c r="AV273" s="401"/>
      <c r="AW273" s="412"/>
      <c r="AX273" s="230"/>
      <c r="AY273" s="42"/>
      <c r="AZ273" s="320"/>
      <c r="BD273" s="401"/>
      <c r="BE273" s="42"/>
    </row>
    <row r="274" spans="48:57" x14ac:dyDescent="0.2">
      <c r="AV274" s="401"/>
      <c r="AW274" s="412"/>
      <c r="AX274" s="230"/>
      <c r="AY274" s="42"/>
      <c r="AZ274" s="320"/>
      <c r="BD274" s="401"/>
      <c r="BE274" s="42"/>
    </row>
    <row r="275" spans="48:57" x14ac:dyDescent="0.2">
      <c r="AV275" s="401"/>
      <c r="AW275" s="412"/>
      <c r="AX275" s="230"/>
      <c r="AY275" s="42"/>
      <c r="AZ275" s="320"/>
      <c r="BD275" s="401"/>
      <c r="BE275" s="42"/>
    </row>
    <row r="276" spans="48:57" x14ac:dyDescent="0.2">
      <c r="AV276" s="401"/>
      <c r="AW276" s="412"/>
      <c r="AX276" s="230"/>
      <c r="AY276" s="42"/>
      <c r="AZ276" s="320"/>
      <c r="BD276" s="401"/>
      <c r="BE276" s="42"/>
    </row>
    <row r="277" spans="48:57" x14ac:dyDescent="0.2">
      <c r="AV277" s="401"/>
      <c r="AW277" s="412"/>
      <c r="AX277" s="230"/>
      <c r="AY277" s="42"/>
      <c r="AZ277" s="320"/>
      <c r="BD277" s="401"/>
      <c r="BE277" s="42"/>
    </row>
    <row r="278" spans="48:57" x14ac:dyDescent="0.2">
      <c r="AV278" s="401"/>
      <c r="AW278" s="412"/>
      <c r="AX278" s="230"/>
      <c r="AY278" s="42"/>
      <c r="AZ278" s="320"/>
      <c r="BD278" s="401"/>
      <c r="BE278" s="42"/>
    </row>
    <row r="279" spans="48:57" x14ac:dyDescent="0.2">
      <c r="AV279" s="401"/>
      <c r="AW279" s="412"/>
      <c r="AX279" s="230"/>
      <c r="AY279" s="42"/>
      <c r="AZ279" s="320"/>
      <c r="BD279" s="401"/>
      <c r="BE279" s="42"/>
    </row>
    <row r="280" spans="48:57" x14ac:dyDescent="0.2">
      <c r="AV280" s="401"/>
      <c r="AW280" s="412"/>
      <c r="AX280" s="230"/>
      <c r="AY280" s="42"/>
      <c r="AZ280" s="320"/>
      <c r="BD280" s="401"/>
      <c r="BE280" s="42"/>
    </row>
    <row r="281" spans="48:57" x14ac:dyDescent="0.2">
      <c r="AV281" s="401"/>
      <c r="AW281" s="412"/>
      <c r="AX281" s="230"/>
      <c r="AY281" s="42"/>
      <c r="AZ281" s="320"/>
      <c r="BD281" s="401"/>
      <c r="BE281" s="42"/>
    </row>
    <row r="282" spans="48:57" x14ac:dyDescent="0.2">
      <c r="AV282" s="401"/>
      <c r="AW282" s="412"/>
      <c r="AX282" s="230"/>
      <c r="AY282" s="42"/>
      <c r="AZ282" s="320"/>
      <c r="BD282" s="401"/>
      <c r="BE282" s="42"/>
    </row>
    <row r="283" spans="48:57" x14ac:dyDescent="0.2">
      <c r="AV283" s="401"/>
      <c r="AW283" s="412"/>
      <c r="AX283" s="230"/>
      <c r="AY283" s="42"/>
      <c r="AZ283" s="320"/>
      <c r="BD283" s="401"/>
      <c r="BE283" s="42"/>
    </row>
    <row r="284" spans="48:57" x14ac:dyDescent="0.2">
      <c r="AV284" s="401"/>
      <c r="AW284" s="412"/>
      <c r="AX284" s="230"/>
      <c r="AY284" s="42"/>
      <c r="AZ284" s="320"/>
      <c r="BD284" s="401"/>
      <c r="BE284" s="42"/>
    </row>
    <row r="285" spans="48:57" x14ac:dyDescent="0.2">
      <c r="AV285" s="401"/>
      <c r="AW285" s="412"/>
      <c r="AX285" s="230"/>
      <c r="AY285" s="42"/>
      <c r="AZ285" s="320"/>
      <c r="BD285" s="401"/>
      <c r="BE285" s="42"/>
    </row>
    <row r="286" spans="48:57" x14ac:dyDescent="0.2">
      <c r="AV286" s="401"/>
      <c r="AW286" s="412"/>
      <c r="AX286" s="230"/>
      <c r="AY286" s="42"/>
      <c r="AZ286" s="320"/>
      <c r="BD286" s="401"/>
      <c r="BE286" s="42"/>
    </row>
    <row r="287" spans="48:57" x14ac:dyDescent="0.2">
      <c r="AV287" s="401"/>
      <c r="AW287" s="412"/>
      <c r="AX287" s="230"/>
      <c r="AY287" s="42"/>
      <c r="AZ287" s="320"/>
      <c r="BD287" s="401"/>
      <c r="BE287" s="42"/>
    </row>
    <row r="288" spans="48:57" x14ac:dyDescent="0.2">
      <c r="AV288" s="401"/>
      <c r="AW288" s="412"/>
      <c r="AX288" s="230"/>
      <c r="AY288" s="42"/>
      <c r="AZ288" s="320"/>
      <c r="BD288" s="401"/>
      <c r="BE288" s="42"/>
    </row>
    <row r="289" spans="48:57" x14ac:dyDescent="0.2">
      <c r="AV289" s="401"/>
      <c r="AW289" s="412"/>
      <c r="AX289" s="230"/>
      <c r="AY289" s="42"/>
      <c r="AZ289" s="320"/>
      <c r="BD289" s="401"/>
      <c r="BE289" s="42"/>
    </row>
    <row r="290" spans="48:57" x14ac:dyDescent="0.2">
      <c r="AV290" s="401"/>
      <c r="AW290" s="412"/>
      <c r="AX290" s="230"/>
      <c r="AY290" s="42"/>
      <c r="AZ290" s="320"/>
      <c r="BD290" s="401"/>
      <c r="BE290" s="42"/>
    </row>
    <row r="291" spans="48:57" x14ac:dyDescent="0.2">
      <c r="AV291" s="401"/>
      <c r="AW291" s="412"/>
      <c r="AX291" s="230"/>
      <c r="AY291" s="42"/>
      <c r="AZ291" s="320"/>
      <c r="BD291" s="401"/>
      <c r="BE291" s="42"/>
    </row>
    <row r="292" spans="48:57" x14ac:dyDescent="0.2">
      <c r="AV292" s="401"/>
      <c r="AW292" s="412"/>
      <c r="AX292" s="230"/>
      <c r="AY292" s="42"/>
      <c r="AZ292" s="320"/>
      <c r="BD292" s="401"/>
      <c r="BE292" s="42"/>
    </row>
    <row r="293" spans="48:57" x14ac:dyDescent="0.2">
      <c r="AV293" s="401"/>
      <c r="AW293" s="412"/>
      <c r="AX293" s="230"/>
      <c r="AY293" s="42"/>
      <c r="AZ293" s="320"/>
      <c r="BD293" s="401"/>
      <c r="BE293" s="42"/>
    </row>
    <row r="294" spans="48:57" x14ac:dyDescent="0.2">
      <c r="AV294" s="401"/>
      <c r="AW294" s="412"/>
      <c r="AX294" s="230"/>
      <c r="AY294" s="42"/>
      <c r="AZ294" s="320"/>
      <c r="BD294" s="401"/>
      <c r="BE294" s="42"/>
    </row>
    <row r="295" spans="48:57" x14ac:dyDescent="0.2">
      <c r="AV295" s="401"/>
      <c r="AW295" s="412"/>
      <c r="AX295" s="230"/>
      <c r="AY295" s="42"/>
      <c r="AZ295" s="320"/>
      <c r="BD295" s="401"/>
      <c r="BE295" s="42"/>
    </row>
    <row r="296" spans="48:57" x14ac:dyDescent="0.2">
      <c r="AV296" s="401"/>
      <c r="AW296" s="412"/>
      <c r="AX296" s="230"/>
      <c r="AY296" s="42"/>
      <c r="AZ296" s="320"/>
      <c r="BD296" s="401"/>
      <c r="BE296" s="42"/>
    </row>
    <row r="297" spans="48:57" x14ac:dyDescent="0.2">
      <c r="AV297" s="401"/>
      <c r="AW297" s="412"/>
      <c r="AX297" s="230"/>
      <c r="AY297" s="42"/>
      <c r="AZ297" s="320"/>
      <c r="BD297" s="401"/>
      <c r="BE297" s="42"/>
    </row>
    <row r="298" spans="48:57" x14ac:dyDescent="0.2">
      <c r="AV298" s="401"/>
      <c r="AW298" s="412"/>
      <c r="AX298" s="230"/>
      <c r="AY298" s="42"/>
      <c r="AZ298" s="320"/>
      <c r="BD298" s="401"/>
      <c r="BE298" s="42"/>
    </row>
    <row r="299" spans="48:57" x14ac:dyDescent="0.2">
      <c r="AV299" s="401"/>
      <c r="AW299" s="412"/>
      <c r="AX299" s="230"/>
      <c r="AY299" s="42"/>
      <c r="AZ299" s="320"/>
      <c r="BD299" s="401"/>
      <c r="BE299" s="42"/>
    </row>
    <row r="300" spans="48:57" x14ac:dyDescent="0.2">
      <c r="AV300" s="401"/>
      <c r="AW300" s="412"/>
      <c r="AX300" s="230"/>
      <c r="AY300" s="42"/>
      <c r="AZ300" s="320"/>
      <c r="BD300" s="401"/>
      <c r="BE300" s="42"/>
    </row>
    <row r="301" spans="48:57" x14ac:dyDescent="0.2">
      <c r="AV301" s="401"/>
      <c r="AW301" s="412"/>
      <c r="AX301" s="230"/>
      <c r="AY301" s="42"/>
      <c r="AZ301" s="320"/>
      <c r="BD301" s="401"/>
      <c r="BE301" s="42"/>
    </row>
    <row r="302" spans="48:57" x14ac:dyDescent="0.2">
      <c r="AV302" s="401"/>
      <c r="AW302" s="412"/>
      <c r="AX302" s="230"/>
      <c r="AY302" s="42"/>
      <c r="AZ302" s="320"/>
      <c r="BD302" s="401"/>
      <c r="BE302" s="42"/>
    </row>
    <row r="303" spans="48:57" x14ac:dyDescent="0.2">
      <c r="AV303" s="401"/>
      <c r="AW303" s="412"/>
      <c r="AX303" s="230"/>
      <c r="AY303" s="42"/>
      <c r="AZ303" s="320"/>
      <c r="BD303" s="401"/>
      <c r="BE303" s="42"/>
    </row>
    <row r="304" spans="48:57" x14ac:dyDescent="0.2">
      <c r="AV304" s="401"/>
      <c r="AW304" s="412"/>
      <c r="AX304" s="230"/>
      <c r="AY304" s="42"/>
      <c r="AZ304" s="320"/>
      <c r="BD304" s="401"/>
      <c r="BE304" s="42"/>
    </row>
    <row r="305" spans="48:57" x14ac:dyDescent="0.2">
      <c r="AV305" s="401"/>
      <c r="AW305" s="412"/>
      <c r="AX305" s="230"/>
      <c r="AY305" s="42"/>
      <c r="AZ305" s="320"/>
      <c r="BD305" s="401"/>
      <c r="BE305" s="42"/>
    </row>
    <row r="306" spans="48:57" x14ac:dyDescent="0.2">
      <c r="AV306" s="401"/>
      <c r="AW306" s="412"/>
      <c r="AX306" s="230"/>
      <c r="AY306" s="42"/>
      <c r="AZ306" s="320"/>
      <c r="BD306" s="401"/>
      <c r="BE306" s="42"/>
    </row>
    <row r="307" spans="48:57" x14ac:dyDescent="0.2">
      <c r="AV307" s="401"/>
      <c r="AW307" s="412"/>
      <c r="AX307" s="230"/>
      <c r="AY307" s="42"/>
      <c r="AZ307" s="320"/>
      <c r="BD307" s="401"/>
      <c r="BE307" s="42"/>
    </row>
    <row r="308" spans="48:57" x14ac:dyDescent="0.2">
      <c r="AV308" s="401"/>
      <c r="AW308" s="412"/>
      <c r="AX308" s="230"/>
      <c r="AY308" s="42"/>
      <c r="AZ308" s="320"/>
      <c r="BD308" s="401"/>
      <c r="BE308" s="42"/>
    </row>
    <row r="309" spans="48:57" x14ac:dyDescent="0.2">
      <c r="AV309" s="401"/>
      <c r="AW309" s="412"/>
      <c r="AX309" s="230"/>
      <c r="AY309" s="42"/>
      <c r="AZ309" s="320"/>
      <c r="BD309" s="401"/>
      <c r="BE309" s="42"/>
    </row>
    <row r="310" spans="48:57" x14ac:dyDescent="0.2">
      <c r="AV310" s="401"/>
      <c r="AW310" s="412"/>
      <c r="AX310" s="230"/>
      <c r="AY310" s="42"/>
      <c r="AZ310" s="320"/>
      <c r="BD310" s="401"/>
      <c r="BE310" s="42"/>
    </row>
    <row r="311" spans="48:57" x14ac:dyDescent="0.2">
      <c r="AV311" s="401"/>
      <c r="AW311" s="412"/>
      <c r="AX311" s="230"/>
      <c r="AY311" s="42"/>
      <c r="AZ311" s="320"/>
      <c r="BD311" s="401"/>
      <c r="BE311" s="42"/>
    </row>
    <row r="312" spans="48:57" x14ac:dyDescent="0.2">
      <c r="AV312" s="401"/>
      <c r="AW312" s="412"/>
      <c r="AX312" s="230"/>
      <c r="AY312" s="42"/>
      <c r="AZ312" s="320"/>
      <c r="BD312" s="401"/>
      <c r="BE312" s="42"/>
    </row>
    <row r="313" spans="48:57" x14ac:dyDescent="0.2">
      <c r="AV313" s="401"/>
      <c r="AW313" s="412"/>
      <c r="AX313" s="230"/>
      <c r="AY313" s="42"/>
      <c r="AZ313" s="320"/>
      <c r="BD313" s="401"/>
      <c r="BE313" s="42"/>
    </row>
    <row r="314" spans="48:57" x14ac:dyDescent="0.2">
      <c r="AV314" s="401"/>
      <c r="AW314" s="412"/>
      <c r="AX314" s="230"/>
      <c r="AY314" s="42"/>
      <c r="AZ314" s="320"/>
      <c r="BD314" s="401"/>
      <c r="BE314" s="42"/>
    </row>
    <row r="315" spans="48:57" x14ac:dyDescent="0.2">
      <c r="AV315" s="401"/>
      <c r="AW315" s="412"/>
      <c r="AX315" s="230"/>
      <c r="AY315" s="42"/>
      <c r="AZ315" s="320"/>
      <c r="BD315" s="401"/>
      <c r="BE315" s="42"/>
    </row>
    <row r="316" spans="48:57" x14ac:dyDescent="0.2">
      <c r="AV316" s="401"/>
      <c r="AW316" s="412"/>
      <c r="AX316" s="230"/>
      <c r="AY316" s="42"/>
      <c r="AZ316" s="320"/>
      <c r="BD316" s="401"/>
      <c r="BE316" s="42"/>
    </row>
    <row r="317" spans="48:57" x14ac:dyDescent="0.2">
      <c r="AV317" s="401"/>
      <c r="AW317" s="412"/>
      <c r="AX317" s="230"/>
      <c r="AY317" s="42"/>
      <c r="AZ317" s="320"/>
      <c r="BD317" s="401"/>
      <c r="BE317" s="42"/>
    </row>
    <row r="318" spans="48:57" x14ac:dyDescent="0.2">
      <c r="AV318" s="401"/>
      <c r="AW318" s="412"/>
      <c r="AX318" s="230"/>
      <c r="AY318" s="42"/>
      <c r="AZ318" s="320"/>
      <c r="BD318" s="401"/>
      <c r="BE318" s="42"/>
    </row>
    <row r="319" spans="48:57" x14ac:dyDescent="0.2">
      <c r="AV319" s="401"/>
      <c r="AW319" s="412"/>
      <c r="AX319" s="230"/>
      <c r="AY319" s="42"/>
      <c r="AZ319" s="320"/>
      <c r="BD319" s="401"/>
      <c r="BE319" s="42"/>
    </row>
    <row r="320" spans="48:57" x14ac:dyDescent="0.2">
      <c r="AV320" s="401"/>
      <c r="AW320" s="412"/>
      <c r="AX320" s="230"/>
      <c r="AY320" s="42"/>
      <c r="AZ320" s="320"/>
      <c r="BD320" s="401"/>
      <c r="BE320" s="42"/>
    </row>
    <row r="321" spans="48:57" x14ac:dyDescent="0.2">
      <c r="AV321" s="401"/>
      <c r="AW321" s="412"/>
      <c r="AX321" s="230"/>
      <c r="AY321" s="42"/>
      <c r="AZ321" s="320"/>
      <c r="BD321" s="401"/>
      <c r="BE321" s="42"/>
    </row>
    <row r="322" spans="48:57" x14ac:dyDescent="0.2">
      <c r="AV322" s="401"/>
      <c r="AW322" s="412"/>
      <c r="AX322" s="230"/>
      <c r="AY322" s="42"/>
      <c r="AZ322" s="320"/>
      <c r="BD322" s="401"/>
      <c r="BE322" s="42"/>
    </row>
    <row r="323" spans="48:57" x14ac:dyDescent="0.2">
      <c r="AV323" s="401"/>
      <c r="AW323" s="412"/>
      <c r="AX323" s="230"/>
      <c r="AY323" s="42"/>
      <c r="AZ323" s="320"/>
      <c r="BD323" s="401"/>
      <c r="BE323" s="42"/>
    </row>
    <row r="324" spans="48:57" x14ac:dyDescent="0.2">
      <c r="AV324" s="401"/>
      <c r="AW324" s="412"/>
      <c r="AX324" s="230"/>
      <c r="AY324" s="42"/>
      <c r="AZ324" s="320"/>
      <c r="BD324" s="401"/>
      <c r="BE324" s="42"/>
    </row>
    <row r="325" spans="48:57" x14ac:dyDescent="0.2">
      <c r="AV325" s="401"/>
      <c r="AW325" s="412"/>
      <c r="AX325" s="230"/>
      <c r="AY325" s="42"/>
      <c r="AZ325" s="320"/>
      <c r="BD325" s="401"/>
      <c r="BE325" s="42"/>
    </row>
    <row r="326" spans="48:57" x14ac:dyDescent="0.2">
      <c r="AV326" s="401"/>
      <c r="AW326" s="412"/>
      <c r="AX326" s="230"/>
      <c r="AY326" s="42"/>
      <c r="AZ326" s="320"/>
      <c r="BD326" s="401"/>
      <c r="BE326" s="42"/>
    </row>
    <row r="327" spans="48:57" x14ac:dyDescent="0.2">
      <c r="AV327" s="401"/>
      <c r="AW327" s="412"/>
      <c r="AX327" s="230"/>
      <c r="AY327" s="42"/>
      <c r="AZ327" s="320"/>
      <c r="BD327" s="401"/>
      <c r="BE327" s="42"/>
    </row>
    <row r="328" spans="48:57" x14ac:dyDescent="0.2">
      <c r="AV328" s="401"/>
      <c r="AW328" s="412"/>
      <c r="AX328" s="230"/>
      <c r="AY328" s="42"/>
      <c r="AZ328" s="320"/>
      <c r="BD328" s="401"/>
      <c r="BE328" s="42"/>
    </row>
    <row r="329" spans="48:57" x14ac:dyDescent="0.2">
      <c r="AV329" s="401"/>
      <c r="AW329" s="412"/>
      <c r="AX329" s="230"/>
      <c r="AY329" s="42"/>
      <c r="AZ329" s="320"/>
      <c r="BD329" s="401"/>
      <c r="BE329" s="42"/>
    </row>
    <row r="330" spans="48:57" x14ac:dyDescent="0.2">
      <c r="AV330" s="401"/>
      <c r="AW330" s="412"/>
      <c r="AX330" s="230"/>
      <c r="AY330" s="42"/>
      <c r="AZ330" s="320"/>
      <c r="BD330" s="401"/>
      <c r="BE330" s="42"/>
    </row>
    <row r="331" spans="48:57" x14ac:dyDescent="0.2">
      <c r="AV331" s="401"/>
      <c r="AW331" s="412"/>
      <c r="AX331" s="230"/>
      <c r="AY331" s="42"/>
      <c r="AZ331" s="320"/>
      <c r="BD331" s="401"/>
      <c r="BE331" s="42"/>
    </row>
    <row r="332" spans="48:57" x14ac:dyDescent="0.2">
      <c r="AV332" s="401"/>
      <c r="AW332" s="412"/>
      <c r="AX332" s="230"/>
      <c r="AY332" s="42"/>
      <c r="AZ332" s="320"/>
      <c r="BD332" s="401"/>
      <c r="BE332" s="42"/>
    </row>
    <row r="333" spans="48:57" x14ac:dyDescent="0.2">
      <c r="AV333" s="401"/>
      <c r="AW333" s="412"/>
      <c r="AX333" s="230"/>
      <c r="AY333" s="42"/>
      <c r="AZ333" s="320"/>
      <c r="BD333" s="401"/>
      <c r="BE333" s="42"/>
    </row>
    <row r="334" spans="48:57" x14ac:dyDescent="0.2">
      <c r="AV334" s="401"/>
      <c r="AW334" s="412"/>
      <c r="AX334" s="230"/>
      <c r="AY334" s="42"/>
      <c r="AZ334" s="320"/>
      <c r="BD334" s="401"/>
      <c r="BE334" s="42"/>
    </row>
    <row r="335" spans="48:57" x14ac:dyDescent="0.2">
      <c r="AV335" s="401"/>
      <c r="AW335" s="412"/>
      <c r="AX335" s="230"/>
      <c r="AY335" s="42"/>
      <c r="AZ335" s="320"/>
      <c r="BD335" s="401"/>
      <c r="BE335" s="42"/>
    </row>
    <row r="336" spans="48:57" x14ac:dyDescent="0.2">
      <c r="AV336" s="401"/>
      <c r="AW336" s="412"/>
      <c r="AX336" s="230"/>
      <c r="AY336" s="42"/>
      <c r="AZ336" s="320"/>
      <c r="BD336" s="401"/>
      <c r="BE336" s="42"/>
    </row>
    <row r="337" spans="48:57" x14ac:dyDescent="0.2">
      <c r="AV337" s="401"/>
      <c r="AW337" s="412"/>
      <c r="AX337" s="230"/>
      <c r="AY337" s="42"/>
      <c r="AZ337" s="320"/>
      <c r="BD337" s="401"/>
      <c r="BE337" s="42"/>
    </row>
    <row r="338" spans="48:57" x14ac:dyDescent="0.2">
      <c r="AV338" s="401"/>
      <c r="AW338" s="412"/>
      <c r="AX338" s="230"/>
      <c r="AY338" s="42"/>
      <c r="AZ338" s="320"/>
      <c r="BD338" s="401"/>
      <c r="BE338" s="42"/>
    </row>
    <row r="339" spans="48:57" x14ac:dyDescent="0.2">
      <c r="AV339" s="401"/>
      <c r="AW339" s="412"/>
      <c r="AX339" s="230"/>
      <c r="AY339" s="42"/>
      <c r="AZ339" s="320"/>
      <c r="BD339" s="401"/>
      <c r="BE339" s="42"/>
    </row>
    <row r="340" spans="48:57" x14ac:dyDescent="0.2">
      <c r="AV340" s="401"/>
      <c r="AW340" s="412"/>
      <c r="AX340" s="230"/>
      <c r="AY340" s="42"/>
      <c r="AZ340" s="320"/>
      <c r="BD340" s="401"/>
      <c r="BE340" s="42"/>
    </row>
    <row r="341" spans="48:57" x14ac:dyDescent="0.2">
      <c r="AV341" s="401"/>
      <c r="AW341" s="412"/>
      <c r="AX341" s="230"/>
      <c r="AY341" s="42"/>
      <c r="AZ341" s="320"/>
      <c r="BD341" s="401"/>
      <c r="BE341" s="42"/>
    </row>
    <row r="342" spans="48:57" x14ac:dyDescent="0.2">
      <c r="AV342" s="401"/>
      <c r="AW342" s="412"/>
      <c r="AX342" s="230"/>
      <c r="AY342" s="42"/>
      <c r="AZ342" s="320"/>
      <c r="BD342" s="401"/>
      <c r="BE342" s="42"/>
    </row>
    <row r="343" spans="48:57" x14ac:dyDescent="0.2">
      <c r="AV343" s="401"/>
      <c r="AW343" s="412"/>
      <c r="AX343" s="230"/>
      <c r="AY343" s="42"/>
      <c r="AZ343" s="320"/>
      <c r="BD343" s="401"/>
      <c r="BE343" s="42"/>
    </row>
    <row r="344" spans="48:57" x14ac:dyDescent="0.2">
      <c r="AV344" s="401"/>
      <c r="AW344" s="412"/>
      <c r="AX344" s="230"/>
      <c r="AY344" s="42"/>
      <c r="AZ344" s="320"/>
      <c r="BD344" s="401"/>
      <c r="BE344" s="42"/>
    </row>
    <row r="345" spans="48:57" x14ac:dyDescent="0.2">
      <c r="AV345" s="401"/>
      <c r="AW345" s="412"/>
      <c r="AX345" s="230"/>
      <c r="AY345" s="42"/>
      <c r="AZ345" s="320"/>
      <c r="BD345" s="401"/>
      <c r="BE345" s="42"/>
    </row>
    <row r="346" spans="48:57" x14ac:dyDescent="0.2">
      <c r="AV346" s="401"/>
      <c r="AW346" s="412"/>
      <c r="AX346" s="230"/>
      <c r="AY346" s="42"/>
      <c r="AZ346" s="320"/>
      <c r="BD346" s="401"/>
      <c r="BE346" s="42"/>
    </row>
    <row r="347" spans="48:57" x14ac:dyDescent="0.2">
      <c r="AV347" s="401"/>
      <c r="AW347" s="412"/>
      <c r="AX347" s="230"/>
      <c r="AY347" s="42"/>
      <c r="AZ347" s="320"/>
      <c r="BD347" s="401"/>
      <c r="BE347" s="42"/>
    </row>
    <row r="348" spans="48:57" x14ac:dyDescent="0.2">
      <c r="AV348" s="401"/>
      <c r="AW348" s="412"/>
      <c r="AX348" s="230"/>
      <c r="AY348" s="42"/>
      <c r="AZ348" s="320"/>
      <c r="BD348" s="401"/>
      <c r="BE348" s="42"/>
    </row>
    <row r="349" spans="48:57" x14ac:dyDescent="0.2">
      <c r="AV349" s="401"/>
      <c r="AW349" s="412"/>
      <c r="AX349" s="230"/>
      <c r="AY349" s="42"/>
      <c r="AZ349" s="320"/>
      <c r="BD349" s="401"/>
      <c r="BE349" s="42"/>
    </row>
    <row r="350" spans="48:57" x14ac:dyDescent="0.2">
      <c r="AV350" s="401"/>
      <c r="AW350" s="412"/>
      <c r="AX350" s="230"/>
      <c r="AY350" s="42"/>
      <c r="AZ350" s="320"/>
      <c r="BD350" s="401"/>
      <c r="BE350" s="42"/>
    </row>
    <row r="351" spans="48:57" x14ac:dyDescent="0.2">
      <c r="AV351" s="401"/>
      <c r="AW351" s="412"/>
      <c r="AX351" s="230"/>
      <c r="AY351" s="42"/>
      <c r="AZ351" s="320"/>
      <c r="BD351" s="401"/>
      <c r="BE351" s="42"/>
    </row>
    <row r="352" spans="48:57" x14ac:dyDescent="0.2">
      <c r="AV352" s="401"/>
      <c r="AW352" s="412"/>
      <c r="AX352" s="230"/>
      <c r="AY352" s="42"/>
      <c r="AZ352" s="320"/>
      <c r="BD352" s="401"/>
      <c r="BE352" s="42"/>
    </row>
    <row r="353" spans="48:57" x14ac:dyDescent="0.2">
      <c r="AV353" s="401"/>
      <c r="AW353" s="412"/>
      <c r="AX353" s="230"/>
      <c r="AY353" s="42"/>
      <c r="AZ353" s="320"/>
      <c r="BD353" s="401"/>
      <c r="BE353" s="42"/>
    </row>
    <row r="354" spans="48:57" x14ac:dyDescent="0.2">
      <c r="AV354" s="401"/>
      <c r="AW354" s="412"/>
      <c r="AX354" s="230"/>
      <c r="AY354" s="42"/>
      <c r="AZ354" s="320"/>
      <c r="BD354" s="401"/>
      <c r="BE354" s="42"/>
    </row>
    <row r="355" spans="48:57" x14ac:dyDescent="0.2">
      <c r="AV355" s="401"/>
      <c r="AW355" s="412"/>
      <c r="AX355" s="230"/>
      <c r="AY355" s="42"/>
      <c r="AZ355" s="320"/>
      <c r="BD355" s="401"/>
      <c r="BE355" s="42"/>
    </row>
    <row r="356" spans="48:57" x14ac:dyDescent="0.2">
      <c r="AV356" s="401"/>
      <c r="AW356" s="412"/>
      <c r="AX356" s="230"/>
      <c r="AY356" s="42"/>
      <c r="AZ356" s="320"/>
      <c r="BD356" s="401"/>
      <c r="BE356" s="42"/>
    </row>
    <row r="357" spans="48:57" x14ac:dyDescent="0.2">
      <c r="AV357" s="401"/>
      <c r="AW357" s="412"/>
      <c r="AX357" s="230"/>
      <c r="AY357" s="42"/>
      <c r="AZ357" s="320"/>
      <c r="BD357" s="401"/>
      <c r="BE357" s="42"/>
    </row>
    <row r="358" spans="48:57" x14ac:dyDescent="0.2">
      <c r="AV358" s="401"/>
      <c r="AW358" s="412"/>
      <c r="AX358" s="230"/>
      <c r="AY358" s="42"/>
      <c r="AZ358" s="320"/>
      <c r="BD358" s="401"/>
      <c r="BE358" s="42"/>
    </row>
    <row r="359" spans="48:57" x14ac:dyDescent="0.2">
      <c r="AV359" s="401"/>
      <c r="AW359" s="412"/>
      <c r="AX359" s="230"/>
      <c r="AY359" s="42"/>
      <c r="AZ359" s="320"/>
      <c r="BD359" s="401"/>
      <c r="BE359" s="42"/>
    </row>
    <row r="360" spans="48:57" x14ac:dyDescent="0.2">
      <c r="AV360" s="401"/>
      <c r="AW360" s="412"/>
      <c r="AX360" s="230"/>
      <c r="AY360" s="42"/>
      <c r="AZ360" s="320"/>
      <c r="BD360" s="401"/>
      <c r="BE360" s="42"/>
    </row>
    <row r="361" spans="48:57" x14ac:dyDescent="0.2">
      <c r="AV361" s="401"/>
      <c r="AW361" s="412"/>
      <c r="AX361" s="230"/>
      <c r="AY361" s="42"/>
      <c r="AZ361" s="320"/>
      <c r="BD361" s="401"/>
      <c r="BE361" s="42"/>
    </row>
    <row r="362" spans="48:57" x14ac:dyDescent="0.2">
      <c r="AV362" s="401"/>
      <c r="AW362" s="412"/>
      <c r="AX362" s="230"/>
      <c r="AY362" s="42"/>
      <c r="AZ362" s="320"/>
      <c r="BD362" s="401"/>
      <c r="BE362" s="42"/>
    </row>
    <row r="363" spans="48:57" x14ac:dyDescent="0.2">
      <c r="AV363" s="401"/>
      <c r="AW363" s="412"/>
      <c r="AX363" s="230"/>
      <c r="AY363" s="42"/>
      <c r="AZ363" s="320"/>
      <c r="BD363" s="401"/>
      <c r="BE363" s="42"/>
    </row>
    <row r="364" spans="48:57" x14ac:dyDescent="0.2">
      <c r="AV364" s="401"/>
      <c r="AW364" s="412"/>
      <c r="AX364" s="230"/>
      <c r="AY364" s="42"/>
      <c r="AZ364" s="320"/>
      <c r="BD364" s="401"/>
      <c r="BE364" s="42"/>
    </row>
    <row r="365" spans="48:57" x14ac:dyDescent="0.2">
      <c r="AV365" s="401"/>
      <c r="AW365" s="412"/>
      <c r="AX365" s="230"/>
      <c r="AY365" s="42"/>
      <c r="AZ365" s="320"/>
      <c r="BD365" s="401"/>
      <c r="BE365" s="42"/>
    </row>
    <row r="366" spans="48:57" x14ac:dyDescent="0.2">
      <c r="AV366" s="401"/>
      <c r="AW366" s="412"/>
      <c r="AX366" s="230"/>
      <c r="AY366" s="42"/>
      <c r="AZ366" s="320"/>
      <c r="BD366" s="401"/>
      <c r="BE366" s="42"/>
    </row>
    <row r="367" spans="48:57" x14ac:dyDescent="0.2">
      <c r="AV367" s="401"/>
      <c r="AW367" s="412"/>
      <c r="AX367" s="230"/>
      <c r="AY367" s="42"/>
      <c r="AZ367" s="320"/>
      <c r="BD367" s="401"/>
      <c r="BE367" s="42"/>
    </row>
    <row r="368" spans="48:57" x14ac:dyDescent="0.2">
      <c r="AV368" s="401"/>
      <c r="AW368" s="412"/>
      <c r="AX368" s="230"/>
      <c r="AY368" s="42"/>
      <c r="AZ368" s="320"/>
      <c r="BD368" s="401"/>
      <c r="BE368" s="42"/>
    </row>
    <row r="369" spans="48:57" x14ac:dyDescent="0.2">
      <c r="AV369" s="401"/>
      <c r="AW369" s="412"/>
      <c r="AX369" s="230"/>
      <c r="AY369" s="42"/>
      <c r="AZ369" s="320"/>
      <c r="BD369" s="401"/>
      <c r="BE369" s="42"/>
    </row>
    <row r="370" spans="48:57" x14ac:dyDescent="0.2">
      <c r="AV370" s="401"/>
      <c r="AW370" s="412"/>
      <c r="AX370" s="230"/>
      <c r="AY370" s="42"/>
      <c r="AZ370" s="320"/>
      <c r="BD370" s="401"/>
      <c r="BE370" s="42"/>
    </row>
    <row r="371" spans="48:57" x14ac:dyDescent="0.2">
      <c r="AV371" s="401"/>
      <c r="AW371" s="412"/>
      <c r="AX371" s="230"/>
      <c r="AY371" s="42"/>
      <c r="AZ371" s="320"/>
      <c r="BD371" s="401"/>
      <c r="BE371" s="42"/>
    </row>
    <row r="372" spans="48:57" x14ac:dyDescent="0.2">
      <c r="AV372" s="401"/>
      <c r="AW372" s="412"/>
      <c r="AX372" s="230"/>
      <c r="AY372" s="42"/>
      <c r="AZ372" s="320"/>
      <c r="BD372" s="401"/>
      <c r="BE372" s="42"/>
    </row>
    <row r="373" spans="48:57" x14ac:dyDescent="0.2">
      <c r="AV373" s="401"/>
      <c r="AW373" s="412"/>
      <c r="AX373" s="230"/>
      <c r="AY373" s="42"/>
      <c r="AZ373" s="320"/>
      <c r="BD373" s="401"/>
      <c r="BE373" s="42"/>
    </row>
    <row r="374" spans="48:57" x14ac:dyDescent="0.2">
      <c r="AV374" s="401"/>
      <c r="AW374" s="412"/>
      <c r="AX374" s="230"/>
      <c r="AY374" s="42"/>
      <c r="AZ374" s="320"/>
      <c r="BD374" s="401"/>
      <c r="BE374" s="42"/>
    </row>
    <row r="375" spans="48:57" x14ac:dyDescent="0.2">
      <c r="AV375" s="401"/>
      <c r="AW375" s="412"/>
      <c r="AX375" s="230"/>
      <c r="AY375" s="42"/>
      <c r="AZ375" s="320"/>
      <c r="BD375" s="401"/>
      <c r="BE375" s="42"/>
    </row>
    <row r="376" spans="48:57" x14ac:dyDescent="0.2">
      <c r="AV376" s="401"/>
      <c r="AW376" s="412"/>
      <c r="AX376" s="230"/>
      <c r="AY376" s="42"/>
      <c r="AZ376" s="320"/>
      <c r="BD376" s="401"/>
      <c r="BE376" s="42"/>
    </row>
    <row r="377" spans="48:57" x14ac:dyDescent="0.2">
      <c r="AV377" s="401"/>
      <c r="AW377" s="412"/>
      <c r="AX377" s="230"/>
      <c r="AY377" s="42"/>
      <c r="AZ377" s="320"/>
      <c r="BD377" s="401"/>
      <c r="BE377" s="42"/>
    </row>
    <row r="378" spans="48:57" x14ac:dyDescent="0.2">
      <c r="AV378" s="401"/>
      <c r="AW378" s="412"/>
      <c r="AX378" s="230"/>
      <c r="AY378" s="42"/>
      <c r="AZ378" s="320"/>
      <c r="BD378" s="401"/>
      <c r="BE378" s="42"/>
    </row>
    <row r="379" spans="48:57" x14ac:dyDescent="0.2">
      <c r="AV379" s="401"/>
      <c r="AW379" s="412"/>
      <c r="AX379" s="230"/>
      <c r="AY379" s="42"/>
      <c r="AZ379" s="320"/>
      <c r="BD379" s="401"/>
      <c r="BE379" s="42"/>
    </row>
    <row r="380" spans="48:57" x14ac:dyDescent="0.2">
      <c r="AV380" s="401"/>
      <c r="AW380" s="412"/>
      <c r="AX380" s="230"/>
      <c r="AY380" s="42"/>
      <c r="AZ380" s="320"/>
      <c r="BD380" s="401"/>
      <c r="BE380" s="42"/>
    </row>
    <row r="381" spans="48:57" x14ac:dyDescent="0.2">
      <c r="AV381" s="401"/>
      <c r="AW381" s="412"/>
      <c r="AX381" s="230"/>
      <c r="AY381" s="42"/>
      <c r="AZ381" s="320"/>
      <c r="BD381" s="401"/>
      <c r="BE381" s="42"/>
    </row>
    <row r="382" spans="48:57" x14ac:dyDescent="0.2">
      <c r="AV382" s="401"/>
      <c r="AW382" s="412"/>
      <c r="AX382" s="230"/>
      <c r="AY382" s="42"/>
      <c r="AZ382" s="320"/>
      <c r="BD382" s="401"/>
      <c r="BE382" s="42"/>
    </row>
    <row r="383" spans="48:57" x14ac:dyDescent="0.2">
      <c r="AV383" s="401"/>
      <c r="AW383" s="412"/>
      <c r="AX383" s="230"/>
      <c r="AY383" s="42"/>
      <c r="AZ383" s="320"/>
      <c r="BD383" s="401"/>
      <c r="BE383" s="42"/>
    </row>
    <row r="384" spans="48:57" x14ac:dyDescent="0.2">
      <c r="AV384" s="401"/>
      <c r="AW384" s="412"/>
      <c r="AX384" s="230"/>
      <c r="AY384" s="42"/>
      <c r="AZ384" s="320"/>
      <c r="BD384" s="401"/>
      <c r="BE384" s="42"/>
    </row>
    <row r="385" spans="48:57" x14ac:dyDescent="0.2">
      <c r="AV385" s="401"/>
      <c r="AW385" s="412"/>
      <c r="AX385" s="230"/>
      <c r="AY385" s="42"/>
      <c r="AZ385" s="320"/>
      <c r="BD385" s="401"/>
      <c r="BE385" s="42"/>
    </row>
    <row r="386" spans="48:57" x14ac:dyDescent="0.2">
      <c r="AV386" s="401"/>
      <c r="AW386" s="412"/>
      <c r="AX386" s="230"/>
      <c r="AY386" s="42"/>
      <c r="AZ386" s="320"/>
      <c r="BD386" s="401"/>
      <c r="BE386" s="42"/>
    </row>
    <row r="387" spans="48:57" x14ac:dyDescent="0.2">
      <c r="AV387" s="401"/>
      <c r="AW387" s="412"/>
      <c r="AX387" s="230"/>
      <c r="AY387" s="42"/>
      <c r="AZ387" s="320"/>
      <c r="BD387" s="401"/>
      <c r="BE387" s="42"/>
    </row>
    <row r="388" spans="48:57" x14ac:dyDescent="0.2">
      <c r="AV388" s="401"/>
      <c r="AW388" s="412"/>
      <c r="AX388" s="230"/>
      <c r="AY388" s="42"/>
      <c r="AZ388" s="320"/>
      <c r="BD388" s="401"/>
      <c r="BE388" s="42"/>
    </row>
    <row r="389" spans="48:57" x14ac:dyDescent="0.2">
      <c r="AV389" s="401"/>
      <c r="AW389" s="412"/>
      <c r="AX389" s="230"/>
      <c r="AY389" s="42"/>
      <c r="AZ389" s="320"/>
      <c r="BD389" s="401"/>
      <c r="BE389" s="42"/>
    </row>
    <row r="390" spans="48:57" x14ac:dyDescent="0.2">
      <c r="AV390" s="401"/>
      <c r="AW390" s="412"/>
      <c r="AX390" s="230"/>
      <c r="AY390" s="42"/>
      <c r="AZ390" s="320"/>
      <c r="BD390" s="401"/>
      <c r="BE390" s="42"/>
    </row>
    <row r="391" spans="48:57" x14ac:dyDescent="0.2">
      <c r="AV391" s="401"/>
      <c r="AW391" s="412"/>
      <c r="AX391" s="230"/>
      <c r="AY391" s="42"/>
      <c r="AZ391" s="320"/>
      <c r="BD391" s="401"/>
      <c r="BE391" s="42"/>
    </row>
    <row r="392" spans="48:57" x14ac:dyDescent="0.2">
      <c r="AV392" s="401"/>
      <c r="AW392" s="412"/>
      <c r="AX392" s="230"/>
      <c r="AY392" s="42"/>
      <c r="AZ392" s="320"/>
      <c r="BD392" s="401"/>
      <c r="BE392" s="42"/>
    </row>
    <row r="393" spans="48:57" x14ac:dyDescent="0.2">
      <c r="AV393" s="401"/>
      <c r="AW393" s="412"/>
      <c r="AX393" s="230"/>
      <c r="AY393" s="42"/>
      <c r="AZ393" s="320"/>
      <c r="BD393" s="401"/>
      <c r="BE393" s="42"/>
    </row>
    <row r="394" spans="48:57" x14ac:dyDescent="0.2">
      <c r="AV394" s="401"/>
      <c r="AW394" s="412"/>
      <c r="AX394" s="230"/>
      <c r="AY394" s="42"/>
      <c r="AZ394" s="320"/>
      <c r="BD394" s="401"/>
      <c r="BE394" s="42"/>
    </row>
    <row r="395" spans="48:57" x14ac:dyDescent="0.2">
      <c r="AV395" s="401"/>
      <c r="AW395" s="412"/>
      <c r="AX395" s="230"/>
      <c r="AY395" s="42"/>
      <c r="AZ395" s="320"/>
      <c r="BD395" s="401"/>
      <c r="BE395" s="42"/>
    </row>
    <row r="396" spans="48:57" x14ac:dyDescent="0.2">
      <c r="AV396" s="401"/>
      <c r="AW396" s="412"/>
      <c r="AX396" s="230"/>
      <c r="AY396" s="42"/>
      <c r="AZ396" s="320"/>
      <c r="BD396" s="401"/>
      <c r="BE396" s="42"/>
    </row>
    <row r="397" spans="48:57" x14ac:dyDescent="0.2">
      <c r="AV397" s="401"/>
      <c r="AW397" s="412"/>
      <c r="AX397" s="230"/>
      <c r="AY397" s="42"/>
      <c r="AZ397" s="320"/>
      <c r="BD397" s="401"/>
      <c r="BE397" s="42"/>
    </row>
    <row r="398" spans="48:57" x14ac:dyDescent="0.2">
      <c r="AV398" s="401"/>
      <c r="AW398" s="412"/>
      <c r="AX398" s="230"/>
      <c r="AY398" s="42"/>
      <c r="AZ398" s="320"/>
      <c r="BD398" s="401"/>
      <c r="BE398" s="42"/>
    </row>
    <row r="399" spans="48:57" x14ac:dyDescent="0.2">
      <c r="AV399" s="401"/>
      <c r="AW399" s="412"/>
      <c r="AX399" s="230"/>
      <c r="AY399" s="42"/>
      <c r="AZ399" s="320"/>
      <c r="BD399" s="401"/>
      <c r="BE399" s="42"/>
    </row>
    <row r="400" spans="48:57" x14ac:dyDescent="0.2">
      <c r="AV400" s="401"/>
      <c r="AW400" s="412"/>
      <c r="AX400" s="230"/>
      <c r="AY400" s="42"/>
      <c r="AZ400" s="320"/>
      <c r="BD400" s="401"/>
      <c r="BE400" s="42"/>
    </row>
    <row r="401" spans="48:57" x14ac:dyDescent="0.2">
      <c r="AV401" s="401"/>
      <c r="AW401" s="412"/>
      <c r="AX401" s="230"/>
      <c r="AY401" s="42"/>
      <c r="AZ401" s="320"/>
      <c r="BD401" s="401"/>
      <c r="BE401" s="42"/>
    </row>
    <row r="402" spans="48:57" x14ac:dyDescent="0.2">
      <c r="AV402" s="401"/>
      <c r="AW402" s="412"/>
      <c r="AX402" s="230"/>
      <c r="AY402" s="42"/>
      <c r="AZ402" s="320"/>
      <c r="BD402" s="401"/>
      <c r="BE402" s="42"/>
    </row>
    <row r="403" spans="48:57" x14ac:dyDescent="0.2">
      <c r="AV403" s="401"/>
      <c r="AW403" s="412"/>
      <c r="AX403" s="230"/>
      <c r="AY403" s="42"/>
      <c r="AZ403" s="320"/>
      <c r="BD403" s="401"/>
      <c r="BE403" s="42"/>
    </row>
    <row r="404" spans="48:57" x14ac:dyDescent="0.2">
      <c r="AV404" s="401"/>
      <c r="AW404" s="412"/>
      <c r="AX404" s="230"/>
      <c r="AY404" s="42"/>
      <c r="AZ404" s="320"/>
      <c r="BD404" s="401"/>
      <c r="BE404" s="42"/>
    </row>
    <row r="405" spans="48:57" x14ac:dyDescent="0.2">
      <c r="AV405" s="401"/>
      <c r="AW405" s="412"/>
      <c r="AX405" s="230"/>
      <c r="AY405" s="42"/>
      <c r="AZ405" s="320"/>
      <c r="BD405" s="401"/>
      <c r="BE405" s="42"/>
    </row>
    <row r="406" spans="48:57" x14ac:dyDescent="0.2">
      <c r="AV406" s="401"/>
      <c r="AW406" s="412"/>
      <c r="AX406" s="230"/>
      <c r="AY406" s="42"/>
      <c r="AZ406" s="320"/>
      <c r="BD406" s="401"/>
      <c r="BE406" s="42"/>
    </row>
    <row r="407" spans="48:57" x14ac:dyDescent="0.2">
      <c r="AV407" s="401"/>
      <c r="AW407" s="412"/>
      <c r="AX407" s="230"/>
      <c r="AY407" s="42"/>
      <c r="AZ407" s="320"/>
      <c r="BD407" s="401"/>
      <c r="BE407" s="42"/>
    </row>
    <row r="408" spans="48:57" x14ac:dyDescent="0.2">
      <c r="AV408" s="401"/>
      <c r="AW408" s="412"/>
      <c r="AX408" s="230"/>
      <c r="AY408" s="42"/>
      <c r="AZ408" s="320"/>
      <c r="BD408" s="401"/>
      <c r="BE408" s="42"/>
    </row>
    <row r="409" spans="48:57" x14ac:dyDescent="0.2">
      <c r="AV409" s="401"/>
      <c r="AW409" s="412"/>
      <c r="AX409" s="230"/>
      <c r="AY409" s="42"/>
      <c r="AZ409" s="320"/>
      <c r="BD409" s="401"/>
      <c r="BE409" s="42"/>
    </row>
    <row r="410" spans="48:57" x14ac:dyDescent="0.2">
      <c r="AV410" s="401"/>
      <c r="AW410" s="412"/>
      <c r="AX410" s="230"/>
      <c r="AY410" s="42"/>
      <c r="AZ410" s="320"/>
      <c r="BD410" s="401"/>
      <c r="BE410" s="42"/>
    </row>
    <row r="411" spans="48:57" x14ac:dyDescent="0.2">
      <c r="AV411" s="401"/>
      <c r="AW411" s="412"/>
      <c r="AX411" s="230"/>
      <c r="AY411" s="42"/>
      <c r="AZ411" s="320"/>
      <c r="BD411" s="401"/>
      <c r="BE411" s="42"/>
    </row>
    <row r="412" spans="48:57" x14ac:dyDescent="0.2">
      <c r="AV412" s="401"/>
      <c r="AW412" s="412"/>
      <c r="AX412" s="230"/>
      <c r="AY412" s="42"/>
      <c r="AZ412" s="320"/>
      <c r="BD412" s="401"/>
      <c r="BE412" s="42"/>
    </row>
    <row r="413" spans="48:57" x14ac:dyDescent="0.2">
      <c r="AV413" s="401"/>
      <c r="AW413" s="412"/>
      <c r="AX413" s="230"/>
      <c r="AY413" s="42"/>
      <c r="AZ413" s="320"/>
      <c r="BD413" s="401"/>
      <c r="BE413" s="42"/>
    </row>
    <row r="414" spans="48:57" x14ac:dyDescent="0.2">
      <c r="AV414" s="401"/>
      <c r="AW414" s="412"/>
      <c r="AX414" s="230"/>
      <c r="AY414" s="42"/>
      <c r="AZ414" s="320"/>
      <c r="BD414" s="401"/>
      <c r="BE414" s="42"/>
    </row>
    <row r="415" spans="48:57" x14ac:dyDescent="0.2">
      <c r="AV415" s="401"/>
      <c r="AW415" s="412"/>
      <c r="AX415" s="230"/>
      <c r="AY415" s="42"/>
      <c r="AZ415" s="320"/>
      <c r="BD415" s="401"/>
      <c r="BE415" s="42"/>
    </row>
    <row r="416" spans="48:57" x14ac:dyDescent="0.2">
      <c r="AV416" s="401"/>
      <c r="AW416" s="412"/>
      <c r="AX416" s="230"/>
      <c r="AY416" s="42"/>
      <c r="AZ416" s="320"/>
      <c r="BD416" s="401"/>
      <c r="BE416" s="42"/>
    </row>
    <row r="417" spans="48:57" x14ac:dyDescent="0.2">
      <c r="AV417" s="401"/>
      <c r="AW417" s="412"/>
      <c r="AX417" s="230"/>
      <c r="AY417" s="42"/>
      <c r="AZ417" s="320"/>
      <c r="BD417" s="401"/>
      <c r="BE417" s="42"/>
    </row>
    <row r="418" spans="48:57" x14ac:dyDescent="0.2">
      <c r="AV418" s="401"/>
      <c r="AW418" s="412"/>
      <c r="AX418" s="230"/>
      <c r="AY418" s="42"/>
      <c r="AZ418" s="320"/>
      <c r="BD418" s="401"/>
      <c r="BE418" s="42"/>
    </row>
    <row r="419" spans="48:57" x14ac:dyDescent="0.2">
      <c r="AV419" s="401"/>
      <c r="AW419" s="412"/>
      <c r="AX419" s="230"/>
      <c r="AY419" s="42"/>
      <c r="AZ419" s="320"/>
      <c r="BD419" s="401"/>
      <c r="BE419" s="42"/>
    </row>
    <row r="420" spans="48:57" x14ac:dyDescent="0.2">
      <c r="AV420" s="401"/>
      <c r="AW420" s="412"/>
      <c r="AX420" s="230"/>
      <c r="AY420" s="42"/>
      <c r="AZ420" s="320"/>
      <c r="BD420" s="401"/>
      <c r="BE420" s="42"/>
    </row>
    <row r="421" spans="48:57" x14ac:dyDescent="0.2">
      <c r="AV421" s="401"/>
      <c r="AW421" s="412"/>
      <c r="AX421" s="230"/>
      <c r="AY421" s="42"/>
      <c r="AZ421" s="320"/>
      <c r="BD421" s="401"/>
      <c r="BE421" s="42"/>
    </row>
    <row r="422" spans="48:57" x14ac:dyDescent="0.2">
      <c r="AV422" s="401"/>
      <c r="AW422" s="412"/>
      <c r="AX422" s="230"/>
      <c r="AY422" s="42"/>
      <c r="AZ422" s="320"/>
      <c r="BD422" s="401"/>
      <c r="BE422" s="42"/>
    </row>
    <row r="423" spans="48:57" x14ac:dyDescent="0.2">
      <c r="AV423" s="401"/>
      <c r="AW423" s="412"/>
      <c r="AX423" s="230"/>
      <c r="AY423" s="42"/>
      <c r="AZ423" s="320"/>
      <c r="BD423" s="401"/>
      <c r="BE423" s="42"/>
    </row>
    <row r="424" spans="48:57" x14ac:dyDescent="0.2">
      <c r="AV424" s="401"/>
      <c r="AW424" s="412"/>
      <c r="AX424" s="230"/>
      <c r="AY424" s="42"/>
      <c r="AZ424" s="320"/>
      <c r="BD424" s="401"/>
      <c r="BE424" s="42"/>
    </row>
    <row r="425" spans="48:57" x14ac:dyDescent="0.2">
      <c r="AV425" s="401"/>
      <c r="AW425" s="412"/>
      <c r="AX425" s="230"/>
      <c r="AY425" s="42"/>
      <c r="AZ425" s="320"/>
      <c r="BD425" s="401"/>
      <c r="BE425" s="42"/>
    </row>
    <row r="426" spans="48:57" x14ac:dyDescent="0.2">
      <c r="AV426" s="401"/>
      <c r="AW426" s="412"/>
      <c r="AX426" s="230"/>
      <c r="AY426" s="42"/>
      <c r="AZ426" s="320"/>
      <c r="BD426" s="401"/>
      <c r="BE426" s="42"/>
    </row>
    <row r="427" spans="48:57" x14ac:dyDescent="0.2">
      <c r="AV427" s="401"/>
      <c r="AW427" s="412"/>
      <c r="AX427" s="230"/>
      <c r="AY427" s="42"/>
      <c r="AZ427" s="320"/>
      <c r="BD427" s="401"/>
      <c r="BE427" s="42"/>
    </row>
    <row r="428" spans="48:57" x14ac:dyDescent="0.2">
      <c r="AV428" s="401"/>
      <c r="AW428" s="412"/>
      <c r="AX428" s="230"/>
      <c r="AY428" s="42"/>
      <c r="AZ428" s="320"/>
      <c r="BD428" s="401"/>
      <c r="BE428" s="42"/>
    </row>
    <row r="429" spans="48:57" x14ac:dyDescent="0.2">
      <c r="AV429" s="401"/>
      <c r="AW429" s="412"/>
      <c r="AX429" s="230"/>
      <c r="AY429" s="42"/>
      <c r="AZ429" s="320"/>
      <c r="BD429" s="401"/>
      <c r="BE429" s="42"/>
    </row>
    <row r="430" spans="48:57" x14ac:dyDescent="0.2">
      <c r="AV430" s="401"/>
      <c r="AW430" s="412"/>
      <c r="AX430" s="230"/>
      <c r="AY430" s="42"/>
      <c r="AZ430" s="320"/>
      <c r="BD430" s="401"/>
      <c r="BE430" s="42"/>
    </row>
    <row r="431" spans="48:57" x14ac:dyDescent="0.2">
      <c r="AV431" s="401"/>
      <c r="AW431" s="412"/>
      <c r="AX431" s="230"/>
      <c r="AY431" s="42"/>
      <c r="AZ431" s="320"/>
      <c r="BD431" s="401"/>
      <c r="BE431" s="42"/>
    </row>
    <row r="432" spans="48:57" x14ac:dyDescent="0.2">
      <c r="AV432" s="401"/>
      <c r="AW432" s="412"/>
      <c r="AX432" s="230"/>
      <c r="AY432" s="42"/>
      <c r="AZ432" s="320"/>
      <c r="BD432" s="401"/>
      <c r="BE432" s="42"/>
    </row>
    <row r="433" spans="48:57" x14ac:dyDescent="0.2">
      <c r="AV433" s="401"/>
      <c r="AW433" s="412"/>
      <c r="AX433" s="230"/>
      <c r="AY433" s="42"/>
      <c r="AZ433" s="320"/>
      <c r="BD433" s="401"/>
      <c r="BE433" s="42"/>
    </row>
    <row r="434" spans="48:57" x14ac:dyDescent="0.2">
      <c r="AV434" s="401"/>
      <c r="AW434" s="412"/>
      <c r="AX434" s="230"/>
      <c r="AY434" s="42"/>
      <c r="AZ434" s="320"/>
      <c r="BD434" s="401"/>
      <c r="BE434" s="42"/>
    </row>
    <row r="435" spans="48:57" x14ac:dyDescent="0.2">
      <c r="AV435" s="401"/>
      <c r="AW435" s="412"/>
      <c r="AX435" s="230"/>
      <c r="AY435" s="42"/>
      <c r="AZ435" s="320"/>
      <c r="BD435" s="401"/>
      <c r="BE435" s="42"/>
    </row>
    <row r="436" spans="48:57" x14ac:dyDescent="0.2">
      <c r="AV436" s="401"/>
      <c r="AW436" s="412"/>
      <c r="AX436" s="230"/>
      <c r="AY436" s="42"/>
      <c r="AZ436" s="320"/>
      <c r="BD436" s="401"/>
      <c r="BE436" s="42"/>
    </row>
    <row r="437" spans="48:57" x14ac:dyDescent="0.2">
      <c r="AV437" s="401"/>
      <c r="AW437" s="412"/>
      <c r="AX437" s="230"/>
      <c r="AY437" s="42"/>
      <c r="AZ437" s="320"/>
      <c r="BD437" s="401"/>
      <c r="BE437" s="42"/>
    </row>
    <row r="438" spans="48:57" x14ac:dyDescent="0.2">
      <c r="AV438" s="401"/>
      <c r="AW438" s="412"/>
      <c r="AX438" s="230"/>
      <c r="AY438" s="42"/>
      <c r="AZ438" s="320"/>
      <c r="BD438" s="401"/>
      <c r="BE438" s="42"/>
    </row>
    <row r="439" spans="48:57" x14ac:dyDescent="0.2">
      <c r="AV439" s="401"/>
      <c r="AW439" s="412"/>
      <c r="AX439" s="230"/>
      <c r="AY439" s="42"/>
      <c r="AZ439" s="320"/>
      <c r="BD439" s="401"/>
      <c r="BE439" s="42"/>
    </row>
    <row r="440" spans="48:57" x14ac:dyDescent="0.2">
      <c r="AV440" s="401"/>
      <c r="AW440" s="412"/>
      <c r="AX440" s="230"/>
      <c r="AY440" s="42"/>
      <c r="AZ440" s="320"/>
      <c r="BD440" s="401"/>
      <c r="BE440" s="42"/>
    </row>
    <row r="441" spans="48:57" x14ac:dyDescent="0.2">
      <c r="AV441" s="401"/>
      <c r="AW441" s="412"/>
      <c r="AX441" s="230"/>
      <c r="AY441" s="42"/>
      <c r="AZ441" s="320"/>
      <c r="BD441" s="401"/>
      <c r="BE441" s="42"/>
    </row>
    <row r="442" spans="48:57" x14ac:dyDescent="0.2">
      <c r="AV442" s="401"/>
      <c r="AW442" s="412"/>
      <c r="AX442" s="230"/>
      <c r="AY442" s="42"/>
      <c r="AZ442" s="320"/>
      <c r="BD442" s="401"/>
      <c r="BE442" s="42"/>
    </row>
    <row r="443" spans="48:57" x14ac:dyDescent="0.2">
      <c r="AV443" s="401"/>
      <c r="AW443" s="412"/>
      <c r="AX443" s="230"/>
      <c r="AY443" s="42"/>
      <c r="AZ443" s="320"/>
      <c r="BD443" s="401"/>
      <c r="BE443" s="42"/>
    </row>
    <row r="444" spans="48:57" x14ac:dyDescent="0.2">
      <c r="AV444" s="401"/>
      <c r="AW444" s="412"/>
      <c r="AX444" s="230"/>
      <c r="AY444" s="42"/>
      <c r="AZ444" s="320"/>
      <c r="BD444" s="401"/>
      <c r="BE444" s="42"/>
    </row>
    <row r="445" spans="48:57" x14ac:dyDescent="0.2">
      <c r="AV445" s="401"/>
      <c r="AW445" s="412"/>
      <c r="AX445" s="230"/>
      <c r="AY445" s="42"/>
      <c r="AZ445" s="320"/>
      <c r="BD445" s="401"/>
      <c r="BE445" s="42"/>
    </row>
    <row r="446" spans="48:57" x14ac:dyDescent="0.2">
      <c r="AV446" s="401"/>
      <c r="AW446" s="412"/>
      <c r="AX446" s="230"/>
      <c r="AY446" s="42"/>
      <c r="AZ446" s="320"/>
      <c r="BD446" s="401"/>
      <c r="BE446" s="42"/>
    </row>
    <row r="447" spans="48:57" x14ac:dyDescent="0.2">
      <c r="AV447" s="401"/>
      <c r="AW447" s="412"/>
      <c r="AX447" s="230"/>
      <c r="AY447" s="42"/>
      <c r="AZ447" s="320"/>
      <c r="BD447" s="401"/>
      <c r="BE447" s="42"/>
    </row>
    <row r="448" spans="48:57" x14ac:dyDescent="0.2">
      <c r="AV448" s="401"/>
      <c r="AW448" s="412"/>
      <c r="AX448" s="230"/>
      <c r="AY448" s="42"/>
      <c r="AZ448" s="320"/>
      <c r="BD448" s="401"/>
      <c r="BE448" s="42"/>
    </row>
    <row r="449" spans="48:57" x14ac:dyDescent="0.2">
      <c r="AV449" s="401"/>
      <c r="AW449" s="412"/>
      <c r="AX449" s="230"/>
      <c r="AY449" s="42"/>
      <c r="AZ449" s="320"/>
      <c r="BD449" s="401"/>
      <c r="BE449" s="42"/>
    </row>
    <row r="450" spans="48:57" x14ac:dyDescent="0.2">
      <c r="AV450" s="401"/>
      <c r="AW450" s="412"/>
      <c r="AX450" s="230"/>
      <c r="AY450" s="42"/>
      <c r="AZ450" s="320"/>
      <c r="BD450" s="401"/>
      <c r="BE450" s="42"/>
    </row>
    <row r="451" spans="48:57" x14ac:dyDescent="0.2">
      <c r="AV451" s="401"/>
      <c r="AW451" s="412"/>
      <c r="AX451" s="230"/>
      <c r="AY451" s="42"/>
      <c r="AZ451" s="320"/>
      <c r="BD451" s="401"/>
      <c r="BE451" s="42"/>
    </row>
    <row r="452" spans="48:57" x14ac:dyDescent="0.2">
      <c r="AV452" s="401"/>
      <c r="AW452" s="412"/>
      <c r="AX452" s="230"/>
      <c r="AY452" s="42"/>
      <c r="AZ452" s="320"/>
      <c r="BD452" s="401"/>
      <c r="BE452" s="42"/>
    </row>
    <row r="453" spans="48:57" x14ac:dyDescent="0.2">
      <c r="AV453" s="401"/>
      <c r="AW453" s="412"/>
      <c r="AX453" s="230"/>
      <c r="AY453" s="42"/>
      <c r="AZ453" s="320"/>
      <c r="BD453" s="401"/>
      <c r="BE453" s="42"/>
    </row>
    <row r="454" spans="48:57" x14ac:dyDescent="0.2">
      <c r="AV454" s="401"/>
      <c r="AW454" s="412"/>
      <c r="AX454" s="230"/>
      <c r="AY454" s="42"/>
      <c r="AZ454" s="320"/>
      <c r="BD454" s="401"/>
      <c r="BE454" s="42"/>
    </row>
    <row r="455" spans="48:57" x14ac:dyDescent="0.2">
      <c r="AV455" s="401"/>
      <c r="AW455" s="412"/>
      <c r="AX455" s="230"/>
      <c r="AY455" s="42"/>
      <c r="AZ455" s="320"/>
      <c r="BD455" s="401"/>
      <c r="BE455" s="42"/>
    </row>
    <row r="456" spans="48:57" x14ac:dyDescent="0.2">
      <c r="AV456" s="401"/>
      <c r="AW456" s="412"/>
      <c r="AX456" s="230"/>
      <c r="AY456" s="42"/>
      <c r="AZ456" s="320"/>
      <c r="BD456" s="401"/>
      <c r="BE456" s="42"/>
    </row>
    <row r="457" spans="48:57" x14ac:dyDescent="0.2">
      <c r="AV457" s="401"/>
      <c r="AW457" s="412"/>
      <c r="AX457" s="230"/>
      <c r="AY457" s="42"/>
      <c r="AZ457" s="320"/>
      <c r="BD457" s="401"/>
      <c r="BE457" s="42"/>
    </row>
    <row r="458" spans="48:57" x14ac:dyDescent="0.2">
      <c r="AV458" s="401"/>
      <c r="AW458" s="412"/>
      <c r="AX458" s="230"/>
      <c r="AY458" s="42"/>
      <c r="AZ458" s="320"/>
      <c r="BD458" s="401"/>
      <c r="BE458" s="42"/>
    </row>
    <row r="459" spans="48:57" x14ac:dyDescent="0.2">
      <c r="AV459" s="401"/>
      <c r="AW459" s="412"/>
      <c r="AX459" s="230"/>
      <c r="AY459" s="42"/>
      <c r="AZ459" s="320"/>
      <c r="BD459" s="401"/>
      <c r="BE459" s="42"/>
    </row>
    <row r="460" spans="48:57" x14ac:dyDescent="0.2">
      <c r="AV460" s="401"/>
      <c r="AW460" s="412"/>
      <c r="AX460" s="230"/>
      <c r="AY460" s="42"/>
      <c r="AZ460" s="320"/>
      <c r="BD460" s="401"/>
      <c r="BE460" s="42"/>
    </row>
    <row r="461" spans="48:57" x14ac:dyDescent="0.2">
      <c r="AV461" s="401"/>
      <c r="AW461" s="412"/>
      <c r="AX461" s="230"/>
      <c r="AY461" s="42"/>
      <c r="AZ461" s="320"/>
      <c r="BD461" s="401"/>
      <c r="BE461" s="42"/>
    </row>
    <row r="462" spans="48:57" x14ac:dyDescent="0.2">
      <c r="AV462" s="401"/>
      <c r="AW462" s="412"/>
      <c r="AX462" s="230"/>
      <c r="AY462" s="42"/>
      <c r="AZ462" s="320"/>
      <c r="BD462" s="401"/>
      <c r="BE462" s="42"/>
    </row>
    <row r="463" spans="48:57" x14ac:dyDescent="0.2">
      <c r="AV463" s="401"/>
      <c r="AW463" s="412"/>
      <c r="AX463" s="230"/>
      <c r="AY463" s="42"/>
      <c r="AZ463" s="320"/>
      <c r="BD463" s="401"/>
      <c r="BE463" s="42"/>
    </row>
    <row r="464" spans="48:57" x14ac:dyDescent="0.2">
      <c r="AV464" s="401"/>
      <c r="AW464" s="412"/>
      <c r="AX464" s="230"/>
      <c r="AY464" s="42"/>
      <c r="AZ464" s="320"/>
      <c r="BD464" s="401"/>
      <c r="BE464" s="42"/>
    </row>
    <row r="465" spans="48:57" x14ac:dyDescent="0.2">
      <c r="AV465" s="401"/>
      <c r="AW465" s="412"/>
      <c r="AX465" s="230"/>
      <c r="AY465" s="42"/>
      <c r="AZ465" s="320"/>
      <c r="BD465" s="401"/>
      <c r="BE465" s="42"/>
    </row>
    <row r="466" spans="48:57" x14ac:dyDescent="0.2">
      <c r="AV466" s="401"/>
      <c r="AW466" s="412"/>
      <c r="AX466" s="230"/>
      <c r="AY466" s="42"/>
      <c r="AZ466" s="320"/>
      <c r="BD466" s="401"/>
      <c r="BE466" s="42"/>
    </row>
    <row r="467" spans="48:57" x14ac:dyDescent="0.2">
      <c r="AV467" s="401"/>
      <c r="AW467" s="412"/>
      <c r="AX467" s="230"/>
      <c r="AY467" s="42"/>
      <c r="AZ467" s="320"/>
      <c r="BD467" s="401"/>
      <c r="BE467" s="42"/>
    </row>
    <row r="468" spans="48:57" x14ac:dyDescent="0.2">
      <c r="AV468" s="401"/>
      <c r="AW468" s="412"/>
      <c r="AX468" s="230"/>
      <c r="AY468" s="42"/>
      <c r="AZ468" s="320"/>
      <c r="BD468" s="401"/>
      <c r="BE468" s="42"/>
    </row>
    <row r="469" spans="48:57" x14ac:dyDescent="0.2">
      <c r="AV469" s="401"/>
      <c r="AW469" s="412"/>
      <c r="AX469" s="230"/>
      <c r="AY469" s="42"/>
      <c r="AZ469" s="320"/>
      <c r="BD469" s="401"/>
      <c r="BE469" s="42"/>
    </row>
    <row r="470" spans="48:57" x14ac:dyDescent="0.2">
      <c r="AV470" s="401"/>
      <c r="AW470" s="412"/>
      <c r="AX470" s="230"/>
      <c r="AY470" s="42"/>
      <c r="AZ470" s="320"/>
      <c r="BD470" s="401"/>
      <c r="BE470" s="42"/>
    </row>
    <row r="471" spans="48:57" x14ac:dyDescent="0.2">
      <c r="AV471" s="401"/>
      <c r="AW471" s="412"/>
      <c r="AX471" s="230"/>
      <c r="AY471" s="42"/>
      <c r="AZ471" s="320"/>
      <c r="BD471" s="401"/>
      <c r="BE471" s="42"/>
    </row>
    <row r="472" spans="48:57" x14ac:dyDescent="0.2">
      <c r="AV472" s="401"/>
      <c r="AW472" s="412"/>
      <c r="AX472" s="230"/>
      <c r="AY472" s="42"/>
      <c r="AZ472" s="320"/>
      <c r="BD472" s="401"/>
      <c r="BE472" s="42"/>
    </row>
    <row r="473" spans="48:57" x14ac:dyDescent="0.2">
      <c r="AV473" s="401"/>
      <c r="AW473" s="412"/>
      <c r="AX473" s="230"/>
      <c r="AY473" s="42"/>
      <c r="AZ473" s="320"/>
      <c r="BD473" s="401"/>
      <c r="BE473" s="42"/>
    </row>
    <row r="474" spans="48:57" x14ac:dyDescent="0.2">
      <c r="AV474" s="401"/>
      <c r="AW474" s="412"/>
      <c r="AX474" s="230"/>
      <c r="AY474" s="42"/>
      <c r="AZ474" s="320"/>
      <c r="BD474" s="401"/>
      <c r="BE474" s="42"/>
    </row>
    <row r="475" spans="48:57" x14ac:dyDescent="0.2">
      <c r="AV475" s="401"/>
      <c r="AW475" s="412"/>
      <c r="AX475" s="230"/>
      <c r="AY475" s="42"/>
      <c r="AZ475" s="320"/>
      <c r="BD475" s="401"/>
      <c r="BE475" s="42"/>
    </row>
    <row r="476" spans="48:57" x14ac:dyDescent="0.2">
      <c r="AV476" s="401"/>
      <c r="AW476" s="412"/>
      <c r="AX476" s="230"/>
      <c r="AY476" s="42"/>
      <c r="AZ476" s="320"/>
      <c r="BD476" s="401"/>
      <c r="BE476" s="42"/>
    </row>
    <row r="477" spans="48:57" x14ac:dyDescent="0.2">
      <c r="AV477" s="401"/>
      <c r="AW477" s="412"/>
      <c r="AX477" s="230"/>
      <c r="AY477" s="42"/>
      <c r="AZ477" s="320"/>
      <c r="BD477" s="401"/>
      <c r="BE477" s="42"/>
    </row>
    <row r="478" spans="48:57" x14ac:dyDescent="0.2">
      <c r="AV478" s="401"/>
      <c r="AW478" s="412"/>
      <c r="AX478" s="230"/>
      <c r="AY478" s="42"/>
      <c r="AZ478" s="320"/>
      <c r="BD478" s="401"/>
      <c r="BE478" s="42"/>
    </row>
    <row r="479" spans="48:57" x14ac:dyDescent="0.2">
      <c r="AV479" s="401"/>
      <c r="AW479" s="412"/>
      <c r="AX479" s="230"/>
      <c r="AY479" s="42"/>
      <c r="AZ479" s="320"/>
      <c r="BD479" s="401"/>
      <c r="BE479" s="42"/>
    </row>
    <row r="480" spans="48:57" x14ac:dyDescent="0.2">
      <c r="AV480" s="401"/>
      <c r="AW480" s="412"/>
      <c r="AX480" s="230"/>
      <c r="AY480" s="42"/>
      <c r="AZ480" s="320"/>
      <c r="BD480" s="401"/>
      <c r="BE480" s="42"/>
    </row>
    <row r="481" spans="48:57" x14ac:dyDescent="0.2">
      <c r="AV481" s="401"/>
      <c r="AW481" s="412"/>
      <c r="AX481" s="230"/>
      <c r="AY481" s="42"/>
      <c r="AZ481" s="320"/>
      <c r="BD481" s="401"/>
      <c r="BE481" s="42"/>
    </row>
    <row r="482" spans="48:57" x14ac:dyDescent="0.2">
      <c r="AV482" s="401"/>
      <c r="AW482" s="412"/>
      <c r="AX482" s="230"/>
      <c r="AY482" s="42"/>
      <c r="AZ482" s="320"/>
      <c r="BD482" s="401"/>
      <c r="BE482" s="42"/>
    </row>
    <row r="483" spans="48:57" x14ac:dyDescent="0.2">
      <c r="AV483" s="401"/>
      <c r="AW483" s="412"/>
      <c r="AX483" s="230"/>
      <c r="AY483" s="42"/>
      <c r="AZ483" s="320"/>
      <c r="BD483" s="401"/>
      <c r="BE483" s="42"/>
    </row>
    <row r="484" spans="48:57" x14ac:dyDescent="0.2">
      <c r="AV484" s="401"/>
      <c r="AW484" s="412"/>
      <c r="AX484" s="230"/>
      <c r="AY484" s="42"/>
      <c r="AZ484" s="320"/>
      <c r="BD484" s="401"/>
      <c r="BE484" s="42"/>
    </row>
    <row r="485" spans="48:57" x14ac:dyDescent="0.2">
      <c r="AV485" s="401"/>
      <c r="AW485" s="412"/>
      <c r="AX485" s="230"/>
      <c r="AY485" s="42"/>
      <c r="AZ485" s="320"/>
      <c r="BD485" s="401"/>
      <c r="BE485" s="42"/>
    </row>
    <row r="486" spans="48:57" x14ac:dyDescent="0.2">
      <c r="AV486" s="401"/>
      <c r="AW486" s="412"/>
      <c r="AX486" s="230"/>
      <c r="AY486" s="42"/>
      <c r="AZ486" s="320"/>
      <c r="BD486" s="401"/>
      <c r="BE486" s="42"/>
    </row>
    <row r="487" spans="48:57" x14ac:dyDescent="0.2">
      <c r="AV487" s="401"/>
      <c r="AW487" s="412"/>
      <c r="AX487" s="230"/>
      <c r="AY487" s="42"/>
      <c r="AZ487" s="320"/>
      <c r="BD487" s="401"/>
      <c r="BE487" s="42"/>
    </row>
    <row r="488" spans="48:57" x14ac:dyDescent="0.2">
      <c r="AV488" s="401"/>
      <c r="AW488" s="412"/>
      <c r="AX488" s="230"/>
      <c r="AY488" s="42"/>
      <c r="AZ488" s="320"/>
      <c r="BD488" s="401"/>
      <c r="BE488" s="42"/>
    </row>
    <row r="489" spans="48:57" x14ac:dyDescent="0.2">
      <c r="AV489" s="401"/>
      <c r="AW489" s="412"/>
      <c r="AX489" s="230"/>
      <c r="AY489" s="42"/>
      <c r="AZ489" s="320"/>
      <c r="BD489" s="401"/>
      <c r="BE489" s="42"/>
    </row>
    <row r="490" spans="48:57" x14ac:dyDescent="0.2">
      <c r="AV490" s="401"/>
      <c r="AW490" s="412"/>
      <c r="AX490" s="230"/>
      <c r="AY490" s="42"/>
      <c r="AZ490" s="320"/>
      <c r="BD490" s="401"/>
      <c r="BE490" s="42"/>
    </row>
    <row r="491" spans="48:57" x14ac:dyDescent="0.2">
      <c r="AV491" s="401"/>
      <c r="AW491" s="412"/>
      <c r="AX491" s="230"/>
      <c r="AY491" s="42"/>
      <c r="AZ491" s="320"/>
      <c r="BD491" s="401"/>
      <c r="BE491" s="42"/>
    </row>
    <row r="492" spans="48:57" x14ac:dyDescent="0.2">
      <c r="AV492" s="401"/>
      <c r="AW492" s="412"/>
      <c r="AX492" s="230"/>
      <c r="AY492" s="42"/>
      <c r="AZ492" s="320"/>
      <c r="BD492" s="401"/>
      <c r="BE492" s="42"/>
    </row>
    <row r="493" spans="48:57" x14ac:dyDescent="0.2">
      <c r="AV493" s="401"/>
      <c r="AW493" s="412"/>
      <c r="AX493" s="230"/>
      <c r="AY493" s="42"/>
      <c r="AZ493" s="320"/>
      <c r="BD493" s="401"/>
      <c r="BE493" s="42"/>
    </row>
    <row r="494" spans="48:57" x14ac:dyDescent="0.2">
      <c r="AV494" s="401"/>
      <c r="AW494" s="412"/>
      <c r="AX494" s="230"/>
      <c r="AY494" s="42"/>
      <c r="AZ494" s="320"/>
      <c r="BD494" s="401"/>
      <c r="BE494" s="42"/>
    </row>
    <row r="495" spans="48:57" x14ac:dyDescent="0.2">
      <c r="AV495" s="401"/>
      <c r="AW495" s="412"/>
      <c r="AX495" s="230"/>
      <c r="AY495" s="42"/>
      <c r="AZ495" s="320"/>
      <c r="BD495" s="401"/>
      <c r="BE495" s="42"/>
    </row>
    <row r="496" spans="48:57" x14ac:dyDescent="0.2">
      <c r="AV496" s="401"/>
      <c r="AW496" s="412"/>
      <c r="AX496" s="230"/>
      <c r="AY496" s="42"/>
      <c r="AZ496" s="320"/>
      <c r="BD496" s="401"/>
      <c r="BE496" s="42"/>
    </row>
    <row r="497" spans="48:57" x14ac:dyDescent="0.2">
      <c r="AV497" s="401"/>
      <c r="AW497" s="412"/>
      <c r="AX497" s="230"/>
      <c r="AY497" s="42"/>
      <c r="AZ497" s="320"/>
      <c r="BD497" s="401"/>
      <c r="BE497" s="42"/>
    </row>
    <row r="498" spans="48:57" x14ac:dyDescent="0.2">
      <c r="AV498" s="401"/>
      <c r="AW498" s="412"/>
      <c r="AX498" s="230"/>
      <c r="AY498" s="42"/>
      <c r="AZ498" s="320"/>
      <c r="BD498" s="401"/>
      <c r="BE498" s="42"/>
    </row>
    <row r="499" spans="48:57" x14ac:dyDescent="0.2">
      <c r="AV499" s="401"/>
      <c r="AW499" s="412"/>
      <c r="AX499" s="230"/>
      <c r="AY499" s="42"/>
      <c r="AZ499" s="320"/>
      <c r="BD499" s="401"/>
      <c r="BE499" s="42"/>
    </row>
    <row r="500" spans="48:57" x14ac:dyDescent="0.2">
      <c r="AV500" s="401"/>
      <c r="AW500" s="412"/>
      <c r="AX500" s="230"/>
      <c r="AY500" s="42"/>
      <c r="AZ500" s="320"/>
      <c r="BD500" s="401"/>
      <c r="BE500" s="42"/>
    </row>
    <row r="501" spans="48:57" x14ac:dyDescent="0.2">
      <c r="AV501" s="401"/>
      <c r="AW501" s="412"/>
      <c r="AX501" s="230"/>
      <c r="AY501" s="42"/>
      <c r="AZ501" s="320"/>
      <c r="BD501" s="401"/>
      <c r="BE501" s="42"/>
    </row>
    <row r="502" spans="48:57" x14ac:dyDescent="0.2">
      <c r="AV502" s="401"/>
      <c r="AW502" s="412"/>
      <c r="AX502" s="230"/>
      <c r="AY502" s="42"/>
      <c r="AZ502" s="320"/>
      <c r="BD502" s="401"/>
      <c r="BE502" s="42"/>
    </row>
    <row r="503" spans="48:57" x14ac:dyDescent="0.2">
      <c r="AV503" s="401"/>
      <c r="AW503" s="412"/>
      <c r="AX503" s="230"/>
      <c r="AY503" s="42"/>
      <c r="AZ503" s="320"/>
      <c r="BD503" s="401"/>
      <c r="BE503" s="42"/>
    </row>
    <row r="504" spans="48:57" x14ac:dyDescent="0.2">
      <c r="AV504" s="401"/>
      <c r="AW504" s="412"/>
      <c r="AX504" s="230"/>
      <c r="AY504" s="42"/>
      <c r="AZ504" s="320"/>
      <c r="BD504" s="401"/>
      <c r="BE504" s="42"/>
    </row>
    <row r="505" spans="48:57" x14ac:dyDescent="0.2">
      <c r="AV505" s="401"/>
      <c r="AW505" s="412"/>
      <c r="AX505" s="230"/>
      <c r="AY505" s="42"/>
      <c r="AZ505" s="320"/>
      <c r="BD505" s="401"/>
      <c r="BE505" s="42"/>
    </row>
    <row r="506" spans="48:57" x14ac:dyDescent="0.2">
      <c r="AV506" s="401"/>
      <c r="AW506" s="412"/>
      <c r="AX506" s="230"/>
      <c r="AY506" s="42"/>
      <c r="AZ506" s="320"/>
      <c r="BD506" s="401"/>
      <c r="BE506" s="42"/>
    </row>
    <row r="507" spans="48:57" x14ac:dyDescent="0.2">
      <c r="AV507" s="401"/>
      <c r="AW507" s="412"/>
      <c r="AX507" s="230"/>
      <c r="AY507" s="42"/>
      <c r="AZ507" s="320"/>
      <c r="BD507" s="401"/>
      <c r="BE507" s="42"/>
    </row>
    <row r="508" spans="48:57" x14ac:dyDescent="0.2">
      <c r="AV508" s="401"/>
      <c r="AW508" s="412"/>
      <c r="AX508" s="230"/>
      <c r="AY508" s="42"/>
      <c r="AZ508" s="320"/>
      <c r="BD508" s="401"/>
      <c r="BE508" s="42"/>
    </row>
    <row r="509" spans="48:57" x14ac:dyDescent="0.2">
      <c r="AV509" s="401"/>
      <c r="AW509" s="412"/>
      <c r="AX509" s="230"/>
      <c r="AY509" s="42"/>
      <c r="AZ509" s="320"/>
      <c r="BD509" s="401"/>
      <c r="BE509" s="42"/>
    </row>
    <row r="510" spans="48:57" x14ac:dyDescent="0.2">
      <c r="AV510" s="401"/>
      <c r="AW510" s="412"/>
      <c r="AX510" s="230"/>
      <c r="AY510" s="42"/>
      <c r="AZ510" s="320"/>
      <c r="BD510" s="401"/>
      <c r="BE510" s="42"/>
    </row>
    <row r="511" spans="48:57" x14ac:dyDescent="0.2">
      <c r="AV511" s="401"/>
      <c r="AW511" s="412"/>
      <c r="AX511" s="230"/>
      <c r="AY511" s="42"/>
      <c r="AZ511" s="320"/>
      <c r="BD511" s="401"/>
      <c r="BE511" s="42"/>
    </row>
    <row r="512" spans="48:57" x14ac:dyDescent="0.2">
      <c r="AV512" s="401"/>
      <c r="AW512" s="412"/>
      <c r="AX512" s="230"/>
      <c r="AY512" s="42"/>
      <c r="AZ512" s="320"/>
      <c r="BD512" s="401"/>
      <c r="BE512" s="42"/>
    </row>
    <row r="513" spans="48:57" x14ac:dyDescent="0.2">
      <c r="AV513" s="401"/>
      <c r="AW513" s="412"/>
      <c r="AX513" s="230"/>
      <c r="AY513" s="42"/>
      <c r="AZ513" s="320"/>
      <c r="BD513" s="401"/>
      <c r="BE513" s="42"/>
    </row>
    <row r="514" spans="48:57" x14ac:dyDescent="0.2">
      <c r="AV514" s="401"/>
      <c r="AW514" s="412"/>
      <c r="AX514" s="230"/>
      <c r="AY514" s="42"/>
      <c r="AZ514" s="320"/>
      <c r="BD514" s="401"/>
      <c r="BE514" s="42"/>
    </row>
    <row r="515" spans="48:57" x14ac:dyDescent="0.2">
      <c r="AV515" s="401"/>
      <c r="AW515" s="412"/>
      <c r="AX515" s="230"/>
      <c r="AY515" s="42"/>
      <c r="AZ515" s="320"/>
      <c r="BD515" s="401"/>
      <c r="BE515" s="42"/>
    </row>
    <row r="516" spans="48:57" x14ac:dyDescent="0.2">
      <c r="AV516" s="401"/>
      <c r="AW516" s="412"/>
      <c r="AX516" s="230"/>
      <c r="AY516" s="42"/>
      <c r="AZ516" s="320"/>
      <c r="BD516" s="401"/>
      <c r="BE516" s="42"/>
    </row>
    <row r="517" spans="48:57" x14ac:dyDescent="0.2">
      <c r="AV517" s="401"/>
      <c r="AW517" s="412"/>
      <c r="AX517" s="230"/>
      <c r="AY517" s="42"/>
      <c r="AZ517" s="320"/>
      <c r="BD517" s="401"/>
      <c r="BE517" s="42"/>
    </row>
    <row r="518" spans="48:57" x14ac:dyDescent="0.2">
      <c r="AV518" s="401"/>
      <c r="AW518" s="412"/>
      <c r="AX518" s="230"/>
      <c r="AY518" s="42"/>
      <c r="AZ518" s="320"/>
      <c r="BD518" s="401"/>
      <c r="BE518" s="42"/>
    </row>
    <row r="519" spans="48:57" x14ac:dyDescent="0.2">
      <c r="AV519" s="401"/>
      <c r="AW519" s="412"/>
      <c r="AX519" s="230"/>
      <c r="AY519" s="42"/>
      <c r="AZ519" s="320"/>
      <c r="BD519" s="401"/>
      <c r="BE519" s="42"/>
    </row>
    <row r="520" spans="48:57" x14ac:dyDescent="0.2">
      <c r="AV520" s="401"/>
      <c r="AW520" s="412"/>
      <c r="AX520" s="230"/>
      <c r="AY520" s="42"/>
      <c r="AZ520" s="320"/>
      <c r="BD520" s="401"/>
      <c r="BE520" s="42"/>
    </row>
    <row r="521" spans="48:57" x14ac:dyDescent="0.2">
      <c r="AV521" s="401"/>
      <c r="AW521" s="412"/>
      <c r="AX521" s="230"/>
      <c r="AY521" s="42"/>
      <c r="AZ521" s="320"/>
      <c r="BD521" s="401"/>
      <c r="BE521" s="42"/>
    </row>
    <row r="522" spans="48:57" x14ac:dyDescent="0.2">
      <c r="AV522" s="401"/>
      <c r="AW522" s="412"/>
      <c r="AX522" s="230"/>
      <c r="AY522" s="42"/>
      <c r="AZ522" s="320"/>
      <c r="BD522" s="401"/>
      <c r="BE522" s="42"/>
    </row>
    <row r="523" spans="48:57" x14ac:dyDescent="0.2">
      <c r="AV523" s="401"/>
      <c r="AW523" s="412"/>
      <c r="AX523" s="230"/>
      <c r="AY523" s="42"/>
      <c r="AZ523" s="320"/>
      <c r="BD523" s="401"/>
      <c r="BE523" s="42"/>
    </row>
    <row r="524" spans="48:57" x14ac:dyDescent="0.2">
      <c r="AV524" s="401"/>
      <c r="AW524" s="412"/>
      <c r="AX524" s="230"/>
      <c r="AY524" s="42"/>
      <c r="AZ524" s="320"/>
      <c r="BD524" s="401"/>
      <c r="BE524" s="42"/>
    </row>
    <row r="525" spans="48:57" x14ac:dyDescent="0.2">
      <c r="AV525" s="401"/>
      <c r="AW525" s="412"/>
      <c r="AX525" s="230"/>
      <c r="AY525" s="42"/>
      <c r="AZ525" s="320"/>
      <c r="BD525" s="401"/>
      <c r="BE525" s="42"/>
    </row>
    <row r="526" spans="48:57" x14ac:dyDescent="0.2">
      <c r="AV526" s="401"/>
      <c r="AW526" s="412"/>
      <c r="AX526" s="230"/>
      <c r="AY526" s="42"/>
      <c r="AZ526" s="320"/>
      <c r="BD526" s="401"/>
      <c r="BE526" s="42"/>
    </row>
    <row r="527" spans="48:57" x14ac:dyDescent="0.2">
      <c r="AV527" s="401"/>
      <c r="AW527" s="412"/>
      <c r="AX527" s="230"/>
      <c r="AY527" s="42"/>
      <c r="AZ527" s="320"/>
      <c r="BD527" s="401"/>
      <c r="BE527" s="42"/>
    </row>
    <row r="528" spans="48:57" x14ac:dyDescent="0.2">
      <c r="AV528" s="401"/>
      <c r="AW528" s="412"/>
      <c r="AX528" s="230"/>
      <c r="AY528" s="42"/>
      <c r="AZ528" s="320"/>
      <c r="BD528" s="401"/>
      <c r="BE528" s="42"/>
    </row>
    <row r="529" spans="48:57" x14ac:dyDescent="0.2">
      <c r="AV529" s="401"/>
      <c r="AW529" s="412"/>
      <c r="AX529" s="230"/>
      <c r="AY529" s="42"/>
      <c r="AZ529" s="320"/>
      <c r="BD529" s="401"/>
      <c r="BE529" s="42"/>
    </row>
    <row r="530" spans="48:57" x14ac:dyDescent="0.2">
      <c r="AV530" s="401"/>
      <c r="AW530" s="412"/>
      <c r="AX530" s="230"/>
      <c r="AY530" s="42"/>
      <c r="AZ530" s="320"/>
      <c r="BD530" s="401"/>
      <c r="BE530" s="42"/>
    </row>
    <row r="531" spans="48:57" x14ac:dyDescent="0.2">
      <c r="AV531" s="401"/>
      <c r="AW531" s="412"/>
      <c r="AX531" s="230"/>
      <c r="AY531" s="42"/>
      <c r="AZ531" s="320"/>
      <c r="BD531" s="401"/>
      <c r="BE531" s="42"/>
    </row>
    <row r="532" spans="48:57" x14ac:dyDescent="0.2">
      <c r="AV532" s="401"/>
      <c r="AW532" s="412"/>
      <c r="AX532" s="230"/>
      <c r="AY532" s="42"/>
      <c r="AZ532" s="320"/>
      <c r="BD532" s="401"/>
      <c r="BE532" s="42"/>
    </row>
    <row r="533" spans="48:57" x14ac:dyDescent="0.2">
      <c r="AV533" s="401"/>
      <c r="AW533" s="412"/>
      <c r="AX533" s="230"/>
      <c r="AY533" s="42"/>
      <c r="AZ533" s="320"/>
      <c r="BD533" s="401"/>
      <c r="BE533" s="42"/>
    </row>
    <row r="534" spans="48:57" x14ac:dyDescent="0.2">
      <c r="AV534" s="401"/>
      <c r="AW534" s="412"/>
      <c r="AX534" s="230"/>
      <c r="AY534" s="42"/>
      <c r="AZ534" s="320"/>
      <c r="BD534" s="401"/>
      <c r="BE534" s="42"/>
    </row>
    <row r="535" spans="48:57" x14ac:dyDescent="0.2">
      <c r="AV535" s="401"/>
      <c r="AW535" s="412"/>
      <c r="AX535" s="230"/>
      <c r="AY535" s="42"/>
      <c r="AZ535" s="320"/>
      <c r="BD535" s="401"/>
      <c r="BE535" s="42"/>
    </row>
    <row r="536" spans="48:57" x14ac:dyDescent="0.2">
      <c r="AV536" s="401"/>
      <c r="AW536" s="412"/>
      <c r="AX536" s="230"/>
      <c r="AY536" s="42"/>
      <c r="AZ536" s="320"/>
      <c r="BD536" s="401"/>
      <c r="BE536" s="42"/>
    </row>
    <row r="537" spans="48:57" x14ac:dyDescent="0.2">
      <c r="AV537" s="401"/>
      <c r="AW537" s="412"/>
      <c r="AX537" s="230"/>
      <c r="AY537" s="42"/>
      <c r="AZ537" s="320"/>
      <c r="BD537" s="401"/>
      <c r="BE537" s="42"/>
    </row>
    <row r="538" spans="48:57" x14ac:dyDescent="0.2">
      <c r="AV538" s="401"/>
      <c r="AW538" s="412"/>
      <c r="AX538" s="230"/>
      <c r="AY538" s="42"/>
      <c r="AZ538" s="320"/>
      <c r="BD538" s="401"/>
      <c r="BE538" s="42"/>
    </row>
    <row r="539" spans="48:57" x14ac:dyDescent="0.2">
      <c r="AV539" s="401"/>
      <c r="AW539" s="412"/>
      <c r="AX539" s="230"/>
      <c r="AY539" s="42"/>
      <c r="AZ539" s="320"/>
      <c r="BD539" s="401"/>
      <c r="BE539" s="42"/>
    </row>
    <row r="540" spans="48:57" x14ac:dyDescent="0.2">
      <c r="AV540" s="401"/>
      <c r="AW540" s="412"/>
      <c r="AX540" s="230"/>
      <c r="AY540" s="42"/>
      <c r="AZ540" s="320"/>
      <c r="BD540" s="401"/>
      <c r="BE540" s="42"/>
    </row>
    <row r="541" spans="48:57" x14ac:dyDescent="0.2">
      <c r="AV541" s="401"/>
      <c r="AW541" s="412"/>
      <c r="AX541" s="230"/>
      <c r="AY541" s="42"/>
      <c r="AZ541" s="320"/>
      <c r="BD541" s="401"/>
      <c r="BE541" s="42"/>
    </row>
    <row r="542" spans="48:57" x14ac:dyDescent="0.2">
      <c r="AV542" s="401"/>
      <c r="AW542" s="412"/>
      <c r="AX542" s="230"/>
      <c r="AY542" s="42"/>
      <c r="AZ542" s="320"/>
      <c r="BD542" s="401"/>
      <c r="BE542" s="42"/>
    </row>
    <row r="543" spans="48:57" x14ac:dyDescent="0.2">
      <c r="AV543" s="401"/>
      <c r="AW543" s="412"/>
      <c r="AX543" s="230"/>
      <c r="AY543" s="42"/>
      <c r="AZ543" s="320"/>
      <c r="BD543" s="401"/>
      <c r="BE543" s="42"/>
    </row>
    <row r="544" spans="48:57" x14ac:dyDescent="0.2">
      <c r="AV544" s="401"/>
      <c r="AW544" s="412"/>
      <c r="AX544" s="230"/>
      <c r="AY544" s="42"/>
      <c r="AZ544" s="320"/>
      <c r="BD544" s="401"/>
      <c r="BE544" s="42"/>
    </row>
    <row r="545" spans="48:57" x14ac:dyDescent="0.2">
      <c r="AV545" s="401"/>
      <c r="AW545" s="412"/>
      <c r="AX545" s="230"/>
      <c r="AY545" s="42"/>
      <c r="AZ545" s="320"/>
      <c r="BD545" s="401"/>
      <c r="BE545" s="42"/>
    </row>
    <row r="546" spans="48:57" x14ac:dyDescent="0.2">
      <c r="AV546" s="401"/>
      <c r="AW546" s="412"/>
      <c r="AX546" s="230"/>
      <c r="AY546" s="42"/>
      <c r="AZ546" s="320"/>
      <c r="BD546" s="401"/>
      <c r="BE546" s="42"/>
    </row>
    <row r="547" spans="48:57" x14ac:dyDescent="0.2">
      <c r="AV547" s="401"/>
      <c r="AW547" s="412"/>
      <c r="AX547" s="230"/>
      <c r="AY547" s="42"/>
      <c r="AZ547" s="320"/>
      <c r="BD547" s="401"/>
      <c r="BE547" s="42"/>
    </row>
    <row r="548" spans="48:57" x14ac:dyDescent="0.2">
      <c r="AV548" s="401"/>
      <c r="AW548" s="412"/>
      <c r="AX548" s="230"/>
      <c r="AY548" s="42"/>
      <c r="AZ548" s="320"/>
      <c r="BD548" s="401"/>
      <c r="BE548" s="42"/>
    </row>
    <row r="549" spans="48:57" x14ac:dyDescent="0.2">
      <c r="AV549" s="401"/>
      <c r="AW549" s="412"/>
      <c r="AX549" s="230"/>
      <c r="AY549" s="42"/>
      <c r="AZ549" s="320"/>
      <c r="BD549" s="401"/>
      <c r="BE549" s="42"/>
    </row>
    <row r="550" spans="48:57" x14ac:dyDescent="0.2">
      <c r="AV550" s="401"/>
      <c r="AW550" s="412"/>
      <c r="AX550" s="230"/>
      <c r="AY550" s="42"/>
      <c r="AZ550" s="320"/>
      <c r="BD550" s="401"/>
      <c r="BE550" s="42"/>
    </row>
    <row r="551" spans="48:57" x14ac:dyDescent="0.2">
      <c r="AV551" s="401"/>
      <c r="AW551" s="412"/>
      <c r="AX551" s="230"/>
      <c r="AY551" s="42"/>
      <c r="AZ551" s="320"/>
      <c r="BD551" s="401"/>
      <c r="BE551" s="42"/>
    </row>
    <row r="552" spans="48:57" x14ac:dyDescent="0.2">
      <c r="AV552" s="401"/>
      <c r="AW552" s="412"/>
      <c r="AX552" s="230"/>
      <c r="AY552" s="42"/>
      <c r="AZ552" s="320"/>
      <c r="BD552" s="401"/>
      <c r="BE552" s="42"/>
    </row>
    <row r="553" spans="48:57" x14ac:dyDescent="0.2">
      <c r="AV553" s="401"/>
      <c r="AW553" s="412"/>
      <c r="AX553" s="230"/>
      <c r="AY553" s="42"/>
      <c r="AZ553" s="320"/>
      <c r="BD553" s="401"/>
      <c r="BE553" s="42"/>
    </row>
    <row r="554" spans="48:57" x14ac:dyDescent="0.2">
      <c r="AV554" s="401"/>
      <c r="AW554" s="412"/>
      <c r="AX554" s="230"/>
      <c r="AY554" s="42"/>
      <c r="AZ554" s="320"/>
      <c r="BD554" s="401"/>
      <c r="BE554" s="42"/>
    </row>
    <row r="555" spans="48:57" x14ac:dyDescent="0.2">
      <c r="AV555" s="401"/>
      <c r="AW555" s="412"/>
      <c r="AX555" s="230"/>
      <c r="AY555" s="42"/>
      <c r="AZ555" s="320"/>
      <c r="BD555" s="401"/>
      <c r="BE555" s="42"/>
    </row>
    <row r="556" spans="48:57" x14ac:dyDescent="0.2">
      <c r="AV556" s="401"/>
      <c r="AW556" s="412"/>
      <c r="AX556" s="230"/>
      <c r="AY556" s="42"/>
      <c r="AZ556" s="320"/>
      <c r="BD556" s="401"/>
      <c r="BE556" s="42"/>
    </row>
    <row r="557" spans="48:57" x14ac:dyDescent="0.2">
      <c r="AV557" s="401"/>
      <c r="AW557" s="412"/>
      <c r="AX557" s="230"/>
      <c r="AY557" s="42"/>
      <c r="AZ557" s="320"/>
      <c r="BD557" s="401"/>
      <c r="BE557" s="42"/>
    </row>
    <row r="558" spans="48:57" x14ac:dyDescent="0.2">
      <c r="AV558" s="401"/>
      <c r="AW558" s="412"/>
      <c r="AX558" s="230"/>
      <c r="AY558" s="42"/>
      <c r="AZ558" s="320"/>
      <c r="BD558" s="401"/>
      <c r="BE558" s="42"/>
    </row>
    <row r="559" spans="48:57" x14ac:dyDescent="0.2">
      <c r="AV559" s="401"/>
      <c r="AW559" s="412"/>
      <c r="AX559" s="230"/>
      <c r="AY559" s="42"/>
      <c r="AZ559" s="320"/>
      <c r="BD559" s="401"/>
      <c r="BE559" s="42"/>
    </row>
    <row r="560" spans="48:57" x14ac:dyDescent="0.2">
      <c r="AV560" s="401"/>
      <c r="AW560" s="412"/>
      <c r="AX560" s="230"/>
      <c r="AY560" s="42"/>
      <c r="AZ560" s="320"/>
      <c r="BD560" s="401"/>
      <c r="BE560" s="42"/>
    </row>
    <row r="561" spans="48:57" x14ac:dyDescent="0.2">
      <c r="AV561" s="401"/>
      <c r="AW561" s="412"/>
      <c r="AX561" s="230"/>
      <c r="AY561" s="42"/>
      <c r="AZ561" s="320"/>
      <c r="BD561" s="401"/>
      <c r="BE561" s="42"/>
    </row>
    <row r="562" spans="48:57" x14ac:dyDescent="0.2">
      <c r="AV562" s="401"/>
      <c r="AW562" s="412"/>
      <c r="AX562" s="230"/>
      <c r="AY562" s="42"/>
      <c r="AZ562" s="320"/>
      <c r="BD562" s="401"/>
      <c r="BE562" s="42"/>
    </row>
    <row r="563" spans="48:57" x14ac:dyDescent="0.2">
      <c r="AV563" s="401"/>
      <c r="AW563" s="412"/>
      <c r="AX563" s="230"/>
      <c r="AY563" s="42"/>
      <c r="AZ563" s="320"/>
      <c r="BD563" s="401"/>
      <c r="BE563" s="42"/>
    </row>
    <row r="564" spans="48:57" x14ac:dyDescent="0.2">
      <c r="AV564" s="401"/>
      <c r="AW564" s="412"/>
      <c r="AX564" s="230"/>
      <c r="AY564" s="42"/>
      <c r="AZ564" s="320"/>
      <c r="BD564" s="401"/>
      <c r="BE564" s="42"/>
    </row>
    <row r="565" spans="48:57" x14ac:dyDescent="0.2">
      <c r="AV565" s="401"/>
      <c r="AW565" s="412"/>
      <c r="AX565" s="230"/>
      <c r="AY565" s="42"/>
      <c r="AZ565" s="320"/>
      <c r="BD565" s="401"/>
      <c r="BE565" s="42"/>
    </row>
    <row r="566" spans="48:57" x14ac:dyDescent="0.2">
      <c r="AV566" s="401"/>
      <c r="AW566" s="412"/>
      <c r="AX566" s="230"/>
      <c r="AY566" s="42"/>
      <c r="AZ566" s="320"/>
      <c r="BD566" s="401"/>
      <c r="BE566" s="42"/>
    </row>
    <row r="567" spans="48:57" x14ac:dyDescent="0.2">
      <c r="AV567" s="401"/>
      <c r="AW567" s="412"/>
      <c r="AX567" s="230"/>
      <c r="AY567" s="42"/>
      <c r="AZ567" s="320"/>
      <c r="BD567" s="401"/>
      <c r="BE567" s="42"/>
    </row>
    <row r="568" spans="48:57" x14ac:dyDescent="0.2">
      <c r="AV568" s="401"/>
      <c r="AW568" s="412"/>
      <c r="AX568" s="230"/>
      <c r="AY568" s="42"/>
      <c r="AZ568" s="320"/>
      <c r="BD568" s="401"/>
      <c r="BE568" s="42"/>
    </row>
    <row r="569" spans="48:57" x14ac:dyDescent="0.2">
      <c r="AV569" s="401"/>
      <c r="AW569" s="412"/>
      <c r="AX569" s="230"/>
      <c r="AY569" s="42"/>
      <c r="AZ569" s="320"/>
      <c r="BD569" s="401"/>
      <c r="BE569" s="42"/>
    </row>
    <row r="570" spans="48:57" x14ac:dyDescent="0.2">
      <c r="AV570" s="401"/>
      <c r="AW570" s="412"/>
      <c r="AX570" s="230"/>
      <c r="AY570" s="42"/>
      <c r="AZ570" s="320"/>
      <c r="BD570" s="401"/>
      <c r="BE570" s="42"/>
    </row>
    <row r="571" spans="48:57" x14ac:dyDescent="0.2">
      <c r="AV571" s="401"/>
      <c r="AW571" s="412"/>
      <c r="AX571" s="230"/>
      <c r="AY571" s="42"/>
      <c r="AZ571" s="320"/>
      <c r="BD571" s="401"/>
      <c r="BE571" s="42"/>
    </row>
    <row r="572" spans="48:57" x14ac:dyDescent="0.2">
      <c r="AV572" s="401"/>
      <c r="AW572" s="412"/>
      <c r="AX572" s="230"/>
      <c r="AY572" s="42"/>
      <c r="AZ572" s="320"/>
      <c r="BD572" s="401"/>
      <c r="BE572" s="42"/>
    </row>
    <row r="573" spans="48:57" x14ac:dyDescent="0.2">
      <c r="AV573" s="401"/>
      <c r="AW573" s="412"/>
      <c r="AX573" s="230"/>
      <c r="AY573" s="42"/>
      <c r="AZ573" s="320"/>
      <c r="BD573" s="401"/>
      <c r="BE573" s="42"/>
    </row>
    <row r="574" spans="48:57" x14ac:dyDescent="0.2">
      <c r="AV574" s="401"/>
      <c r="AW574" s="412"/>
      <c r="AX574" s="230"/>
      <c r="AY574" s="42"/>
      <c r="AZ574" s="320"/>
      <c r="BD574" s="401"/>
      <c r="BE574" s="42"/>
    </row>
    <row r="575" spans="48:57" x14ac:dyDescent="0.2">
      <c r="AV575" s="401"/>
      <c r="AW575" s="412"/>
      <c r="AX575" s="230"/>
      <c r="AY575" s="42"/>
      <c r="AZ575" s="320"/>
      <c r="BD575" s="401"/>
      <c r="BE575" s="42"/>
    </row>
    <row r="576" spans="48:57" x14ac:dyDescent="0.2">
      <c r="AV576" s="401"/>
      <c r="AW576" s="412"/>
      <c r="AX576" s="230"/>
      <c r="AY576" s="42"/>
      <c r="AZ576" s="320"/>
      <c r="BD576" s="401"/>
      <c r="BE576" s="42"/>
    </row>
    <row r="577" spans="48:57" x14ac:dyDescent="0.2">
      <c r="AV577" s="401"/>
      <c r="AW577" s="412"/>
      <c r="AX577" s="230"/>
      <c r="AY577" s="42"/>
      <c r="AZ577" s="320"/>
      <c r="BD577" s="401"/>
      <c r="BE577" s="42"/>
    </row>
    <row r="578" spans="48:57" x14ac:dyDescent="0.2">
      <c r="AV578" s="401"/>
      <c r="AW578" s="412"/>
      <c r="AX578" s="230"/>
      <c r="AY578" s="42"/>
      <c r="AZ578" s="320"/>
      <c r="BD578" s="401"/>
      <c r="BE578" s="42"/>
    </row>
    <row r="579" spans="48:57" x14ac:dyDescent="0.2">
      <c r="AV579" s="401"/>
      <c r="AW579" s="412"/>
      <c r="AX579" s="230"/>
      <c r="AY579" s="42"/>
      <c r="AZ579" s="320"/>
      <c r="BD579" s="401"/>
      <c r="BE579" s="42"/>
    </row>
    <row r="580" spans="48:57" x14ac:dyDescent="0.2">
      <c r="AV580" s="401"/>
      <c r="AW580" s="412"/>
      <c r="AX580" s="230"/>
      <c r="AY580" s="42"/>
      <c r="AZ580" s="320"/>
      <c r="BD580" s="401"/>
      <c r="BE580" s="42"/>
    </row>
    <row r="581" spans="48:57" x14ac:dyDescent="0.2">
      <c r="AV581" s="401"/>
      <c r="AW581" s="412"/>
      <c r="AX581" s="230"/>
      <c r="AY581" s="42"/>
      <c r="AZ581" s="320"/>
      <c r="BD581" s="401"/>
      <c r="BE581" s="42"/>
    </row>
    <row r="582" spans="48:57" x14ac:dyDescent="0.2">
      <c r="AV582" s="401"/>
      <c r="AW582" s="412"/>
      <c r="AX582" s="230"/>
      <c r="AY582" s="42"/>
      <c r="AZ582" s="320"/>
      <c r="BD582" s="401"/>
      <c r="BE582" s="42"/>
    </row>
    <row r="583" spans="48:57" x14ac:dyDescent="0.2">
      <c r="AV583" s="401"/>
      <c r="AW583" s="412"/>
      <c r="AX583" s="230"/>
      <c r="AY583" s="42"/>
      <c r="AZ583" s="320"/>
      <c r="BD583" s="401"/>
      <c r="BE583" s="42"/>
    </row>
    <row r="584" spans="48:57" x14ac:dyDescent="0.2">
      <c r="AV584" s="401"/>
      <c r="AW584" s="412"/>
      <c r="AX584" s="230"/>
      <c r="AY584" s="42"/>
      <c r="AZ584" s="320"/>
      <c r="BD584" s="401"/>
      <c r="BE584" s="42"/>
    </row>
    <row r="585" spans="48:57" x14ac:dyDescent="0.2">
      <c r="AV585" s="401"/>
      <c r="AW585" s="412"/>
      <c r="AX585" s="230"/>
      <c r="AY585" s="42"/>
      <c r="AZ585" s="320"/>
      <c r="BD585" s="401"/>
      <c r="BE585" s="42"/>
    </row>
    <row r="586" spans="48:57" x14ac:dyDescent="0.2">
      <c r="AV586" s="401"/>
      <c r="AW586" s="412"/>
      <c r="AX586" s="230"/>
      <c r="AY586" s="42"/>
      <c r="AZ586" s="320"/>
      <c r="BD586" s="401"/>
      <c r="BE586" s="42"/>
    </row>
    <row r="587" spans="48:57" x14ac:dyDescent="0.2">
      <c r="AV587" s="401"/>
      <c r="AW587" s="412"/>
      <c r="AX587" s="230"/>
      <c r="AY587" s="42"/>
      <c r="AZ587" s="320"/>
      <c r="BD587" s="401"/>
      <c r="BE587" s="42"/>
    </row>
    <row r="588" spans="48:57" x14ac:dyDescent="0.2">
      <c r="AV588" s="401"/>
      <c r="AW588" s="412"/>
      <c r="AX588" s="230"/>
      <c r="AY588" s="42"/>
      <c r="AZ588" s="320"/>
      <c r="BD588" s="401"/>
      <c r="BE588" s="42"/>
    </row>
    <row r="589" spans="48:57" x14ac:dyDescent="0.2">
      <c r="AV589" s="401"/>
      <c r="AW589" s="412"/>
      <c r="AX589" s="230"/>
      <c r="AY589" s="42"/>
      <c r="AZ589" s="320"/>
      <c r="BD589" s="401"/>
      <c r="BE589" s="42"/>
    </row>
    <row r="590" spans="48:57" x14ac:dyDescent="0.2">
      <c r="AV590" s="401"/>
      <c r="AW590" s="412"/>
      <c r="AX590" s="230"/>
      <c r="AY590" s="42"/>
      <c r="AZ590" s="320"/>
      <c r="BD590" s="401"/>
      <c r="BE590" s="42"/>
    </row>
    <row r="591" spans="48:57" x14ac:dyDescent="0.2">
      <c r="AV591" s="401"/>
      <c r="AW591" s="412"/>
      <c r="AX591" s="230"/>
      <c r="AY591" s="42"/>
      <c r="AZ591" s="320"/>
      <c r="BD591" s="401"/>
      <c r="BE591" s="42"/>
    </row>
    <row r="592" spans="48:57" x14ac:dyDescent="0.2">
      <c r="AV592" s="401"/>
      <c r="AW592" s="412"/>
      <c r="AX592" s="230"/>
      <c r="AY592" s="42"/>
      <c r="AZ592" s="320"/>
      <c r="BD592" s="401"/>
      <c r="BE592" s="42"/>
    </row>
    <row r="593" spans="48:57" x14ac:dyDescent="0.2">
      <c r="AV593" s="401"/>
      <c r="AW593" s="412"/>
      <c r="AX593" s="230"/>
      <c r="AY593" s="42"/>
      <c r="AZ593" s="320"/>
      <c r="BD593" s="401"/>
      <c r="BE593" s="42"/>
    </row>
    <row r="594" spans="48:57" x14ac:dyDescent="0.2">
      <c r="AV594" s="401"/>
      <c r="AW594" s="412"/>
      <c r="AX594" s="230"/>
      <c r="AY594" s="42"/>
      <c r="AZ594" s="320"/>
      <c r="BD594" s="401"/>
      <c r="BE594" s="42"/>
    </row>
    <row r="595" spans="48:57" x14ac:dyDescent="0.2">
      <c r="AV595" s="401"/>
      <c r="AW595" s="412"/>
      <c r="AX595" s="230"/>
      <c r="AY595" s="42"/>
      <c r="AZ595" s="320"/>
      <c r="BD595" s="401"/>
      <c r="BE595" s="42"/>
    </row>
    <row r="596" spans="48:57" x14ac:dyDescent="0.2">
      <c r="AV596" s="401"/>
      <c r="AW596" s="412"/>
      <c r="AX596" s="230"/>
      <c r="AY596" s="42"/>
      <c r="AZ596" s="320"/>
      <c r="BD596" s="401"/>
      <c r="BE596" s="42"/>
    </row>
    <row r="597" spans="48:57" x14ac:dyDescent="0.2">
      <c r="AV597" s="401"/>
      <c r="AW597" s="412"/>
      <c r="AX597" s="230"/>
      <c r="AY597" s="42"/>
      <c r="AZ597" s="320"/>
      <c r="BD597" s="401"/>
      <c r="BE597" s="42"/>
    </row>
    <row r="598" spans="48:57" x14ac:dyDescent="0.2">
      <c r="AV598" s="401"/>
      <c r="AW598" s="412"/>
      <c r="AX598" s="230"/>
      <c r="AY598" s="42"/>
      <c r="AZ598" s="320"/>
      <c r="BD598" s="401"/>
      <c r="BE598" s="42"/>
    </row>
    <row r="599" spans="48:57" x14ac:dyDescent="0.2">
      <c r="AV599" s="401"/>
      <c r="AW599" s="412"/>
      <c r="AX599" s="230"/>
      <c r="AY599" s="42"/>
      <c r="AZ599" s="320"/>
      <c r="BD599" s="401"/>
      <c r="BE599" s="42"/>
    </row>
    <row r="600" spans="48:57" x14ac:dyDescent="0.2">
      <c r="AV600" s="401"/>
      <c r="AW600" s="412"/>
      <c r="AX600" s="230"/>
      <c r="AY600" s="42"/>
      <c r="AZ600" s="320"/>
      <c r="BD600" s="401"/>
      <c r="BE600" s="42"/>
    </row>
    <row r="601" spans="48:57" x14ac:dyDescent="0.2">
      <c r="AV601" s="401"/>
      <c r="AW601" s="412"/>
      <c r="AX601" s="230"/>
      <c r="AY601" s="42"/>
      <c r="AZ601" s="320"/>
      <c r="BD601" s="401"/>
      <c r="BE601" s="42"/>
    </row>
    <row r="602" spans="48:57" x14ac:dyDescent="0.2">
      <c r="AV602" s="401"/>
      <c r="AW602" s="412"/>
      <c r="AX602" s="230"/>
      <c r="AY602" s="42"/>
      <c r="AZ602" s="320"/>
      <c r="BD602" s="401"/>
      <c r="BE602" s="42"/>
    </row>
    <row r="603" spans="48:57" x14ac:dyDescent="0.2">
      <c r="AV603" s="401"/>
      <c r="AW603" s="412"/>
      <c r="AX603" s="230"/>
      <c r="AY603" s="42"/>
      <c r="AZ603" s="320"/>
      <c r="BD603" s="401"/>
      <c r="BE603" s="42"/>
    </row>
    <row r="604" spans="48:57" x14ac:dyDescent="0.2">
      <c r="AV604" s="401"/>
      <c r="AW604" s="412"/>
      <c r="AX604" s="230"/>
      <c r="AY604" s="42"/>
      <c r="AZ604" s="320"/>
      <c r="BD604" s="401"/>
      <c r="BE604" s="42"/>
    </row>
    <row r="605" spans="48:57" x14ac:dyDescent="0.2">
      <c r="AV605" s="401"/>
      <c r="AW605" s="412"/>
      <c r="AX605" s="230"/>
      <c r="AY605" s="42"/>
      <c r="AZ605" s="320"/>
      <c r="BD605" s="401"/>
      <c r="BE605" s="42"/>
    </row>
    <row r="606" spans="48:57" x14ac:dyDescent="0.2">
      <c r="AV606" s="401"/>
      <c r="AW606" s="412"/>
      <c r="AX606" s="230"/>
      <c r="AY606" s="42"/>
      <c r="AZ606" s="320"/>
      <c r="BD606" s="401"/>
      <c r="BE606" s="42"/>
    </row>
    <row r="607" spans="48:57" x14ac:dyDescent="0.2">
      <c r="AV607" s="401"/>
      <c r="AW607" s="412"/>
      <c r="AX607" s="230"/>
      <c r="AY607" s="42"/>
      <c r="AZ607" s="320"/>
      <c r="BD607" s="401"/>
      <c r="BE607" s="42"/>
    </row>
    <row r="608" spans="48:57" x14ac:dyDescent="0.2">
      <c r="AV608" s="401"/>
      <c r="AW608" s="412"/>
      <c r="AX608" s="230"/>
      <c r="AY608" s="42"/>
      <c r="AZ608" s="320"/>
      <c r="BD608" s="401"/>
      <c r="BE608" s="42"/>
    </row>
    <row r="609" spans="48:57" x14ac:dyDescent="0.2">
      <c r="AV609" s="401"/>
      <c r="AW609" s="412"/>
      <c r="AX609" s="230"/>
      <c r="AY609" s="42"/>
      <c r="AZ609" s="320"/>
      <c r="BD609" s="401"/>
      <c r="BE609" s="42"/>
    </row>
    <row r="610" spans="48:57" x14ac:dyDescent="0.2">
      <c r="AV610" s="401"/>
      <c r="AW610" s="412"/>
      <c r="AX610" s="230"/>
      <c r="AY610" s="42"/>
      <c r="AZ610" s="320"/>
      <c r="BD610" s="401"/>
      <c r="BE610" s="42"/>
    </row>
    <row r="611" spans="48:57" x14ac:dyDescent="0.2">
      <c r="AV611" s="401"/>
      <c r="AW611" s="412"/>
      <c r="AX611" s="230"/>
      <c r="AY611" s="42"/>
      <c r="AZ611" s="320"/>
      <c r="BD611" s="401"/>
      <c r="BE611" s="42"/>
    </row>
    <row r="612" spans="48:57" x14ac:dyDescent="0.2">
      <c r="AV612" s="401"/>
      <c r="AW612" s="412"/>
      <c r="AX612" s="230"/>
      <c r="AY612" s="42"/>
      <c r="AZ612" s="320"/>
      <c r="BD612" s="401"/>
      <c r="BE612" s="42"/>
    </row>
    <row r="613" spans="48:57" x14ac:dyDescent="0.2">
      <c r="AV613" s="401"/>
      <c r="AW613" s="412"/>
      <c r="AX613" s="230"/>
      <c r="AY613" s="42"/>
      <c r="AZ613" s="320"/>
      <c r="BD613" s="401"/>
      <c r="BE613" s="42"/>
    </row>
    <row r="614" spans="48:57" x14ac:dyDescent="0.2">
      <c r="AV614" s="401"/>
      <c r="AW614" s="412"/>
      <c r="AX614" s="230"/>
      <c r="AY614" s="42"/>
      <c r="AZ614" s="320"/>
      <c r="BD614" s="401"/>
      <c r="BE614" s="42"/>
    </row>
    <row r="615" spans="48:57" x14ac:dyDescent="0.2">
      <c r="AV615" s="401"/>
      <c r="AW615" s="412"/>
      <c r="AX615" s="230"/>
      <c r="AY615" s="42"/>
      <c r="AZ615" s="320"/>
      <c r="BD615" s="401"/>
      <c r="BE615" s="42"/>
    </row>
    <row r="616" spans="48:57" x14ac:dyDescent="0.2">
      <c r="AV616" s="401"/>
      <c r="AW616" s="412"/>
      <c r="AX616" s="230"/>
      <c r="AY616" s="42"/>
      <c r="AZ616" s="320"/>
      <c r="BD616" s="401"/>
      <c r="BE616" s="42"/>
    </row>
    <row r="617" spans="48:57" x14ac:dyDescent="0.2">
      <c r="AV617" s="401"/>
      <c r="AW617" s="412"/>
      <c r="AX617" s="230"/>
      <c r="AY617" s="42"/>
      <c r="AZ617" s="320"/>
      <c r="BD617" s="401"/>
      <c r="BE617" s="42"/>
    </row>
    <row r="618" spans="48:57" x14ac:dyDescent="0.2">
      <c r="AV618" s="401"/>
      <c r="AW618" s="412"/>
      <c r="AX618" s="230"/>
      <c r="AY618" s="42"/>
      <c r="AZ618" s="320"/>
      <c r="BD618" s="401"/>
      <c r="BE618" s="42"/>
    </row>
    <row r="619" spans="48:57" x14ac:dyDescent="0.2">
      <c r="AV619" s="401"/>
      <c r="AW619" s="412"/>
      <c r="AX619" s="230"/>
      <c r="AY619" s="42"/>
      <c r="AZ619" s="320"/>
      <c r="BD619" s="401"/>
      <c r="BE619" s="42"/>
    </row>
    <row r="620" spans="48:57" x14ac:dyDescent="0.2">
      <c r="AV620" s="401"/>
      <c r="AW620" s="412"/>
      <c r="AX620" s="230"/>
      <c r="AY620" s="42"/>
      <c r="AZ620" s="320"/>
      <c r="BD620" s="401"/>
      <c r="BE620" s="42"/>
    </row>
    <row r="621" spans="48:57" x14ac:dyDescent="0.2">
      <c r="AV621" s="401"/>
      <c r="AW621" s="412"/>
      <c r="AX621" s="230"/>
      <c r="AY621" s="42"/>
      <c r="AZ621" s="320"/>
      <c r="BD621" s="401"/>
      <c r="BE621" s="42"/>
    </row>
    <row r="622" spans="48:57" x14ac:dyDescent="0.2">
      <c r="AV622" s="401"/>
      <c r="AW622" s="412"/>
      <c r="AX622" s="230"/>
      <c r="AY622" s="42"/>
      <c r="AZ622" s="320"/>
      <c r="BD622" s="401"/>
      <c r="BE622" s="42"/>
    </row>
    <row r="623" spans="48:57" x14ac:dyDescent="0.2">
      <c r="AV623" s="401"/>
      <c r="AW623" s="412"/>
      <c r="AX623" s="230"/>
      <c r="AY623" s="42"/>
      <c r="AZ623" s="320"/>
      <c r="BD623" s="401"/>
      <c r="BE623" s="42"/>
    </row>
    <row r="624" spans="48:57" x14ac:dyDescent="0.2">
      <c r="AV624" s="401"/>
      <c r="AW624" s="412"/>
      <c r="AX624" s="230"/>
      <c r="AY624" s="42"/>
      <c r="AZ624" s="320"/>
      <c r="BD624" s="401"/>
      <c r="BE624" s="42"/>
    </row>
    <row r="625" spans="48:57" x14ac:dyDescent="0.2">
      <c r="AV625" s="401"/>
      <c r="AW625" s="412"/>
      <c r="AX625" s="230"/>
      <c r="AY625" s="42"/>
      <c r="AZ625" s="320"/>
      <c r="BD625" s="401"/>
      <c r="BE625" s="42"/>
    </row>
    <row r="626" spans="48:57" x14ac:dyDescent="0.2">
      <c r="AV626" s="401"/>
      <c r="AW626" s="412"/>
      <c r="AX626" s="230"/>
      <c r="AY626" s="42"/>
      <c r="AZ626" s="320"/>
      <c r="BD626" s="401"/>
      <c r="BE626" s="42"/>
    </row>
    <row r="627" spans="48:57" x14ac:dyDescent="0.2">
      <c r="AV627" s="401"/>
      <c r="AW627" s="412"/>
      <c r="AX627" s="230"/>
      <c r="AY627" s="42"/>
      <c r="AZ627" s="320"/>
      <c r="BD627" s="401"/>
      <c r="BE627" s="42"/>
    </row>
    <row r="628" spans="48:57" x14ac:dyDescent="0.2">
      <c r="AV628" s="401"/>
      <c r="AW628" s="412"/>
      <c r="AX628" s="230"/>
      <c r="AY628" s="42"/>
      <c r="AZ628" s="320"/>
      <c r="BD628" s="401"/>
      <c r="BE628" s="42"/>
    </row>
    <row r="629" spans="48:57" x14ac:dyDescent="0.2">
      <c r="AV629" s="401"/>
      <c r="AW629" s="412"/>
      <c r="AX629" s="230"/>
      <c r="AY629" s="42"/>
      <c r="AZ629" s="320"/>
      <c r="BD629" s="401"/>
      <c r="BE629" s="42"/>
    </row>
    <row r="630" spans="48:57" x14ac:dyDescent="0.2">
      <c r="AV630" s="401"/>
      <c r="AW630" s="412"/>
      <c r="AX630" s="230"/>
      <c r="AY630" s="42"/>
      <c r="AZ630" s="320"/>
      <c r="BD630" s="401"/>
      <c r="BE630" s="42"/>
    </row>
    <row r="631" spans="48:57" x14ac:dyDescent="0.2">
      <c r="AV631" s="401"/>
      <c r="AW631" s="412"/>
      <c r="AX631" s="230"/>
      <c r="AY631" s="42"/>
      <c r="AZ631" s="320"/>
      <c r="BD631" s="401"/>
      <c r="BE631" s="42"/>
    </row>
    <row r="632" spans="48:57" x14ac:dyDescent="0.2">
      <c r="AV632" s="401"/>
      <c r="AW632" s="412"/>
      <c r="AX632" s="230"/>
      <c r="AY632" s="42"/>
      <c r="AZ632" s="320"/>
      <c r="BD632" s="401"/>
      <c r="BE632" s="42"/>
    </row>
    <row r="633" spans="48:57" x14ac:dyDescent="0.2">
      <c r="AV633" s="401"/>
      <c r="AW633" s="412"/>
      <c r="AX633" s="230"/>
      <c r="AY633" s="42"/>
      <c r="AZ633" s="320"/>
      <c r="BD633" s="401"/>
      <c r="BE633" s="42"/>
    </row>
    <row r="634" spans="48:57" x14ac:dyDescent="0.2">
      <c r="AV634" s="401"/>
      <c r="AW634" s="412"/>
      <c r="AX634" s="230"/>
      <c r="AY634" s="42"/>
      <c r="AZ634" s="320"/>
      <c r="BD634" s="401"/>
      <c r="BE634" s="42"/>
    </row>
    <row r="635" spans="48:57" x14ac:dyDescent="0.2">
      <c r="AV635" s="401"/>
      <c r="AW635" s="412"/>
      <c r="AX635" s="230"/>
      <c r="AY635" s="42"/>
      <c r="AZ635" s="320"/>
      <c r="BD635" s="401"/>
      <c r="BE635" s="42"/>
    </row>
    <row r="636" spans="48:57" x14ac:dyDescent="0.2">
      <c r="AV636" s="401"/>
      <c r="AW636" s="412"/>
      <c r="AX636" s="230"/>
      <c r="AY636" s="42"/>
      <c r="AZ636" s="320"/>
      <c r="BD636" s="401"/>
      <c r="BE636" s="42"/>
    </row>
    <row r="637" spans="48:57" x14ac:dyDescent="0.2">
      <c r="AV637" s="401"/>
      <c r="AW637" s="412"/>
      <c r="AX637" s="230"/>
      <c r="AY637" s="42"/>
      <c r="AZ637" s="320"/>
      <c r="BD637" s="401"/>
      <c r="BE637" s="42"/>
    </row>
    <row r="638" spans="48:57" x14ac:dyDescent="0.2">
      <c r="AV638" s="401"/>
      <c r="AW638" s="412"/>
      <c r="AX638" s="230"/>
      <c r="AY638" s="42"/>
      <c r="AZ638" s="320"/>
      <c r="BD638" s="401"/>
      <c r="BE638" s="42"/>
    </row>
    <row r="639" spans="48:57" x14ac:dyDescent="0.2">
      <c r="AV639" s="401"/>
      <c r="AW639" s="412"/>
      <c r="AX639" s="230"/>
      <c r="AY639" s="42"/>
      <c r="AZ639" s="320"/>
      <c r="BD639" s="401"/>
      <c r="BE639" s="42"/>
    </row>
    <row r="640" spans="48:57" x14ac:dyDescent="0.2">
      <c r="AV640" s="401"/>
      <c r="AW640" s="412"/>
      <c r="AX640" s="230"/>
      <c r="AY640" s="42"/>
      <c r="AZ640" s="320"/>
      <c r="BD640" s="401"/>
      <c r="BE640" s="42"/>
    </row>
    <row r="641" spans="48:57" x14ac:dyDescent="0.2">
      <c r="AV641" s="401"/>
      <c r="AW641" s="412"/>
      <c r="AX641" s="230"/>
      <c r="AY641" s="42"/>
      <c r="AZ641" s="320"/>
      <c r="BD641" s="401"/>
      <c r="BE641" s="42"/>
    </row>
    <row r="642" spans="48:57" x14ac:dyDescent="0.2">
      <c r="AV642" s="401"/>
      <c r="AW642" s="412"/>
      <c r="AX642" s="230"/>
      <c r="AY642" s="42"/>
      <c r="AZ642" s="320"/>
      <c r="BD642" s="401"/>
      <c r="BE642" s="42"/>
    </row>
    <row r="643" spans="48:57" x14ac:dyDescent="0.2">
      <c r="AV643" s="401"/>
      <c r="AW643" s="412"/>
      <c r="AX643" s="230"/>
      <c r="AY643" s="42"/>
      <c r="AZ643" s="320"/>
      <c r="BD643" s="401"/>
      <c r="BE643" s="42"/>
    </row>
    <row r="644" spans="48:57" x14ac:dyDescent="0.2">
      <c r="AV644" s="401"/>
      <c r="AW644" s="412"/>
      <c r="AX644" s="230"/>
      <c r="AY644" s="42"/>
      <c r="AZ644" s="320"/>
      <c r="BD644" s="401"/>
      <c r="BE644" s="42"/>
    </row>
    <row r="645" spans="48:57" x14ac:dyDescent="0.2">
      <c r="AV645" s="401"/>
      <c r="AW645" s="412"/>
      <c r="AX645" s="230"/>
      <c r="AY645" s="42"/>
      <c r="AZ645" s="320"/>
      <c r="BD645" s="401"/>
      <c r="BE645" s="42"/>
    </row>
    <row r="646" spans="48:57" x14ac:dyDescent="0.2">
      <c r="AV646" s="401"/>
      <c r="AW646" s="412"/>
      <c r="AX646" s="230"/>
      <c r="AY646" s="42"/>
      <c r="AZ646" s="320"/>
      <c r="BD646" s="401"/>
      <c r="BE646" s="42"/>
    </row>
    <row r="647" spans="48:57" x14ac:dyDescent="0.2">
      <c r="AV647" s="401"/>
      <c r="AW647" s="412"/>
      <c r="AX647" s="230"/>
      <c r="AY647" s="42"/>
      <c r="AZ647" s="320"/>
      <c r="BD647" s="401"/>
      <c r="BE647" s="42"/>
    </row>
    <row r="648" spans="48:57" x14ac:dyDescent="0.2">
      <c r="AV648" s="401"/>
      <c r="AW648" s="412"/>
      <c r="AX648" s="230"/>
      <c r="AY648" s="42"/>
      <c r="AZ648" s="320"/>
      <c r="BD648" s="401"/>
      <c r="BE648" s="42"/>
    </row>
    <row r="649" spans="48:57" x14ac:dyDescent="0.2">
      <c r="AV649" s="401"/>
      <c r="AW649" s="412"/>
      <c r="AX649" s="230"/>
      <c r="AY649" s="42"/>
      <c r="AZ649" s="320"/>
      <c r="BD649" s="401"/>
      <c r="BE649" s="42"/>
    </row>
    <row r="650" spans="48:57" x14ac:dyDescent="0.2">
      <c r="AV650" s="401"/>
      <c r="AW650" s="412"/>
      <c r="AX650" s="230"/>
      <c r="AY650" s="42"/>
      <c r="AZ650" s="320"/>
      <c r="BD650" s="401"/>
      <c r="BE650" s="42"/>
    </row>
    <row r="651" spans="48:57" x14ac:dyDescent="0.2">
      <c r="AV651" s="401"/>
      <c r="AW651" s="412"/>
      <c r="AX651" s="230"/>
      <c r="AY651" s="42"/>
      <c r="AZ651" s="320"/>
      <c r="BD651" s="401"/>
      <c r="BE651" s="42"/>
    </row>
    <row r="652" spans="48:57" x14ac:dyDescent="0.2">
      <c r="AV652" s="401"/>
      <c r="AW652" s="412"/>
      <c r="AX652" s="230"/>
      <c r="AY652" s="42"/>
      <c r="AZ652" s="320"/>
      <c r="BD652" s="401"/>
      <c r="BE652" s="42"/>
    </row>
    <row r="653" spans="48:57" x14ac:dyDescent="0.2">
      <c r="AV653" s="401"/>
      <c r="AW653" s="412"/>
      <c r="AX653" s="230"/>
      <c r="AY653" s="42"/>
      <c r="AZ653" s="320"/>
      <c r="BD653" s="401"/>
      <c r="BE653" s="42"/>
    </row>
    <row r="654" spans="48:57" x14ac:dyDescent="0.2">
      <c r="AV654" s="401"/>
      <c r="AW654" s="412"/>
      <c r="AX654" s="230"/>
      <c r="AY654" s="42"/>
      <c r="AZ654" s="320"/>
      <c r="BD654" s="401"/>
      <c r="BE654" s="42"/>
    </row>
    <row r="655" spans="48:57" x14ac:dyDescent="0.2">
      <c r="AV655" s="401"/>
      <c r="AW655" s="412"/>
      <c r="AX655" s="230"/>
      <c r="AY655" s="42"/>
      <c r="AZ655" s="320"/>
      <c r="BD655" s="401"/>
      <c r="BE655" s="42"/>
    </row>
    <row r="656" spans="48:57" x14ac:dyDescent="0.2">
      <c r="AV656" s="401"/>
      <c r="AW656" s="412"/>
      <c r="AX656" s="230"/>
      <c r="AY656" s="42"/>
      <c r="AZ656" s="320"/>
      <c r="BD656" s="401"/>
      <c r="BE656" s="42"/>
    </row>
    <row r="657" spans="48:57" x14ac:dyDescent="0.2">
      <c r="AV657" s="401"/>
      <c r="AW657" s="412"/>
      <c r="AX657" s="230"/>
      <c r="AY657" s="42"/>
      <c r="AZ657" s="320"/>
      <c r="BD657" s="401"/>
      <c r="BE657" s="42"/>
    </row>
    <row r="658" spans="48:57" x14ac:dyDescent="0.2">
      <c r="AV658" s="401"/>
      <c r="AW658" s="412"/>
      <c r="AX658" s="230"/>
      <c r="AY658" s="42"/>
      <c r="AZ658" s="320"/>
      <c r="BD658" s="401"/>
      <c r="BE658" s="42"/>
    </row>
    <row r="659" spans="48:57" x14ac:dyDescent="0.2">
      <c r="AV659" s="401"/>
      <c r="AW659" s="412"/>
      <c r="AX659" s="230"/>
      <c r="AY659" s="42"/>
      <c r="AZ659" s="320"/>
      <c r="BD659" s="401"/>
      <c r="BE659" s="42"/>
    </row>
    <row r="660" spans="48:57" x14ac:dyDescent="0.2">
      <c r="AV660" s="401"/>
      <c r="AW660" s="412"/>
      <c r="AX660" s="230"/>
      <c r="AY660" s="42"/>
      <c r="AZ660" s="320"/>
      <c r="BD660" s="401"/>
      <c r="BE660" s="42"/>
    </row>
    <row r="661" spans="48:57" x14ac:dyDescent="0.2">
      <c r="AV661" s="401"/>
      <c r="AW661" s="412"/>
      <c r="AX661" s="230"/>
      <c r="AY661" s="42"/>
      <c r="AZ661" s="320"/>
      <c r="BD661" s="401"/>
      <c r="BE661" s="42"/>
    </row>
    <row r="662" spans="48:57" x14ac:dyDescent="0.2">
      <c r="AV662" s="401"/>
      <c r="AW662" s="412"/>
      <c r="AX662" s="230"/>
      <c r="AY662" s="42"/>
      <c r="AZ662" s="320"/>
      <c r="BD662" s="401"/>
      <c r="BE662" s="42"/>
    </row>
    <row r="663" spans="48:57" x14ac:dyDescent="0.2">
      <c r="AV663" s="401"/>
      <c r="AW663" s="412"/>
      <c r="AX663" s="230"/>
      <c r="AY663" s="42"/>
      <c r="AZ663" s="320"/>
      <c r="BD663" s="401"/>
      <c r="BE663" s="42"/>
    </row>
    <row r="664" spans="48:57" x14ac:dyDescent="0.2">
      <c r="AV664" s="401"/>
      <c r="AW664" s="412"/>
      <c r="AX664" s="230"/>
      <c r="AY664" s="42"/>
      <c r="AZ664" s="320"/>
      <c r="BD664" s="401"/>
      <c r="BE664" s="42"/>
    </row>
    <row r="665" spans="48:57" x14ac:dyDescent="0.2">
      <c r="AV665" s="401"/>
      <c r="AW665" s="412"/>
      <c r="AX665" s="230"/>
      <c r="AY665" s="42"/>
      <c r="AZ665" s="320"/>
      <c r="BD665" s="401"/>
      <c r="BE665" s="42"/>
    </row>
    <row r="666" spans="48:57" x14ac:dyDescent="0.2">
      <c r="AV666" s="401"/>
      <c r="AW666" s="412"/>
      <c r="AX666" s="230"/>
      <c r="AY666" s="42"/>
      <c r="AZ666" s="320"/>
      <c r="BD666" s="401"/>
      <c r="BE666" s="42"/>
    </row>
    <row r="667" spans="48:57" x14ac:dyDescent="0.2">
      <c r="AV667" s="401"/>
      <c r="AW667" s="412"/>
      <c r="AX667" s="230"/>
      <c r="AY667" s="42"/>
      <c r="AZ667" s="320"/>
      <c r="BD667" s="401"/>
      <c r="BE667" s="42"/>
    </row>
    <row r="668" spans="48:57" x14ac:dyDescent="0.2">
      <c r="AV668" s="401"/>
      <c r="AW668" s="412"/>
      <c r="AX668" s="230"/>
      <c r="AY668" s="42"/>
      <c r="AZ668" s="320"/>
      <c r="BD668" s="401"/>
      <c r="BE668" s="42"/>
    </row>
    <row r="669" spans="48:57" x14ac:dyDescent="0.2">
      <c r="AV669" s="401"/>
      <c r="AW669" s="412"/>
      <c r="AX669" s="230"/>
      <c r="AY669" s="42"/>
      <c r="AZ669" s="320"/>
      <c r="BD669" s="401"/>
      <c r="BE669" s="42"/>
    </row>
    <row r="670" spans="48:57" x14ac:dyDescent="0.2">
      <c r="AV670" s="401"/>
      <c r="AW670" s="412"/>
      <c r="AX670" s="230"/>
      <c r="AY670" s="42"/>
      <c r="AZ670" s="320"/>
      <c r="BD670" s="401"/>
      <c r="BE670" s="42"/>
    </row>
    <row r="671" spans="48:57" x14ac:dyDescent="0.2">
      <c r="AV671" s="401"/>
      <c r="AW671" s="412"/>
      <c r="AX671" s="230"/>
      <c r="AY671" s="42"/>
      <c r="AZ671" s="320"/>
      <c r="BD671" s="401"/>
      <c r="BE671" s="42"/>
    </row>
    <row r="672" spans="48:57" x14ac:dyDescent="0.2">
      <c r="AV672" s="401"/>
      <c r="AW672" s="412"/>
      <c r="AX672" s="230"/>
      <c r="AY672" s="42"/>
      <c r="AZ672" s="320"/>
      <c r="BD672" s="401"/>
      <c r="BE672" s="42"/>
    </row>
    <row r="673" spans="48:57" x14ac:dyDescent="0.2">
      <c r="AV673" s="401"/>
      <c r="AW673" s="412"/>
      <c r="AX673" s="230"/>
      <c r="AY673" s="42"/>
      <c r="AZ673" s="320"/>
      <c r="BD673" s="401"/>
      <c r="BE673" s="42"/>
    </row>
    <row r="674" spans="48:57" x14ac:dyDescent="0.2">
      <c r="AV674" s="401"/>
      <c r="AW674" s="412"/>
      <c r="AX674" s="230"/>
      <c r="AY674" s="42"/>
      <c r="AZ674" s="320"/>
      <c r="BD674" s="401"/>
      <c r="BE674" s="42"/>
    </row>
    <row r="675" spans="48:57" x14ac:dyDescent="0.2">
      <c r="AV675" s="401"/>
      <c r="AW675" s="412"/>
      <c r="AX675" s="230"/>
      <c r="AY675" s="42"/>
      <c r="AZ675" s="320"/>
      <c r="BD675" s="401"/>
      <c r="BE675" s="42"/>
    </row>
    <row r="676" spans="48:57" x14ac:dyDescent="0.2">
      <c r="AV676" s="401"/>
      <c r="AW676" s="412"/>
      <c r="AX676" s="230"/>
      <c r="AY676" s="42"/>
      <c r="AZ676" s="320"/>
      <c r="BD676" s="401"/>
      <c r="BE676" s="42"/>
    </row>
    <row r="677" spans="48:57" x14ac:dyDescent="0.2">
      <c r="AV677" s="401"/>
      <c r="AW677" s="412"/>
      <c r="AX677" s="230"/>
      <c r="AY677" s="42"/>
      <c r="AZ677" s="320"/>
      <c r="BD677" s="401"/>
      <c r="BE677" s="42"/>
    </row>
    <row r="678" spans="48:57" x14ac:dyDescent="0.2">
      <c r="AV678" s="401"/>
      <c r="AW678" s="412"/>
      <c r="AX678" s="230"/>
      <c r="AY678" s="42"/>
      <c r="AZ678" s="320"/>
      <c r="BD678" s="401"/>
      <c r="BE678" s="42"/>
    </row>
    <row r="679" spans="48:57" x14ac:dyDescent="0.2">
      <c r="AV679" s="401"/>
      <c r="AW679" s="412"/>
      <c r="AX679" s="230"/>
      <c r="AY679" s="42"/>
      <c r="AZ679" s="320"/>
      <c r="BD679" s="401"/>
      <c r="BE679" s="42"/>
    </row>
    <row r="680" spans="48:57" x14ac:dyDescent="0.2">
      <c r="AV680" s="401"/>
      <c r="AW680" s="412"/>
      <c r="AX680" s="230"/>
      <c r="AY680" s="42"/>
      <c r="AZ680" s="320"/>
      <c r="BD680" s="401"/>
      <c r="BE680" s="42"/>
    </row>
    <row r="681" spans="48:57" x14ac:dyDescent="0.2">
      <c r="AV681" s="401"/>
      <c r="AW681" s="412"/>
      <c r="AX681" s="230"/>
      <c r="AY681" s="42"/>
      <c r="AZ681" s="320"/>
      <c r="BD681" s="401"/>
      <c r="BE681" s="42"/>
    </row>
    <row r="682" spans="48:57" x14ac:dyDescent="0.2">
      <c r="AV682" s="401"/>
      <c r="AW682" s="412"/>
      <c r="AX682" s="230"/>
      <c r="AY682" s="42"/>
      <c r="AZ682" s="320"/>
      <c r="BD682" s="401"/>
      <c r="BE682" s="42"/>
    </row>
    <row r="683" spans="48:57" x14ac:dyDescent="0.2">
      <c r="AV683" s="401"/>
      <c r="AW683" s="412"/>
      <c r="AX683" s="230"/>
      <c r="AY683" s="42"/>
      <c r="AZ683" s="320"/>
      <c r="BD683" s="401"/>
      <c r="BE683" s="42"/>
    </row>
    <row r="684" spans="48:57" x14ac:dyDescent="0.2">
      <c r="AV684" s="401"/>
      <c r="AW684" s="412"/>
      <c r="AX684" s="230"/>
      <c r="AY684" s="42"/>
      <c r="AZ684" s="320"/>
      <c r="BD684" s="401"/>
      <c r="BE684" s="42"/>
    </row>
    <row r="685" spans="48:57" x14ac:dyDescent="0.2">
      <c r="AV685" s="401"/>
      <c r="AW685" s="412"/>
      <c r="AX685" s="230"/>
      <c r="AY685" s="42"/>
      <c r="AZ685" s="320"/>
      <c r="BD685" s="401"/>
      <c r="BE685" s="42"/>
    </row>
    <row r="686" spans="48:57" x14ac:dyDescent="0.2">
      <c r="AV686" s="401"/>
      <c r="AW686" s="412"/>
      <c r="AX686" s="230"/>
      <c r="AY686" s="42"/>
      <c r="AZ686" s="320"/>
      <c r="BD686" s="401"/>
      <c r="BE686" s="42"/>
    </row>
    <row r="687" spans="48:57" x14ac:dyDescent="0.2">
      <c r="AV687" s="401"/>
      <c r="AW687" s="412"/>
      <c r="AX687" s="230"/>
      <c r="AY687" s="42"/>
      <c r="AZ687" s="320"/>
      <c r="BD687" s="401"/>
      <c r="BE687" s="42"/>
    </row>
    <row r="688" spans="48:57" x14ac:dyDescent="0.2">
      <c r="AV688" s="401"/>
      <c r="AW688" s="412"/>
      <c r="AX688" s="230"/>
      <c r="AY688" s="42"/>
      <c r="AZ688" s="320"/>
      <c r="BD688" s="401"/>
      <c r="BE688" s="42"/>
    </row>
    <row r="689" spans="48:57" x14ac:dyDescent="0.2">
      <c r="AV689" s="401"/>
      <c r="AW689" s="412"/>
      <c r="AX689" s="230"/>
      <c r="AY689" s="42"/>
      <c r="AZ689" s="320"/>
      <c r="BD689" s="401"/>
      <c r="BE689" s="42"/>
    </row>
    <row r="690" spans="48:57" x14ac:dyDescent="0.2">
      <c r="AV690" s="401"/>
      <c r="AW690" s="412"/>
      <c r="AX690" s="230"/>
      <c r="AY690" s="42"/>
      <c r="AZ690" s="320"/>
      <c r="BD690" s="401"/>
      <c r="BE690" s="42"/>
    </row>
    <row r="691" spans="48:57" x14ac:dyDescent="0.2">
      <c r="AV691" s="401"/>
      <c r="AW691" s="412"/>
      <c r="AX691" s="230"/>
      <c r="AY691" s="42"/>
      <c r="AZ691" s="320"/>
      <c r="BD691" s="401"/>
      <c r="BE691" s="42"/>
    </row>
    <row r="692" spans="48:57" x14ac:dyDescent="0.2">
      <c r="AV692" s="401"/>
      <c r="AW692" s="412"/>
      <c r="AX692" s="230"/>
      <c r="AY692" s="42"/>
      <c r="AZ692" s="320"/>
      <c r="BD692" s="401"/>
      <c r="BE692" s="42"/>
    </row>
    <row r="693" spans="48:57" x14ac:dyDescent="0.2">
      <c r="AV693" s="401"/>
      <c r="AW693" s="412"/>
      <c r="AX693" s="230"/>
      <c r="AY693" s="42"/>
      <c r="AZ693" s="320"/>
      <c r="BD693" s="401"/>
      <c r="BE693" s="42"/>
    </row>
    <row r="694" spans="48:57" x14ac:dyDescent="0.2">
      <c r="AV694" s="401"/>
      <c r="AW694" s="412"/>
      <c r="AX694" s="230"/>
      <c r="AY694" s="42"/>
      <c r="AZ694" s="320"/>
      <c r="BD694" s="401"/>
      <c r="BE694" s="42"/>
    </row>
    <row r="695" spans="48:57" x14ac:dyDescent="0.2">
      <c r="AV695" s="401"/>
      <c r="AW695" s="412"/>
      <c r="AX695" s="230"/>
      <c r="AY695" s="42"/>
      <c r="AZ695" s="320"/>
      <c r="BD695" s="401"/>
      <c r="BE695" s="42"/>
    </row>
    <row r="696" spans="48:57" x14ac:dyDescent="0.2">
      <c r="AV696" s="401"/>
      <c r="AW696" s="412"/>
      <c r="AX696" s="230"/>
      <c r="AY696" s="42"/>
      <c r="AZ696" s="320"/>
      <c r="BD696" s="401"/>
      <c r="BE696" s="42"/>
    </row>
    <row r="697" spans="48:57" x14ac:dyDescent="0.2">
      <c r="AV697" s="401"/>
      <c r="AW697" s="412"/>
      <c r="AX697" s="230"/>
      <c r="AY697" s="42"/>
      <c r="AZ697" s="320"/>
      <c r="BD697" s="401"/>
      <c r="BE697" s="42"/>
    </row>
    <row r="698" spans="48:57" x14ac:dyDescent="0.2">
      <c r="AV698" s="401"/>
      <c r="AW698" s="412"/>
      <c r="AX698" s="230"/>
      <c r="AY698" s="42"/>
      <c r="AZ698" s="320"/>
      <c r="BD698" s="401"/>
      <c r="BE698" s="42"/>
    </row>
    <row r="699" spans="48:57" x14ac:dyDescent="0.2">
      <c r="AV699" s="401"/>
      <c r="AW699" s="412"/>
      <c r="AX699" s="230"/>
      <c r="AY699" s="42"/>
      <c r="AZ699" s="320"/>
      <c r="BD699" s="401"/>
      <c r="BE699" s="42"/>
    </row>
    <row r="700" spans="48:57" x14ac:dyDescent="0.2">
      <c r="AV700" s="401"/>
      <c r="AW700" s="412"/>
      <c r="AX700" s="230"/>
      <c r="AY700" s="42"/>
      <c r="AZ700" s="320"/>
      <c r="BD700" s="401"/>
      <c r="BE700" s="42"/>
    </row>
    <row r="701" spans="48:57" x14ac:dyDescent="0.2">
      <c r="AV701" s="401"/>
      <c r="AW701" s="412"/>
      <c r="AX701" s="230"/>
      <c r="AY701" s="42"/>
      <c r="AZ701" s="320"/>
      <c r="BD701" s="401"/>
      <c r="BE701" s="42"/>
    </row>
    <row r="702" spans="48:57" x14ac:dyDescent="0.2">
      <c r="AV702" s="401"/>
      <c r="AW702" s="412"/>
      <c r="AX702" s="230"/>
      <c r="AY702" s="42"/>
      <c r="AZ702" s="320"/>
      <c r="BD702" s="401"/>
      <c r="BE702" s="42"/>
    </row>
    <row r="703" spans="48:57" x14ac:dyDescent="0.2">
      <c r="AV703" s="401"/>
      <c r="AW703" s="412"/>
      <c r="AX703" s="230"/>
      <c r="AY703" s="42"/>
      <c r="AZ703" s="320"/>
      <c r="BD703" s="401"/>
      <c r="BE703" s="42"/>
    </row>
    <row r="704" spans="48:57" x14ac:dyDescent="0.2">
      <c r="AV704" s="401"/>
      <c r="AW704" s="412"/>
      <c r="AX704" s="230"/>
      <c r="AY704" s="42"/>
      <c r="AZ704" s="320"/>
      <c r="BD704" s="401"/>
      <c r="BE704" s="42"/>
    </row>
    <row r="705" spans="48:57" x14ac:dyDescent="0.2">
      <c r="AV705" s="401"/>
      <c r="AW705" s="412"/>
      <c r="AX705" s="230"/>
      <c r="AY705" s="42"/>
      <c r="AZ705" s="320"/>
      <c r="BD705" s="401"/>
      <c r="BE705" s="42"/>
    </row>
    <row r="706" spans="48:57" x14ac:dyDescent="0.2">
      <c r="AV706" s="401"/>
      <c r="AW706" s="412"/>
      <c r="AX706" s="230"/>
      <c r="AY706" s="42"/>
      <c r="AZ706" s="320"/>
      <c r="BD706" s="401"/>
      <c r="BE706" s="42"/>
    </row>
    <row r="707" spans="48:57" x14ac:dyDescent="0.2">
      <c r="AV707" s="401"/>
      <c r="AW707" s="412"/>
      <c r="AX707" s="230"/>
      <c r="AY707" s="42"/>
      <c r="AZ707" s="320"/>
      <c r="BD707" s="401"/>
      <c r="BE707" s="42"/>
    </row>
    <row r="708" spans="48:57" x14ac:dyDescent="0.2">
      <c r="AV708" s="401"/>
      <c r="AW708" s="412"/>
      <c r="AX708" s="230"/>
      <c r="AY708" s="42"/>
      <c r="AZ708" s="320"/>
      <c r="BD708" s="401"/>
      <c r="BE708" s="42"/>
    </row>
    <row r="709" spans="48:57" x14ac:dyDescent="0.2">
      <c r="AV709" s="401"/>
      <c r="AW709" s="412"/>
      <c r="AX709" s="230"/>
      <c r="AY709" s="42"/>
      <c r="AZ709" s="320"/>
      <c r="BD709" s="401"/>
      <c r="BE709" s="42"/>
    </row>
    <row r="710" spans="48:57" x14ac:dyDescent="0.2">
      <c r="AV710" s="401"/>
      <c r="AW710" s="412"/>
      <c r="AX710" s="230"/>
      <c r="AY710" s="42"/>
      <c r="AZ710" s="320"/>
      <c r="BD710" s="401"/>
      <c r="BE710" s="42"/>
    </row>
    <row r="711" spans="48:57" x14ac:dyDescent="0.2">
      <c r="AV711" s="401"/>
      <c r="AW711" s="412"/>
      <c r="AX711" s="230"/>
      <c r="AY711" s="42"/>
      <c r="AZ711" s="320"/>
      <c r="BD711" s="401"/>
      <c r="BE711" s="42"/>
    </row>
    <row r="712" spans="48:57" x14ac:dyDescent="0.2">
      <c r="AV712" s="401"/>
      <c r="AW712" s="412"/>
      <c r="AX712" s="230"/>
      <c r="AY712" s="42"/>
      <c r="AZ712" s="320"/>
      <c r="BD712" s="401"/>
      <c r="BE712" s="42"/>
    </row>
    <row r="713" spans="48:57" x14ac:dyDescent="0.2">
      <c r="AV713" s="401"/>
      <c r="AW713" s="412"/>
      <c r="AX713" s="230"/>
      <c r="AY713" s="42"/>
      <c r="AZ713" s="320"/>
      <c r="BD713" s="401"/>
      <c r="BE713" s="42"/>
    </row>
    <row r="714" spans="48:57" x14ac:dyDescent="0.2">
      <c r="AV714" s="401"/>
      <c r="AW714" s="412"/>
      <c r="AX714" s="230"/>
      <c r="AY714" s="42"/>
      <c r="AZ714" s="320"/>
      <c r="BD714" s="401"/>
      <c r="BE714" s="42"/>
    </row>
    <row r="715" spans="48:57" x14ac:dyDescent="0.2">
      <c r="AV715" s="401"/>
      <c r="AW715" s="412"/>
      <c r="AX715" s="230"/>
      <c r="AY715" s="42"/>
      <c r="AZ715" s="320"/>
      <c r="BD715" s="401"/>
      <c r="BE715" s="42"/>
    </row>
    <row r="716" spans="48:57" x14ac:dyDescent="0.2">
      <c r="AV716" s="401"/>
      <c r="AW716" s="412"/>
      <c r="AX716" s="230"/>
      <c r="AY716" s="42"/>
      <c r="AZ716" s="320"/>
      <c r="BD716" s="401"/>
      <c r="BE716" s="42"/>
    </row>
    <row r="717" spans="48:57" x14ac:dyDescent="0.2">
      <c r="AV717" s="401"/>
      <c r="AW717" s="412"/>
      <c r="AX717" s="230"/>
      <c r="AY717" s="42"/>
      <c r="AZ717" s="320"/>
      <c r="BD717" s="401"/>
      <c r="BE717" s="42"/>
    </row>
    <row r="718" spans="48:57" x14ac:dyDescent="0.2">
      <c r="AV718" s="401"/>
      <c r="AW718" s="412"/>
      <c r="AX718" s="230"/>
      <c r="AY718" s="42"/>
      <c r="AZ718" s="320"/>
      <c r="BD718" s="401"/>
      <c r="BE718" s="42"/>
    </row>
    <row r="719" spans="48:57" x14ac:dyDescent="0.2">
      <c r="AV719" s="401"/>
      <c r="AW719" s="412"/>
      <c r="AX719" s="230"/>
      <c r="AY719" s="42"/>
      <c r="AZ719" s="320"/>
      <c r="BD719" s="401"/>
      <c r="BE719" s="42"/>
    </row>
    <row r="720" spans="48:57" x14ac:dyDescent="0.2">
      <c r="AV720" s="401"/>
      <c r="AW720" s="412"/>
      <c r="AX720" s="230"/>
      <c r="AY720" s="42"/>
      <c r="AZ720" s="320"/>
      <c r="BD720" s="401"/>
      <c r="BE720" s="42"/>
    </row>
    <row r="721" spans="48:57" x14ac:dyDescent="0.2">
      <c r="AV721" s="401"/>
      <c r="AW721" s="412"/>
      <c r="AX721" s="230"/>
      <c r="AY721" s="42"/>
      <c r="AZ721" s="320"/>
      <c r="BD721" s="401"/>
      <c r="BE721" s="42"/>
    </row>
    <row r="722" spans="48:57" x14ac:dyDescent="0.2">
      <c r="AV722" s="401"/>
      <c r="AW722" s="412"/>
      <c r="AX722" s="230"/>
      <c r="AY722" s="42"/>
      <c r="AZ722" s="320"/>
      <c r="BD722" s="401"/>
      <c r="BE722" s="42"/>
    </row>
    <row r="723" spans="48:57" x14ac:dyDescent="0.2">
      <c r="AV723" s="401"/>
      <c r="AW723" s="412"/>
      <c r="AX723" s="230"/>
      <c r="AY723" s="42"/>
      <c r="AZ723" s="320"/>
      <c r="BD723" s="401"/>
      <c r="BE723" s="42"/>
    </row>
    <row r="724" spans="48:57" x14ac:dyDescent="0.2">
      <c r="AV724" s="401"/>
      <c r="AW724" s="412"/>
      <c r="AX724" s="230"/>
      <c r="AY724" s="42"/>
      <c r="AZ724" s="320"/>
      <c r="BD724" s="401"/>
      <c r="BE724" s="42"/>
    </row>
    <row r="725" spans="48:57" x14ac:dyDescent="0.2">
      <c r="AV725" s="401"/>
      <c r="AW725" s="412"/>
      <c r="AX725" s="230"/>
      <c r="AY725" s="42"/>
      <c r="AZ725" s="320"/>
      <c r="BD725" s="401"/>
      <c r="BE725" s="42"/>
    </row>
    <row r="726" spans="48:57" x14ac:dyDescent="0.2">
      <c r="AV726" s="401"/>
      <c r="AW726" s="412"/>
      <c r="AX726" s="230"/>
      <c r="AY726" s="42"/>
      <c r="AZ726" s="320"/>
      <c r="BD726" s="401"/>
      <c r="BE726" s="42"/>
    </row>
    <row r="727" spans="48:57" x14ac:dyDescent="0.2">
      <c r="AV727" s="401"/>
      <c r="AW727" s="412"/>
      <c r="AX727" s="230"/>
      <c r="AY727" s="42"/>
      <c r="AZ727" s="320"/>
      <c r="BD727" s="401"/>
      <c r="BE727" s="42"/>
    </row>
    <row r="728" spans="48:57" x14ac:dyDescent="0.2">
      <c r="AV728" s="401"/>
      <c r="AW728" s="412"/>
      <c r="AX728" s="230"/>
      <c r="AY728" s="42"/>
      <c r="AZ728" s="320"/>
      <c r="BD728" s="401"/>
      <c r="BE728" s="42"/>
    </row>
    <row r="729" spans="48:57" x14ac:dyDescent="0.2">
      <c r="AV729" s="401"/>
      <c r="AW729" s="412"/>
      <c r="AX729" s="230"/>
      <c r="AY729" s="42"/>
      <c r="AZ729" s="320"/>
      <c r="BD729" s="401"/>
      <c r="BE729" s="42"/>
    </row>
    <row r="730" spans="48:57" x14ac:dyDescent="0.2">
      <c r="AV730" s="401"/>
      <c r="AW730" s="412"/>
      <c r="AX730" s="230"/>
      <c r="AY730" s="42"/>
      <c r="AZ730" s="320"/>
      <c r="BD730" s="401"/>
      <c r="BE730" s="42"/>
    </row>
    <row r="731" spans="48:57" x14ac:dyDescent="0.2">
      <c r="AV731" s="401"/>
      <c r="AW731" s="412"/>
      <c r="AX731" s="230"/>
      <c r="AY731" s="42"/>
      <c r="AZ731" s="320"/>
      <c r="BD731" s="401"/>
      <c r="BE731" s="42"/>
    </row>
    <row r="732" spans="48:57" x14ac:dyDescent="0.2">
      <c r="AV732" s="401"/>
      <c r="AW732" s="412"/>
      <c r="AX732" s="230"/>
      <c r="AY732" s="42"/>
      <c r="AZ732" s="320"/>
      <c r="BD732" s="401"/>
      <c r="BE732" s="42"/>
    </row>
    <row r="733" spans="48:57" x14ac:dyDescent="0.2">
      <c r="AV733" s="401"/>
      <c r="AW733" s="412"/>
      <c r="AX733" s="230"/>
      <c r="AY733" s="42"/>
      <c r="AZ733" s="320"/>
      <c r="BD733" s="401"/>
      <c r="BE733" s="42"/>
    </row>
    <row r="734" spans="48:57" x14ac:dyDescent="0.2">
      <c r="AV734" s="401"/>
      <c r="AW734" s="412"/>
      <c r="AX734" s="230"/>
      <c r="AY734" s="42"/>
      <c r="AZ734" s="320"/>
      <c r="BD734" s="401"/>
      <c r="BE734" s="42"/>
    </row>
    <row r="735" spans="48:57" x14ac:dyDescent="0.2">
      <c r="AV735" s="401"/>
      <c r="AW735" s="412"/>
      <c r="AX735" s="230"/>
      <c r="AY735" s="42"/>
      <c r="AZ735" s="320"/>
      <c r="BD735" s="401"/>
      <c r="BE735" s="42"/>
    </row>
    <row r="736" spans="48:57" x14ac:dyDescent="0.2">
      <c r="AV736" s="401"/>
      <c r="AW736" s="412"/>
      <c r="AX736" s="230"/>
      <c r="AY736" s="42"/>
      <c r="AZ736" s="320"/>
      <c r="BD736" s="401"/>
      <c r="BE736" s="42"/>
    </row>
    <row r="737" spans="48:57" x14ac:dyDescent="0.2">
      <c r="AV737" s="401"/>
      <c r="AW737" s="412"/>
      <c r="AX737" s="230"/>
      <c r="AY737" s="42"/>
      <c r="AZ737" s="320"/>
      <c r="BD737" s="401"/>
      <c r="BE737" s="42"/>
    </row>
    <row r="738" spans="48:57" x14ac:dyDescent="0.2">
      <c r="AV738" s="401"/>
      <c r="AW738" s="412"/>
      <c r="AX738" s="230"/>
      <c r="AY738" s="42"/>
      <c r="AZ738" s="320"/>
      <c r="BD738" s="401"/>
      <c r="BE738" s="42"/>
    </row>
    <row r="739" spans="48:57" x14ac:dyDescent="0.2">
      <c r="AV739" s="401"/>
      <c r="AW739" s="412"/>
      <c r="AX739" s="230"/>
      <c r="AY739" s="42"/>
      <c r="AZ739" s="320"/>
      <c r="BD739" s="401"/>
      <c r="BE739" s="42"/>
    </row>
    <row r="740" spans="48:57" x14ac:dyDescent="0.2">
      <c r="AV740" s="401"/>
      <c r="AW740" s="412"/>
      <c r="AX740" s="230"/>
      <c r="AY740" s="42"/>
      <c r="AZ740" s="320"/>
      <c r="BD740" s="401"/>
      <c r="BE740" s="42"/>
    </row>
    <row r="741" spans="48:57" x14ac:dyDescent="0.2">
      <c r="AV741" s="401"/>
      <c r="AW741" s="412"/>
      <c r="AX741" s="230"/>
      <c r="AY741" s="42"/>
      <c r="AZ741" s="320"/>
      <c r="BD741" s="401"/>
      <c r="BE741" s="42"/>
    </row>
    <row r="742" spans="48:57" x14ac:dyDescent="0.2">
      <c r="AV742" s="401"/>
      <c r="AW742" s="412"/>
      <c r="AX742" s="230"/>
      <c r="AY742" s="42"/>
      <c r="AZ742" s="320"/>
      <c r="BD742" s="401"/>
      <c r="BE742" s="42"/>
    </row>
    <row r="743" spans="48:57" x14ac:dyDescent="0.2">
      <c r="AV743" s="401"/>
      <c r="AW743" s="412"/>
      <c r="AX743" s="230"/>
      <c r="AY743" s="42"/>
      <c r="AZ743" s="320"/>
      <c r="BD743" s="401"/>
      <c r="BE743" s="42"/>
    </row>
    <row r="744" spans="48:57" x14ac:dyDescent="0.2">
      <c r="AV744" s="401"/>
      <c r="AW744" s="412"/>
      <c r="AX744" s="230"/>
      <c r="AY744" s="42"/>
      <c r="AZ744" s="320"/>
      <c r="BD744" s="401"/>
      <c r="BE744" s="42"/>
    </row>
    <row r="745" spans="48:57" x14ac:dyDescent="0.2">
      <c r="AV745" s="401"/>
      <c r="AW745" s="412"/>
      <c r="AX745" s="230"/>
      <c r="AY745" s="42"/>
      <c r="AZ745" s="320"/>
      <c r="BD745" s="401"/>
      <c r="BE745" s="42"/>
    </row>
    <row r="746" spans="48:57" x14ac:dyDescent="0.2">
      <c r="AV746" s="401"/>
      <c r="AW746" s="412"/>
      <c r="AX746" s="230"/>
      <c r="AY746" s="42"/>
      <c r="AZ746" s="320"/>
      <c r="BD746" s="401"/>
      <c r="BE746" s="42"/>
    </row>
    <row r="747" spans="48:57" x14ac:dyDescent="0.2">
      <c r="AV747" s="401"/>
      <c r="AW747" s="412"/>
      <c r="AX747" s="230"/>
      <c r="AY747" s="42"/>
      <c r="AZ747" s="320"/>
      <c r="BD747" s="401"/>
      <c r="BE747" s="42"/>
    </row>
    <row r="748" spans="48:57" x14ac:dyDescent="0.2">
      <c r="AV748" s="401"/>
      <c r="AW748" s="412"/>
      <c r="AX748" s="230"/>
      <c r="AY748" s="42"/>
      <c r="AZ748" s="320"/>
      <c r="BD748" s="401"/>
      <c r="BE748" s="42"/>
    </row>
    <row r="749" spans="48:57" x14ac:dyDescent="0.2">
      <c r="AV749" s="401"/>
      <c r="AW749" s="412"/>
      <c r="AX749" s="230"/>
      <c r="AY749" s="42"/>
      <c r="AZ749" s="320"/>
      <c r="BD749" s="401"/>
      <c r="BE749" s="42"/>
    </row>
    <row r="750" spans="48:57" x14ac:dyDescent="0.2">
      <c r="AV750" s="401"/>
      <c r="AW750" s="412"/>
      <c r="AX750" s="230"/>
      <c r="AY750" s="42"/>
      <c r="AZ750" s="320"/>
      <c r="BD750" s="401"/>
      <c r="BE750" s="42"/>
    </row>
    <row r="751" spans="48:57" x14ac:dyDescent="0.2">
      <c r="AV751" s="401"/>
      <c r="AW751" s="412"/>
      <c r="AX751" s="230"/>
      <c r="AY751" s="42"/>
      <c r="AZ751" s="320"/>
      <c r="BD751" s="401"/>
      <c r="BE751" s="42"/>
    </row>
    <row r="752" spans="48:57" x14ac:dyDescent="0.2">
      <c r="AV752" s="401"/>
      <c r="AW752" s="412"/>
      <c r="AX752" s="230"/>
      <c r="AY752" s="42"/>
      <c r="AZ752" s="320"/>
      <c r="BD752" s="401"/>
      <c r="BE752" s="42"/>
    </row>
    <row r="753" spans="48:57" x14ac:dyDescent="0.2">
      <c r="AV753" s="401"/>
      <c r="AW753" s="412"/>
      <c r="AX753" s="230"/>
      <c r="AY753" s="42"/>
      <c r="AZ753" s="320"/>
      <c r="BD753" s="401"/>
      <c r="BE753" s="42"/>
    </row>
    <row r="754" spans="48:57" x14ac:dyDescent="0.2">
      <c r="AV754" s="401"/>
      <c r="AW754" s="412"/>
      <c r="AX754" s="230"/>
      <c r="AY754" s="42"/>
      <c r="AZ754" s="320"/>
      <c r="BD754" s="401"/>
      <c r="BE754" s="42"/>
    </row>
    <row r="755" spans="48:57" x14ac:dyDescent="0.2">
      <c r="AV755" s="401"/>
      <c r="AW755" s="412"/>
      <c r="AX755" s="230"/>
      <c r="AY755" s="42"/>
      <c r="AZ755" s="320"/>
      <c r="BD755" s="401"/>
      <c r="BE755" s="42"/>
    </row>
    <row r="756" spans="48:57" x14ac:dyDescent="0.2">
      <c r="AV756" s="401"/>
      <c r="AW756" s="412"/>
      <c r="AX756" s="230"/>
      <c r="AY756" s="42"/>
      <c r="AZ756" s="320"/>
      <c r="BD756" s="401"/>
      <c r="BE756" s="42"/>
    </row>
    <row r="757" spans="48:57" x14ac:dyDescent="0.2">
      <c r="AV757" s="401"/>
      <c r="AW757" s="412"/>
      <c r="AX757" s="230"/>
      <c r="AY757" s="42"/>
      <c r="AZ757" s="320"/>
      <c r="BD757" s="401"/>
      <c r="BE757" s="42"/>
    </row>
    <row r="758" spans="48:57" x14ac:dyDescent="0.2">
      <c r="AV758" s="401"/>
      <c r="AW758" s="412"/>
      <c r="AX758" s="230"/>
      <c r="AY758" s="42"/>
      <c r="AZ758" s="320"/>
      <c r="BD758" s="401"/>
      <c r="BE758" s="42"/>
    </row>
    <row r="759" spans="48:57" x14ac:dyDescent="0.2">
      <c r="AV759" s="401"/>
      <c r="AW759" s="412"/>
      <c r="AX759" s="230"/>
      <c r="AY759" s="42"/>
      <c r="AZ759" s="320"/>
      <c r="BD759" s="401"/>
      <c r="BE759" s="42"/>
    </row>
    <row r="760" spans="48:57" x14ac:dyDescent="0.2">
      <c r="AV760" s="401"/>
      <c r="AW760" s="412"/>
      <c r="AX760" s="230"/>
      <c r="AY760" s="42"/>
      <c r="AZ760" s="320"/>
      <c r="BD760" s="401"/>
      <c r="BE760" s="42"/>
    </row>
    <row r="761" spans="48:57" x14ac:dyDescent="0.2">
      <c r="AV761" s="401"/>
      <c r="AW761" s="412"/>
      <c r="AX761" s="230"/>
      <c r="AY761" s="42"/>
      <c r="AZ761" s="320"/>
      <c r="BD761" s="401"/>
      <c r="BE761" s="42"/>
    </row>
    <row r="762" spans="48:57" x14ac:dyDescent="0.2">
      <c r="AV762" s="401"/>
      <c r="AW762" s="412"/>
      <c r="AX762" s="230"/>
      <c r="AY762" s="42"/>
      <c r="AZ762" s="320"/>
      <c r="BD762" s="401"/>
      <c r="BE762" s="42"/>
    </row>
    <row r="763" spans="48:57" x14ac:dyDescent="0.2">
      <c r="AV763" s="401"/>
      <c r="AW763" s="412"/>
      <c r="AX763" s="230"/>
      <c r="AY763" s="42"/>
      <c r="AZ763" s="320"/>
      <c r="BD763" s="401"/>
      <c r="BE763" s="42"/>
    </row>
    <row r="764" spans="48:57" x14ac:dyDescent="0.2">
      <c r="AV764" s="401"/>
      <c r="AW764" s="412"/>
      <c r="AX764" s="230"/>
      <c r="AY764" s="42"/>
      <c r="AZ764" s="320"/>
      <c r="BD764" s="401"/>
      <c r="BE764" s="42"/>
    </row>
    <row r="765" spans="48:57" x14ac:dyDescent="0.2">
      <c r="AV765" s="401"/>
      <c r="AW765" s="412"/>
      <c r="AX765" s="230"/>
      <c r="AY765" s="42"/>
      <c r="AZ765" s="320"/>
      <c r="BD765" s="401"/>
      <c r="BE765" s="42"/>
    </row>
    <row r="766" spans="48:57" x14ac:dyDescent="0.2">
      <c r="AV766" s="401"/>
      <c r="AW766" s="412"/>
      <c r="AX766" s="230"/>
      <c r="AY766" s="42"/>
      <c r="AZ766" s="320"/>
      <c r="BD766" s="401"/>
      <c r="BE766" s="42"/>
    </row>
    <row r="767" spans="48:57" x14ac:dyDescent="0.2">
      <c r="AV767" s="401"/>
      <c r="AW767" s="412"/>
      <c r="AX767" s="230"/>
      <c r="AY767" s="42"/>
      <c r="AZ767" s="320"/>
      <c r="BD767" s="401"/>
      <c r="BE767" s="42"/>
    </row>
    <row r="768" spans="48:57" x14ac:dyDescent="0.2">
      <c r="AV768" s="401"/>
      <c r="AW768" s="412"/>
      <c r="AX768" s="230"/>
      <c r="AY768" s="42"/>
      <c r="AZ768" s="320"/>
      <c r="BD768" s="401"/>
      <c r="BE768" s="42"/>
    </row>
    <row r="769" spans="48:57" x14ac:dyDescent="0.2">
      <c r="AV769" s="401"/>
      <c r="AW769" s="412"/>
      <c r="AX769" s="230"/>
      <c r="AY769" s="42"/>
      <c r="AZ769" s="320"/>
      <c r="BD769" s="401"/>
      <c r="BE769" s="42"/>
    </row>
    <row r="770" spans="48:57" x14ac:dyDescent="0.2">
      <c r="AV770" s="401"/>
      <c r="AW770" s="412"/>
      <c r="AX770" s="230"/>
      <c r="AY770" s="42"/>
      <c r="AZ770" s="320"/>
      <c r="BD770" s="401"/>
      <c r="BE770" s="42"/>
    </row>
    <row r="771" spans="48:57" x14ac:dyDescent="0.2">
      <c r="AV771" s="401"/>
      <c r="AW771" s="412"/>
      <c r="AX771" s="230"/>
      <c r="AY771" s="42"/>
      <c r="AZ771" s="320"/>
      <c r="BD771" s="401"/>
      <c r="BE771" s="42"/>
    </row>
    <row r="772" spans="48:57" x14ac:dyDescent="0.2">
      <c r="AV772" s="401"/>
      <c r="AW772" s="412"/>
      <c r="AX772" s="230"/>
      <c r="AY772" s="42"/>
      <c r="AZ772" s="320"/>
      <c r="BD772" s="401"/>
      <c r="BE772" s="42"/>
    </row>
    <row r="773" spans="48:57" x14ac:dyDescent="0.2">
      <c r="AV773" s="401"/>
      <c r="AW773" s="412"/>
      <c r="AX773" s="230"/>
      <c r="AY773" s="42"/>
      <c r="AZ773" s="320"/>
      <c r="BD773" s="401"/>
      <c r="BE773" s="42"/>
    </row>
    <row r="774" spans="48:57" x14ac:dyDescent="0.2">
      <c r="AV774" s="401"/>
      <c r="AW774" s="412"/>
      <c r="AX774" s="230"/>
      <c r="AY774" s="42"/>
      <c r="AZ774" s="320"/>
      <c r="BD774" s="401"/>
      <c r="BE774" s="42"/>
    </row>
    <row r="775" spans="48:57" x14ac:dyDescent="0.2">
      <c r="AV775" s="401"/>
      <c r="AW775" s="412"/>
      <c r="AX775" s="230"/>
      <c r="AY775" s="42"/>
      <c r="AZ775" s="320"/>
      <c r="BD775" s="401"/>
      <c r="BE775" s="42"/>
    </row>
    <row r="776" spans="48:57" x14ac:dyDescent="0.2">
      <c r="AV776" s="401"/>
      <c r="AW776" s="412"/>
      <c r="AX776" s="230"/>
      <c r="AY776" s="42"/>
      <c r="AZ776" s="320"/>
      <c r="BD776" s="401"/>
      <c r="BE776" s="42"/>
    </row>
    <row r="777" spans="48:57" x14ac:dyDescent="0.2">
      <c r="AV777" s="401"/>
      <c r="AW777" s="412"/>
      <c r="AX777" s="230"/>
      <c r="AY777" s="42"/>
      <c r="AZ777" s="320"/>
      <c r="BD777" s="401"/>
      <c r="BE777" s="42"/>
    </row>
    <row r="778" spans="48:57" x14ac:dyDescent="0.2">
      <c r="AV778" s="401"/>
      <c r="AW778" s="412"/>
      <c r="AX778" s="230"/>
      <c r="AY778" s="42"/>
      <c r="AZ778" s="320"/>
      <c r="BD778" s="401"/>
      <c r="BE778" s="42"/>
    </row>
    <row r="779" spans="48:57" x14ac:dyDescent="0.2">
      <c r="AV779" s="401"/>
      <c r="AW779" s="412"/>
      <c r="AX779" s="230"/>
      <c r="AY779" s="42"/>
      <c r="AZ779" s="320"/>
      <c r="BD779" s="401"/>
      <c r="BE779" s="42"/>
    </row>
    <row r="780" spans="48:57" x14ac:dyDescent="0.2">
      <c r="AV780" s="401"/>
      <c r="AW780" s="412"/>
      <c r="AX780" s="230"/>
      <c r="AY780" s="42"/>
      <c r="AZ780" s="320"/>
      <c r="BD780" s="401"/>
      <c r="BE780" s="42"/>
    </row>
    <row r="781" spans="48:57" x14ac:dyDescent="0.2">
      <c r="AV781" s="401"/>
      <c r="AW781" s="412"/>
      <c r="AX781" s="230"/>
      <c r="AY781" s="42"/>
      <c r="AZ781" s="320"/>
      <c r="BD781" s="401"/>
      <c r="BE781" s="42"/>
    </row>
    <row r="782" spans="48:57" x14ac:dyDescent="0.2">
      <c r="AV782" s="401"/>
      <c r="AW782" s="412"/>
      <c r="AX782" s="230"/>
      <c r="AY782" s="42"/>
      <c r="AZ782" s="320"/>
      <c r="BD782" s="401"/>
      <c r="BE782" s="42"/>
    </row>
    <row r="783" spans="48:57" x14ac:dyDescent="0.2">
      <c r="AV783" s="401"/>
      <c r="AW783" s="412"/>
      <c r="AX783" s="230"/>
      <c r="AY783" s="42"/>
      <c r="AZ783" s="320"/>
      <c r="BD783" s="401"/>
      <c r="BE783" s="42"/>
    </row>
    <row r="784" spans="48:57" x14ac:dyDescent="0.2">
      <c r="AV784" s="401"/>
      <c r="AW784" s="412"/>
      <c r="AX784" s="230"/>
      <c r="AY784" s="42"/>
      <c r="AZ784" s="320"/>
      <c r="BD784" s="401"/>
      <c r="BE784" s="42"/>
    </row>
    <row r="785" spans="48:57" x14ac:dyDescent="0.2">
      <c r="AV785" s="401"/>
      <c r="AW785" s="412"/>
      <c r="AX785" s="230"/>
      <c r="AY785" s="42"/>
      <c r="AZ785" s="320"/>
      <c r="BD785" s="401"/>
      <c r="BE785" s="42"/>
    </row>
    <row r="786" spans="48:57" x14ac:dyDescent="0.2">
      <c r="AV786" s="401"/>
      <c r="AW786" s="412"/>
      <c r="AX786" s="230"/>
      <c r="AY786" s="42"/>
      <c r="AZ786" s="320"/>
      <c r="BD786" s="401"/>
      <c r="BE786" s="42"/>
    </row>
    <row r="787" spans="48:57" x14ac:dyDescent="0.2">
      <c r="AV787" s="401"/>
      <c r="AW787" s="412"/>
      <c r="AX787" s="230"/>
      <c r="AY787" s="42"/>
      <c r="AZ787" s="320"/>
      <c r="BD787" s="401"/>
      <c r="BE787" s="42"/>
    </row>
    <row r="788" spans="48:57" x14ac:dyDescent="0.2">
      <c r="AV788" s="401"/>
      <c r="AW788" s="412"/>
      <c r="AX788" s="230"/>
      <c r="AY788" s="42"/>
      <c r="AZ788" s="320"/>
      <c r="BD788" s="401"/>
      <c r="BE788" s="42"/>
    </row>
    <row r="789" spans="48:57" x14ac:dyDescent="0.2">
      <c r="AV789" s="401"/>
      <c r="AW789" s="412"/>
      <c r="AX789" s="230"/>
      <c r="AY789" s="42"/>
      <c r="AZ789" s="320"/>
      <c r="BD789" s="401"/>
      <c r="BE789" s="42"/>
    </row>
    <row r="790" spans="48:57" x14ac:dyDescent="0.2">
      <c r="AV790" s="401"/>
      <c r="AW790" s="412"/>
      <c r="AX790" s="230"/>
      <c r="AY790" s="42"/>
      <c r="AZ790" s="320"/>
      <c r="BD790" s="401"/>
      <c r="BE790" s="42"/>
    </row>
    <row r="791" spans="48:57" x14ac:dyDescent="0.2">
      <c r="AV791" s="401"/>
      <c r="AW791" s="412"/>
      <c r="AX791" s="230"/>
      <c r="AY791" s="42"/>
      <c r="AZ791" s="320"/>
      <c r="BD791" s="401"/>
      <c r="BE791" s="42"/>
    </row>
    <row r="792" spans="48:57" x14ac:dyDescent="0.2">
      <c r="AV792" s="401"/>
      <c r="AW792" s="412"/>
      <c r="AX792" s="230"/>
      <c r="AY792" s="42"/>
      <c r="AZ792" s="320"/>
      <c r="BD792" s="401"/>
      <c r="BE792" s="42"/>
    </row>
    <row r="793" spans="48:57" x14ac:dyDescent="0.2">
      <c r="AV793" s="401"/>
      <c r="AW793" s="412"/>
      <c r="AX793" s="230"/>
      <c r="AY793" s="42"/>
      <c r="AZ793" s="320"/>
      <c r="BD793" s="401"/>
      <c r="BE793" s="42"/>
    </row>
    <row r="794" spans="48:57" x14ac:dyDescent="0.2">
      <c r="AV794" s="401"/>
      <c r="AW794" s="412"/>
      <c r="AX794" s="230"/>
      <c r="AY794" s="42"/>
      <c r="AZ794" s="320"/>
      <c r="BD794" s="401"/>
      <c r="BE794" s="42"/>
    </row>
    <row r="795" spans="48:57" x14ac:dyDescent="0.2">
      <c r="AV795" s="401"/>
      <c r="AW795" s="412"/>
      <c r="AX795" s="230"/>
      <c r="AY795" s="42"/>
      <c r="AZ795" s="320"/>
      <c r="BD795" s="401"/>
      <c r="BE795" s="42"/>
    </row>
    <row r="796" spans="48:57" x14ac:dyDescent="0.2">
      <c r="AV796" s="401"/>
      <c r="AW796" s="412"/>
      <c r="AX796" s="230"/>
      <c r="AY796" s="42"/>
      <c r="AZ796" s="320"/>
      <c r="BD796" s="401"/>
      <c r="BE796" s="42"/>
    </row>
    <row r="797" spans="48:57" x14ac:dyDescent="0.2">
      <c r="AV797" s="401"/>
      <c r="AW797" s="412"/>
      <c r="AX797" s="230"/>
      <c r="AY797" s="42"/>
      <c r="AZ797" s="320"/>
      <c r="BD797" s="401"/>
      <c r="BE797" s="42"/>
    </row>
    <row r="798" spans="48:57" x14ac:dyDescent="0.2">
      <c r="AV798" s="401"/>
      <c r="AW798" s="412"/>
      <c r="AX798" s="230"/>
      <c r="AY798" s="42"/>
      <c r="AZ798" s="320"/>
      <c r="BD798" s="401"/>
      <c r="BE798" s="42"/>
    </row>
    <row r="799" spans="48:57" x14ac:dyDescent="0.2">
      <c r="AV799" s="401"/>
      <c r="AW799" s="412"/>
      <c r="AX799" s="230"/>
      <c r="AY799" s="42"/>
      <c r="AZ799" s="320"/>
      <c r="BD799" s="401"/>
      <c r="BE799" s="42"/>
    </row>
    <row r="800" spans="48:57" x14ac:dyDescent="0.2">
      <c r="AV800" s="401"/>
      <c r="AW800" s="412"/>
      <c r="AX800" s="230"/>
      <c r="AY800" s="42"/>
      <c r="AZ800" s="320"/>
      <c r="BD800" s="401"/>
      <c r="BE800" s="42"/>
    </row>
    <row r="801" spans="48:57" x14ac:dyDescent="0.2">
      <c r="AV801" s="401"/>
      <c r="AW801" s="412"/>
      <c r="AX801" s="230"/>
      <c r="AY801" s="42"/>
      <c r="AZ801" s="320"/>
      <c r="BD801" s="401"/>
      <c r="BE801" s="42"/>
    </row>
    <row r="802" spans="48:57" x14ac:dyDescent="0.2">
      <c r="AV802" s="401"/>
      <c r="AW802" s="412"/>
      <c r="AX802" s="230"/>
      <c r="AY802" s="42"/>
      <c r="AZ802" s="320"/>
      <c r="BD802" s="401"/>
      <c r="BE802" s="42"/>
    </row>
    <row r="803" spans="48:57" x14ac:dyDescent="0.2">
      <c r="AV803" s="401"/>
      <c r="AW803" s="412"/>
      <c r="AX803" s="230"/>
      <c r="AY803" s="42"/>
      <c r="AZ803" s="320"/>
      <c r="BD803" s="401"/>
      <c r="BE803" s="42"/>
    </row>
    <row r="804" spans="48:57" x14ac:dyDescent="0.2">
      <c r="AV804" s="401"/>
      <c r="AW804" s="412"/>
      <c r="AX804" s="230"/>
      <c r="AY804" s="42"/>
      <c r="AZ804" s="320"/>
      <c r="BD804" s="401"/>
      <c r="BE804" s="42"/>
    </row>
    <row r="805" spans="48:57" x14ac:dyDescent="0.2">
      <c r="AV805" s="401"/>
      <c r="AW805" s="412"/>
      <c r="AX805" s="230"/>
      <c r="AY805" s="42"/>
      <c r="AZ805" s="320"/>
      <c r="BD805" s="401"/>
      <c r="BE805" s="42"/>
    </row>
    <row r="806" spans="48:57" x14ac:dyDescent="0.2">
      <c r="AV806" s="401"/>
      <c r="AW806" s="412"/>
      <c r="AX806" s="230"/>
      <c r="AY806" s="42"/>
      <c r="AZ806" s="320"/>
      <c r="BD806" s="401"/>
      <c r="BE806" s="42"/>
    </row>
    <row r="807" spans="48:57" x14ac:dyDescent="0.2">
      <c r="AV807" s="401"/>
      <c r="AW807" s="412"/>
      <c r="AX807" s="230"/>
      <c r="AY807" s="42"/>
      <c r="AZ807" s="320"/>
      <c r="BD807" s="401"/>
      <c r="BE807" s="42"/>
    </row>
    <row r="808" spans="48:57" x14ac:dyDescent="0.2">
      <c r="AV808" s="401"/>
      <c r="AW808" s="412"/>
      <c r="AX808" s="230"/>
      <c r="AY808" s="42"/>
      <c r="AZ808" s="320"/>
      <c r="BD808" s="401"/>
      <c r="BE808" s="42"/>
    </row>
    <row r="809" spans="48:57" x14ac:dyDescent="0.2">
      <c r="AV809" s="401"/>
      <c r="AW809" s="412"/>
      <c r="AX809" s="230"/>
      <c r="AY809" s="42"/>
      <c r="AZ809" s="320"/>
      <c r="BD809" s="401"/>
      <c r="BE809" s="42"/>
    </row>
    <row r="810" spans="48:57" x14ac:dyDescent="0.2">
      <c r="AV810" s="401"/>
      <c r="AW810" s="412"/>
      <c r="AX810" s="230"/>
      <c r="AY810" s="42"/>
      <c r="AZ810" s="320"/>
      <c r="BD810" s="401"/>
      <c r="BE810" s="42"/>
    </row>
    <row r="811" spans="48:57" x14ac:dyDescent="0.2">
      <c r="AV811" s="401"/>
      <c r="AW811" s="412"/>
      <c r="AX811" s="230"/>
      <c r="AY811" s="42"/>
      <c r="AZ811" s="320"/>
      <c r="BD811" s="401"/>
      <c r="BE811" s="42"/>
    </row>
    <row r="812" spans="48:57" x14ac:dyDescent="0.2">
      <c r="AV812" s="401"/>
      <c r="AW812" s="412"/>
      <c r="AX812" s="230"/>
      <c r="AY812" s="42"/>
      <c r="AZ812" s="320"/>
      <c r="BD812" s="401"/>
      <c r="BE812" s="42"/>
    </row>
    <row r="813" spans="48:57" x14ac:dyDescent="0.2">
      <c r="AV813" s="401"/>
      <c r="AW813" s="412"/>
      <c r="AX813" s="230"/>
      <c r="AY813" s="42"/>
      <c r="AZ813" s="320"/>
      <c r="BD813" s="401"/>
      <c r="BE813" s="42"/>
    </row>
    <row r="814" spans="48:57" x14ac:dyDescent="0.2">
      <c r="AV814" s="401"/>
      <c r="AW814" s="412"/>
      <c r="AX814" s="230"/>
      <c r="AY814" s="42"/>
      <c r="AZ814" s="320"/>
      <c r="BD814" s="401"/>
      <c r="BE814" s="42"/>
    </row>
    <row r="815" spans="48:57" x14ac:dyDescent="0.2">
      <c r="AV815" s="401"/>
      <c r="AW815" s="412"/>
      <c r="AX815" s="230"/>
      <c r="AY815" s="42"/>
      <c r="AZ815" s="320"/>
      <c r="BD815" s="401"/>
      <c r="BE815" s="42"/>
    </row>
    <row r="816" spans="48:57" x14ac:dyDescent="0.2">
      <c r="AV816" s="401"/>
      <c r="AW816" s="412"/>
      <c r="AX816" s="230"/>
      <c r="AY816" s="42"/>
      <c r="AZ816" s="320"/>
      <c r="BD816" s="401"/>
      <c r="BE816" s="42"/>
    </row>
    <row r="817" spans="48:57" x14ac:dyDescent="0.2">
      <c r="AV817" s="401"/>
      <c r="AW817" s="412"/>
      <c r="AX817" s="230"/>
      <c r="AY817" s="42"/>
      <c r="AZ817" s="320"/>
      <c r="BD817" s="401"/>
      <c r="BE817" s="42"/>
    </row>
    <row r="818" spans="48:57" x14ac:dyDescent="0.2">
      <c r="AV818" s="401"/>
      <c r="AW818" s="412"/>
      <c r="AX818" s="230"/>
      <c r="AY818" s="42"/>
      <c r="AZ818" s="320"/>
      <c r="BD818" s="401"/>
      <c r="BE818" s="42"/>
    </row>
    <row r="819" spans="48:57" x14ac:dyDescent="0.2">
      <c r="AV819" s="401"/>
      <c r="AW819" s="412"/>
      <c r="AX819" s="230"/>
      <c r="AY819" s="42"/>
      <c r="AZ819" s="320"/>
      <c r="BD819" s="401"/>
      <c r="BE819" s="42"/>
    </row>
    <row r="820" spans="48:57" x14ac:dyDescent="0.2">
      <c r="AV820" s="401"/>
      <c r="AW820" s="412"/>
      <c r="AX820" s="230"/>
      <c r="AY820" s="42"/>
      <c r="AZ820" s="320"/>
      <c r="BD820" s="401"/>
      <c r="BE820" s="42"/>
    </row>
    <row r="821" spans="48:57" x14ac:dyDescent="0.2">
      <c r="AV821" s="401"/>
      <c r="AW821" s="412"/>
      <c r="AX821" s="230"/>
      <c r="AY821" s="42"/>
      <c r="AZ821" s="320"/>
      <c r="BD821" s="401"/>
      <c r="BE821" s="42"/>
    </row>
    <row r="822" spans="48:57" x14ac:dyDescent="0.2">
      <c r="AV822" s="401"/>
      <c r="AW822" s="412"/>
      <c r="AX822" s="230"/>
      <c r="AY822" s="42"/>
      <c r="AZ822" s="320"/>
      <c r="BD822" s="401"/>
      <c r="BE822" s="42"/>
    </row>
    <row r="823" spans="48:57" x14ac:dyDescent="0.2">
      <c r="AV823" s="401"/>
      <c r="AW823" s="412"/>
      <c r="AX823" s="230"/>
      <c r="AY823" s="42"/>
      <c r="AZ823" s="320"/>
      <c r="BD823" s="401"/>
      <c r="BE823" s="42"/>
    </row>
    <row r="824" spans="48:57" x14ac:dyDescent="0.2">
      <c r="AV824" s="401"/>
      <c r="AW824" s="412"/>
      <c r="AX824" s="230"/>
      <c r="AY824" s="42"/>
      <c r="AZ824" s="320"/>
      <c r="BD824" s="401"/>
      <c r="BE824" s="42"/>
    </row>
    <row r="825" spans="48:57" x14ac:dyDescent="0.2">
      <c r="AV825" s="401"/>
      <c r="AW825" s="412"/>
      <c r="AX825" s="230"/>
      <c r="AY825" s="42"/>
      <c r="AZ825" s="320"/>
      <c r="BD825" s="401"/>
      <c r="BE825" s="42"/>
    </row>
    <row r="826" spans="48:57" x14ac:dyDescent="0.2">
      <c r="AV826" s="401"/>
      <c r="AW826" s="412"/>
      <c r="AX826" s="230"/>
      <c r="AY826" s="42"/>
      <c r="AZ826" s="320"/>
      <c r="BD826" s="401"/>
      <c r="BE826" s="42"/>
    </row>
    <row r="827" spans="48:57" x14ac:dyDescent="0.2">
      <c r="AV827" s="401"/>
      <c r="AW827" s="412"/>
      <c r="AX827" s="230"/>
      <c r="AY827" s="42"/>
      <c r="AZ827" s="320"/>
      <c r="BD827" s="401"/>
      <c r="BE827" s="42"/>
    </row>
    <row r="828" spans="48:57" x14ac:dyDescent="0.2">
      <c r="AV828" s="401"/>
      <c r="AW828" s="412"/>
      <c r="AX828" s="230"/>
      <c r="AY828" s="42"/>
      <c r="AZ828" s="320"/>
      <c r="BD828" s="401"/>
      <c r="BE828" s="42"/>
    </row>
    <row r="829" spans="48:57" x14ac:dyDescent="0.2">
      <c r="AV829" s="401"/>
      <c r="AW829" s="412"/>
      <c r="AX829" s="230"/>
      <c r="AY829" s="42"/>
      <c r="AZ829" s="320"/>
      <c r="BD829" s="401"/>
      <c r="BE829" s="42"/>
    </row>
    <row r="830" spans="48:57" x14ac:dyDescent="0.2">
      <c r="AV830" s="401"/>
      <c r="AW830" s="412"/>
      <c r="AX830" s="230"/>
      <c r="AY830" s="42"/>
      <c r="AZ830" s="320"/>
      <c r="BD830" s="401"/>
      <c r="BE830" s="42"/>
    </row>
    <row r="831" spans="48:57" x14ac:dyDescent="0.2">
      <c r="AV831" s="401"/>
      <c r="AW831" s="412"/>
      <c r="AX831" s="230"/>
      <c r="AY831" s="42"/>
      <c r="AZ831" s="320"/>
      <c r="BD831" s="401"/>
      <c r="BE831" s="42"/>
    </row>
    <row r="832" spans="48:57" x14ac:dyDescent="0.2">
      <c r="AV832" s="401"/>
      <c r="AW832" s="412"/>
      <c r="AX832" s="230"/>
      <c r="AY832" s="42"/>
      <c r="AZ832" s="320"/>
      <c r="BD832" s="401"/>
      <c r="BE832" s="42"/>
    </row>
    <row r="833" spans="48:57" x14ac:dyDescent="0.2">
      <c r="AV833" s="401"/>
      <c r="AW833" s="412"/>
      <c r="AX833" s="230"/>
      <c r="AY833" s="42"/>
      <c r="AZ833" s="320"/>
      <c r="BD833" s="401"/>
      <c r="BE833" s="42"/>
    </row>
    <row r="834" spans="48:57" x14ac:dyDescent="0.2">
      <c r="AV834" s="401"/>
      <c r="AW834" s="412"/>
      <c r="AX834" s="230"/>
      <c r="AY834" s="42"/>
      <c r="AZ834" s="320"/>
      <c r="BD834" s="401"/>
      <c r="BE834" s="42"/>
    </row>
    <row r="835" spans="48:57" x14ac:dyDescent="0.2">
      <c r="AV835" s="401"/>
      <c r="AW835" s="412"/>
      <c r="AX835" s="230"/>
      <c r="AY835" s="42"/>
      <c r="AZ835" s="320"/>
      <c r="BD835" s="401"/>
      <c r="BE835" s="42"/>
    </row>
    <row r="836" spans="48:57" x14ac:dyDescent="0.2">
      <c r="AV836" s="401"/>
      <c r="AW836" s="412"/>
      <c r="AX836" s="230"/>
      <c r="AY836" s="42"/>
      <c r="AZ836" s="320"/>
      <c r="BD836" s="401"/>
      <c r="BE836" s="42"/>
    </row>
    <row r="837" spans="48:57" x14ac:dyDescent="0.2">
      <c r="AV837" s="401"/>
      <c r="AW837" s="412"/>
      <c r="AX837" s="230"/>
      <c r="AY837" s="42"/>
      <c r="AZ837" s="320"/>
      <c r="BD837" s="401"/>
      <c r="BE837" s="42"/>
    </row>
    <row r="838" spans="48:57" x14ac:dyDescent="0.2">
      <c r="AV838" s="401"/>
      <c r="AW838" s="412"/>
      <c r="AX838" s="230"/>
      <c r="AY838" s="42"/>
      <c r="AZ838" s="320"/>
      <c r="BD838" s="401"/>
      <c r="BE838" s="42"/>
    </row>
    <row r="839" spans="48:57" x14ac:dyDescent="0.2">
      <c r="AV839" s="401"/>
      <c r="AW839" s="412"/>
      <c r="AX839" s="230"/>
      <c r="AY839" s="42"/>
      <c r="AZ839" s="320"/>
      <c r="BD839" s="401"/>
      <c r="BE839" s="42"/>
    </row>
    <row r="840" spans="48:57" x14ac:dyDescent="0.2">
      <c r="AV840" s="401"/>
      <c r="AW840" s="412"/>
      <c r="AX840" s="230"/>
      <c r="AY840" s="42"/>
      <c r="AZ840" s="320"/>
      <c r="BD840" s="401"/>
      <c r="BE840" s="42"/>
    </row>
    <row r="841" spans="48:57" x14ac:dyDescent="0.2">
      <c r="AV841" s="401"/>
      <c r="AW841" s="412"/>
      <c r="AX841" s="230"/>
      <c r="AY841" s="42"/>
      <c r="AZ841" s="320"/>
      <c r="BD841" s="401"/>
      <c r="BE841" s="42"/>
    </row>
    <row r="842" spans="48:57" x14ac:dyDescent="0.2">
      <c r="AV842" s="401"/>
      <c r="AW842" s="412"/>
      <c r="AX842" s="230"/>
      <c r="AY842" s="42"/>
      <c r="AZ842" s="320"/>
      <c r="BD842" s="401"/>
      <c r="BE842" s="42"/>
    </row>
    <row r="843" spans="48:57" x14ac:dyDescent="0.2">
      <c r="AV843" s="401"/>
      <c r="AW843" s="412"/>
      <c r="AX843" s="230"/>
      <c r="AY843" s="42"/>
      <c r="AZ843" s="320"/>
      <c r="BD843" s="401"/>
      <c r="BE843" s="42"/>
    </row>
    <row r="844" spans="48:57" x14ac:dyDescent="0.2">
      <c r="AV844" s="401"/>
      <c r="AW844" s="412"/>
      <c r="AX844" s="230"/>
      <c r="AY844" s="42"/>
      <c r="AZ844" s="320"/>
      <c r="BD844" s="401"/>
      <c r="BE844" s="42"/>
    </row>
    <row r="845" spans="48:57" x14ac:dyDescent="0.2">
      <c r="AV845" s="401"/>
      <c r="AW845" s="412"/>
      <c r="AX845" s="230"/>
      <c r="AY845" s="42"/>
      <c r="AZ845" s="320"/>
      <c r="BD845" s="401"/>
      <c r="BE845" s="42"/>
    </row>
    <row r="846" spans="48:57" x14ac:dyDescent="0.2">
      <c r="AV846" s="401"/>
      <c r="AW846" s="412"/>
      <c r="AX846" s="230"/>
      <c r="AY846" s="42"/>
      <c r="AZ846" s="320"/>
      <c r="BD846" s="401"/>
      <c r="BE846" s="42"/>
    </row>
    <row r="847" spans="48:57" x14ac:dyDescent="0.2">
      <c r="AV847" s="401"/>
      <c r="AW847" s="412"/>
      <c r="AX847" s="230"/>
      <c r="AY847" s="42"/>
      <c r="AZ847" s="320"/>
      <c r="BD847" s="401"/>
      <c r="BE847" s="42"/>
    </row>
    <row r="848" spans="48:57" x14ac:dyDescent="0.2">
      <c r="AV848" s="401"/>
      <c r="AW848" s="412"/>
      <c r="AX848" s="230"/>
      <c r="AY848" s="42"/>
      <c r="AZ848" s="320"/>
      <c r="BD848" s="401"/>
      <c r="BE848" s="42"/>
    </row>
    <row r="849" spans="48:57" x14ac:dyDescent="0.2">
      <c r="AV849" s="401"/>
      <c r="AW849" s="412"/>
      <c r="AX849" s="230"/>
      <c r="AY849" s="42"/>
      <c r="AZ849" s="320"/>
      <c r="BD849" s="401"/>
      <c r="BE849" s="42"/>
    </row>
    <row r="850" spans="48:57" x14ac:dyDescent="0.2">
      <c r="AV850" s="401"/>
      <c r="AW850" s="412"/>
      <c r="AX850" s="230"/>
      <c r="AY850" s="42"/>
      <c r="AZ850" s="320"/>
      <c r="BD850" s="401"/>
      <c r="BE850" s="42"/>
    </row>
    <row r="851" spans="48:57" x14ac:dyDescent="0.2">
      <c r="AV851" s="401"/>
      <c r="AW851" s="412"/>
      <c r="AX851" s="230"/>
      <c r="AY851" s="42"/>
      <c r="AZ851" s="320"/>
      <c r="BD851" s="401"/>
      <c r="BE851" s="42"/>
    </row>
    <row r="852" spans="48:57" x14ac:dyDescent="0.2">
      <c r="AV852" s="401"/>
      <c r="AW852" s="412"/>
      <c r="AX852" s="230"/>
      <c r="AY852" s="42"/>
      <c r="AZ852" s="320"/>
      <c r="BD852" s="401"/>
      <c r="BE852" s="42"/>
    </row>
    <row r="853" spans="48:57" x14ac:dyDescent="0.2">
      <c r="AV853" s="401"/>
      <c r="AW853" s="412"/>
      <c r="AX853" s="230"/>
      <c r="AY853" s="42"/>
      <c r="AZ853" s="320"/>
      <c r="BD853" s="401"/>
      <c r="BE853" s="42"/>
    </row>
    <row r="854" spans="48:57" x14ac:dyDescent="0.2">
      <c r="AV854" s="401"/>
      <c r="AW854" s="412"/>
      <c r="AX854" s="230"/>
      <c r="AY854" s="42"/>
      <c r="AZ854" s="320"/>
      <c r="BD854" s="401"/>
      <c r="BE854" s="42"/>
    </row>
    <row r="855" spans="48:57" x14ac:dyDescent="0.2">
      <c r="AV855" s="401"/>
      <c r="AW855" s="412"/>
      <c r="AX855" s="230"/>
      <c r="AY855" s="42"/>
      <c r="AZ855" s="320"/>
      <c r="BD855" s="401"/>
      <c r="BE855" s="42"/>
    </row>
    <row r="856" spans="48:57" x14ac:dyDescent="0.2">
      <c r="AV856" s="401"/>
      <c r="AW856" s="412"/>
      <c r="AX856" s="230"/>
      <c r="AY856" s="42"/>
      <c r="AZ856" s="320"/>
      <c r="BD856" s="401"/>
      <c r="BE856" s="42"/>
    </row>
    <row r="857" spans="48:57" x14ac:dyDescent="0.2">
      <c r="AV857" s="401"/>
      <c r="AW857" s="412"/>
      <c r="AX857" s="230"/>
      <c r="AY857" s="42"/>
      <c r="AZ857" s="320"/>
      <c r="BD857" s="401"/>
      <c r="BE857" s="42"/>
    </row>
    <row r="858" spans="48:57" x14ac:dyDescent="0.2">
      <c r="AV858" s="401"/>
      <c r="AW858" s="412"/>
      <c r="AX858" s="230"/>
      <c r="AY858" s="42"/>
      <c r="AZ858" s="320"/>
      <c r="BD858" s="401"/>
      <c r="BE858" s="42"/>
    </row>
    <row r="859" spans="48:57" x14ac:dyDescent="0.2">
      <c r="AV859" s="401"/>
      <c r="AW859" s="412"/>
      <c r="AX859" s="230"/>
      <c r="AY859" s="42"/>
      <c r="AZ859" s="320"/>
      <c r="BD859" s="401"/>
      <c r="BE859" s="42"/>
    </row>
    <row r="860" spans="48:57" x14ac:dyDescent="0.2">
      <c r="AV860" s="401"/>
      <c r="AW860" s="412"/>
      <c r="AX860" s="230"/>
      <c r="AY860" s="42"/>
      <c r="AZ860" s="320"/>
      <c r="BD860" s="401"/>
      <c r="BE860" s="42"/>
    </row>
    <row r="861" spans="48:57" x14ac:dyDescent="0.2">
      <c r="AV861" s="401"/>
      <c r="AW861" s="412"/>
      <c r="AX861" s="230"/>
      <c r="AY861" s="42"/>
      <c r="AZ861" s="320"/>
      <c r="BD861" s="401"/>
      <c r="BE861" s="42"/>
    </row>
    <row r="862" spans="48:57" x14ac:dyDescent="0.2">
      <c r="AV862" s="401"/>
      <c r="AW862" s="412"/>
      <c r="AX862" s="230"/>
      <c r="AY862" s="42"/>
      <c r="AZ862" s="320"/>
      <c r="BD862" s="401"/>
      <c r="BE862" s="42"/>
    </row>
    <row r="863" spans="48:57" x14ac:dyDescent="0.2">
      <c r="AV863" s="401"/>
      <c r="AW863" s="412"/>
      <c r="AX863" s="230"/>
      <c r="AY863" s="42"/>
      <c r="AZ863" s="320"/>
      <c r="BD863" s="401"/>
      <c r="BE863" s="42"/>
    </row>
    <row r="864" spans="48:57" x14ac:dyDescent="0.2">
      <c r="AV864" s="401"/>
      <c r="AW864" s="412"/>
      <c r="AX864" s="230"/>
      <c r="AY864" s="42"/>
      <c r="AZ864" s="320"/>
      <c r="BD864" s="401"/>
      <c r="BE864" s="42"/>
    </row>
    <row r="865" spans="48:57" x14ac:dyDescent="0.2">
      <c r="AV865" s="401"/>
      <c r="AW865" s="412"/>
      <c r="AX865" s="230"/>
      <c r="AY865" s="42"/>
      <c r="AZ865" s="320"/>
      <c r="BD865" s="401"/>
      <c r="BE865" s="42"/>
    </row>
    <row r="866" spans="48:57" x14ac:dyDescent="0.2">
      <c r="AV866" s="401"/>
      <c r="AW866" s="412"/>
      <c r="AX866" s="230"/>
      <c r="AY866" s="42"/>
      <c r="AZ866" s="320"/>
      <c r="BD866" s="401"/>
      <c r="BE866" s="42"/>
    </row>
    <row r="867" spans="48:57" x14ac:dyDescent="0.2">
      <c r="AV867" s="401"/>
      <c r="AW867" s="412"/>
      <c r="AX867" s="230"/>
      <c r="AY867" s="42"/>
      <c r="AZ867" s="320"/>
      <c r="BD867" s="401"/>
      <c r="BE867" s="42"/>
    </row>
    <row r="868" spans="48:57" x14ac:dyDescent="0.2">
      <c r="AV868" s="401"/>
      <c r="AW868" s="412"/>
      <c r="AX868" s="230"/>
      <c r="AY868" s="42"/>
      <c r="AZ868" s="320"/>
      <c r="BD868" s="401"/>
      <c r="BE868" s="42"/>
    </row>
    <row r="869" spans="48:57" x14ac:dyDescent="0.2">
      <c r="AV869" s="401"/>
      <c r="AW869" s="412"/>
      <c r="AX869" s="230"/>
      <c r="AY869" s="42"/>
      <c r="AZ869" s="320"/>
      <c r="BD869" s="401"/>
      <c r="BE869" s="42"/>
    </row>
    <row r="870" spans="48:57" x14ac:dyDescent="0.2">
      <c r="AV870" s="401"/>
      <c r="AW870" s="412"/>
      <c r="AX870" s="230"/>
      <c r="AY870" s="42"/>
      <c r="AZ870" s="320"/>
      <c r="BD870" s="401"/>
      <c r="BE870" s="42"/>
    </row>
    <row r="871" spans="48:57" x14ac:dyDescent="0.2">
      <c r="AV871" s="401"/>
      <c r="AW871" s="412"/>
      <c r="AX871" s="230"/>
      <c r="AY871" s="42"/>
      <c r="AZ871" s="320"/>
      <c r="BD871" s="401"/>
      <c r="BE871" s="42"/>
    </row>
    <row r="872" spans="48:57" x14ac:dyDescent="0.2">
      <c r="AV872" s="401"/>
      <c r="AW872" s="412"/>
      <c r="AX872" s="230"/>
      <c r="AY872" s="42"/>
      <c r="AZ872" s="320"/>
      <c r="BD872" s="401"/>
      <c r="BE872" s="42"/>
    </row>
    <row r="873" spans="48:57" x14ac:dyDescent="0.2">
      <c r="AV873" s="401"/>
      <c r="AW873" s="412"/>
      <c r="AX873" s="230"/>
      <c r="AY873" s="42"/>
      <c r="AZ873" s="320"/>
      <c r="BD873" s="401"/>
      <c r="BE873" s="42"/>
    </row>
    <row r="874" spans="48:57" x14ac:dyDescent="0.2">
      <c r="AV874" s="401"/>
      <c r="AW874" s="412"/>
      <c r="AX874" s="230"/>
      <c r="AY874" s="42"/>
      <c r="AZ874" s="320"/>
      <c r="BD874" s="401"/>
      <c r="BE874" s="42"/>
    </row>
    <row r="875" spans="48:57" x14ac:dyDescent="0.2">
      <c r="AV875" s="401"/>
      <c r="AW875" s="412"/>
      <c r="AX875" s="230"/>
      <c r="AY875" s="42"/>
      <c r="AZ875" s="320"/>
      <c r="BD875" s="401"/>
      <c r="BE875" s="42"/>
    </row>
    <row r="876" spans="48:57" x14ac:dyDescent="0.2">
      <c r="AV876" s="401"/>
      <c r="AW876" s="412"/>
      <c r="AX876" s="230"/>
      <c r="AY876" s="42"/>
      <c r="AZ876" s="320"/>
      <c r="BD876" s="401"/>
      <c r="BE876" s="42"/>
    </row>
    <row r="877" spans="48:57" x14ac:dyDescent="0.2">
      <c r="AV877" s="401"/>
      <c r="AW877" s="412"/>
      <c r="AX877" s="230"/>
      <c r="AY877" s="42"/>
      <c r="AZ877" s="320"/>
      <c r="BD877" s="401"/>
      <c r="BE877" s="42"/>
    </row>
    <row r="878" spans="48:57" x14ac:dyDescent="0.2">
      <c r="AV878" s="401"/>
      <c r="AW878" s="412"/>
      <c r="AX878" s="230"/>
      <c r="AY878" s="42"/>
      <c r="AZ878" s="320"/>
      <c r="BD878" s="401"/>
      <c r="BE878" s="42"/>
    </row>
    <row r="879" spans="48:57" x14ac:dyDescent="0.2">
      <c r="AV879" s="401"/>
      <c r="AW879" s="412"/>
      <c r="AX879" s="230"/>
      <c r="AY879" s="42"/>
      <c r="AZ879" s="320"/>
      <c r="BD879" s="401"/>
      <c r="BE879" s="42"/>
    </row>
    <row r="880" spans="48:57" x14ac:dyDescent="0.2">
      <c r="AV880" s="401"/>
      <c r="AW880" s="412"/>
      <c r="AX880" s="230"/>
      <c r="AY880" s="42"/>
      <c r="AZ880" s="320"/>
      <c r="BD880" s="401"/>
      <c r="BE880" s="42"/>
    </row>
    <row r="881" spans="48:57" x14ac:dyDescent="0.2">
      <c r="AV881" s="401"/>
      <c r="AW881" s="412"/>
      <c r="AX881" s="230"/>
      <c r="AY881" s="42"/>
      <c r="AZ881" s="320"/>
      <c r="BD881" s="401"/>
      <c r="BE881" s="42"/>
    </row>
    <row r="882" spans="48:57" x14ac:dyDescent="0.2">
      <c r="AV882" s="401"/>
      <c r="AW882" s="412"/>
      <c r="AX882" s="230"/>
      <c r="AY882" s="42"/>
      <c r="AZ882" s="320"/>
      <c r="BD882" s="401"/>
      <c r="BE882" s="42"/>
    </row>
    <row r="883" spans="48:57" x14ac:dyDescent="0.2">
      <c r="AV883" s="401"/>
      <c r="AW883" s="412"/>
      <c r="AX883" s="230"/>
      <c r="AY883" s="42"/>
      <c r="AZ883" s="320"/>
      <c r="BD883" s="401"/>
      <c r="BE883" s="42"/>
    </row>
    <row r="884" spans="48:57" x14ac:dyDescent="0.2">
      <c r="AV884" s="401"/>
      <c r="AW884" s="412"/>
      <c r="AX884" s="230"/>
      <c r="AY884" s="42"/>
      <c r="AZ884" s="320"/>
      <c r="BD884" s="401"/>
      <c r="BE884" s="42"/>
    </row>
    <row r="885" spans="48:57" x14ac:dyDescent="0.2">
      <c r="AV885" s="401"/>
      <c r="AW885" s="412"/>
      <c r="AX885" s="230"/>
      <c r="AY885" s="42"/>
      <c r="AZ885" s="320"/>
      <c r="BD885" s="401"/>
      <c r="BE885" s="42"/>
    </row>
    <row r="886" spans="48:57" x14ac:dyDescent="0.2">
      <c r="AV886" s="401"/>
      <c r="AW886" s="412"/>
      <c r="AX886" s="230"/>
      <c r="AY886" s="42"/>
      <c r="AZ886" s="320"/>
      <c r="BD886" s="401"/>
      <c r="BE886" s="42"/>
    </row>
    <row r="887" spans="48:57" x14ac:dyDescent="0.2">
      <c r="AV887" s="401"/>
      <c r="AW887" s="412"/>
      <c r="AX887" s="230"/>
      <c r="AY887" s="42"/>
      <c r="AZ887" s="320"/>
      <c r="BD887" s="401"/>
      <c r="BE887" s="42"/>
    </row>
    <row r="888" spans="48:57" x14ac:dyDescent="0.2">
      <c r="AV888" s="401"/>
      <c r="AW888" s="412"/>
      <c r="AX888" s="230"/>
      <c r="AY888" s="42"/>
      <c r="AZ888" s="320"/>
      <c r="BD888" s="401"/>
      <c r="BE888" s="42"/>
    </row>
    <row r="889" spans="48:57" x14ac:dyDescent="0.2">
      <c r="AV889" s="401"/>
      <c r="AW889" s="412"/>
      <c r="AX889" s="230"/>
      <c r="AY889" s="42"/>
      <c r="AZ889" s="320"/>
      <c r="BD889" s="401"/>
      <c r="BE889" s="42"/>
    </row>
    <row r="890" spans="48:57" x14ac:dyDescent="0.2">
      <c r="AV890" s="401"/>
      <c r="AW890" s="412"/>
      <c r="AX890" s="230"/>
      <c r="AY890" s="42"/>
      <c r="AZ890" s="320"/>
      <c r="BD890" s="401"/>
      <c r="BE890" s="42"/>
    </row>
    <row r="891" spans="48:57" x14ac:dyDescent="0.2">
      <c r="AV891" s="401"/>
      <c r="AW891" s="412"/>
      <c r="AX891" s="230"/>
      <c r="AY891" s="42"/>
      <c r="AZ891" s="320"/>
      <c r="BD891" s="401"/>
      <c r="BE891" s="42"/>
    </row>
    <row r="892" spans="48:57" x14ac:dyDescent="0.2">
      <c r="AV892" s="401"/>
      <c r="AW892" s="412"/>
      <c r="AX892" s="230"/>
      <c r="AY892" s="42"/>
      <c r="AZ892" s="320"/>
      <c r="BD892" s="401"/>
      <c r="BE892" s="42"/>
    </row>
    <row r="893" spans="48:57" x14ac:dyDescent="0.2">
      <c r="AV893" s="401"/>
      <c r="AW893" s="412"/>
      <c r="AX893" s="230"/>
      <c r="AY893" s="42"/>
      <c r="AZ893" s="320"/>
      <c r="BD893" s="401"/>
      <c r="BE893" s="42"/>
    </row>
    <row r="894" spans="48:57" x14ac:dyDescent="0.2">
      <c r="AV894" s="401"/>
      <c r="AW894" s="412"/>
      <c r="AX894" s="230"/>
      <c r="AY894" s="42"/>
      <c r="AZ894" s="320"/>
      <c r="BD894" s="401"/>
      <c r="BE894" s="42"/>
    </row>
    <row r="895" spans="48:57" x14ac:dyDescent="0.2">
      <c r="AV895" s="401"/>
      <c r="AW895" s="412"/>
      <c r="AX895" s="230"/>
      <c r="AY895" s="42"/>
      <c r="AZ895" s="320"/>
      <c r="BD895" s="401"/>
      <c r="BE895" s="42"/>
    </row>
    <row r="896" spans="48:57" x14ac:dyDescent="0.2">
      <c r="AV896" s="401"/>
      <c r="AW896" s="412"/>
      <c r="AX896" s="230"/>
      <c r="AY896" s="42"/>
      <c r="AZ896" s="320"/>
      <c r="BD896" s="401"/>
      <c r="BE896" s="42"/>
    </row>
    <row r="897" spans="48:57" x14ac:dyDescent="0.2">
      <c r="AV897" s="401"/>
      <c r="AW897" s="412"/>
      <c r="AX897" s="230"/>
      <c r="AY897" s="42"/>
      <c r="AZ897" s="320"/>
      <c r="BD897" s="401"/>
      <c r="BE897" s="42"/>
    </row>
    <row r="898" spans="48:57" x14ac:dyDescent="0.2">
      <c r="AV898" s="401"/>
      <c r="AW898" s="412"/>
      <c r="AX898" s="230"/>
      <c r="AY898" s="42"/>
      <c r="AZ898" s="320"/>
      <c r="BD898" s="401"/>
      <c r="BE898" s="42"/>
    </row>
    <row r="899" spans="48:57" x14ac:dyDescent="0.2">
      <c r="AV899" s="401"/>
      <c r="AW899" s="412"/>
      <c r="AX899" s="230"/>
      <c r="AY899" s="42"/>
      <c r="AZ899" s="320"/>
      <c r="BD899" s="401"/>
      <c r="BE899" s="42"/>
    </row>
    <row r="900" spans="48:57" x14ac:dyDescent="0.2">
      <c r="AV900" s="401"/>
      <c r="AW900" s="412"/>
      <c r="AX900" s="230"/>
      <c r="AY900" s="42"/>
      <c r="AZ900" s="320"/>
      <c r="BD900" s="401"/>
      <c r="BE900" s="42"/>
    </row>
    <row r="901" spans="48:57" x14ac:dyDescent="0.2">
      <c r="AV901" s="401"/>
      <c r="AW901" s="412"/>
      <c r="AX901" s="230"/>
      <c r="AY901" s="42"/>
      <c r="AZ901" s="320"/>
      <c r="BD901" s="401"/>
      <c r="BE901" s="42"/>
    </row>
    <row r="902" spans="48:57" x14ac:dyDescent="0.2">
      <c r="AV902" s="401"/>
      <c r="AW902" s="412"/>
      <c r="AX902" s="230"/>
      <c r="AY902" s="42"/>
      <c r="AZ902" s="320"/>
      <c r="BD902" s="401"/>
      <c r="BE902" s="42"/>
    </row>
    <row r="903" spans="48:57" x14ac:dyDescent="0.2">
      <c r="AV903" s="401"/>
      <c r="AW903" s="412"/>
      <c r="AX903" s="230"/>
      <c r="AY903" s="42"/>
      <c r="AZ903" s="320"/>
      <c r="BD903" s="401"/>
      <c r="BE903" s="42"/>
    </row>
    <row r="904" spans="48:57" x14ac:dyDescent="0.2">
      <c r="AV904" s="401"/>
      <c r="AW904" s="412"/>
      <c r="AX904" s="230"/>
      <c r="AY904" s="42"/>
      <c r="AZ904" s="320"/>
      <c r="BD904" s="401"/>
      <c r="BE904" s="42"/>
    </row>
    <row r="905" spans="48:57" x14ac:dyDescent="0.2">
      <c r="AV905" s="401"/>
      <c r="AW905" s="412"/>
      <c r="AX905" s="230"/>
      <c r="AY905" s="42"/>
      <c r="AZ905" s="320"/>
      <c r="BD905" s="401"/>
      <c r="BE905" s="42"/>
    </row>
    <row r="906" spans="48:57" x14ac:dyDescent="0.2">
      <c r="AV906" s="401"/>
      <c r="AW906" s="412"/>
      <c r="AX906" s="230"/>
      <c r="AY906" s="42"/>
      <c r="AZ906" s="320"/>
      <c r="BD906" s="401"/>
      <c r="BE906" s="42"/>
    </row>
    <row r="907" spans="48:57" x14ac:dyDescent="0.2">
      <c r="AV907" s="401"/>
      <c r="AW907" s="412"/>
      <c r="AX907" s="230"/>
      <c r="AY907" s="42"/>
      <c r="AZ907" s="320"/>
      <c r="BD907" s="401"/>
      <c r="BE907" s="42"/>
    </row>
    <row r="908" spans="48:57" x14ac:dyDescent="0.2">
      <c r="AV908" s="401"/>
      <c r="AW908" s="412"/>
      <c r="AX908" s="230"/>
      <c r="AY908" s="42"/>
      <c r="AZ908" s="320"/>
      <c r="BD908" s="401"/>
      <c r="BE908" s="42"/>
    </row>
    <row r="909" spans="48:57" x14ac:dyDescent="0.2">
      <c r="AV909" s="401"/>
      <c r="AW909" s="412"/>
      <c r="AX909" s="230"/>
      <c r="AY909" s="42"/>
      <c r="AZ909" s="320"/>
      <c r="BD909" s="401"/>
      <c r="BE909" s="42"/>
    </row>
    <row r="910" spans="48:57" x14ac:dyDescent="0.2">
      <c r="AV910" s="401"/>
      <c r="AW910" s="412"/>
      <c r="AX910" s="230"/>
      <c r="AY910" s="42"/>
      <c r="AZ910" s="320"/>
      <c r="BD910" s="401"/>
      <c r="BE910" s="42"/>
    </row>
    <row r="911" spans="48:57" x14ac:dyDescent="0.2">
      <c r="AV911" s="401"/>
      <c r="AW911" s="412"/>
      <c r="AX911" s="230"/>
      <c r="AY911" s="42"/>
      <c r="AZ911" s="320"/>
      <c r="BD911" s="401"/>
      <c r="BE911" s="42"/>
    </row>
    <row r="912" spans="48:57" x14ac:dyDescent="0.2">
      <c r="AV912" s="401"/>
      <c r="AW912" s="412"/>
      <c r="AX912" s="230"/>
      <c r="AY912" s="42"/>
      <c r="AZ912" s="320"/>
      <c r="BD912" s="401"/>
      <c r="BE912" s="42"/>
    </row>
    <row r="913" spans="48:57" x14ac:dyDescent="0.2">
      <c r="AV913" s="401"/>
      <c r="AW913" s="412"/>
      <c r="AX913" s="230"/>
      <c r="AY913" s="42"/>
      <c r="AZ913" s="320"/>
      <c r="BD913" s="401"/>
      <c r="BE913" s="42"/>
    </row>
    <row r="914" spans="48:57" x14ac:dyDescent="0.2">
      <c r="AV914" s="401"/>
      <c r="AW914" s="412"/>
      <c r="AX914" s="230"/>
      <c r="AY914" s="42"/>
      <c r="AZ914" s="320"/>
      <c r="BD914" s="401"/>
      <c r="BE914" s="42"/>
    </row>
    <row r="915" spans="48:57" x14ac:dyDescent="0.2">
      <c r="AV915" s="401"/>
      <c r="AW915" s="412"/>
      <c r="AX915" s="230"/>
      <c r="AY915" s="42"/>
      <c r="AZ915" s="320"/>
      <c r="BD915" s="401"/>
      <c r="BE915" s="42"/>
    </row>
    <row r="916" spans="48:57" x14ac:dyDescent="0.2">
      <c r="AV916" s="401"/>
      <c r="AW916" s="412"/>
      <c r="AX916" s="230"/>
      <c r="AY916" s="42"/>
      <c r="AZ916" s="320"/>
      <c r="BD916" s="401"/>
      <c r="BE916" s="42"/>
    </row>
    <row r="917" spans="48:57" x14ac:dyDescent="0.2">
      <c r="AV917" s="401"/>
      <c r="AW917" s="412"/>
      <c r="AX917" s="230"/>
      <c r="AY917" s="42"/>
      <c r="AZ917" s="320"/>
      <c r="BD917" s="401"/>
      <c r="BE917" s="42"/>
    </row>
    <row r="918" spans="48:57" x14ac:dyDescent="0.2">
      <c r="AV918" s="401"/>
      <c r="AW918" s="412"/>
      <c r="AX918" s="230"/>
      <c r="AY918" s="42"/>
      <c r="AZ918" s="320"/>
      <c r="BD918" s="401"/>
      <c r="BE918" s="42"/>
    </row>
    <row r="919" spans="48:57" x14ac:dyDescent="0.2">
      <c r="AV919" s="401"/>
      <c r="AW919" s="412"/>
      <c r="AX919" s="230"/>
      <c r="AY919" s="42"/>
      <c r="AZ919" s="320"/>
      <c r="BD919" s="401"/>
      <c r="BE919" s="42"/>
    </row>
    <row r="920" spans="48:57" x14ac:dyDescent="0.2">
      <c r="AV920" s="401"/>
      <c r="AW920" s="412"/>
      <c r="AX920" s="230"/>
      <c r="AY920" s="42"/>
      <c r="AZ920" s="320"/>
      <c r="BD920" s="401"/>
      <c r="BE920" s="42"/>
    </row>
    <row r="921" spans="48:57" x14ac:dyDescent="0.2">
      <c r="AV921" s="401"/>
      <c r="AW921" s="412"/>
      <c r="AX921" s="230"/>
      <c r="AY921" s="42"/>
      <c r="AZ921" s="320"/>
      <c r="BD921" s="401"/>
      <c r="BE921" s="42"/>
    </row>
    <row r="922" spans="48:57" x14ac:dyDescent="0.2">
      <c r="AV922" s="401"/>
      <c r="AW922" s="412"/>
      <c r="AX922" s="230"/>
      <c r="AY922" s="42"/>
      <c r="AZ922" s="320"/>
      <c r="BD922" s="401"/>
      <c r="BE922" s="42"/>
    </row>
    <row r="923" spans="48:57" x14ac:dyDescent="0.2">
      <c r="AV923" s="401"/>
      <c r="AW923" s="412"/>
      <c r="AX923" s="230"/>
      <c r="AY923" s="42"/>
      <c r="AZ923" s="320"/>
      <c r="BD923" s="401"/>
      <c r="BE923" s="42"/>
    </row>
    <row r="924" spans="48:57" x14ac:dyDescent="0.2">
      <c r="AV924" s="401"/>
      <c r="AW924" s="412"/>
      <c r="AX924" s="230"/>
      <c r="AY924" s="42"/>
      <c r="AZ924" s="320"/>
      <c r="BD924" s="401"/>
      <c r="BE924" s="42"/>
    </row>
    <row r="925" spans="48:57" x14ac:dyDescent="0.2">
      <c r="AV925" s="401"/>
      <c r="AW925" s="412"/>
      <c r="AX925" s="230"/>
      <c r="AY925" s="42"/>
      <c r="AZ925" s="320"/>
      <c r="BD925" s="401"/>
      <c r="BE925" s="42"/>
    </row>
    <row r="926" spans="48:57" x14ac:dyDescent="0.2">
      <c r="AV926" s="401"/>
      <c r="AW926" s="412"/>
      <c r="AX926" s="230"/>
      <c r="AY926" s="42"/>
      <c r="AZ926" s="320"/>
      <c r="BD926" s="401"/>
      <c r="BE926" s="42"/>
    </row>
    <row r="927" spans="48:57" x14ac:dyDescent="0.2">
      <c r="AV927" s="401"/>
      <c r="AW927" s="412"/>
      <c r="AX927" s="230"/>
      <c r="AY927" s="42"/>
      <c r="AZ927" s="320"/>
      <c r="BD927" s="401"/>
      <c r="BE927" s="42"/>
    </row>
    <row r="928" spans="48:57" x14ac:dyDescent="0.2">
      <c r="AV928" s="401"/>
      <c r="AW928" s="412"/>
      <c r="AX928" s="230"/>
      <c r="AY928" s="42"/>
      <c r="AZ928" s="320"/>
      <c r="BD928" s="401"/>
      <c r="BE928" s="42"/>
    </row>
    <row r="929" spans="48:57" x14ac:dyDescent="0.2">
      <c r="AV929" s="401"/>
      <c r="AW929" s="412"/>
      <c r="AX929" s="230"/>
      <c r="AY929" s="42"/>
      <c r="AZ929" s="320"/>
      <c r="BD929" s="401"/>
      <c r="BE929" s="42"/>
    </row>
    <row r="930" spans="48:57" x14ac:dyDescent="0.2">
      <c r="AV930" s="401"/>
      <c r="AW930" s="412"/>
      <c r="AX930" s="230"/>
      <c r="AY930" s="42"/>
      <c r="AZ930" s="320"/>
      <c r="BD930" s="401"/>
      <c r="BE930" s="42"/>
    </row>
    <row r="931" spans="48:57" x14ac:dyDescent="0.2">
      <c r="AV931" s="401"/>
      <c r="AW931" s="412"/>
      <c r="AX931" s="230"/>
      <c r="AY931" s="42"/>
      <c r="AZ931" s="320"/>
      <c r="BD931" s="401"/>
      <c r="BE931" s="42"/>
    </row>
    <row r="932" spans="48:57" x14ac:dyDescent="0.2">
      <c r="AV932" s="401"/>
      <c r="AW932" s="412"/>
      <c r="AX932" s="230"/>
      <c r="AY932" s="42"/>
      <c r="AZ932" s="320"/>
      <c r="BD932" s="401"/>
      <c r="BE932" s="42"/>
    </row>
    <row r="933" spans="48:57" x14ac:dyDescent="0.2">
      <c r="AV933" s="401"/>
      <c r="AW933" s="412"/>
      <c r="AX933" s="230"/>
      <c r="AY933" s="42"/>
      <c r="AZ933" s="320"/>
      <c r="BD933" s="401"/>
      <c r="BE933" s="42"/>
    </row>
    <row r="934" spans="48:57" x14ac:dyDescent="0.2">
      <c r="AV934" s="401"/>
      <c r="AW934" s="412"/>
      <c r="AX934" s="230"/>
      <c r="AY934" s="42"/>
      <c r="AZ934" s="320"/>
      <c r="BD934" s="401"/>
      <c r="BE934" s="42"/>
    </row>
    <row r="935" spans="48:57" x14ac:dyDescent="0.2">
      <c r="AV935" s="401"/>
      <c r="AW935" s="412"/>
      <c r="AX935" s="230"/>
      <c r="AY935" s="42"/>
      <c r="AZ935" s="320"/>
      <c r="BD935" s="401"/>
      <c r="BE935" s="42"/>
    </row>
    <row r="936" spans="48:57" x14ac:dyDescent="0.2">
      <c r="AV936" s="401"/>
      <c r="AW936" s="412"/>
      <c r="AX936" s="230"/>
      <c r="AY936" s="42"/>
      <c r="AZ936" s="320"/>
      <c r="BD936" s="401"/>
      <c r="BE936" s="42"/>
    </row>
    <row r="937" spans="48:57" x14ac:dyDescent="0.2">
      <c r="AV937" s="401"/>
      <c r="AW937" s="412"/>
      <c r="AX937" s="230"/>
      <c r="AY937" s="42"/>
      <c r="AZ937" s="320"/>
      <c r="BD937" s="401"/>
      <c r="BE937" s="42"/>
    </row>
    <row r="938" spans="48:57" x14ac:dyDescent="0.2">
      <c r="AV938" s="401"/>
      <c r="AW938" s="412"/>
      <c r="AX938" s="230"/>
      <c r="AY938" s="42"/>
      <c r="AZ938" s="320"/>
      <c r="BD938" s="401"/>
      <c r="BE938" s="42"/>
    </row>
    <row r="939" spans="48:57" x14ac:dyDescent="0.2">
      <c r="AV939" s="401"/>
      <c r="AW939" s="412"/>
      <c r="AX939" s="230"/>
      <c r="AY939" s="42"/>
      <c r="AZ939" s="320"/>
      <c r="BD939" s="401"/>
      <c r="BE939" s="42"/>
    </row>
    <row r="940" spans="48:57" x14ac:dyDescent="0.2">
      <c r="AV940" s="401"/>
      <c r="AW940" s="412"/>
      <c r="AX940" s="230"/>
      <c r="AY940" s="42"/>
      <c r="AZ940" s="320"/>
      <c r="BD940" s="401"/>
      <c r="BE940" s="42"/>
    </row>
    <row r="941" spans="48:57" x14ac:dyDescent="0.2">
      <c r="AV941" s="401"/>
      <c r="AW941" s="412"/>
      <c r="AX941" s="230"/>
      <c r="AY941" s="42"/>
      <c r="AZ941" s="320"/>
      <c r="BD941" s="401"/>
      <c r="BE941" s="42"/>
    </row>
    <row r="942" spans="48:57" x14ac:dyDescent="0.2">
      <c r="AV942" s="401"/>
      <c r="AW942" s="412"/>
      <c r="AX942" s="230"/>
      <c r="AY942" s="42"/>
      <c r="AZ942" s="320"/>
      <c r="BD942" s="401"/>
      <c r="BE942" s="42"/>
    </row>
    <row r="943" spans="48:57" x14ac:dyDescent="0.2">
      <c r="AV943" s="401"/>
      <c r="AW943" s="412"/>
      <c r="AX943" s="230"/>
      <c r="AY943" s="42"/>
      <c r="AZ943" s="320"/>
      <c r="BD943" s="401"/>
      <c r="BE943" s="42"/>
    </row>
    <row r="944" spans="48:57" x14ac:dyDescent="0.2">
      <c r="AV944" s="401"/>
      <c r="AW944" s="412"/>
      <c r="AX944" s="230"/>
      <c r="AY944" s="42"/>
      <c r="AZ944" s="320"/>
      <c r="BD944" s="401"/>
      <c r="BE944" s="42"/>
    </row>
    <row r="945" spans="48:57" x14ac:dyDescent="0.2">
      <c r="AV945" s="401"/>
      <c r="AW945" s="412"/>
      <c r="AX945" s="230"/>
      <c r="AY945" s="42"/>
      <c r="AZ945" s="320"/>
      <c r="BD945" s="401"/>
      <c r="BE945" s="42"/>
    </row>
    <row r="946" spans="48:57" x14ac:dyDescent="0.2">
      <c r="AV946" s="401"/>
      <c r="AW946" s="412"/>
      <c r="AX946" s="230"/>
      <c r="AY946" s="42"/>
      <c r="AZ946" s="320"/>
      <c r="BD946" s="401"/>
      <c r="BE946" s="42"/>
    </row>
    <row r="947" spans="48:57" x14ac:dyDescent="0.2">
      <c r="AV947" s="401"/>
      <c r="AW947" s="412"/>
      <c r="AX947" s="230"/>
      <c r="AY947" s="42"/>
      <c r="AZ947" s="320"/>
      <c r="BD947" s="401"/>
      <c r="BE947" s="42"/>
    </row>
    <row r="948" spans="48:57" x14ac:dyDescent="0.2">
      <c r="AV948" s="401"/>
      <c r="AW948" s="412"/>
      <c r="AX948" s="230"/>
      <c r="AY948" s="42"/>
      <c r="AZ948" s="320"/>
      <c r="BD948" s="401"/>
      <c r="BE948" s="42"/>
    </row>
    <row r="949" spans="48:57" x14ac:dyDescent="0.2">
      <c r="AV949" s="401"/>
      <c r="AW949" s="412"/>
      <c r="AX949" s="230"/>
      <c r="AY949" s="42"/>
      <c r="AZ949" s="320"/>
      <c r="BD949" s="401"/>
      <c r="BE949" s="42"/>
    </row>
    <row r="950" spans="48:57" x14ac:dyDescent="0.2">
      <c r="AV950" s="401"/>
      <c r="AW950" s="412"/>
      <c r="AX950" s="230"/>
      <c r="AY950" s="42"/>
      <c r="AZ950" s="320"/>
      <c r="BD950" s="401"/>
      <c r="BE950" s="42"/>
    </row>
    <row r="951" spans="48:57" x14ac:dyDescent="0.2">
      <c r="AV951" s="401"/>
      <c r="AW951" s="412"/>
      <c r="AX951" s="230"/>
      <c r="AY951" s="42"/>
      <c r="AZ951" s="320"/>
      <c r="BD951" s="401"/>
      <c r="BE951" s="42"/>
    </row>
    <row r="952" spans="48:57" x14ac:dyDescent="0.2">
      <c r="AV952" s="401"/>
      <c r="AW952" s="412"/>
      <c r="AX952" s="230"/>
      <c r="AY952" s="42"/>
      <c r="AZ952" s="320"/>
      <c r="BD952" s="401"/>
      <c r="BE952" s="42"/>
    </row>
    <row r="953" spans="48:57" x14ac:dyDescent="0.2">
      <c r="AV953" s="401"/>
      <c r="AW953" s="412"/>
      <c r="AX953" s="230"/>
      <c r="AY953" s="42"/>
      <c r="AZ953" s="320"/>
      <c r="BD953" s="401"/>
      <c r="BE953" s="42"/>
    </row>
    <row r="954" spans="48:57" x14ac:dyDescent="0.2">
      <c r="AV954" s="401"/>
      <c r="AW954" s="412"/>
      <c r="AX954" s="230"/>
      <c r="AY954" s="42"/>
      <c r="AZ954" s="320"/>
      <c r="BD954" s="401"/>
      <c r="BE954" s="42"/>
    </row>
    <row r="955" spans="48:57" x14ac:dyDescent="0.2">
      <c r="AV955" s="401"/>
      <c r="AW955" s="412"/>
      <c r="AX955" s="230"/>
      <c r="AY955" s="42"/>
      <c r="AZ955" s="320"/>
      <c r="BD955" s="401"/>
      <c r="BE955" s="42"/>
    </row>
    <row r="956" spans="48:57" x14ac:dyDescent="0.2">
      <c r="AV956" s="401"/>
      <c r="AW956" s="412"/>
      <c r="AX956" s="230"/>
      <c r="AY956" s="42"/>
      <c r="AZ956" s="320"/>
      <c r="BD956" s="401"/>
      <c r="BE956" s="42"/>
    </row>
    <row r="957" spans="48:57" x14ac:dyDescent="0.2">
      <c r="AV957" s="401"/>
      <c r="AW957" s="412"/>
      <c r="AX957" s="230"/>
      <c r="AY957" s="42"/>
      <c r="AZ957" s="320"/>
      <c r="BD957" s="401"/>
      <c r="BE957" s="42"/>
    </row>
    <row r="958" spans="48:57" x14ac:dyDescent="0.2">
      <c r="AV958" s="401"/>
      <c r="AW958" s="412"/>
      <c r="AX958" s="230"/>
      <c r="AY958" s="42"/>
      <c r="AZ958" s="320"/>
      <c r="BD958" s="401"/>
      <c r="BE958" s="42"/>
    </row>
    <row r="959" spans="48:57" x14ac:dyDescent="0.2">
      <c r="AV959" s="401"/>
      <c r="AW959" s="412"/>
      <c r="AX959" s="230"/>
      <c r="AY959" s="42"/>
      <c r="AZ959" s="320"/>
      <c r="BD959" s="401"/>
      <c r="BE959" s="42"/>
    </row>
    <row r="960" spans="48:57" x14ac:dyDescent="0.2">
      <c r="AV960" s="401"/>
      <c r="AW960" s="412"/>
      <c r="AX960" s="230"/>
      <c r="AY960" s="42"/>
      <c r="AZ960" s="320"/>
      <c r="BD960" s="401"/>
      <c r="BE960" s="42"/>
    </row>
    <row r="961" spans="48:57" x14ac:dyDescent="0.2">
      <c r="AV961" s="401"/>
      <c r="AW961" s="412"/>
      <c r="AX961" s="230"/>
      <c r="AY961" s="42"/>
      <c r="AZ961" s="320"/>
      <c r="BD961" s="401"/>
      <c r="BE961" s="42"/>
    </row>
    <row r="962" spans="48:57" x14ac:dyDescent="0.2">
      <c r="AV962" s="401"/>
      <c r="AW962" s="412"/>
      <c r="AX962" s="230"/>
      <c r="AY962" s="42"/>
      <c r="AZ962" s="320"/>
      <c r="BD962" s="401"/>
      <c r="BE962" s="42"/>
    </row>
    <row r="963" spans="48:57" x14ac:dyDescent="0.2">
      <c r="AV963" s="401"/>
      <c r="AW963" s="412"/>
      <c r="AX963" s="230"/>
      <c r="AY963" s="42"/>
      <c r="AZ963" s="320"/>
      <c r="BD963" s="401"/>
      <c r="BE963" s="42"/>
    </row>
    <row r="964" spans="48:57" x14ac:dyDescent="0.2">
      <c r="AV964" s="401"/>
      <c r="AW964" s="412"/>
      <c r="AX964" s="230"/>
      <c r="AY964" s="42"/>
      <c r="AZ964" s="320"/>
      <c r="BD964" s="401"/>
      <c r="BE964" s="42"/>
    </row>
    <row r="965" spans="48:57" x14ac:dyDescent="0.2">
      <c r="AV965" s="401"/>
      <c r="AW965" s="412"/>
      <c r="AX965" s="230"/>
      <c r="AY965" s="42"/>
      <c r="AZ965" s="320"/>
      <c r="BD965" s="401"/>
      <c r="BE965" s="42"/>
    </row>
    <row r="966" spans="48:57" x14ac:dyDescent="0.2">
      <c r="AV966" s="401"/>
      <c r="AW966" s="412"/>
      <c r="AX966" s="230"/>
      <c r="AY966" s="42"/>
      <c r="AZ966" s="320"/>
      <c r="BD966" s="401"/>
      <c r="BE966" s="42"/>
    </row>
    <row r="967" spans="48:57" x14ac:dyDescent="0.2">
      <c r="AV967" s="401"/>
      <c r="AW967" s="412"/>
      <c r="AX967" s="230"/>
      <c r="AY967" s="42"/>
      <c r="AZ967" s="320"/>
      <c r="BD967" s="401"/>
      <c r="BE967" s="42"/>
    </row>
    <row r="968" spans="48:57" x14ac:dyDescent="0.2">
      <c r="AV968" s="401"/>
      <c r="AW968" s="412"/>
      <c r="AX968" s="230"/>
      <c r="AY968" s="42"/>
      <c r="AZ968" s="320"/>
      <c r="BD968" s="401"/>
      <c r="BE968" s="42"/>
    </row>
    <row r="969" spans="48:57" x14ac:dyDescent="0.2">
      <c r="AV969" s="401"/>
      <c r="AW969" s="412"/>
      <c r="AX969" s="230"/>
      <c r="AY969" s="42"/>
      <c r="AZ969" s="320"/>
      <c r="BD969" s="401"/>
      <c r="BE969" s="42"/>
    </row>
    <row r="970" spans="48:57" x14ac:dyDescent="0.2">
      <c r="AV970" s="401"/>
      <c r="AW970" s="412"/>
      <c r="AX970" s="230"/>
      <c r="AY970" s="42"/>
      <c r="AZ970" s="320"/>
      <c r="BD970" s="401"/>
      <c r="BE970" s="42"/>
    </row>
    <row r="971" spans="48:57" x14ac:dyDescent="0.2">
      <c r="AV971" s="401"/>
      <c r="AW971" s="412"/>
      <c r="AX971" s="230"/>
      <c r="AY971" s="42"/>
      <c r="AZ971" s="320"/>
      <c r="BD971" s="401"/>
      <c r="BE971" s="42"/>
    </row>
    <row r="972" spans="48:57" x14ac:dyDescent="0.2">
      <c r="AV972" s="401"/>
      <c r="AW972" s="412"/>
      <c r="AX972" s="230"/>
      <c r="AY972" s="42"/>
      <c r="AZ972" s="320"/>
      <c r="BD972" s="401"/>
      <c r="BE972" s="42"/>
    </row>
    <row r="973" spans="48:57" x14ac:dyDescent="0.2">
      <c r="AV973" s="401"/>
      <c r="AW973" s="412"/>
      <c r="AX973" s="230"/>
      <c r="AY973" s="42"/>
      <c r="AZ973" s="320"/>
      <c r="BD973" s="401"/>
      <c r="BE973" s="42"/>
    </row>
    <row r="974" spans="48:57" x14ac:dyDescent="0.2">
      <c r="AV974" s="401"/>
      <c r="AW974" s="412"/>
      <c r="AX974" s="230"/>
      <c r="AY974" s="42"/>
      <c r="AZ974" s="320"/>
      <c r="BD974" s="401"/>
      <c r="BE974" s="42"/>
    </row>
    <row r="975" spans="48:57" x14ac:dyDescent="0.2">
      <c r="AV975" s="401"/>
      <c r="AW975" s="412"/>
      <c r="AX975" s="230"/>
      <c r="AY975" s="42"/>
      <c r="AZ975" s="320"/>
      <c r="BD975" s="401"/>
      <c r="BE975" s="42"/>
    </row>
    <row r="976" spans="48:57" x14ac:dyDescent="0.2">
      <c r="AV976" s="401"/>
      <c r="AW976" s="412"/>
      <c r="AX976" s="230"/>
      <c r="AY976" s="42"/>
      <c r="AZ976" s="320"/>
      <c r="BD976" s="401"/>
      <c r="BE976" s="42"/>
    </row>
    <row r="977" spans="48:57" x14ac:dyDescent="0.2">
      <c r="AV977" s="401"/>
      <c r="AW977" s="412"/>
      <c r="AX977" s="230"/>
      <c r="AY977" s="42"/>
      <c r="AZ977" s="320"/>
      <c r="BD977" s="401"/>
      <c r="BE977" s="42"/>
    </row>
    <row r="978" spans="48:57" x14ac:dyDescent="0.2">
      <c r="AV978" s="401"/>
      <c r="AW978" s="412"/>
      <c r="AX978" s="230"/>
      <c r="AY978" s="42"/>
      <c r="AZ978" s="320"/>
      <c r="BD978" s="401"/>
      <c r="BE978" s="42"/>
    </row>
    <row r="979" spans="48:57" x14ac:dyDescent="0.2">
      <c r="AV979" s="401"/>
      <c r="AW979" s="412"/>
      <c r="AX979" s="230"/>
      <c r="AY979" s="42"/>
      <c r="AZ979" s="320"/>
      <c r="BD979" s="401"/>
      <c r="BE979" s="42"/>
    </row>
    <row r="980" spans="48:57" x14ac:dyDescent="0.2">
      <c r="AV980" s="401"/>
      <c r="AW980" s="412"/>
      <c r="AX980" s="230"/>
      <c r="AY980" s="42"/>
      <c r="AZ980" s="320"/>
      <c r="BD980" s="401"/>
      <c r="BE980" s="42"/>
    </row>
    <row r="981" spans="48:57" x14ac:dyDescent="0.2">
      <c r="AV981" s="401"/>
      <c r="AW981" s="412"/>
      <c r="AX981" s="230"/>
      <c r="AY981" s="42"/>
      <c r="AZ981" s="320"/>
      <c r="BD981" s="401"/>
      <c r="BE981" s="42"/>
    </row>
    <row r="982" spans="48:57" x14ac:dyDescent="0.2">
      <c r="AV982" s="401"/>
      <c r="AW982" s="412"/>
      <c r="AX982" s="230"/>
      <c r="AY982" s="42"/>
      <c r="AZ982" s="320"/>
      <c r="BD982" s="401"/>
      <c r="BE982" s="42"/>
    </row>
    <row r="983" spans="48:57" x14ac:dyDescent="0.2">
      <c r="AV983" s="401"/>
      <c r="AW983" s="412"/>
      <c r="AX983" s="230"/>
      <c r="AY983" s="42"/>
      <c r="AZ983" s="320"/>
      <c r="BD983" s="401"/>
      <c r="BE983" s="42"/>
    </row>
    <row r="984" spans="48:57" x14ac:dyDescent="0.2">
      <c r="AV984" s="401"/>
      <c r="AW984" s="412"/>
      <c r="AX984" s="230"/>
      <c r="AY984" s="42"/>
      <c r="AZ984" s="320"/>
      <c r="BD984" s="401"/>
      <c r="BE984" s="42"/>
    </row>
    <row r="985" spans="48:57" x14ac:dyDescent="0.2">
      <c r="AV985" s="401"/>
      <c r="AW985" s="412"/>
      <c r="AX985" s="230"/>
      <c r="AY985" s="42"/>
      <c r="AZ985" s="320"/>
      <c r="BD985" s="401"/>
      <c r="BE985" s="42"/>
    </row>
    <row r="986" spans="48:57" x14ac:dyDescent="0.2">
      <c r="AV986" s="401"/>
      <c r="AW986" s="412"/>
      <c r="AX986" s="230"/>
      <c r="AY986" s="42"/>
      <c r="AZ986" s="320"/>
      <c r="BD986" s="401"/>
      <c r="BE986" s="42"/>
    </row>
    <row r="987" spans="48:57" x14ac:dyDescent="0.2">
      <c r="AV987" s="401"/>
      <c r="AW987" s="412"/>
      <c r="AX987" s="230"/>
      <c r="AY987" s="42"/>
      <c r="AZ987" s="320"/>
      <c r="BD987" s="401"/>
      <c r="BE987" s="42"/>
    </row>
    <row r="988" spans="48:57" x14ac:dyDescent="0.2">
      <c r="AV988" s="401"/>
      <c r="AW988" s="412"/>
      <c r="AX988" s="230"/>
      <c r="AY988" s="42"/>
      <c r="AZ988" s="320"/>
      <c r="BD988" s="401"/>
      <c r="BE988" s="42"/>
    </row>
    <row r="989" spans="48:57" x14ac:dyDescent="0.2">
      <c r="AV989" s="401"/>
      <c r="AW989" s="412"/>
      <c r="AX989" s="230"/>
      <c r="AY989" s="42"/>
      <c r="AZ989" s="320"/>
      <c r="BD989" s="401"/>
      <c r="BE989" s="42"/>
    </row>
    <row r="990" spans="48:57" x14ac:dyDescent="0.2">
      <c r="AV990" s="401"/>
      <c r="AW990" s="412"/>
      <c r="AX990" s="230"/>
      <c r="AY990" s="42"/>
      <c r="AZ990" s="320"/>
      <c r="BD990" s="401"/>
      <c r="BE990" s="42"/>
    </row>
    <row r="991" spans="48:57" x14ac:dyDescent="0.2">
      <c r="AV991" s="401"/>
      <c r="AW991" s="412"/>
      <c r="AX991" s="230"/>
      <c r="AY991" s="42"/>
      <c r="AZ991" s="320"/>
      <c r="BD991" s="401"/>
      <c r="BE991" s="42"/>
    </row>
    <row r="992" spans="48:57" x14ac:dyDescent="0.2">
      <c r="AV992" s="401"/>
      <c r="AW992" s="412"/>
      <c r="AX992" s="230"/>
      <c r="AY992" s="42"/>
      <c r="AZ992" s="320"/>
      <c r="BD992" s="401"/>
      <c r="BE992" s="42"/>
    </row>
    <row r="993" spans="48:57" x14ac:dyDescent="0.2">
      <c r="AV993" s="401"/>
      <c r="AW993" s="412"/>
      <c r="AX993" s="230"/>
      <c r="AY993" s="42"/>
      <c r="AZ993" s="320"/>
      <c r="BD993" s="401"/>
      <c r="BE993" s="42"/>
    </row>
    <row r="994" spans="48:57" x14ac:dyDescent="0.2">
      <c r="AV994" s="401"/>
      <c r="AW994" s="412"/>
      <c r="AX994" s="230"/>
      <c r="AY994" s="42"/>
      <c r="AZ994" s="320"/>
      <c r="BD994" s="401"/>
      <c r="BE994" s="42"/>
    </row>
    <row r="995" spans="48:57" x14ac:dyDescent="0.2">
      <c r="AV995" s="401"/>
      <c r="AW995" s="412"/>
      <c r="AX995" s="230"/>
      <c r="AY995" s="42"/>
      <c r="AZ995" s="320"/>
      <c r="BD995" s="401"/>
      <c r="BE995" s="42"/>
    </row>
    <row r="996" spans="48:57" x14ac:dyDescent="0.2">
      <c r="AV996" s="401"/>
      <c r="AW996" s="412"/>
      <c r="AX996" s="230"/>
      <c r="AY996" s="42"/>
      <c r="AZ996" s="320"/>
      <c r="BD996" s="401"/>
      <c r="BE996" s="42"/>
    </row>
    <row r="997" spans="48:57" x14ac:dyDescent="0.2">
      <c r="AV997" s="401"/>
      <c r="AW997" s="412"/>
      <c r="AX997" s="230"/>
      <c r="AY997" s="42"/>
      <c r="AZ997" s="320"/>
      <c r="BD997" s="401"/>
      <c r="BE997" s="42"/>
    </row>
    <row r="998" spans="48:57" x14ac:dyDescent="0.2">
      <c r="AV998" s="401"/>
      <c r="AW998" s="412"/>
      <c r="AX998" s="230"/>
      <c r="AY998" s="42"/>
      <c r="AZ998" s="320"/>
      <c r="BD998" s="401"/>
      <c r="BE998" s="42"/>
    </row>
    <row r="999" spans="48:57" x14ac:dyDescent="0.2">
      <c r="AV999" s="401"/>
      <c r="AW999" s="412"/>
      <c r="AX999" s="230"/>
      <c r="AY999" s="42"/>
      <c r="AZ999" s="320"/>
      <c r="BD999" s="401"/>
      <c r="BE999" s="42"/>
    </row>
    <row r="1000" spans="48:57" x14ac:dyDescent="0.2">
      <c r="AV1000" s="401"/>
      <c r="AW1000" s="412"/>
      <c r="AX1000" s="230"/>
      <c r="AY1000" s="42"/>
      <c r="AZ1000" s="320"/>
      <c r="BD1000" s="401"/>
      <c r="BE1000" s="42"/>
    </row>
    <row r="1001" spans="48:57" x14ac:dyDescent="0.2">
      <c r="AV1001" s="401"/>
      <c r="AW1001" s="412"/>
      <c r="AX1001" s="230"/>
      <c r="AY1001" s="42"/>
      <c r="AZ1001" s="320"/>
      <c r="BD1001" s="401"/>
      <c r="BE1001" s="42"/>
    </row>
    <row r="1002" spans="48:57" x14ac:dyDescent="0.2">
      <c r="AV1002" s="401"/>
      <c r="AW1002" s="412"/>
      <c r="AX1002" s="230"/>
      <c r="AY1002" s="42"/>
      <c r="AZ1002" s="320"/>
      <c r="BD1002" s="401"/>
      <c r="BE1002" s="42"/>
    </row>
    <row r="1003" spans="48:57" x14ac:dyDescent="0.2">
      <c r="AV1003" s="401"/>
      <c r="AW1003" s="412"/>
      <c r="AX1003" s="230"/>
      <c r="AY1003" s="42"/>
      <c r="AZ1003" s="320"/>
      <c r="BD1003" s="401"/>
      <c r="BE1003" s="42"/>
    </row>
    <row r="1004" spans="48:57" x14ac:dyDescent="0.2">
      <c r="AV1004" s="401"/>
      <c r="AW1004" s="412"/>
      <c r="AX1004" s="230"/>
      <c r="AY1004" s="42"/>
      <c r="AZ1004" s="320"/>
      <c r="BD1004" s="401"/>
      <c r="BE1004" s="42"/>
    </row>
    <row r="1005" spans="48:57" x14ac:dyDescent="0.2">
      <c r="AV1005" s="401"/>
      <c r="AW1005" s="412"/>
      <c r="AX1005" s="230"/>
      <c r="AY1005" s="42"/>
      <c r="AZ1005" s="320"/>
      <c r="BD1005" s="401"/>
      <c r="BE1005" s="42"/>
    </row>
    <row r="1006" spans="48:57" x14ac:dyDescent="0.2">
      <c r="AV1006" s="401"/>
      <c r="AW1006" s="412"/>
      <c r="AX1006" s="230"/>
      <c r="AY1006" s="42"/>
      <c r="AZ1006" s="320"/>
      <c r="BD1006" s="401"/>
      <c r="BE1006" s="42"/>
    </row>
    <row r="1007" spans="48:57" x14ac:dyDescent="0.2">
      <c r="AV1007" s="401"/>
      <c r="AW1007" s="412"/>
      <c r="AX1007" s="230"/>
      <c r="AY1007" s="42"/>
      <c r="AZ1007" s="320"/>
      <c r="BD1007" s="401"/>
      <c r="BE1007" s="42"/>
    </row>
    <row r="1008" spans="48:57" x14ac:dyDescent="0.2">
      <c r="AV1008" s="401"/>
      <c r="AW1008" s="412"/>
      <c r="AX1008" s="230"/>
      <c r="AY1008" s="42"/>
      <c r="AZ1008" s="320"/>
      <c r="BD1008" s="401"/>
      <c r="BE1008" s="42"/>
    </row>
    <row r="1009" spans="48:57" x14ac:dyDescent="0.2">
      <c r="AV1009" s="401"/>
      <c r="AW1009" s="412"/>
      <c r="AX1009" s="230"/>
      <c r="AY1009" s="42"/>
      <c r="AZ1009" s="320"/>
      <c r="BD1009" s="401"/>
      <c r="BE1009" s="42"/>
    </row>
    <row r="1010" spans="48:57" x14ac:dyDescent="0.2">
      <c r="AV1010" s="401"/>
      <c r="AW1010" s="412"/>
      <c r="AX1010" s="230"/>
      <c r="AY1010" s="42"/>
      <c r="AZ1010" s="320"/>
      <c r="BD1010" s="401"/>
      <c r="BE1010" s="42"/>
    </row>
    <row r="1011" spans="48:57" x14ac:dyDescent="0.2">
      <c r="AV1011" s="401"/>
      <c r="AW1011" s="412"/>
      <c r="AX1011" s="230"/>
      <c r="AY1011" s="42"/>
      <c r="AZ1011" s="320"/>
      <c r="BD1011" s="401"/>
      <c r="BE1011" s="42"/>
    </row>
    <row r="1012" spans="48:57" x14ac:dyDescent="0.2">
      <c r="AV1012" s="401"/>
      <c r="AW1012" s="412"/>
      <c r="AX1012" s="230"/>
      <c r="AY1012" s="42"/>
      <c r="AZ1012" s="320"/>
      <c r="BD1012" s="401"/>
      <c r="BE1012" s="42"/>
    </row>
    <row r="1013" spans="48:57" x14ac:dyDescent="0.2">
      <c r="AV1013" s="401"/>
      <c r="AW1013" s="412"/>
      <c r="AX1013" s="230"/>
      <c r="AY1013" s="42"/>
      <c r="AZ1013" s="320"/>
      <c r="BD1013" s="401"/>
      <c r="BE1013" s="42"/>
    </row>
    <row r="1014" spans="48:57" x14ac:dyDescent="0.2">
      <c r="AV1014" s="401"/>
      <c r="AW1014" s="412"/>
      <c r="AX1014" s="230"/>
      <c r="AY1014" s="42"/>
      <c r="AZ1014" s="320"/>
      <c r="BD1014" s="401"/>
      <c r="BE1014" s="42"/>
    </row>
    <row r="1015" spans="48:57" x14ac:dyDescent="0.2">
      <c r="AV1015" s="401"/>
      <c r="AW1015" s="412"/>
      <c r="AX1015" s="230"/>
      <c r="AY1015" s="42"/>
      <c r="AZ1015" s="320"/>
      <c r="BD1015" s="401"/>
      <c r="BE1015" s="42"/>
    </row>
    <row r="1016" spans="48:57" x14ac:dyDescent="0.2">
      <c r="AV1016" s="401"/>
      <c r="AW1016" s="412"/>
      <c r="AX1016" s="230"/>
      <c r="AY1016" s="42"/>
      <c r="AZ1016" s="320"/>
      <c r="BD1016" s="401"/>
      <c r="BE1016" s="42"/>
    </row>
    <row r="1017" spans="48:57" x14ac:dyDescent="0.2">
      <c r="AV1017" s="401"/>
      <c r="AW1017" s="412"/>
      <c r="AX1017" s="230"/>
      <c r="AY1017" s="42"/>
      <c r="AZ1017" s="320"/>
      <c r="BD1017" s="401"/>
      <c r="BE1017" s="42"/>
    </row>
    <row r="1018" spans="48:57" x14ac:dyDescent="0.2">
      <c r="AV1018" s="401"/>
      <c r="AW1018" s="412"/>
      <c r="AX1018" s="230"/>
      <c r="AY1018" s="42"/>
      <c r="AZ1018" s="320"/>
      <c r="BD1018" s="401"/>
      <c r="BE1018" s="42"/>
    </row>
    <row r="1019" spans="48:57" x14ac:dyDescent="0.2">
      <c r="AV1019" s="401"/>
      <c r="AW1019" s="412"/>
      <c r="AX1019" s="230"/>
      <c r="AY1019" s="42"/>
      <c r="AZ1019" s="320"/>
      <c r="BD1019" s="401"/>
      <c r="BE1019" s="42"/>
    </row>
    <row r="1020" spans="48:57" x14ac:dyDescent="0.2">
      <c r="AV1020" s="401"/>
      <c r="AW1020" s="412"/>
      <c r="AX1020" s="230"/>
      <c r="AY1020" s="42"/>
      <c r="AZ1020" s="320"/>
      <c r="BD1020" s="401"/>
      <c r="BE1020" s="42"/>
    </row>
    <row r="1021" spans="48:57" x14ac:dyDescent="0.2">
      <c r="AV1021" s="401"/>
      <c r="AW1021" s="412"/>
      <c r="AX1021" s="230"/>
      <c r="AY1021" s="42"/>
      <c r="AZ1021" s="320"/>
      <c r="BD1021" s="401"/>
      <c r="BE1021" s="42"/>
    </row>
    <row r="1022" spans="48:57" x14ac:dyDescent="0.2">
      <c r="AV1022" s="401"/>
      <c r="AW1022" s="412"/>
      <c r="AX1022" s="230"/>
      <c r="AY1022" s="42"/>
      <c r="AZ1022" s="320"/>
      <c r="BD1022" s="401"/>
      <c r="BE1022" s="42"/>
    </row>
    <row r="1023" spans="48:57" x14ac:dyDescent="0.2">
      <c r="AV1023" s="401"/>
      <c r="AW1023" s="412"/>
      <c r="AX1023" s="230"/>
      <c r="AY1023" s="42"/>
      <c r="AZ1023" s="320"/>
      <c r="BD1023" s="401"/>
      <c r="BE1023" s="42"/>
    </row>
    <row r="1024" spans="48:57" x14ac:dyDescent="0.2">
      <c r="AV1024" s="401"/>
      <c r="AW1024" s="412"/>
      <c r="AX1024" s="230"/>
      <c r="AY1024" s="42"/>
      <c r="AZ1024" s="320"/>
      <c r="BD1024" s="401"/>
      <c r="BE1024" s="42"/>
    </row>
    <row r="1025" spans="48:57" x14ac:dyDescent="0.2">
      <c r="AV1025" s="401"/>
      <c r="AW1025" s="412"/>
      <c r="AX1025" s="230"/>
      <c r="AY1025" s="42"/>
      <c r="AZ1025" s="320"/>
      <c r="BD1025" s="401"/>
      <c r="BE1025" s="42"/>
    </row>
    <row r="1026" spans="48:57" x14ac:dyDescent="0.2">
      <c r="AV1026" s="401"/>
      <c r="AW1026" s="412"/>
      <c r="AX1026" s="230"/>
      <c r="AY1026" s="42"/>
      <c r="AZ1026" s="320"/>
      <c r="BD1026" s="401"/>
      <c r="BE1026" s="42"/>
    </row>
    <row r="1027" spans="48:57" x14ac:dyDescent="0.2">
      <c r="AV1027" s="401"/>
      <c r="AW1027" s="412"/>
      <c r="AX1027" s="230"/>
      <c r="AY1027" s="42"/>
      <c r="AZ1027" s="320"/>
      <c r="BD1027" s="401"/>
      <c r="BE1027" s="42"/>
    </row>
    <row r="1028" spans="48:57" x14ac:dyDescent="0.2">
      <c r="AV1028" s="401"/>
      <c r="AW1028" s="412"/>
      <c r="AX1028" s="230"/>
      <c r="AY1028" s="42"/>
      <c r="AZ1028" s="320"/>
      <c r="BD1028" s="401"/>
      <c r="BE1028" s="42"/>
    </row>
    <row r="1029" spans="48:57" x14ac:dyDescent="0.2">
      <c r="AV1029" s="401"/>
      <c r="AW1029" s="412"/>
      <c r="AX1029" s="230"/>
      <c r="AY1029" s="42"/>
      <c r="AZ1029" s="320"/>
      <c r="BD1029" s="401"/>
      <c r="BE1029" s="42"/>
    </row>
    <row r="1030" spans="48:57" x14ac:dyDescent="0.2">
      <c r="AV1030" s="401"/>
      <c r="AW1030" s="412"/>
      <c r="AX1030" s="230"/>
      <c r="AY1030" s="42"/>
      <c r="AZ1030" s="320"/>
      <c r="BD1030" s="401"/>
      <c r="BE1030" s="42"/>
    </row>
    <row r="1031" spans="48:57" x14ac:dyDescent="0.2">
      <c r="AV1031" s="401"/>
      <c r="AW1031" s="412"/>
      <c r="AX1031" s="230"/>
      <c r="AY1031" s="42"/>
      <c r="AZ1031" s="320"/>
      <c r="BD1031" s="401"/>
      <c r="BE1031" s="42"/>
    </row>
    <row r="1032" spans="48:57" x14ac:dyDescent="0.2">
      <c r="AV1032" s="401"/>
      <c r="AW1032" s="412"/>
      <c r="AX1032" s="230"/>
      <c r="AY1032" s="42"/>
      <c r="AZ1032" s="320"/>
      <c r="BD1032" s="401"/>
      <c r="BE1032" s="42"/>
    </row>
    <row r="1033" spans="48:57" x14ac:dyDescent="0.2">
      <c r="AV1033" s="401"/>
      <c r="AW1033" s="412"/>
      <c r="AX1033" s="230"/>
      <c r="AY1033" s="42"/>
      <c r="AZ1033" s="320"/>
      <c r="BD1033" s="401"/>
      <c r="BE1033" s="42"/>
    </row>
    <row r="1034" spans="48:57" x14ac:dyDescent="0.2">
      <c r="AV1034" s="401"/>
      <c r="AW1034" s="412"/>
      <c r="AX1034" s="230"/>
      <c r="AY1034" s="42"/>
      <c r="AZ1034" s="320"/>
      <c r="BD1034" s="401"/>
      <c r="BE1034" s="42"/>
    </row>
    <row r="1035" spans="48:57" x14ac:dyDescent="0.2">
      <c r="AV1035" s="401"/>
      <c r="AW1035" s="412"/>
      <c r="AX1035" s="230"/>
      <c r="AY1035" s="42"/>
      <c r="AZ1035" s="320"/>
      <c r="BD1035" s="401"/>
      <c r="BE1035" s="42"/>
    </row>
    <row r="1036" spans="48:57" x14ac:dyDescent="0.2">
      <c r="AV1036" s="401"/>
      <c r="AW1036" s="412"/>
      <c r="AX1036" s="230"/>
      <c r="AY1036" s="42"/>
      <c r="AZ1036" s="320"/>
      <c r="BD1036" s="401"/>
      <c r="BE1036" s="42"/>
    </row>
    <row r="1037" spans="48:57" x14ac:dyDescent="0.2">
      <c r="AV1037" s="401"/>
      <c r="AW1037" s="412"/>
      <c r="AX1037" s="230"/>
      <c r="AY1037" s="42"/>
      <c r="AZ1037" s="320"/>
      <c r="BD1037" s="401"/>
      <c r="BE1037" s="42"/>
    </row>
    <row r="1038" spans="48:57" x14ac:dyDescent="0.2">
      <c r="AV1038" s="401"/>
      <c r="AW1038" s="412"/>
      <c r="AX1038" s="230"/>
      <c r="AY1038" s="42"/>
      <c r="AZ1038" s="320"/>
      <c r="BD1038" s="401"/>
      <c r="BE1038" s="42"/>
    </row>
    <row r="1039" spans="48:57" x14ac:dyDescent="0.2">
      <c r="AV1039" s="401"/>
      <c r="AW1039" s="412"/>
      <c r="AX1039" s="230"/>
      <c r="AY1039" s="42"/>
      <c r="AZ1039" s="320"/>
      <c r="BD1039" s="401"/>
      <c r="BE1039" s="42"/>
    </row>
    <row r="1040" spans="48:57" x14ac:dyDescent="0.2">
      <c r="AV1040" s="401"/>
      <c r="AW1040" s="412"/>
      <c r="AX1040" s="230"/>
      <c r="AY1040" s="42"/>
      <c r="AZ1040" s="320"/>
      <c r="BD1040" s="401"/>
      <c r="BE1040" s="42"/>
    </row>
    <row r="1041" spans="48:57" x14ac:dyDescent="0.2">
      <c r="AV1041" s="401"/>
      <c r="AW1041" s="412"/>
      <c r="AX1041" s="230"/>
      <c r="AY1041" s="42"/>
      <c r="AZ1041" s="320"/>
      <c r="BD1041" s="401"/>
      <c r="BE1041" s="42"/>
    </row>
    <row r="1042" spans="48:57" x14ac:dyDescent="0.2">
      <c r="AV1042" s="401"/>
      <c r="AW1042" s="412"/>
      <c r="AX1042" s="230"/>
      <c r="AY1042" s="42"/>
      <c r="AZ1042" s="320"/>
      <c r="BD1042" s="401"/>
      <c r="BE1042" s="42"/>
    </row>
    <row r="1043" spans="48:57" x14ac:dyDescent="0.2">
      <c r="AV1043" s="401"/>
      <c r="AW1043" s="412"/>
      <c r="AX1043" s="230"/>
      <c r="AY1043" s="42"/>
      <c r="AZ1043" s="320"/>
      <c r="BD1043" s="401"/>
      <c r="BE1043" s="42"/>
    </row>
    <row r="1044" spans="48:57" x14ac:dyDescent="0.2">
      <c r="AV1044" s="401"/>
      <c r="AW1044" s="412"/>
      <c r="AX1044" s="230"/>
      <c r="AY1044" s="42"/>
      <c r="AZ1044" s="320"/>
      <c r="BD1044" s="401"/>
      <c r="BE1044" s="42"/>
    </row>
    <row r="1045" spans="48:57" x14ac:dyDescent="0.2">
      <c r="AV1045" s="401"/>
      <c r="AW1045" s="412"/>
      <c r="AX1045" s="230"/>
      <c r="AY1045" s="42"/>
      <c r="AZ1045" s="320"/>
      <c r="BD1045" s="401"/>
      <c r="BE1045" s="42"/>
    </row>
    <row r="1046" spans="48:57" x14ac:dyDescent="0.2">
      <c r="AV1046" s="401"/>
      <c r="AW1046" s="412"/>
      <c r="AX1046" s="230"/>
      <c r="AY1046" s="42"/>
      <c r="AZ1046" s="320"/>
      <c r="BD1046" s="401"/>
      <c r="BE1046" s="42"/>
    </row>
    <row r="1047" spans="48:57" x14ac:dyDescent="0.2">
      <c r="AV1047" s="401"/>
      <c r="AW1047" s="412"/>
      <c r="AX1047" s="230"/>
      <c r="AY1047" s="42"/>
      <c r="AZ1047" s="320"/>
      <c r="BD1047" s="401"/>
      <c r="BE1047" s="42"/>
    </row>
    <row r="1048" spans="48:57" x14ac:dyDescent="0.2">
      <c r="AV1048" s="401"/>
      <c r="AW1048" s="412"/>
      <c r="AX1048" s="230"/>
      <c r="AY1048" s="42"/>
      <c r="AZ1048" s="320"/>
      <c r="BD1048" s="401"/>
      <c r="BE1048" s="42"/>
    </row>
    <row r="1049" spans="48:57" x14ac:dyDescent="0.2">
      <c r="AV1049" s="401"/>
      <c r="AW1049" s="412"/>
      <c r="AX1049" s="230"/>
      <c r="AY1049" s="42"/>
      <c r="AZ1049" s="320"/>
      <c r="BD1049" s="401"/>
      <c r="BE1049" s="42"/>
    </row>
    <row r="1050" spans="48:57" x14ac:dyDescent="0.2">
      <c r="AV1050" s="401"/>
      <c r="AW1050" s="412"/>
      <c r="AX1050" s="230"/>
      <c r="AY1050" s="42"/>
      <c r="AZ1050" s="320"/>
      <c r="BD1050" s="401"/>
      <c r="BE1050" s="42"/>
    </row>
    <row r="1051" spans="48:57" x14ac:dyDescent="0.2">
      <c r="AV1051" s="401"/>
      <c r="AW1051" s="412"/>
      <c r="AX1051" s="230"/>
      <c r="AY1051" s="42"/>
      <c r="AZ1051" s="320"/>
      <c r="BD1051" s="401"/>
      <c r="BE1051" s="42"/>
    </row>
    <row r="1052" spans="48:57" x14ac:dyDescent="0.2">
      <c r="AV1052" s="401"/>
      <c r="AW1052" s="412"/>
      <c r="AX1052" s="230"/>
      <c r="AY1052" s="42"/>
      <c r="AZ1052" s="320"/>
      <c r="BD1052" s="401"/>
      <c r="BE1052" s="42"/>
    </row>
    <row r="1053" spans="48:57" x14ac:dyDescent="0.2">
      <c r="AV1053" s="401"/>
      <c r="AW1053" s="412"/>
      <c r="AX1053" s="230"/>
      <c r="AY1053" s="42"/>
      <c r="AZ1053" s="320"/>
      <c r="BD1053" s="401"/>
      <c r="BE1053" s="42"/>
    </row>
    <row r="1054" spans="48:57" x14ac:dyDescent="0.2">
      <c r="AV1054" s="401"/>
      <c r="AW1054" s="412"/>
      <c r="AX1054" s="230"/>
      <c r="AY1054" s="42"/>
      <c r="AZ1054" s="320"/>
      <c r="BD1054" s="401"/>
      <c r="BE1054" s="42"/>
    </row>
    <row r="1055" spans="48:57" x14ac:dyDescent="0.2">
      <c r="AV1055" s="401"/>
      <c r="AW1055" s="412"/>
      <c r="AX1055" s="230"/>
      <c r="AY1055" s="42"/>
      <c r="AZ1055" s="320"/>
      <c r="BD1055" s="401"/>
      <c r="BE1055" s="42"/>
    </row>
    <row r="1056" spans="48:57" x14ac:dyDescent="0.2">
      <c r="AV1056" s="401"/>
      <c r="AW1056" s="412"/>
      <c r="AX1056" s="230"/>
      <c r="AY1056" s="42"/>
      <c r="AZ1056" s="320"/>
      <c r="BD1056" s="401"/>
      <c r="BE1056" s="42"/>
    </row>
    <row r="1057" spans="48:57" x14ac:dyDescent="0.2">
      <c r="AV1057" s="401"/>
      <c r="AW1057" s="412"/>
      <c r="AX1057" s="230"/>
      <c r="AY1057" s="42"/>
      <c r="AZ1057" s="320"/>
      <c r="BD1057" s="401"/>
      <c r="BE1057" s="42"/>
    </row>
    <row r="1058" spans="48:57" x14ac:dyDescent="0.2">
      <c r="AV1058" s="401"/>
      <c r="AW1058" s="412"/>
      <c r="AX1058" s="230"/>
      <c r="AY1058" s="42"/>
      <c r="AZ1058" s="320"/>
      <c r="BD1058" s="401"/>
      <c r="BE1058" s="42"/>
    </row>
    <row r="1059" spans="48:57" x14ac:dyDescent="0.2">
      <c r="AV1059" s="401"/>
      <c r="AW1059" s="412"/>
      <c r="AX1059" s="230"/>
      <c r="AY1059" s="42"/>
      <c r="AZ1059" s="320"/>
      <c r="BD1059" s="401"/>
      <c r="BE1059" s="42"/>
    </row>
    <row r="1060" spans="48:57" x14ac:dyDescent="0.2">
      <c r="AV1060" s="401"/>
      <c r="AW1060" s="412"/>
      <c r="AX1060" s="230"/>
      <c r="AY1060" s="42"/>
      <c r="AZ1060" s="320"/>
      <c r="BD1060" s="401"/>
      <c r="BE1060" s="42"/>
    </row>
    <row r="1061" spans="48:57" x14ac:dyDescent="0.2">
      <c r="AV1061" s="401"/>
      <c r="AW1061" s="412"/>
      <c r="AX1061" s="230"/>
      <c r="AY1061" s="42"/>
      <c r="AZ1061" s="320"/>
      <c r="BD1061" s="401"/>
      <c r="BE1061" s="42"/>
    </row>
    <row r="1062" spans="48:57" x14ac:dyDescent="0.2">
      <c r="AV1062" s="401"/>
      <c r="AW1062" s="412"/>
      <c r="AX1062" s="230"/>
      <c r="AY1062" s="42"/>
      <c r="AZ1062" s="320"/>
      <c r="BD1062" s="401"/>
      <c r="BE1062" s="42"/>
    </row>
    <row r="1063" spans="48:57" x14ac:dyDescent="0.2">
      <c r="AV1063" s="401"/>
      <c r="AW1063" s="412"/>
      <c r="AX1063" s="230"/>
      <c r="AY1063" s="42"/>
      <c r="AZ1063" s="320"/>
      <c r="BD1063" s="401"/>
      <c r="BE1063" s="42"/>
    </row>
    <row r="1064" spans="48:57" x14ac:dyDescent="0.2">
      <c r="AV1064" s="401"/>
      <c r="AW1064" s="412"/>
      <c r="AX1064" s="230"/>
      <c r="AY1064" s="42"/>
      <c r="AZ1064" s="320"/>
      <c r="BD1064" s="401"/>
      <c r="BE1064" s="42"/>
    </row>
    <row r="1065" spans="48:57" x14ac:dyDescent="0.2">
      <c r="AV1065" s="401"/>
      <c r="AW1065" s="412"/>
      <c r="AX1065" s="230"/>
      <c r="AY1065" s="42"/>
      <c r="AZ1065" s="320"/>
      <c r="BD1065" s="401"/>
      <c r="BE1065" s="42"/>
    </row>
    <row r="1066" spans="48:57" x14ac:dyDescent="0.2">
      <c r="AV1066" s="401"/>
      <c r="AW1066" s="412"/>
      <c r="AX1066" s="230"/>
      <c r="AY1066" s="42"/>
      <c r="AZ1066" s="320"/>
      <c r="BD1066" s="401"/>
      <c r="BE1066" s="42"/>
    </row>
    <row r="1067" spans="48:57" x14ac:dyDescent="0.2">
      <c r="AV1067" s="401"/>
      <c r="AW1067" s="412"/>
      <c r="AX1067" s="230"/>
      <c r="AY1067" s="42"/>
      <c r="AZ1067" s="320"/>
      <c r="BD1067" s="401"/>
      <c r="BE1067" s="42"/>
    </row>
    <row r="1068" spans="48:57" x14ac:dyDescent="0.2">
      <c r="AV1068" s="401"/>
      <c r="AW1068" s="412"/>
      <c r="AX1068" s="230"/>
      <c r="AY1068" s="42"/>
      <c r="AZ1068" s="320"/>
      <c r="BD1068" s="401"/>
      <c r="BE1068" s="42"/>
    </row>
    <row r="1069" spans="48:57" x14ac:dyDescent="0.2">
      <c r="AV1069" s="401"/>
      <c r="AW1069" s="412"/>
      <c r="AX1069" s="230"/>
      <c r="AY1069" s="42"/>
      <c r="AZ1069" s="320"/>
      <c r="BD1069" s="401"/>
      <c r="BE1069" s="42"/>
    </row>
    <row r="1070" spans="48:57" x14ac:dyDescent="0.2">
      <c r="AV1070" s="401"/>
      <c r="AW1070" s="412"/>
      <c r="AX1070" s="230"/>
      <c r="AY1070" s="42"/>
      <c r="AZ1070" s="320"/>
      <c r="BD1070" s="401"/>
      <c r="BE1070" s="42"/>
    </row>
    <row r="1071" spans="48:57" x14ac:dyDescent="0.2">
      <c r="AV1071" s="401"/>
      <c r="AW1071" s="412"/>
      <c r="AX1071" s="230"/>
      <c r="AY1071" s="42"/>
      <c r="AZ1071" s="320"/>
      <c r="BD1071" s="401"/>
      <c r="BE1071" s="42"/>
    </row>
    <row r="1072" spans="48:57" x14ac:dyDescent="0.2">
      <c r="AV1072" s="401"/>
      <c r="AW1072" s="412"/>
      <c r="AX1072" s="230"/>
      <c r="AY1072" s="42"/>
      <c r="AZ1072" s="320"/>
      <c r="BD1072" s="401"/>
      <c r="BE1072" s="42"/>
    </row>
    <row r="1073" spans="48:57" x14ac:dyDescent="0.2">
      <c r="AV1073" s="401"/>
      <c r="AW1073" s="412"/>
      <c r="AX1073" s="230"/>
      <c r="AY1073" s="42"/>
      <c r="AZ1073" s="320"/>
      <c r="BD1073" s="401"/>
      <c r="BE1073" s="42"/>
    </row>
    <row r="1074" spans="48:57" x14ac:dyDescent="0.2">
      <c r="AV1074" s="401"/>
      <c r="AW1074" s="412"/>
      <c r="AX1074" s="230"/>
      <c r="AY1074" s="42"/>
      <c r="AZ1074" s="320"/>
      <c r="BD1074" s="401"/>
      <c r="BE1074" s="42"/>
    </row>
    <row r="1075" spans="48:57" x14ac:dyDescent="0.2">
      <c r="AV1075" s="401"/>
      <c r="AW1075" s="412"/>
      <c r="AX1075" s="230"/>
      <c r="AY1075" s="42"/>
      <c r="AZ1075" s="320"/>
      <c r="BD1075" s="401"/>
      <c r="BE1075" s="42"/>
    </row>
    <row r="1076" spans="48:57" x14ac:dyDescent="0.2">
      <c r="AV1076" s="401"/>
      <c r="AW1076" s="412"/>
      <c r="AX1076" s="230"/>
      <c r="AY1076" s="42"/>
      <c r="AZ1076" s="320"/>
      <c r="BD1076" s="401"/>
      <c r="BE1076" s="42"/>
    </row>
    <row r="1077" spans="48:57" x14ac:dyDescent="0.2">
      <c r="AV1077" s="401"/>
      <c r="AW1077" s="412"/>
      <c r="AX1077" s="230"/>
      <c r="AY1077" s="42"/>
      <c r="AZ1077" s="320"/>
      <c r="BD1077" s="401"/>
      <c r="BE1077" s="42"/>
    </row>
    <row r="1078" spans="48:57" x14ac:dyDescent="0.2">
      <c r="AV1078" s="401"/>
      <c r="AW1078" s="412"/>
      <c r="AX1078" s="230"/>
      <c r="AY1078" s="42"/>
      <c r="AZ1078" s="320"/>
      <c r="BD1078" s="401"/>
      <c r="BE1078" s="42"/>
    </row>
    <row r="1079" spans="48:57" x14ac:dyDescent="0.2">
      <c r="AV1079" s="401"/>
      <c r="AW1079" s="412"/>
      <c r="AX1079" s="230"/>
      <c r="AY1079" s="42"/>
      <c r="AZ1079" s="320"/>
      <c r="BD1079" s="401"/>
      <c r="BE1079" s="42"/>
    </row>
    <row r="1080" spans="48:57" x14ac:dyDescent="0.2">
      <c r="AV1080" s="401"/>
      <c r="AW1080" s="412"/>
      <c r="AX1080" s="230"/>
      <c r="AY1080" s="42"/>
      <c r="AZ1080" s="320"/>
      <c r="BD1080" s="401"/>
      <c r="BE1080" s="42"/>
    </row>
    <row r="1081" spans="48:57" x14ac:dyDescent="0.2">
      <c r="AV1081" s="401"/>
      <c r="AW1081" s="412"/>
      <c r="AX1081" s="230"/>
      <c r="AY1081" s="42"/>
      <c r="AZ1081" s="320"/>
      <c r="BD1081" s="401"/>
      <c r="BE1081" s="42"/>
    </row>
    <row r="1082" spans="48:57" x14ac:dyDescent="0.2">
      <c r="AV1082" s="401"/>
      <c r="AW1082" s="412"/>
      <c r="AX1082" s="230"/>
      <c r="AY1082" s="42"/>
      <c r="AZ1082" s="320"/>
      <c r="BD1082" s="401"/>
      <c r="BE1082" s="42"/>
    </row>
    <row r="1083" spans="48:57" x14ac:dyDescent="0.2">
      <c r="AV1083" s="401"/>
      <c r="AW1083" s="412"/>
      <c r="AX1083" s="230"/>
      <c r="AY1083" s="42"/>
      <c r="AZ1083" s="320"/>
      <c r="BD1083" s="401"/>
      <c r="BE1083" s="42"/>
    </row>
    <row r="1084" spans="48:57" x14ac:dyDescent="0.2">
      <c r="AV1084" s="401"/>
      <c r="AW1084" s="412"/>
      <c r="AX1084" s="230"/>
      <c r="AY1084" s="42"/>
      <c r="AZ1084" s="320"/>
      <c r="BD1084" s="401"/>
      <c r="BE1084" s="42"/>
    </row>
    <row r="1085" spans="48:57" x14ac:dyDescent="0.2">
      <c r="AV1085" s="401"/>
      <c r="AW1085" s="412"/>
      <c r="AX1085" s="230"/>
      <c r="AY1085" s="42"/>
      <c r="AZ1085" s="320"/>
      <c r="BD1085" s="401"/>
      <c r="BE1085" s="42"/>
    </row>
    <row r="1086" spans="48:57" x14ac:dyDescent="0.2">
      <c r="AV1086" s="401"/>
      <c r="AW1086" s="412"/>
      <c r="AX1086" s="230"/>
      <c r="AY1086" s="42"/>
      <c r="AZ1086" s="320"/>
      <c r="BD1086" s="401"/>
      <c r="BE1086" s="42"/>
    </row>
    <row r="1087" spans="48:57" x14ac:dyDescent="0.2">
      <c r="AV1087" s="401"/>
      <c r="AW1087" s="412"/>
      <c r="AX1087" s="230"/>
      <c r="AY1087" s="42"/>
      <c r="AZ1087" s="320"/>
      <c r="BD1087" s="401"/>
      <c r="BE1087" s="42"/>
    </row>
    <row r="1088" spans="48:57" x14ac:dyDescent="0.2">
      <c r="AV1088" s="401"/>
      <c r="AW1088" s="412"/>
      <c r="AX1088" s="230"/>
      <c r="AY1088" s="42"/>
      <c r="AZ1088" s="320"/>
      <c r="BD1088" s="401"/>
      <c r="BE1088" s="42"/>
    </row>
    <row r="1089" spans="48:57" x14ac:dyDescent="0.2">
      <c r="AV1089" s="401"/>
      <c r="AW1089" s="412"/>
      <c r="AX1089" s="230"/>
      <c r="AY1089" s="42"/>
      <c r="AZ1089" s="320"/>
      <c r="BD1089" s="401"/>
      <c r="BE1089" s="42"/>
    </row>
    <row r="1090" spans="48:57" x14ac:dyDescent="0.2">
      <c r="AV1090" s="401"/>
      <c r="AW1090" s="412"/>
      <c r="AX1090" s="230"/>
      <c r="AY1090" s="42"/>
      <c r="AZ1090" s="320"/>
      <c r="BD1090" s="401"/>
      <c r="BE1090" s="42"/>
    </row>
    <row r="1091" spans="48:57" x14ac:dyDescent="0.2">
      <c r="AV1091" s="401"/>
      <c r="AW1091" s="412"/>
      <c r="AX1091" s="230"/>
      <c r="AY1091" s="42"/>
      <c r="AZ1091" s="320"/>
      <c r="BD1091" s="401"/>
      <c r="BE1091" s="42"/>
    </row>
    <row r="1092" spans="48:57" x14ac:dyDescent="0.2">
      <c r="AV1092" s="401"/>
      <c r="AW1092" s="412"/>
      <c r="AX1092" s="230"/>
      <c r="AY1092" s="42"/>
      <c r="AZ1092" s="320"/>
      <c r="BD1092" s="401"/>
      <c r="BE1092" s="42"/>
    </row>
    <row r="1093" spans="48:57" x14ac:dyDescent="0.2">
      <c r="AV1093" s="401"/>
      <c r="AW1093" s="412"/>
      <c r="AX1093" s="230"/>
      <c r="AY1093" s="42"/>
      <c r="AZ1093" s="320"/>
      <c r="BD1093" s="401"/>
      <c r="BE1093" s="42"/>
    </row>
    <row r="1094" spans="48:57" x14ac:dyDescent="0.2">
      <c r="AV1094" s="401"/>
      <c r="AW1094" s="412"/>
      <c r="AX1094" s="230"/>
      <c r="AY1094" s="42"/>
      <c r="AZ1094" s="320"/>
      <c r="BD1094" s="401"/>
      <c r="BE1094" s="42"/>
    </row>
    <row r="1095" spans="48:57" x14ac:dyDescent="0.2">
      <c r="AV1095" s="401"/>
      <c r="AW1095" s="412"/>
      <c r="AX1095" s="230"/>
      <c r="AY1095" s="42"/>
      <c r="AZ1095" s="320"/>
      <c r="BD1095" s="401"/>
      <c r="BE1095" s="42"/>
    </row>
    <row r="1096" spans="48:57" x14ac:dyDescent="0.2">
      <c r="AV1096" s="401"/>
      <c r="AW1096" s="412"/>
      <c r="AX1096" s="230"/>
      <c r="AY1096" s="42"/>
      <c r="AZ1096" s="320"/>
      <c r="BD1096" s="401"/>
      <c r="BE1096" s="42"/>
    </row>
    <row r="1097" spans="48:57" x14ac:dyDescent="0.2">
      <c r="AV1097" s="401"/>
      <c r="AW1097" s="412"/>
      <c r="AX1097" s="230"/>
      <c r="AY1097" s="42"/>
      <c r="AZ1097" s="320"/>
      <c r="BD1097" s="401"/>
      <c r="BE1097" s="42"/>
    </row>
    <row r="1098" spans="48:57" x14ac:dyDescent="0.2">
      <c r="AV1098" s="401"/>
      <c r="AW1098" s="412"/>
      <c r="AX1098" s="230"/>
      <c r="AY1098" s="42"/>
      <c r="AZ1098" s="320"/>
      <c r="BD1098" s="401"/>
      <c r="BE1098" s="42"/>
    </row>
    <row r="1099" spans="48:57" x14ac:dyDescent="0.2">
      <c r="AV1099" s="401"/>
      <c r="AW1099" s="412"/>
      <c r="AX1099" s="230"/>
      <c r="AY1099" s="42"/>
      <c r="AZ1099" s="320"/>
      <c r="BD1099" s="401"/>
      <c r="BE1099" s="42"/>
    </row>
    <row r="1100" spans="48:57" x14ac:dyDescent="0.2">
      <c r="AV1100" s="401"/>
      <c r="AW1100" s="412"/>
      <c r="AX1100" s="230"/>
      <c r="AY1100" s="42"/>
      <c r="AZ1100" s="320"/>
      <c r="BD1100" s="401"/>
      <c r="BE1100" s="42"/>
    </row>
    <row r="1101" spans="48:57" x14ac:dyDescent="0.2">
      <c r="AV1101" s="401"/>
      <c r="AW1101" s="412"/>
      <c r="AX1101" s="230"/>
      <c r="AY1101" s="42"/>
      <c r="AZ1101" s="320"/>
      <c r="BD1101" s="401"/>
      <c r="BE1101" s="42"/>
    </row>
    <row r="1102" spans="48:57" x14ac:dyDescent="0.2">
      <c r="AV1102" s="401"/>
      <c r="AW1102" s="412"/>
      <c r="AX1102" s="230"/>
      <c r="AY1102" s="42"/>
      <c r="AZ1102" s="320"/>
      <c r="BD1102" s="401"/>
      <c r="BE1102" s="42"/>
    </row>
    <row r="1103" spans="48:57" x14ac:dyDescent="0.2">
      <c r="AV1103" s="401"/>
      <c r="AW1103" s="412"/>
      <c r="AX1103" s="230"/>
      <c r="AY1103" s="42"/>
      <c r="AZ1103" s="320"/>
      <c r="BD1103" s="401"/>
      <c r="BE1103" s="42"/>
    </row>
    <row r="1104" spans="48:57" x14ac:dyDescent="0.2">
      <c r="AV1104" s="401"/>
      <c r="AW1104" s="412"/>
      <c r="AX1104" s="230"/>
      <c r="AY1104" s="42"/>
      <c r="AZ1104" s="320"/>
      <c r="BD1104" s="401"/>
      <c r="BE1104" s="42"/>
    </row>
    <row r="1105" spans="48:57" x14ac:dyDescent="0.2">
      <c r="AV1105" s="401"/>
      <c r="AW1105" s="412"/>
      <c r="AX1105" s="230"/>
      <c r="AY1105" s="42"/>
      <c r="AZ1105" s="320"/>
      <c r="BD1105" s="401"/>
      <c r="BE1105" s="42"/>
    </row>
    <row r="1106" spans="48:57" x14ac:dyDescent="0.2">
      <c r="AV1106" s="401"/>
      <c r="AW1106" s="412"/>
      <c r="AX1106" s="230"/>
      <c r="AY1106" s="42"/>
      <c r="AZ1106" s="320"/>
      <c r="BD1106" s="401"/>
      <c r="BE1106" s="42"/>
    </row>
    <row r="1107" spans="48:57" x14ac:dyDescent="0.2">
      <c r="AV1107" s="401"/>
      <c r="AW1107" s="412"/>
      <c r="AX1107" s="230"/>
      <c r="AY1107" s="42"/>
      <c r="AZ1107" s="320"/>
      <c r="BD1107" s="401"/>
      <c r="BE1107" s="42"/>
    </row>
    <row r="1108" spans="48:57" x14ac:dyDescent="0.2">
      <c r="AV1108" s="401"/>
      <c r="AW1108" s="412"/>
      <c r="AX1108" s="230"/>
      <c r="AY1108" s="42"/>
      <c r="AZ1108" s="320"/>
      <c r="BD1108" s="401"/>
      <c r="BE1108" s="42"/>
    </row>
    <row r="1109" spans="48:57" x14ac:dyDescent="0.2">
      <c r="AV1109" s="401"/>
      <c r="AW1109" s="412"/>
      <c r="AX1109" s="230"/>
      <c r="AY1109" s="42"/>
      <c r="AZ1109" s="320"/>
      <c r="BD1109" s="401"/>
      <c r="BE1109" s="42"/>
    </row>
    <row r="1110" spans="48:57" x14ac:dyDescent="0.2">
      <c r="AV1110" s="401"/>
      <c r="AW1110" s="412"/>
      <c r="AX1110" s="230"/>
      <c r="AY1110" s="42"/>
      <c r="AZ1110" s="320"/>
      <c r="BD1110" s="401"/>
      <c r="BE1110" s="42"/>
    </row>
    <row r="1111" spans="48:57" x14ac:dyDescent="0.2">
      <c r="AV1111" s="401"/>
      <c r="AW1111" s="412"/>
      <c r="AX1111" s="230"/>
      <c r="AY1111" s="42"/>
      <c r="AZ1111" s="320"/>
      <c r="BD1111" s="401"/>
      <c r="BE1111" s="42"/>
    </row>
    <row r="1112" spans="48:57" x14ac:dyDescent="0.2">
      <c r="AV1112" s="401"/>
      <c r="AW1112" s="412"/>
      <c r="AX1112" s="230"/>
      <c r="AY1112" s="42"/>
      <c r="AZ1112" s="320"/>
      <c r="BD1112" s="401"/>
      <c r="BE1112" s="42"/>
    </row>
    <row r="1113" spans="48:57" x14ac:dyDescent="0.2">
      <c r="AV1113" s="401"/>
      <c r="AW1113" s="412"/>
      <c r="AX1113" s="230"/>
      <c r="AY1113" s="42"/>
      <c r="AZ1113" s="320"/>
      <c r="BD1113" s="401"/>
      <c r="BE1113" s="42"/>
    </row>
    <row r="1114" spans="48:57" x14ac:dyDescent="0.2">
      <c r="AV1114" s="401"/>
      <c r="AW1114" s="412"/>
      <c r="AX1114" s="230"/>
      <c r="AY1114" s="42"/>
      <c r="AZ1114" s="320"/>
      <c r="BD1114" s="401"/>
      <c r="BE1114" s="42"/>
    </row>
    <row r="1115" spans="48:57" x14ac:dyDescent="0.2">
      <c r="AV1115" s="401"/>
      <c r="AW1115" s="412"/>
      <c r="AX1115" s="230"/>
      <c r="AY1115" s="42"/>
      <c r="AZ1115" s="320"/>
      <c r="BD1115" s="401"/>
      <c r="BE1115" s="42"/>
    </row>
    <row r="1116" spans="48:57" x14ac:dyDescent="0.2">
      <c r="AV1116" s="401"/>
      <c r="AW1116" s="412"/>
      <c r="AX1116" s="230"/>
      <c r="AY1116" s="42"/>
      <c r="AZ1116" s="320"/>
      <c r="BD1116" s="401"/>
      <c r="BE1116" s="42"/>
    </row>
    <row r="1117" spans="48:57" x14ac:dyDescent="0.2">
      <c r="AV1117" s="401"/>
      <c r="AW1117" s="412"/>
      <c r="AX1117" s="230"/>
      <c r="AY1117" s="42"/>
      <c r="AZ1117" s="320"/>
      <c r="BD1117" s="401"/>
      <c r="BE1117" s="42"/>
    </row>
    <row r="1118" spans="48:57" x14ac:dyDescent="0.2">
      <c r="AV1118" s="401"/>
      <c r="AW1118" s="412"/>
      <c r="AX1118" s="230"/>
      <c r="AY1118" s="42"/>
      <c r="AZ1118" s="320"/>
      <c r="BD1118" s="401"/>
      <c r="BE1118" s="42"/>
    </row>
    <row r="1119" spans="48:57" x14ac:dyDescent="0.2">
      <c r="AV1119" s="401"/>
      <c r="AW1119" s="412"/>
      <c r="AX1119" s="230"/>
      <c r="AY1119" s="42"/>
      <c r="AZ1119" s="320"/>
      <c r="BD1119" s="401"/>
      <c r="BE1119" s="42"/>
    </row>
    <row r="1120" spans="48:57" x14ac:dyDescent="0.2">
      <c r="AV1120" s="401"/>
      <c r="AW1120" s="412"/>
      <c r="AX1120" s="230"/>
      <c r="AY1120" s="42"/>
      <c r="AZ1120" s="320"/>
      <c r="BD1120" s="401"/>
      <c r="BE1120" s="42"/>
    </row>
    <row r="1121" spans="48:57" x14ac:dyDescent="0.2">
      <c r="AV1121" s="401"/>
      <c r="AW1121" s="412"/>
      <c r="AX1121" s="230"/>
      <c r="AY1121" s="42"/>
      <c r="AZ1121" s="320"/>
      <c r="BD1121" s="401"/>
      <c r="BE1121" s="42"/>
    </row>
    <row r="1122" spans="48:57" x14ac:dyDescent="0.2">
      <c r="AV1122" s="401"/>
      <c r="AW1122" s="412"/>
      <c r="AX1122" s="230"/>
      <c r="AY1122" s="42"/>
      <c r="AZ1122" s="320"/>
      <c r="BD1122" s="401"/>
      <c r="BE1122" s="42"/>
    </row>
    <row r="1123" spans="48:57" x14ac:dyDescent="0.2">
      <c r="AV1123" s="401"/>
      <c r="AW1123" s="412"/>
      <c r="AX1123" s="230"/>
      <c r="AY1123" s="42"/>
      <c r="AZ1123" s="320"/>
      <c r="BD1123" s="401"/>
      <c r="BE1123" s="42"/>
    </row>
    <row r="1124" spans="48:57" x14ac:dyDescent="0.2">
      <c r="AV1124" s="401"/>
      <c r="AW1124" s="412"/>
      <c r="AX1124" s="230"/>
      <c r="AY1124" s="42"/>
      <c r="AZ1124" s="320"/>
      <c r="BD1124" s="401"/>
      <c r="BE1124" s="42"/>
    </row>
    <row r="1125" spans="48:57" x14ac:dyDescent="0.2">
      <c r="AV1125" s="401"/>
      <c r="AW1125" s="412"/>
      <c r="AX1125" s="230"/>
      <c r="AY1125" s="42"/>
      <c r="AZ1125" s="320"/>
      <c r="BD1125" s="401"/>
      <c r="BE1125" s="42"/>
    </row>
    <row r="1126" spans="48:57" x14ac:dyDescent="0.2">
      <c r="AV1126" s="401"/>
      <c r="AW1126" s="412"/>
      <c r="AX1126" s="230"/>
      <c r="AY1126" s="42"/>
      <c r="AZ1126" s="320"/>
      <c r="BD1126" s="401"/>
      <c r="BE1126" s="42"/>
    </row>
    <row r="1127" spans="48:57" x14ac:dyDescent="0.2">
      <c r="AV1127" s="401"/>
      <c r="AW1127" s="412"/>
      <c r="AX1127" s="230"/>
      <c r="AY1127" s="42"/>
      <c r="AZ1127" s="320"/>
      <c r="BD1127" s="401"/>
      <c r="BE1127" s="42"/>
    </row>
    <row r="1128" spans="48:57" x14ac:dyDescent="0.2">
      <c r="AV1128" s="401"/>
      <c r="AW1128" s="412"/>
      <c r="AX1128" s="230"/>
      <c r="AY1128" s="42"/>
      <c r="AZ1128" s="320"/>
      <c r="BD1128" s="401"/>
      <c r="BE1128" s="42"/>
    </row>
    <row r="1129" spans="48:57" x14ac:dyDescent="0.2">
      <c r="AV1129" s="401"/>
      <c r="AW1129" s="412"/>
      <c r="AX1129" s="230"/>
      <c r="AY1129" s="42"/>
      <c r="AZ1129" s="320"/>
      <c r="BD1129" s="401"/>
      <c r="BE1129" s="42"/>
    </row>
    <row r="1130" spans="48:57" x14ac:dyDescent="0.2">
      <c r="AV1130" s="401"/>
      <c r="AW1130" s="412"/>
      <c r="AX1130" s="230"/>
      <c r="AY1130" s="42"/>
      <c r="AZ1130" s="320"/>
      <c r="BD1130" s="401"/>
      <c r="BE1130" s="42"/>
    </row>
    <row r="1131" spans="48:57" x14ac:dyDescent="0.2">
      <c r="AV1131" s="401"/>
      <c r="AW1131" s="412"/>
      <c r="AX1131" s="230"/>
      <c r="AY1131" s="42"/>
      <c r="AZ1131" s="320"/>
      <c r="BD1131" s="401"/>
      <c r="BE1131" s="42"/>
    </row>
    <row r="1132" spans="48:57" x14ac:dyDescent="0.2">
      <c r="AV1132" s="401"/>
      <c r="AW1132" s="412"/>
      <c r="AX1132" s="230"/>
      <c r="AY1132" s="42"/>
      <c r="AZ1132" s="320"/>
      <c r="BD1132" s="401"/>
      <c r="BE1132" s="42"/>
    </row>
    <row r="1133" spans="48:57" x14ac:dyDescent="0.2">
      <c r="AV1133" s="401"/>
      <c r="AW1133" s="412"/>
      <c r="AX1133" s="230"/>
      <c r="AY1133" s="42"/>
      <c r="AZ1133" s="320"/>
      <c r="BD1133" s="401"/>
      <c r="BE1133" s="42"/>
    </row>
    <row r="1134" spans="48:57" x14ac:dyDescent="0.2">
      <c r="AV1134" s="401"/>
      <c r="AW1134" s="412"/>
      <c r="AX1134" s="230"/>
      <c r="AY1134" s="42"/>
      <c r="AZ1134" s="320"/>
      <c r="BD1134" s="401"/>
      <c r="BE1134" s="42"/>
    </row>
    <row r="1135" spans="48:57" x14ac:dyDescent="0.2">
      <c r="AV1135" s="401"/>
      <c r="AW1135" s="412"/>
      <c r="AX1135" s="230"/>
      <c r="AY1135" s="42"/>
      <c r="AZ1135" s="320"/>
      <c r="BD1135" s="401"/>
      <c r="BE1135" s="42"/>
    </row>
    <row r="1136" spans="48:57" x14ac:dyDescent="0.2">
      <c r="AV1136" s="401"/>
      <c r="AW1136" s="412"/>
      <c r="AX1136" s="230"/>
      <c r="AY1136" s="42"/>
      <c r="AZ1136" s="320"/>
      <c r="BD1136" s="401"/>
      <c r="BE1136" s="42"/>
    </row>
    <row r="1137" spans="48:57" x14ac:dyDescent="0.2">
      <c r="AV1137" s="401"/>
      <c r="AW1137" s="412"/>
      <c r="AX1137" s="230"/>
      <c r="AY1137" s="42"/>
      <c r="AZ1137" s="320"/>
      <c r="BD1137" s="401"/>
      <c r="BE1137" s="42"/>
    </row>
    <row r="1138" spans="48:57" x14ac:dyDescent="0.2">
      <c r="AV1138" s="401"/>
      <c r="AW1138" s="412"/>
      <c r="AX1138" s="230"/>
      <c r="AY1138" s="42"/>
      <c r="AZ1138" s="320"/>
      <c r="BD1138" s="401"/>
      <c r="BE1138" s="42"/>
    </row>
    <row r="1139" spans="48:57" x14ac:dyDescent="0.2">
      <c r="AV1139" s="401"/>
      <c r="AW1139" s="412"/>
      <c r="AX1139" s="230"/>
      <c r="AY1139" s="42"/>
      <c r="AZ1139" s="320"/>
      <c r="BD1139" s="401"/>
      <c r="BE1139" s="42"/>
    </row>
    <row r="1140" spans="48:57" x14ac:dyDescent="0.2">
      <c r="AV1140" s="401"/>
      <c r="AW1140" s="412"/>
      <c r="AX1140" s="230"/>
      <c r="AY1140" s="42"/>
      <c r="AZ1140" s="320"/>
      <c r="BD1140" s="401"/>
      <c r="BE1140" s="42"/>
    </row>
    <row r="1141" spans="48:57" x14ac:dyDescent="0.2">
      <c r="AV1141" s="401"/>
      <c r="AW1141" s="412"/>
      <c r="AX1141" s="230"/>
      <c r="AY1141" s="42"/>
      <c r="AZ1141" s="320"/>
      <c r="BD1141" s="401"/>
      <c r="BE1141" s="42"/>
    </row>
    <row r="1142" spans="48:57" x14ac:dyDescent="0.2">
      <c r="AV1142" s="401"/>
      <c r="AW1142" s="412"/>
      <c r="AX1142" s="230"/>
      <c r="AY1142" s="42"/>
      <c r="AZ1142" s="320"/>
      <c r="BD1142" s="401"/>
      <c r="BE1142" s="42"/>
    </row>
    <row r="1143" spans="48:57" x14ac:dyDescent="0.2">
      <c r="AV1143" s="401"/>
      <c r="AW1143" s="412"/>
      <c r="AX1143" s="230"/>
      <c r="AY1143" s="42"/>
      <c r="AZ1143" s="320"/>
      <c r="BD1143" s="401"/>
      <c r="BE1143" s="42"/>
    </row>
    <row r="1144" spans="48:57" x14ac:dyDescent="0.2">
      <c r="AV1144" s="401"/>
      <c r="AW1144" s="412"/>
      <c r="AX1144" s="230"/>
      <c r="AY1144" s="42"/>
      <c r="AZ1144" s="320"/>
      <c r="BD1144" s="401"/>
      <c r="BE1144" s="42"/>
    </row>
    <row r="1145" spans="48:57" x14ac:dyDescent="0.2">
      <c r="AV1145" s="401"/>
      <c r="AW1145" s="412"/>
      <c r="AX1145" s="230"/>
      <c r="AY1145" s="42"/>
      <c r="AZ1145" s="320"/>
      <c r="BD1145" s="401"/>
      <c r="BE1145" s="42"/>
    </row>
    <row r="1146" spans="48:57" x14ac:dyDescent="0.2">
      <c r="AV1146" s="401"/>
      <c r="AW1146" s="412"/>
      <c r="AX1146" s="230"/>
      <c r="AY1146" s="42"/>
      <c r="AZ1146" s="320"/>
      <c r="BD1146" s="401"/>
      <c r="BE1146" s="42"/>
    </row>
    <row r="1147" spans="48:57" x14ac:dyDescent="0.2">
      <c r="AV1147" s="401"/>
      <c r="AW1147" s="412"/>
      <c r="AX1147" s="230"/>
      <c r="AY1147" s="42"/>
      <c r="AZ1147" s="320"/>
      <c r="BD1147" s="401"/>
      <c r="BE1147" s="42"/>
    </row>
    <row r="1148" spans="48:57" x14ac:dyDescent="0.2">
      <c r="AV1148" s="401"/>
      <c r="AW1148" s="412"/>
      <c r="AX1148" s="230"/>
      <c r="AY1148" s="42"/>
      <c r="AZ1148" s="320"/>
      <c r="BD1148" s="401"/>
      <c r="BE1148" s="42"/>
    </row>
    <row r="1149" spans="48:57" x14ac:dyDescent="0.2">
      <c r="AV1149" s="401"/>
      <c r="AW1149" s="412"/>
      <c r="AX1149" s="230"/>
      <c r="AY1149" s="42"/>
      <c r="AZ1149" s="320"/>
      <c r="BD1149" s="401"/>
      <c r="BE1149" s="42"/>
    </row>
    <row r="1150" spans="48:57" x14ac:dyDescent="0.2">
      <c r="AV1150" s="401"/>
      <c r="AW1150" s="412"/>
      <c r="AX1150" s="230"/>
      <c r="AY1150" s="42"/>
      <c r="AZ1150" s="320"/>
      <c r="BD1150" s="401"/>
      <c r="BE1150" s="42"/>
    </row>
    <row r="1151" spans="48:57" x14ac:dyDescent="0.2">
      <c r="AV1151" s="401"/>
      <c r="AW1151" s="412"/>
      <c r="AX1151" s="230"/>
      <c r="AY1151" s="42"/>
      <c r="AZ1151" s="320"/>
      <c r="BD1151" s="401"/>
      <c r="BE1151" s="42"/>
    </row>
    <row r="1152" spans="48:57" x14ac:dyDescent="0.2">
      <c r="AV1152" s="401"/>
      <c r="AW1152" s="412"/>
      <c r="AX1152" s="230"/>
      <c r="AY1152" s="42"/>
      <c r="AZ1152" s="320"/>
      <c r="BD1152" s="401"/>
      <c r="BE1152" s="42"/>
    </row>
    <row r="1153" spans="48:57" x14ac:dyDescent="0.2">
      <c r="AV1153" s="401"/>
      <c r="AW1153" s="412"/>
      <c r="AX1153" s="230"/>
      <c r="AY1153" s="42"/>
      <c r="AZ1153" s="320"/>
      <c r="BD1153" s="401"/>
      <c r="BE1153" s="42"/>
    </row>
    <row r="1154" spans="48:57" x14ac:dyDescent="0.2">
      <c r="AV1154" s="401"/>
      <c r="AW1154" s="412"/>
      <c r="AX1154" s="230"/>
      <c r="AY1154" s="42"/>
      <c r="AZ1154" s="320"/>
      <c r="BD1154" s="401"/>
      <c r="BE1154" s="42"/>
    </row>
    <row r="1155" spans="48:57" x14ac:dyDescent="0.2">
      <c r="AV1155" s="401"/>
      <c r="AW1155" s="412"/>
      <c r="AX1155" s="230"/>
      <c r="AY1155" s="42"/>
      <c r="AZ1155" s="320"/>
      <c r="BD1155" s="401"/>
      <c r="BE1155" s="42"/>
    </row>
    <row r="1156" spans="48:57" x14ac:dyDescent="0.2">
      <c r="AV1156" s="401"/>
      <c r="AW1156" s="412"/>
      <c r="AX1156" s="230"/>
      <c r="AY1156" s="42"/>
      <c r="AZ1156" s="320"/>
      <c r="BD1156" s="401"/>
      <c r="BE1156" s="42"/>
    </row>
    <row r="1157" spans="48:57" x14ac:dyDescent="0.2">
      <c r="AV1157" s="401"/>
      <c r="AW1157" s="412"/>
      <c r="AX1157" s="230"/>
      <c r="AY1157" s="42"/>
      <c r="AZ1157" s="320"/>
      <c r="BD1157" s="401"/>
      <c r="BE1157" s="42"/>
    </row>
    <row r="1158" spans="48:57" x14ac:dyDescent="0.2">
      <c r="AV1158" s="401"/>
      <c r="AW1158" s="412"/>
      <c r="AX1158" s="230"/>
      <c r="AY1158" s="42"/>
      <c r="AZ1158" s="320"/>
      <c r="BD1158" s="401"/>
      <c r="BE1158" s="42"/>
    </row>
    <row r="1159" spans="48:57" x14ac:dyDescent="0.2">
      <c r="AV1159" s="401"/>
      <c r="AW1159" s="412"/>
      <c r="AX1159" s="230"/>
      <c r="AY1159" s="42"/>
      <c r="AZ1159" s="320"/>
      <c r="BD1159" s="401"/>
      <c r="BE1159" s="42"/>
    </row>
    <row r="1160" spans="48:57" x14ac:dyDescent="0.2">
      <c r="AV1160" s="401"/>
      <c r="AW1160" s="412"/>
      <c r="AX1160" s="230"/>
      <c r="AY1160" s="42"/>
      <c r="AZ1160" s="320"/>
      <c r="BD1160" s="401"/>
      <c r="BE1160" s="42"/>
    </row>
    <row r="1161" spans="48:57" x14ac:dyDescent="0.2">
      <c r="AV1161" s="401"/>
      <c r="AW1161" s="412"/>
      <c r="AX1161" s="230"/>
      <c r="AY1161" s="42"/>
      <c r="AZ1161" s="320"/>
      <c r="BD1161" s="401"/>
      <c r="BE1161" s="42"/>
    </row>
    <row r="1162" spans="48:57" x14ac:dyDescent="0.2">
      <c r="AV1162" s="401"/>
      <c r="AW1162" s="412"/>
      <c r="AX1162" s="230"/>
      <c r="AY1162" s="42"/>
      <c r="AZ1162" s="320"/>
      <c r="BD1162" s="401"/>
      <c r="BE1162" s="42"/>
    </row>
    <row r="1163" spans="48:57" x14ac:dyDescent="0.2">
      <c r="AV1163" s="401"/>
      <c r="AW1163" s="412"/>
      <c r="AX1163" s="230"/>
      <c r="AY1163" s="42"/>
      <c r="AZ1163" s="320"/>
      <c r="BD1163" s="401"/>
      <c r="BE1163" s="42"/>
    </row>
    <row r="1164" spans="48:57" x14ac:dyDescent="0.2">
      <c r="AV1164" s="401"/>
      <c r="AW1164" s="412"/>
      <c r="AX1164" s="230"/>
      <c r="AY1164" s="42"/>
      <c r="AZ1164" s="320"/>
      <c r="BD1164" s="401"/>
      <c r="BE1164" s="42"/>
    </row>
    <row r="1165" spans="48:57" x14ac:dyDescent="0.2">
      <c r="AV1165" s="401"/>
      <c r="AW1165" s="412"/>
      <c r="AX1165" s="230"/>
      <c r="AY1165" s="42"/>
      <c r="AZ1165" s="320"/>
      <c r="BD1165" s="401"/>
      <c r="BE1165" s="42"/>
    </row>
    <row r="1166" spans="48:57" x14ac:dyDescent="0.2">
      <c r="AV1166" s="401"/>
      <c r="AW1166" s="412"/>
      <c r="AX1166" s="230"/>
      <c r="AY1166" s="42"/>
      <c r="AZ1166" s="320"/>
      <c r="BD1166" s="401"/>
      <c r="BE1166" s="42"/>
    </row>
    <row r="1167" spans="48:57" x14ac:dyDescent="0.2">
      <c r="AV1167" s="401"/>
      <c r="AW1167" s="412"/>
      <c r="AX1167" s="230"/>
      <c r="AY1167" s="42"/>
      <c r="AZ1167" s="320"/>
      <c r="BD1167" s="401"/>
      <c r="BE1167" s="42"/>
    </row>
    <row r="1168" spans="48:57" x14ac:dyDescent="0.2">
      <c r="AV1168" s="401"/>
      <c r="AW1168" s="412"/>
      <c r="AX1168" s="230"/>
      <c r="AY1168" s="42"/>
      <c r="AZ1168" s="320"/>
      <c r="BD1168" s="401"/>
      <c r="BE1168" s="42"/>
    </row>
    <row r="1169" spans="48:57" x14ac:dyDescent="0.2">
      <c r="AV1169" s="401"/>
      <c r="AW1169" s="412"/>
      <c r="AX1169" s="230"/>
      <c r="AY1169" s="42"/>
      <c r="AZ1169" s="320"/>
      <c r="BD1169" s="401"/>
      <c r="BE1169" s="42"/>
    </row>
    <row r="1170" spans="48:57" x14ac:dyDescent="0.2">
      <c r="AV1170" s="401"/>
      <c r="AW1170" s="412"/>
      <c r="AX1170" s="230"/>
      <c r="AY1170" s="42"/>
      <c r="AZ1170" s="320"/>
      <c r="BD1170" s="401"/>
      <c r="BE1170" s="42"/>
    </row>
    <row r="1171" spans="48:57" x14ac:dyDescent="0.2">
      <c r="AV1171" s="401"/>
      <c r="AW1171" s="412"/>
      <c r="AX1171" s="230"/>
      <c r="AY1171" s="42"/>
      <c r="AZ1171" s="320"/>
      <c r="BD1171" s="401"/>
      <c r="BE1171" s="42"/>
    </row>
    <row r="1172" spans="48:57" x14ac:dyDescent="0.2">
      <c r="AV1172" s="401"/>
      <c r="AW1172" s="412"/>
      <c r="AX1172" s="230"/>
      <c r="AY1172" s="42"/>
      <c r="AZ1172" s="320"/>
      <c r="BD1172" s="401"/>
      <c r="BE1172" s="42"/>
    </row>
    <row r="1173" spans="48:57" x14ac:dyDescent="0.2">
      <c r="AV1173" s="401"/>
      <c r="AW1173" s="412"/>
      <c r="AX1173" s="230"/>
      <c r="AY1173" s="42"/>
      <c r="AZ1173" s="320"/>
      <c r="BD1173" s="401"/>
      <c r="BE1173" s="42"/>
    </row>
    <row r="1174" spans="48:57" x14ac:dyDescent="0.2">
      <c r="AV1174" s="401"/>
      <c r="AW1174" s="412"/>
      <c r="AX1174" s="230"/>
      <c r="AY1174" s="42"/>
      <c r="AZ1174" s="320"/>
      <c r="BD1174" s="401"/>
      <c r="BE1174" s="42"/>
    </row>
    <row r="1175" spans="48:57" x14ac:dyDescent="0.2">
      <c r="AV1175" s="401"/>
      <c r="AW1175" s="412"/>
      <c r="AX1175" s="230"/>
      <c r="AY1175" s="42"/>
      <c r="AZ1175" s="320"/>
      <c r="BD1175" s="401"/>
      <c r="BE1175" s="42"/>
    </row>
    <row r="1176" spans="48:57" x14ac:dyDescent="0.2">
      <c r="AV1176" s="401"/>
      <c r="AW1176" s="412"/>
      <c r="AX1176" s="230"/>
      <c r="AY1176" s="42"/>
      <c r="AZ1176" s="320"/>
      <c r="BD1176" s="401"/>
      <c r="BE1176" s="42"/>
    </row>
    <row r="1177" spans="48:57" x14ac:dyDescent="0.2">
      <c r="AV1177" s="401"/>
      <c r="AW1177" s="412"/>
      <c r="AX1177" s="230"/>
      <c r="AY1177" s="42"/>
      <c r="AZ1177" s="320"/>
      <c r="BD1177" s="401"/>
      <c r="BE1177" s="42"/>
    </row>
    <row r="1178" spans="48:57" x14ac:dyDescent="0.2">
      <c r="AV1178" s="401"/>
      <c r="AW1178" s="412"/>
      <c r="AX1178" s="230"/>
      <c r="AY1178" s="42"/>
      <c r="AZ1178" s="320"/>
      <c r="BD1178" s="401"/>
      <c r="BE1178" s="42"/>
    </row>
    <row r="1179" spans="48:57" x14ac:dyDescent="0.2">
      <c r="AV1179" s="401"/>
      <c r="AW1179" s="412"/>
      <c r="AX1179" s="230"/>
      <c r="AY1179" s="42"/>
      <c r="AZ1179" s="320"/>
      <c r="BD1179" s="401"/>
      <c r="BE1179" s="42"/>
    </row>
    <row r="1180" spans="48:57" x14ac:dyDescent="0.2">
      <c r="AV1180" s="401"/>
      <c r="AW1180" s="412"/>
      <c r="AX1180" s="230"/>
      <c r="AY1180" s="42"/>
      <c r="AZ1180" s="320"/>
      <c r="BD1180" s="401"/>
      <c r="BE1180" s="42"/>
    </row>
    <row r="1181" spans="48:57" x14ac:dyDescent="0.2">
      <c r="AV1181" s="401"/>
      <c r="AW1181" s="412"/>
      <c r="AX1181" s="230"/>
      <c r="AY1181" s="42"/>
      <c r="AZ1181" s="320"/>
      <c r="BD1181" s="401"/>
      <c r="BE1181" s="42"/>
    </row>
    <row r="1182" spans="48:57" x14ac:dyDescent="0.2">
      <c r="AV1182" s="401"/>
      <c r="AW1182" s="412"/>
      <c r="AX1182" s="230"/>
      <c r="AY1182" s="42"/>
      <c r="AZ1182" s="320"/>
      <c r="BD1182" s="401"/>
      <c r="BE1182" s="42"/>
    </row>
    <row r="1183" spans="48:57" x14ac:dyDescent="0.2">
      <c r="AV1183" s="401"/>
      <c r="AW1183" s="412"/>
      <c r="AX1183" s="230"/>
      <c r="AY1183" s="42"/>
      <c r="AZ1183" s="320"/>
      <c r="BD1183" s="401"/>
      <c r="BE1183" s="42"/>
    </row>
    <row r="1184" spans="48:57" x14ac:dyDescent="0.2">
      <c r="AV1184" s="401"/>
      <c r="AW1184" s="412"/>
      <c r="AX1184" s="230"/>
      <c r="AY1184" s="42"/>
      <c r="AZ1184" s="320"/>
      <c r="BD1184" s="401"/>
      <c r="BE1184" s="42"/>
    </row>
    <row r="1185" spans="48:57" x14ac:dyDescent="0.2">
      <c r="AV1185" s="401"/>
      <c r="AW1185" s="412"/>
      <c r="AX1185" s="230"/>
      <c r="AY1185" s="42"/>
      <c r="AZ1185" s="320"/>
      <c r="BD1185" s="401"/>
      <c r="BE1185" s="42"/>
    </row>
    <row r="1186" spans="48:57" x14ac:dyDescent="0.2">
      <c r="AV1186" s="401"/>
      <c r="AW1186" s="412"/>
      <c r="AX1186" s="230"/>
      <c r="AY1186" s="42"/>
      <c r="AZ1186" s="320"/>
      <c r="BD1186" s="401"/>
      <c r="BE1186" s="42"/>
    </row>
    <row r="1187" spans="48:57" x14ac:dyDescent="0.2">
      <c r="AV1187" s="401"/>
      <c r="AW1187" s="412"/>
      <c r="AX1187" s="230"/>
      <c r="AY1187" s="42"/>
      <c r="AZ1187" s="320"/>
      <c r="BD1187" s="401"/>
      <c r="BE1187" s="42"/>
    </row>
    <row r="1188" spans="48:57" x14ac:dyDescent="0.2">
      <c r="AV1188" s="401"/>
      <c r="AW1188" s="412"/>
      <c r="AX1188" s="230"/>
      <c r="AY1188" s="42"/>
      <c r="AZ1188" s="320"/>
      <c r="BD1188" s="401"/>
      <c r="BE1188" s="42"/>
    </row>
    <row r="1189" spans="48:57" x14ac:dyDescent="0.2">
      <c r="AV1189" s="401"/>
      <c r="AW1189" s="412"/>
      <c r="AX1189" s="230"/>
      <c r="AY1189" s="42"/>
      <c r="AZ1189" s="320"/>
      <c r="BD1189" s="401"/>
      <c r="BE1189" s="42"/>
    </row>
    <row r="1190" spans="48:57" x14ac:dyDescent="0.2">
      <c r="AV1190" s="401"/>
      <c r="AW1190" s="412"/>
      <c r="AX1190" s="230"/>
      <c r="AY1190" s="42"/>
      <c r="AZ1190" s="320"/>
      <c r="BD1190" s="401"/>
      <c r="BE1190" s="42"/>
    </row>
    <row r="1191" spans="48:57" x14ac:dyDescent="0.2">
      <c r="AV1191" s="401"/>
      <c r="AW1191" s="412"/>
      <c r="AX1191" s="230"/>
      <c r="AY1191" s="42"/>
      <c r="AZ1191" s="320"/>
      <c r="BD1191" s="401"/>
      <c r="BE1191" s="42"/>
    </row>
    <row r="1192" spans="48:57" x14ac:dyDescent="0.2">
      <c r="AV1192" s="401"/>
      <c r="AW1192" s="412"/>
      <c r="AX1192" s="230"/>
      <c r="AY1192" s="42"/>
      <c r="AZ1192" s="320"/>
      <c r="BD1192" s="401"/>
      <c r="BE1192" s="42"/>
    </row>
    <row r="1193" spans="48:57" x14ac:dyDescent="0.2">
      <c r="AV1193" s="401"/>
      <c r="AW1193" s="412"/>
      <c r="AX1193" s="230"/>
      <c r="AY1193" s="42"/>
      <c r="AZ1193" s="320"/>
      <c r="BD1193" s="401"/>
      <c r="BE1193" s="42"/>
    </row>
    <row r="1194" spans="48:57" x14ac:dyDescent="0.2">
      <c r="AV1194" s="401"/>
      <c r="AW1194" s="412"/>
      <c r="AX1194" s="230"/>
      <c r="AY1194" s="42"/>
      <c r="AZ1194" s="320"/>
      <c r="BD1194" s="401"/>
      <c r="BE1194" s="42"/>
    </row>
    <row r="1195" spans="48:57" x14ac:dyDescent="0.2">
      <c r="AV1195" s="401"/>
      <c r="AW1195" s="412"/>
      <c r="AX1195" s="230"/>
      <c r="AY1195" s="42"/>
      <c r="AZ1195" s="320"/>
      <c r="BD1195" s="401"/>
      <c r="BE1195" s="42"/>
    </row>
    <row r="1196" spans="48:57" x14ac:dyDescent="0.2">
      <c r="AV1196" s="401"/>
      <c r="AW1196" s="412"/>
      <c r="AX1196" s="230"/>
      <c r="AY1196" s="42"/>
      <c r="AZ1196" s="320"/>
      <c r="BD1196" s="401"/>
      <c r="BE1196" s="42"/>
    </row>
    <row r="1197" spans="48:57" x14ac:dyDescent="0.2">
      <c r="AV1197" s="401"/>
      <c r="AW1197" s="412"/>
      <c r="AX1197" s="230"/>
      <c r="AY1197" s="42"/>
      <c r="AZ1197" s="320"/>
      <c r="BD1197" s="401"/>
      <c r="BE1197" s="42"/>
    </row>
    <row r="1198" spans="48:57" x14ac:dyDescent="0.2">
      <c r="AV1198" s="401"/>
      <c r="AW1198" s="412"/>
      <c r="AX1198" s="230"/>
      <c r="AY1198" s="42"/>
      <c r="AZ1198" s="320"/>
      <c r="BD1198" s="401"/>
      <c r="BE1198" s="42"/>
    </row>
    <row r="1199" spans="48:57" x14ac:dyDescent="0.2">
      <c r="AV1199" s="401"/>
      <c r="AW1199" s="412"/>
      <c r="AX1199" s="230"/>
      <c r="AY1199" s="42"/>
      <c r="AZ1199" s="320"/>
      <c r="BD1199" s="401"/>
      <c r="BE1199" s="42"/>
    </row>
    <row r="1200" spans="48:57" x14ac:dyDescent="0.2">
      <c r="AV1200" s="401"/>
      <c r="AW1200" s="412"/>
      <c r="AX1200" s="230"/>
      <c r="AY1200" s="42"/>
      <c r="AZ1200" s="320"/>
      <c r="BD1200" s="401"/>
      <c r="BE1200" s="42"/>
    </row>
    <row r="1201" spans="48:57" x14ac:dyDescent="0.2">
      <c r="AV1201" s="401"/>
      <c r="AW1201" s="412"/>
      <c r="AX1201" s="230"/>
      <c r="AY1201" s="42"/>
      <c r="AZ1201" s="320"/>
      <c r="BD1201" s="401"/>
      <c r="BE1201" s="42"/>
    </row>
    <row r="1202" spans="48:57" x14ac:dyDescent="0.2">
      <c r="AV1202" s="401"/>
      <c r="AW1202" s="412"/>
      <c r="AX1202" s="230"/>
      <c r="AY1202" s="42"/>
      <c r="AZ1202" s="320"/>
      <c r="BD1202" s="401"/>
      <c r="BE1202" s="42"/>
    </row>
    <row r="1203" spans="48:57" x14ac:dyDescent="0.2">
      <c r="AV1203" s="401"/>
      <c r="AW1203" s="412"/>
      <c r="AX1203" s="230"/>
      <c r="AY1203" s="42"/>
      <c r="AZ1203" s="320"/>
      <c r="BD1203" s="401"/>
      <c r="BE1203" s="42"/>
    </row>
    <row r="1204" spans="48:57" x14ac:dyDescent="0.2">
      <c r="AV1204" s="401"/>
      <c r="AW1204" s="412"/>
      <c r="AX1204" s="230"/>
      <c r="AY1204" s="42"/>
      <c r="AZ1204" s="320"/>
      <c r="BD1204" s="401"/>
      <c r="BE1204" s="42"/>
    </row>
    <row r="1205" spans="48:57" x14ac:dyDescent="0.2">
      <c r="AV1205" s="401"/>
      <c r="AW1205" s="412"/>
      <c r="AX1205" s="230"/>
      <c r="AY1205" s="42"/>
      <c r="AZ1205" s="320"/>
      <c r="BD1205" s="401"/>
      <c r="BE1205" s="42"/>
    </row>
    <row r="1206" spans="48:57" x14ac:dyDescent="0.2">
      <c r="AV1206" s="401"/>
      <c r="AW1206" s="412"/>
      <c r="AX1206" s="230"/>
      <c r="AY1206" s="42"/>
      <c r="AZ1206" s="320"/>
      <c r="BD1206" s="401"/>
      <c r="BE1206" s="42"/>
    </row>
    <row r="1207" spans="48:57" x14ac:dyDescent="0.2">
      <c r="AV1207" s="401"/>
      <c r="AW1207" s="412"/>
      <c r="AX1207" s="230"/>
      <c r="AY1207" s="42"/>
      <c r="AZ1207" s="320"/>
      <c r="BD1207" s="401"/>
      <c r="BE1207" s="42"/>
    </row>
    <row r="1208" spans="48:57" x14ac:dyDescent="0.2">
      <c r="AV1208" s="401"/>
      <c r="AW1208" s="412"/>
      <c r="AX1208" s="230"/>
      <c r="AY1208" s="42"/>
      <c r="AZ1208" s="320"/>
      <c r="BD1208" s="401"/>
      <c r="BE1208" s="42"/>
    </row>
    <row r="1209" spans="48:57" x14ac:dyDescent="0.2">
      <c r="AV1209" s="401"/>
      <c r="AW1209" s="412"/>
      <c r="AX1209" s="230"/>
      <c r="AY1209" s="42"/>
      <c r="AZ1209" s="320"/>
      <c r="BD1209" s="401"/>
      <c r="BE1209" s="42"/>
    </row>
    <row r="1210" spans="48:57" x14ac:dyDescent="0.2">
      <c r="AV1210" s="401"/>
      <c r="AW1210" s="412"/>
      <c r="AX1210" s="230"/>
      <c r="AY1210" s="42"/>
      <c r="AZ1210" s="320"/>
      <c r="BD1210" s="401"/>
      <c r="BE1210" s="42"/>
    </row>
    <row r="1211" spans="48:57" x14ac:dyDescent="0.2">
      <c r="AV1211" s="401"/>
      <c r="AW1211" s="412"/>
      <c r="AX1211" s="230"/>
      <c r="AY1211" s="42"/>
      <c r="AZ1211" s="320"/>
      <c r="BD1211" s="401"/>
      <c r="BE1211" s="42"/>
    </row>
    <row r="1212" spans="48:57" x14ac:dyDescent="0.2">
      <c r="AV1212" s="401"/>
      <c r="AW1212" s="412"/>
      <c r="AX1212" s="230"/>
      <c r="AY1212" s="42"/>
      <c r="AZ1212" s="320"/>
      <c r="BD1212" s="401"/>
      <c r="BE1212" s="42"/>
    </row>
    <row r="1213" spans="48:57" x14ac:dyDescent="0.2">
      <c r="AV1213" s="401"/>
      <c r="AW1213" s="412"/>
      <c r="AX1213" s="230"/>
      <c r="AY1213" s="42"/>
      <c r="AZ1213" s="320"/>
      <c r="BD1213" s="401"/>
      <c r="BE1213" s="42"/>
    </row>
    <row r="1214" spans="48:57" x14ac:dyDescent="0.2">
      <c r="AV1214" s="401"/>
      <c r="AW1214" s="412"/>
      <c r="AX1214" s="230"/>
      <c r="AY1214" s="42"/>
      <c r="AZ1214" s="320"/>
      <c r="BD1214" s="401"/>
      <c r="BE1214" s="42"/>
    </row>
    <row r="1215" spans="48:57" x14ac:dyDescent="0.2">
      <c r="AV1215" s="401"/>
      <c r="AW1215" s="412"/>
      <c r="AX1215" s="230"/>
      <c r="AY1215" s="42"/>
      <c r="AZ1215" s="320"/>
      <c r="BD1215" s="401"/>
      <c r="BE1215" s="42"/>
    </row>
    <row r="1216" spans="48:57" x14ac:dyDescent="0.2">
      <c r="AV1216" s="401"/>
      <c r="AW1216" s="412"/>
      <c r="AX1216" s="230"/>
      <c r="AY1216" s="42"/>
      <c r="AZ1216" s="320"/>
      <c r="BD1216" s="401"/>
      <c r="BE1216" s="42"/>
    </row>
    <row r="1217" spans="48:57" x14ac:dyDescent="0.2">
      <c r="AV1217" s="401"/>
      <c r="AW1217" s="412"/>
      <c r="AX1217" s="230"/>
      <c r="AY1217" s="42"/>
      <c r="AZ1217" s="320"/>
      <c r="BD1217" s="401"/>
      <c r="BE1217" s="42"/>
    </row>
    <row r="1218" spans="48:57" x14ac:dyDescent="0.2">
      <c r="AV1218" s="401"/>
      <c r="AW1218" s="412"/>
      <c r="AX1218" s="230"/>
      <c r="AY1218" s="42"/>
      <c r="AZ1218" s="320"/>
      <c r="BD1218" s="401"/>
      <c r="BE1218" s="42"/>
    </row>
    <row r="1219" spans="48:57" x14ac:dyDescent="0.2">
      <c r="AV1219" s="401"/>
      <c r="AW1219" s="412"/>
      <c r="AX1219" s="230"/>
      <c r="AY1219" s="42"/>
      <c r="AZ1219" s="320"/>
      <c r="BD1219" s="401"/>
      <c r="BE1219" s="42"/>
    </row>
    <row r="1220" spans="48:57" x14ac:dyDescent="0.2">
      <c r="AV1220" s="401"/>
      <c r="AW1220" s="412"/>
      <c r="AX1220" s="230"/>
      <c r="AY1220" s="42"/>
      <c r="AZ1220" s="320"/>
      <c r="BD1220" s="401"/>
      <c r="BE1220" s="42"/>
    </row>
    <row r="1221" spans="48:57" x14ac:dyDescent="0.2">
      <c r="AV1221" s="401"/>
      <c r="AW1221" s="412"/>
      <c r="AX1221" s="230"/>
      <c r="AY1221" s="42"/>
      <c r="AZ1221" s="320"/>
      <c r="BD1221" s="401"/>
      <c r="BE1221" s="42"/>
    </row>
    <row r="1222" spans="48:57" x14ac:dyDescent="0.2">
      <c r="AV1222" s="401"/>
      <c r="AW1222" s="412"/>
      <c r="AX1222" s="230"/>
      <c r="AY1222" s="42"/>
      <c r="AZ1222" s="320"/>
      <c r="BD1222" s="401"/>
      <c r="BE1222" s="42"/>
    </row>
    <row r="1223" spans="48:57" x14ac:dyDescent="0.2">
      <c r="AV1223" s="401"/>
      <c r="AW1223" s="412"/>
      <c r="AX1223" s="230"/>
      <c r="AY1223" s="42"/>
      <c r="AZ1223" s="320"/>
      <c r="BD1223" s="401"/>
      <c r="BE1223" s="42"/>
    </row>
    <row r="1224" spans="48:57" x14ac:dyDescent="0.2">
      <c r="AV1224" s="401"/>
      <c r="AW1224" s="412"/>
      <c r="AX1224" s="230"/>
      <c r="AY1224" s="42"/>
      <c r="AZ1224" s="320"/>
      <c r="BD1224" s="401"/>
      <c r="BE1224" s="42"/>
    </row>
    <row r="1225" spans="48:57" x14ac:dyDescent="0.2">
      <c r="AV1225" s="401"/>
      <c r="AW1225" s="412"/>
      <c r="AX1225" s="230"/>
      <c r="AY1225" s="42"/>
      <c r="AZ1225" s="320"/>
      <c r="BD1225" s="401"/>
      <c r="BE1225" s="42"/>
    </row>
    <row r="1226" spans="48:57" x14ac:dyDescent="0.2">
      <c r="AV1226" s="401"/>
      <c r="AW1226" s="412"/>
      <c r="AX1226" s="230"/>
      <c r="AY1226" s="42"/>
      <c r="AZ1226" s="320"/>
      <c r="BD1226" s="401"/>
      <c r="BE1226" s="42"/>
    </row>
    <row r="1227" spans="48:57" x14ac:dyDescent="0.2">
      <c r="AV1227" s="401"/>
      <c r="AW1227" s="412"/>
      <c r="AX1227" s="230"/>
      <c r="AY1227" s="42"/>
      <c r="AZ1227" s="320"/>
      <c r="BD1227" s="401"/>
      <c r="BE1227" s="42"/>
    </row>
    <row r="1228" spans="48:57" x14ac:dyDescent="0.2">
      <c r="AV1228" s="401"/>
      <c r="AW1228" s="412"/>
      <c r="AX1228" s="230"/>
      <c r="AY1228" s="42"/>
      <c r="AZ1228" s="320"/>
      <c r="BD1228" s="401"/>
      <c r="BE1228" s="42"/>
    </row>
    <row r="1229" spans="48:57" x14ac:dyDescent="0.2">
      <c r="AV1229" s="401"/>
      <c r="AW1229" s="412"/>
      <c r="AX1229" s="230"/>
      <c r="AY1229" s="42"/>
      <c r="AZ1229" s="320"/>
      <c r="BD1229" s="401"/>
      <c r="BE1229" s="42"/>
    </row>
    <row r="1230" spans="48:57" x14ac:dyDescent="0.2">
      <c r="AV1230" s="401"/>
      <c r="AW1230" s="412"/>
      <c r="AX1230" s="230"/>
      <c r="AY1230" s="42"/>
      <c r="AZ1230" s="320"/>
      <c r="BD1230" s="401"/>
      <c r="BE1230" s="42"/>
    </row>
    <row r="1231" spans="48:57" x14ac:dyDescent="0.2">
      <c r="AV1231" s="401"/>
      <c r="AW1231" s="412"/>
      <c r="AX1231" s="230"/>
      <c r="AY1231" s="42"/>
      <c r="AZ1231" s="320"/>
      <c r="BD1231" s="401"/>
      <c r="BE1231" s="42"/>
    </row>
    <row r="1232" spans="48:57" x14ac:dyDescent="0.2">
      <c r="AV1232" s="401"/>
      <c r="AW1232" s="412"/>
      <c r="AX1232" s="230"/>
      <c r="AY1232" s="42"/>
      <c r="AZ1232" s="320"/>
      <c r="BD1232" s="401"/>
      <c r="BE1232" s="42"/>
    </row>
    <row r="1233" spans="48:57" x14ac:dyDescent="0.2">
      <c r="AV1233" s="401"/>
      <c r="AW1233" s="412"/>
      <c r="AX1233" s="230"/>
      <c r="AY1233" s="42"/>
      <c r="AZ1233" s="320"/>
      <c r="BD1233" s="401"/>
      <c r="BE1233" s="42"/>
    </row>
    <row r="1234" spans="48:57" x14ac:dyDescent="0.2">
      <c r="AV1234" s="401"/>
      <c r="AW1234" s="412"/>
      <c r="AX1234" s="230"/>
      <c r="AY1234" s="42"/>
      <c r="AZ1234" s="320"/>
      <c r="BD1234" s="401"/>
      <c r="BE1234" s="42"/>
    </row>
    <row r="1235" spans="48:57" x14ac:dyDescent="0.2">
      <c r="AV1235" s="401"/>
      <c r="AW1235" s="412"/>
      <c r="AX1235" s="230"/>
      <c r="AY1235" s="42"/>
      <c r="AZ1235" s="320"/>
      <c r="BD1235" s="401"/>
      <c r="BE1235" s="42"/>
    </row>
    <row r="1236" spans="48:57" x14ac:dyDescent="0.2">
      <c r="AV1236" s="401"/>
      <c r="AW1236" s="412"/>
      <c r="AX1236" s="230"/>
      <c r="AY1236" s="42"/>
      <c r="AZ1236" s="320"/>
      <c r="BD1236" s="401"/>
      <c r="BE1236" s="42"/>
    </row>
    <row r="1237" spans="48:57" x14ac:dyDescent="0.2">
      <c r="AV1237" s="401"/>
      <c r="AW1237" s="412"/>
      <c r="AX1237" s="230"/>
      <c r="AY1237" s="42"/>
      <c r="AZ1237" s="320"/>
      <c r="BD1237" s="401"/>
      <c r="BE1237" s="42"/>
    </row>
    <row r="1238" spans="48:57" x14ac:dyDescent="0.2">
      <c r="AV1238" s="401"/>
      <c r="AW1238" s="412"/>
      <c r="AX1238" s="230"/>
      <c r="AY1238" s="42"/>
      <c r="AZ1238" s="320"/>
      <c r="BD1238" s="401"/>
      <c r="BE1238" s="42"/>
    </row>
    <row r="1239" spans="48:57" x14ac:dyDescent="0.2">
      <c r="AV1239" s="401"/>
      <c r="AW1239" s="412"/>
      <c r="AX1239" s="230"/>
      <c r="AY1239" s="42"/>
      <c r="AZ1239" s="320"/>
      <c r="BD1239" s="401"/>
      <c r="BE1239" s="42"/>
    </row>
    <row r="1240" spans="48:57" x14ac:dyDescent="0.2">
      <c r="AV1240" s="401"/>
      <c r="AW1240" s="412"/>
      <c r="AX1240" s="230"/>
      <c r="AY1240" s="42"/>
      <c r="AZ1240" s="320"/>
      <c r="BD1240" s="401"/>
      <c r="BE1240" s="42"/>
    </row>
    <row r="1241" spans="48:57" x14ac:dyDescent="0.2">
      <c r="AV1241" s="401"/>
      <c r="AW1241" s="412"/>
      <c r="AX1241" s="230"/>
      <c r="AY1241" s="42"/>
      <c r="AZ1241" s="320"/>
      <c r="BD1241" s="401"/>
      <c r="BE1241" s="42"/>
    </row>
    <row r="1242" spans="48:57" x14ac:dyDescent="0.2">
      <c r="AV1242" s="401"/>
      <c r="AW1242" s="412"/>
      <c r="AX1242" s="230"/>
      <c r="AY1242" s="42"/>
      <c r="AZ1242" s="320"/>
      <c r="BD1242" s="401"/>
      <c r="BE1242" s="42"/>
    </row>
    <row r="1243" spans="48:57" x14ac:dyDescent="0.2">
      <c r="AV1243" s="401"/>
      <c r="AW1243" s="412"/>
      <c r="AX1243" s="230"/>
      <c r="AY1243" s="42"/>
      <c r="AZ1243" s="320"/>
      <c r="BD1243" s="401"/>
      <c r="BE1243" s="42"/>
    </row>
    <row r="1244" spans="48:57" x14ac:dyDescent="0.2">
      <c r="AV1244" s="401"/>
      <c r="AW1244" s="412"/>
      <c r="AX1244" s="230"/>
      <c r="AY1244" s="42"/>
      <c r="AZ1244" s="320"/>
      <c r="BD1244" s="401"/>
      <c r="BE1244" s="42"/>
    </row>
    <row r="1245" spans="48:57" x14ac:dyDescent="0.2">
      <c r="AV1245" s="401"/>
      <c r="AW1245" s="412"/>
      <c r="AX1245" s="230"/>
      <c r="AY1245" s="42"/>
      <c r="AZ1245" s="320"/>
      <c r="BD1245" s="401"/>
      <c r="BE1245" s="42"/>
    </row>
    <row r="1246" spans="48:57" x14ac:dyDescent="0.2">
      <c r="AV1246" s="401"/>
      <c r="AW1246" s="412"/>
      <c r="AX1246" s="230"/>
      <c r="AY1246" s="42"/>
      <c r="AZ1246" s="320"/>
      <c r="BD1246" s="401"/>
      <c r="BE1246" s="42"/>
    </row>
    <row r="1247" spans="48:57" x14ac:dyDescent="0.2">
      <c r="AV1247" s="401"/>
      <c r="AW1247" s="412"/>
      <c r="AX1247" s="230"/>
      <c r="AY1247" s="42"/>
      <c r="AZ1247" s="320"/>
      <c r="BD1247" s="401"/>
      <c r="BE1247" s="42"/>
    </row>
    <row r="1248" spans="48:57" x14ac:dyDescent="0.2">
      <c r="AV1248" s="401"/>
      <c r="AW1248" s="412"/>
      <c r="AX1248" s="230"/>
      <c r="AY1248" s="42"/>
      <c r="AZ1248" s="320"/>
      <c r="BD1248" s="401"/>
      <c r="BE1248" s="42"/>
    </row>
    <row r="1249" spans="48:57" x14ac:dyDescent="0.2">
      <c r="AV1249" s="401"/>
      <c r="AW1249" s="412"/>
      <c r="AX1249" s="230"/>
      <c r="AY1249" s="42"/>
      <c r="AZ1249" s="320"/>
      <c r="BD1249" s="401"/>
      <c r="BE1249" s="42"/>
    </row>
    <row r="1250" spans="48:57" x14ac:dyDescent="0.2">
      <c r="AV1250" s="401"/>
      <c r="AW1250" s="412"/>
      <c r="AX1250" s="230"/>
      <c r="AY1250" s="42"/>
      <c r="AZ1250" s="320"/>
      <c r="BD1250" s="401"/>
      <c r="BE1250" s="42"/>
    </row>
    <row r="1251" spans="48:57" x14ac:dyDescent="0.2">
      <c r="AV1251" s="401"/>
      <c r="AW1251" s="412"/>
      <c r="AX1251" s="230"/>
      <c r="AY1251" s="42"/>
      <c r="AZ1251" s="320"/>
      <c r="BD1251" s="401"/>
      <c r="BE1251" s="42"/>
    </row>
    <row r="1252" spans="48:57" x14ac:dyDescent="0.2">
      <c r="AV1252" s="401"/>
      <c r="AW1252" s="412"/>
      <c r="AX1252" s="230"/>
      <c r="AY1252" s="42"/>
      <c r="AZ1252" s="320"/>
      <c r="BD1252" s="401"/>
      <c r="BE1252" s="42"/>
    </row>
    <row r="1253" spans="48:57" x14ac:dyDescent="0.2">
      <c r="AV1253" s="401"/>
      <c r="AW1253" s="412"/>
      <c r="AX1253" s="230"/>
      <c r="AY1253" s="42"/>
      <c r="AZ1253" s="320"/>
      <c r="BD1253" s="401"/>
      <c r="BE1253" s="42"/>
    </row>
    <row r="1254" spans="48:57" x14ac:dyDescent="0.2">
      <c r="AV1254" s="401"/>
      <c r="AW1254" s="412"/>
      <c r="AX1254" s="230"/>
      <c r="AY1254" s="42"/>
      <c r="AZ1254" s="320"/>
      <c r="BD1254" s="401"/>
      <c r="BE1254" s="42"/>
    </row>
    <row r="1255" spans="48:57" x14ac:dyDescent="0.2">
      <c r="AV1255" s="401"/>
      <c r="AW1255" s="412"/>
      <c r="AX1255" s="230"/>
      <c r="AY1255" s="42"/>
      <c r="AZ1255" s="320"/>
      <c r="BD1255" s="401"/>
      <c r="BE1255" s="42"/>
    </row>
    <row r="1256" spans="48:57" x14ac:dyDescent="0.2">
      <c r="AV1256" s="401"/>
      <c r="AW1256" s="412"/>
      <c r="AX1256" s="230"/>
      <c r="AY1256" s="42"/>
      <c r="AZ1256" s="320"/>
      <c r="BD1256" s="401"/>
      <c r="BE1256" s="42"/>
    </row>
    <row r="1257" spans="48:57" x14ac:dyDescent="0.2">
      <c r="AV1257" s="401"/>
      <c r="AW1257" s="412"/>
      <c r="AX1257" s="230"/>
      <c r="AY1257" s="42"/>
      <c r="AZ1257" s="320"/>
      <c r="BD1257" s="401"/>
      <c r="BE1257" s="42"/>
    </row>
    <row r="1258" spans="48:57" x14ac:dyDescent="0.2">
      <c r="AV1258" s="401"/>
      <c r="AW1258" s="412"/>
      <c r="AX1258" s="230"/>
      <c r="AY1258" s="42"/>
      <c r="AZ1258" s="320"/>
      <c r="BD1258" s="401"/>
      <c r="BE1258" s="42"/>
    </row>
    <row r="1259" spans="48:57" x14ac:dyDescent="0.2">
      <c r="AV1259" s="401"/>
      <c r="AW1259" s="412"/>
      <c r="AX1259" s="230"/>
      <c r="AY1259" s="42"/>
      <c r="AZ1259" s="320"/>
      <c r="BD1259" s="401"/>
      <c r="BE1259" s="42"/>
    </row>
    <row r="1260" spans="48:57" x14ac:dyDescent="0.2">
      <c r="AV1260" s="401"/>
      <c r="AW1260" s="412"/>
      <c r="AX1260" s="230"/>
      <c r="AY1260" s="42"/>
      <c r="AZ1260" s="320"/>
      <c r="BD1260" s="401"/>
      <c r="BE1260" s="42"/>
    </row>
    <row r="1261" spans="48:57" x14ac:dyDescent="0.2">
      <c r="AV1261" s="401"/>
      <c r="AW1261" s="412"/>
      <c r="AX1261" s="230"/>
      <c r="AY1261" s="42"/>
      <c r="AZ1261" s="320"/>
      <c r="BD1261" s="401"/>
      <c r="BE1261" s="42"/>
    </row>
    <row r="1262" spans="48:57" x14ac:dyDescent="0.2">
      <c r="AV1262" s="401"/>
      <c r="AW1262" s="412"/>
      <c r="AX1262" s="230"/>
      <c r="AY1262" s="42"/>
      <c r="AZ1262" s="320"/>
      <c r="BD1262" s="401"/>
      <c r="BE1262" s="42"/>
    </row>
    <row r="1263" spans="48:57" x14ac:dyDescent="0.2">
      <c r="AV1263" s="401"/>
      <c r="AW1263" s="412"/>
      <c r="AX1263" s="230"/>
      <c r="AY1263" s="42"/>
      <c r="AZ1263" s="320"/>
      <c r="BD1263" s="401"/>
      <c r="BE1263" s="42"/>
    </row>
    <row r="1264" spans="48:57" x14ac:dyDescent="0.2">
      <c r="AV1264" s="401"/>
      <c r="AW1264" s="412"/>
      <c r="AX1264" s="230"/>
      <c r="AY1264" s="42"/>
      <c r="AZ1264" s="320"/>
      <c r="BD1264" s="401"/>
      <c r="BE1264" s="42"/>
    </row>
    <row r="1265" spans="48:57" x14ac:dyDescent="0.2">
      <c r="AV1265" s="401"/>
      <c r="AW1265" s="412"/>
      <c r="AX1265" s="230"/>
      <c r="AY1265" s="42"/>
      <c r="AZ1265" s="320"/>
      <c r="BD1265" s="401"/>
      <c r="BE1265" s="42"/>
    </row>
    <row r="1266" spans="48:57" x14ac:dyDescent="0.2">
      <c r="AV1266" s="401"/>
      <c r="AW1266" s="412"/>
      <c r="AX1266" s="230"/>
      <c r="AY1266" s="42"/>
      <c r="AZ1266" s="320"/>
      <c r="BD1266" s="401"/>
      <c r="BE1266" s="42"/>
    </row>
    <row r="1267" spans="48:57" x14ac:dyDescent="0.2">
      <c r="AV1267" s="401"/>
      <c r="AW1267" s="412"/>
      <c r="AX1267" s="230"/>
      <c r="AY1267" s="42"/>
      <c r="AZ1267" s="320"/>
      <c r="BD1267" s="401"/>
      <c r="BE1267" s="42"/>
    </row>
    <row r="1268" spans="48:57" x14ac:dyDescent="0.2">
      <c r="AV1268" s="401"/>
      <c r="AW1268" s="412"/>
      <c r="AX1268" s="230"/>
      <c r="AY1268" s="42"/>
      <c r="AZ1268" s="320"/>
      <c r="BD1268" s="401"/>
      <c r="BE1268" s="42"/>
    </row>
    <row r="1269" spans="48:57" x14ac:dyDescent="0.2">
      <c r="AV1269" s="401"/>
      <c r="AW1269" s="412"/>
      <c r="AX1269" s="230"/>
      <c r="AY1269" s="42"/>
      <c r="AZ1269" s="320"/>
      <c r="BD1269" s="401"/>
      <c r="BE1269" s="42"/>
    </row>
    <row r="1270" spans="48:57" x14ac:dyDescent="0.2">
      <c r="AV1270" s="401"/>
      <c r="AW1270" s="412"/>
      <c r="AX1270" s="230"/>
      <c r="AY1270" s="42"/>
      <c r="AZ1270" s="320"/>
      <c r="BD1270" s="401"/>
      <c r="BE1270" s="42"/>
    </row>
    <row r="1271" spans="48:57" x14ac:dyDescent="0.2">
      <c r="AV1271" s="401"/>
      <c r="AW1271" s="412"/>
      <c r="AX1271" s="230"/>
      <c r="AY1271" s="42"/>
      <c r="AZ1271" s="320"/>
      <c r="BD1271" s="401"/>
      <c r="BE1271" s="42"/>
    </row>
    <row r="1272" spans="48:57" x14ac:dyDescent="0.2">
      <c r="AV1272" s="401"/>
      <c r="AW1272" s="412"/>
      <c r="AX1272" s="230"/>
      <c r="AY1272" s="42"/>
      <c r="AZ1272" s="320"/>
      <c r="BD1272" s="401"/>
      <c r="BE1272" s="42"/>
    </row>
    <row r="1273" spans="48:57" x14ac:dyDescent="0.2">
      <c r="AV1273" s="401"/>
      <c r="AW1273" s="412"/>
      <c r="AX1273" s="230"/>
      <c r="AY1273" s="42"/>
      <c r="AZ1273" s="320"/>
      <c r="BD1273" s="401"/>
      <c r="BE1273" s="42"/>
    </row>
    <row r="1274" spans="48:57" x14ac:dyDescent="0.2">
      <c r="AV1274" s="401"/>
      <c r="AW1274" s="412"/>
      <c r="AX1274" s="230"/>
      <c r="AY1274" s="42"/>
      <c r="AZ1274" s="320"/>
      <c r="BD1274" s="401"/>
      <c r="BE1274" s="42"/>
    </row>
    <row r="1275" spans="48:57" x14ac:dyDescent="0.2">
      <c r="AV1275" s="401"/>
      <c r="AW1275" s="412"/>
      <c r="AX1275" s="230"/>
      <c r="AY1275" s="42"/>
      <c r="AZ1275" s="320"/>
      <c r="BD1275" s="401"/>
      <c r="BE1275" s="42"/>
    </row>
    <row r="1276" spans="48:57" x14ac:dyDescent="0.2">
      <c r="AV1276" s="401"/>
      <c r="AW1276" s="412"/>
      <c r="AX1276" s="230"/>
      <c r="AY1276" s="42"/>
      <c r="AZ1276" s="320"/>
      <c r="BD1276" s="401"/>
      <c r="BE1276" s="42"/>
    </row>
    <row r="1277" spans="48:57" x14ac:dyDescent="0.2">
      <c r="AV1277" s="401"/>
      <c r="AW1277" s="412"/>
      <c r="AX1277" s="230"/>
      <c r="AY1277" s="42"/>
      <c r="AZ1277" s="320"/>
      <c r="BD1277" s="401"/>
      <c r="BE1277" s="42"/>
    </row>
    <row r="1278" spans="48:57" x14ac:dyDescent="0.2">
      <c r="AV1278" s="401"/>
      <c r="AW1278" s="412"/>
      <c r="AX1278" s="230"/>
      <c r="AY1278" s="42"/>
      <c r="AZ1278" s="320"/>
      <c r="BD1278" s="401"/>
      <c r="BE1278" s="42"/>
    </row>
    <row r="1279" spans="48:57" x14ac:dyDescent="0.2">
      <c r="AV1279" s="401"/>
      <c r="AW1279" s="412"/>
      <c r="AX1279" s="230"/>
      <c r="AY1279" s="42"/>
      <c r="AZ1279" s="320"/>
      <c r="BD1279" s="401"/>
      <c r="BE1279" s="42"/>
    </row>
    <row r="1280" spans="48:57" x14ac:dyDescent="0.2">
      <c r="AV1280" s="401"/>
      <c r="AW1280" s="412"/>
      <c r="AX1280" s="230"/>
      <c r="AY1280" s="42"/>
      <c r="AZ1280" s="320"/>
      <c r="BD1280" s="401"/>
      <c r="BE1280" s="42"/>
    </row>
    <row r="1281" spans="48:57" x14ac:dyDescent="0.2">
      <c r="AV1281" s="401"/>
      <c r="AW1281" s="412"/>
      <c r="AX1281" s="230"/>
      <c r="AY1281" s="42"/>
      <c r="AZ1281" s="320"/>
      <c r="BD1281" s="401"/>
      <c r="BE1281" s="42"/>
    </row>
    <row r="1282" spans="48:57" x14ac:dyDescent="0.2">
      <c r="AV1282" s="401"/>
      <c r="AW1282" s="412"/>
      <c r="AX1282" s="230"/>
      <c r="AY1282" s="42"/>
      <c r="AZ1282" s="320"/>
      <c r="BD1282" s="401"/>
      <c r="BE1282" s="42"/>
    </row>
    <row r="1283" spans="48:57" x14ac:dyDescent="0.2">
      <c r="AV1283" s="401"/>
      <c r="AW1283" s="412"/>
      <c r="AX1283" s="230"/>
      <c r="AY1283" s="42"/>
      <c r="AZ1283" s="320"/>
      <c r="BD1283" s="401"/>
      <c r="BE1283" s="42"/>
    </row>
    <row r="1284" spans="48:57" x14ac:dyDescent="0.2">
      <c r="AV1284" s="401"/>
      <c r="AW1284" s="412"/>
      <c r="AX1284" s="230"/>
      <c r="AY1284" s="42"/>
      <c r="AZ1284" s="320"/>
      <c r="BD1284" s="401"/>
      <c r="BE1284" s="42"/>
    </row>
    <row r="1285" spans="48:57" x14ac:dyDescent="0.2">
      <c r="AV1285" s="401"/>
      <c r="AW1285" s="412"/>
      <c r="AX1285" s="230"/>
      <c r="AY1285" s="42"/>
      <c r="AZ1285" s="320"/>
      <c r="BD1285" s="401"/>
      <c r="BE1285" s="42"/>
    </row>
    <row r="1286" spans="48:57" x14ac:dyDescent="0.2">
      <c r="AV1286" s="401"/>
      <c r="AW1286" s="412"/>
      <c r="AX1286" s="230"/>
      <c r="AY1286" s="42"/>
      <c r="AZ1286" s="320"/>
      <c r="BD1286" s="401"/>
      <c r="BE1286" s="42"/>
    </row>
    <row r="1287" spans="48:57" x14ac:dyDescent="0.2">
      <c r="AV1287" s="401"/>
      <c r="AW1287" s="412"/>
      <c r="AX1287" s="230"/>
      <c r="AY1287" s="42"/>
      <c r="AZ1287" s="320"/>
      <c r="BD1287" s="401"/>
      <c r="BE1287" s="42"/>
    </row>
    <row r="1288" spans="48:57" x14ac:dyDescent="0.2">
      <c r="AV1288" s="401"/>
      <c r="AW1288" s="412"/>
      <c r="AX1288" s="230"/>
      <c r="AY1288" s="42"/>
      <c r="AZ1288" s="320"/>
      <c r="BD1288" s="401"/>
      <c r="BE1288" s="42"/>
    </row>
    <row r="1289" spans="48:57" x14ac:dyDescent="0.2">
      <c r="AV1289" s="401"/>
      <c r="AW1289" s="412"/>
      <c r="AX1289" s="230"/>
      <c r="AY1289" s="42"/>
      <c r="AZ1289" s="320"/>
      <c r="BD1289" s="401"/>
      <c r="BE1289" s="42"/>
    </row>
    <row r="1290" spans="48:57" x14ac:dyDescent="0.2">
      <c r="AV1290" s="401"/>
      <c r="AW1290" s="412"/>
      <c r="AX1290" s="230"/>
      <c r="AY1290" s="42"/>
      <c r="AZ1290" s="320"/>
      <c r="BD1290" s="401"/>
      <c r="BE1290" s="42"/>
    </row>
    <row r="1291" spans="48:57" x14ac:dyDescent="0.2">
      <c r="AV1291" s="401"/>
      <c r="AW1291" s="412"/>
      <c r="AX1291" s="230"/>
      <c r="AY1291" s="42"/>
      <c r="AZ1291" s="320"/>
      <c r="BD1291" s="401"/>
      <c r="BE1291" s="42"/>
    </row>
    <row r="1292" spans="48:57" x14ac:dyDescent="0.2">
      <c r="AV1292" s="401"/>
      <c r="AW1292" s="412"/>
      <c r="AX1292" s="230"/>
      <c r="AY1292" s="42"/>
      <c r="AZ1292" s="320"/>
      <c r="BD1292" s="401"/>
      <c r="BE1292" s="42"/>
    </row>
    <row r="1293" spans="48:57" x14ac:dyDescent="0.2">
      <c r="AV1293" s="401"/>
      <c r="AW1293" s="412"/>
      <c r="AX1293" s="230"/>
      <c r="AY1293" s="42"/>
      <c r="AZ1293" s="320"/>
      <c r="BD1293" s="401"/>
      <c r="BE1293" s="42"/>
    </row>
    <row r="1294" spans="48:57" x14ac:dyDescent="0.2">
      <c r="AV1294" s="401"/>
      <c r="AW1294" s="412"/>
      <c r="AX1294" s="230"/>
      <c r="AY1294" s="42"/>
      <c r="AZ1294" s="320"/>
      <c r="BD1294" s="401"/>
      <c r="BE1294" s="42"/>
    </row>
    <row r="1295" spans="48:57" x14ac:dyDescent="0.2">
      <c r="AV1295" s="401"/>
      <c r="AW1295" s="412"/>
      <c r="AX1295" s="230"/>
      <c r="AY1295" s="42"/>
      <c r="AZ1295" s="320"/>
      <c r="BD1295" s="401"/>
      <c r="BE1295" s="42"/>
    </row>
    <row r="1296" spans="48:57" x14ac:dyDescent="0.2">
      <c r="AV1296" s="401"/>
      <c r="AW1296" s="412"/>
      <c r="AX1296" s="230"/>
      <c r="AY1296" s="42"/>
      <c r="AZ1296" s="320"/>
      <c r="BD1296" s="401"/>
      <c r="BE1296" s="42"/>
    </row>
    <row r="1297" spans="48:57" x14ac:dyDescent="0.2">
      <c r="AV1297" s="401"/>
      <c r="AW1297" s="412"/>
      <c r="AX1297" s="230"/>
      <c r="AY1297" s="42"/>
      <c r="AZ1297" s="320"/>
      <c r="BD1297" s="401"/>
      <c r="BE1297" s="42"/>
    </row>
    <row r="1298" spans="48:57" x14ac:dyDescent="0.2">
      <c r="AV1298" s="401"/>
      <c r="AW1298" s="412"/>
      <c r="AX1298" s="230"/>
      <c r="AY1298" s="42"/>
      <c r="AZ1298" s="320"/>
      <c r="BD1298" s="401"/>
      <c r="BE1298" s="42"/>
    </row>
    <row r="1299" spans="48:57" x14ac:dyDescent="0.2">
      <c r="AV1299" s="401"/>
      <c r="AW1299" s="412"/>
      <c r="AX1299" s="230"/>
      <c r="AY1299" s="42"/>
      <c r="AZ1299" s="320"/>
      <c r="BD1299" s="401"/>
      <c r="BE1299" s="42"/>
    </row>
    <row r="1300" spans="48:57" x14ac:dyDescent="0.2">
      <c r="AV1300" s="401"/>
      <c r="AW1300" s="412"/>
      <c r="AX1300" s="230"/>
      <c r="AY1300" s="42"/>
      <c r="AZ1300" s="320"/>
      <c r="BD1300" s="401"/>
      <c r="BE1300" s="42"/>
    </row>
    <row r="1301" spans="48:57" x14ac:dyDescent="0.2">
      <c r="AV1301" s="401"/>
      <c r="AW1301" s="412"/>
      <c r="AX1301" s="230"/>
      <c r="AY1301" s="42"/>
      <c r="AZ1301" s="320"/>
      <c r="BD1301" s="401"/>
      <c r="BE1301" s="42"/>
    </row>
    <row r="1302" spans="48:57" x14ac:dyDescent="0.2">
      <c r="AV1302" s="401"/>
      <c r="AW1302" s="412"/>
      <c r="AX1302" s="230"/>
      <c r="AY1302" s="42"/>
      <c r="AZ1302" s="320"/>
      <c r="BD1302" s="401"/>
      <c r="BE1302" s="42"/>
    </row>
    <row r="1303" spans="48:57" x14ac:dyDescent="0.2">
      <c r="AV1303" s="401"/>
      <c r="AW1303" s="412"/>
      <c r="AX1303" s="230"/>
      <c r="AY1303" s="42"/>
      <c r="AZ1303" s="320"/>
      <c r="BD1303" s="401"/>
      <c r="BE1303" s="42"/>
    </row>
    <row r="1304" spans="48:57" x14ac:dyDescent="0.2">
      <c r="AV1304" s="401"/>
      <c r="AW1304" s="412"/>
      <c r="AX1304" s="230"/>
      <c r="AY1304" s="42"/>
      <c r="AZ1304" s="320"/>
      <c r="BD1304" s="401"/>
      <c r="BE1304" s="42"/>
    </row>
    <row r="1305" spans="48:57" x14ac:dyDescent="0.2">
      <c r="AV1305" s="401"/>
      <c r="AW1305" s="412"/>
      <c r="AX1305" s="230"/>
      <c r="AY1305" s="42"/>
      <c r="AZ1305" s="320"/>
      <c r="BD1305" s="401"/>
      <c r="BE1305" s="42"/>
    </row>
    <row r="1306" spans="48:57" x14ac:dyDescent="0.2">
      <c r="AV1306" s="401"/>
      <c r="AW1306" s="412"/>
      <c r="AX1306" s="230"/>
      <c r="AY1306" s="42"/>
      <c r="AZ1306" s="320"/>
      <c r="BD1306" s="401"/>
      <c r="BE1306" s="42"/>
    </row>
    <row r="1307" spans="48:57" x14ac:dyDescent="0.2">
      <c r="AV1307" s="401"/>
      <c r="AW1307" s="412"/>
      <c r="AX1307" s="230"/>
      <c r="AY1307" s="42"/>
      <c r="AZ1307" s="320"/>
      <c r="BD1307" s="401"/>
      <c r="BE1307" s="42"/>
    </row>
    <row r="1308" spans="48:57" x14ac:dyDescent="0.2">
      <c r="AV1308" s="401"/>
      <c r="AW1308" s="412"/>
      <c r="AX1308" s="230"/>
      <c r="AY1308" s="42"/>
      <c r="AZ1308" s="320"/>
      <c r="BD1308" s="401"/>
      <c r="BE1308" s="42"/>
    </row>
    <row r="1309" spans="48:57" x14ac:dyDescent="0.2">
      <c r="AV1309" s="401"/>
      <c r="AW1309" s="412"/>
      <c r="AX1309" s="230"/>
      <c r="AY1309" s="42"/>
      <c r="AZ1309" s="320"/>
      <c r="BD1309" s="401"/>
      <c r="BE1309" s="42"/>
    </row>
    <row r="1310" spans="48:57" x14ac:dyDescent="0.2">
      <c r="AV1310" s="401"/>
      <c r="AW1310" s="412"/>
      <c r="AX1310" s="230"/>
      <c r="AY1310" s="42"/>
      <c r="AZ1310" s="320"/>
      <c r="BD1310" s="401"/>
      <c r="BE1310" s="42"/>
    </row>
    <row r="1311" spans="48:57" x14ac:dyDescent="0.2">
      <c r="AV1311" s="401"/>
      <c r="AW1311" s="412"/>
      <c r="AX1311" s="230"/>
      <c r="AY1311" s="42"/>
      <c r="AZ1311" s="320"/>
      <c r="BD1311" s="401"/>
      <c r="BE1311" s="42"/>
    </row>
    <row r="1312" spans="48:57" x14ac:dyDescent="0.2">
      <c r="AV1312" s="401"/>
      <c r="AW1312" s="412"/>
      <c r="AX1312" s="230"/>
      <c r="AY1312" s="42"/>
      <c r="AZ1312" s="320"/>
      <c r="BD1312" s="401"/>
      <c r="BE1312" s="42"/>
    </row>
    <row r="1313" spans="48:57" x14ac:dyDescent="0.2">
      <c r="AV1313" s="401"/>
      <c r="AW1313" s="412"/>
      <c r="AX1313" s="230"/>
      <c r="AY1313" s="42"/>
      <c r="AZ1313" s="320"/>
      <c r="BD1313" s="401"/>
      <c r="BE1313" s="42"/>
    </row>
    <row r="1314" spans="48:57" x14ac:dyDescent="0.2">
      <c r="AV1314" s="401"/>
      <c r="AW1314" s="412"/>
      <c r="AX1314" s="230"/>
      <c r="AY1314" s="42"/>
      <c r="AZ1314" s="320"/>
      <c r="BD1314" s="401"/>
      <c r="BE1314" s="42"/>
    </row>
    <row r="1315" spans="48:57" x14ac:dyDescent="0.2">
      <c r="AV1315" s="401"/>
      <c r="AW1315" s="412"/>
      <c r="AX1315" s="230"/>
      <c r="AY1315" s="42"/>
      <c r="AZ1315" s="320"/>
      <c r="BD1315" s="401"/>
      <c r="BE1315" s="42"/>
    </row>
    <row r="1316" spans="48:57" x14ac:dyDescent="0.2">
      <c r="AV1316" s="401"/>
      <c r="AW1316" s="412"/>
      <c r="AX1316" s="230"/>
      <c r="AY1316" s="42"/>
      <c r="AZ1316" s="320"/>
      <c r="BD1316" s="401"/>
      <c r="BE1316" s="42"/>
    </row>
    <row r="1317" spans="48:57" x14ac:dyDescent="0.2">
      <c r="AV1317" s="401"/>
      <c r="AW1317" s="412"/>
      <c r="AX1317" s="230"/>
      <c r="AY1317" s="42"/>
      <c r="AZ1317" s="320"/>
      <c r="BD1317" s="401"/>
      <c r="BE1317" s="42"/>
    </row>
    <row r="1318" spans="48:57" x14ac:dyDescent="0.2">
      <c r="AV1318" s="401"/>
      <c r="AW1318" s="412"/>
      <c r="AX1318" s="230"/>
      <c r="AY1318" s="42"/>
      <c r="AZ1318" s="320"/>
      <c r="BD1318" s="401"/>
      <c r="BE1318" s="42"/>
    </row>
    <row r="1319" spans="48:57" x14ac:dyDescent="0.2">
      <c r="AV1319" s="401"/>
      <c r="AW1319" s="412"/>
      <c r="AX1319" s="230"/>
      <c r="AY1319" s="42"/>
      <c r="AZ1319" s="320"/>
      <c r="BD1319" s="401"/>
      <c r="BE1319" s="42"/>
    </row>
    <row r="1320" spans="48:57" x14ac:dyDescent="0.2">
      <c r="AV1320" s="401"/>
      <c r="AW1320" s="412"/>
      <c r="AX1320" s="230"/>
      <c r="AY1320" s="42"/>
      <c r="AZ1320" s="320"/>
      <c r="BD1320" s="401"/>
      <c r="BE1320" s="42"/>
    </row>
    <row r="1321" spans="48:57" x14ac:dyDescent="0.2">
      <c r="AV1321" s="401"/>
      <c r="AW1321" s="412"/>
      <c r="AX1321" s="230"/>
      <c r="AY1321" s="42"/>
      <c r="AZ1321" s="320"/>
      <c r="BD1321" s="401"/>
      <c r="BE1321" s="42"/>
    </row>
    <row r="1322" spans="48:57" x14ac:dyDescent="0.2">
      <c r="AV1322" s="401"/>
      <c r="AW1322" s="412"/>
      <c r="AX1322" s="230"/>
      <c r="AY1322" s="42"/>
      <c r="AZ1322" s="320"/>
      <c r="BD1322" s="401"/>
      <c r="BE1322" s="42"/>
    </row>
    <row r="1323" spans="48:57" x14ac:dyDescent="0.2">
      <c r="AV1323" s="401"/>
      <c r="AW1323" s="412"/>
      <c r="AX1323" s="230"/>
      <c r="AY1323" s="42"/>
      <c r="AZ1323" s="320"/>
      <c r="BD1323" s="401"/>
      <c r="BE1323" s="42"/>
    </row>
    <row r="1324" spans="48:57" x14ac:dyDescent="0.2">
      <c r="AV1324" s="401"/>
      <c r="AW1324" s="412"/>
      <c r="AX1324" s="230"/>
      <c r="AY1324" s="42"/>
      <c r="AZ1324" s="320"/>
      <c r="BD1324" s="401"/>
      <c r="BE1324" s="42"/>
    </row>
    <row r="1325" spans="48:57" x14ac:dyDescent="0.2">
      <c r="AV1325" s="401"/>
      <c r="AW1325" s="412"/>
      <c r="AX1325" s="230"/>
      <c r="AY1325" s="42"/>
      <c r="AZ1325" s="320"/>
      <c r="BD1325" s="401"/>
      <c r="BE1325" s="42"/>
    </row>
    <row r="1326" spans="48:57" x14ac:dyDescent="0.2">
      <c r="AV1326" s="401"/>
      <c r="AW1326" s="412"/>
      <c r="AX1326" s="230"/>
      <c r="AY1326" s="42"/>
      <c r="AZ1326" s="320"/>
      <c r="BD1326" s="401"/>
      <c r="BE1326" s="42"/>
    </row>
    <row r="1327" spans="48:57" x14ac:dyDescent="0.2">
      <c r="AV1327" s="401"/>
      <c r="AW1327" s="412"/>
      <c r="AX1327" s="230"/>
      <c r="AY1327" s="42"/>
      <c r="AZ1327" s="320"/>
      <c r="BD1327" s="401"/>
      <c r="BE1327" s="42"/>
    </row>
    <row r="1328" spans="48:57" x14ac:dyDescent="0.2">
      <c r="AV1328" s="401"/>
      <c r="AW1328" s="412"/>
      <c r="AX1328" s="230"/>
      <c r="AY1328" s="42"/>
      <c r="AZ1328" s="320"/>
      <c r="BD1328" s="401"/>
      <c r="BE1328" s="42"/>
    </row>
    <row r="1329" spans="48:57" x14ac:dyDescent="0.2">
      <c r="AV1329" s="401"/>
      <c r="AW1329" s="412"/>
      <c r="AX1329" s="230"/>
      <c r="AY1329" s="42"/>
      <c r="AZ1329" s="320"/>
      <c r="BD1329" s="401"/>
      <c r="BE1329" s="42"/>
    </row>
    <row r="1330" spans="48:57" x14ac:dyDescent="0.2">
      <c r="AV1330" s="401"/>
      <c r="AW1330" s="412"/>
      <c r="AX1330" s="230"/>
      <c r="AY1330" s="42"/>
      <c r="AZ1330" s="320"/>
      <c r="BD1330" s="401"/>
      <c r="BE1330" s="42"/>
    </row>
    <row r="1331" spans="48:57" x14ac:dyDescent="0.2">
      <c r="AV1331" s="401"/>
      <c r="AW1331" s="412"/>
      <c r="AX1331" s="230"/>
      <c r="AY1331" s="42"/>
      <c r="AZ1331" s="320"/>
      <c r="BD1331" s="401"/>
      <c r="BE1331" s="42"/>
    </row>
    <row r="1332" spans="48:57" x14ac:dyDescent="0.2">
      <c r="AV1332" s="401"/>
      <c r="AW1332" s="412"/>
      <c r="AX1332" s="230"/>
      <c r="AY1332" s="42"/>
      <c r="AZ1332" s="320"/>
      <c r="BD1332" s="401"/>
      <c r="BE1332" s="42"/>
    </row>
    <row r="1333" spans="48:57" x14ac:dyDescent="0.2">
      <c r="AV1333" s="401"/>
      <c r="AW1333" s="412"/>
      <c r="AX1333" s="230"/>
      <c r="AY1333" s="42"/>
      <c r="AZ1333" s="320"/>
      <c r="BD1333" s="401"/>
      <c r="BE1333" s="42"/>
    </row>
    <row r="1334" spans="48:57" x14ac:dyDescent="0.2">
      <c r="AV1334" s="401"/>
      <c r="AW1334" s="412"/>
      <c r="AX1334" s="230"/>
      <c r="AY1334" s="42"/>
      <c r="AZ1334" s="320"/>
      <c r="BD1334" s="401"/>
      <c r="BE1334" s="42"/>
    </row>
    <row r="1335" spans="48:57" x14ac:dyDescent="0.2">
      <c r="AV1335" s="401"/>
      <c r="AW1335" s="412"/>
      <c r="AX1335" s="230"/>
      <c r="AY1335" s="42"/>
      <c r="AZ1335" s="320"/>
      <c r="BD1335" s="401"/>
      <c r="BE1335" s="42"/>
    </row>
    <row r="1336" spans="48:57" x14ac:dyDescent="0.2">
      <c r="AV1336" s="401"/>
      <c r="AW1336" s="412"/>
      <c r="AX1336" s="230"/>
      <c r="AY1336" s="42"/>
      <c r="AZ1336" s="320"/>
      <c r="BD1336" s="401"/>
      <c r="BE1336" s="42"/>
    </row>
    <row r="1337" spans="48:57" x14ac:dyDescent="0.2">
      <c r="AV1337" s="401"/>
      <c r="AW1337" s="412"/>
      <c r="AX1337" s="230"/>
      <c r="AY1337" s="42"/>
      <c r="AZ1337" s="320"/>
      <c r="BD1337" s="401"/>
      <c r="BE1337" s="42"/>
    </row>
    <row r="1338" spans="48:57" x14ac:dyDescent="0.2">
      <c r="AV1338" s="401"/>
      <c r="AW1338" s="412"/>
      <c r="AX1338" s="230"/>
      <c r="AY1338" s="42"/>
      <c r="AZ1338" s="320"/>
      <c r="BD1338" s="401"/>
      <c r="BE1338" s="42"/>
    </row>
    <row r="1339" spans="48:57" x14ac:dyDescent="0.2">
      <c r="AV1339" s="401"/>
      <c r="AW1339" s="412"/>
      <c r="AX1339" s="230"/>
      <c r="AY1339" s="42"/>
      <c r="AZ1339" s="320"/>
      <c r="BD1339" s="401"/>
      <c r="BE1339" s="42"/>
    </row>
    <row r="1340" spans="48:57" x14ac:dyDescent="0.2">
      <c r="AV1340" s="401"/>
      <c r="AW1340" s="412"/>
      <c r="AX1340" s="230"/>
      <c r="AY1340" s="42"/>
      <c r="AZ1340" s="320"/>
      <c r="BD1340" s="401"/>
      <c r="BE1340" s="42"/>
    </row>
    <row r="1341" spans="48:57" x14ac:dyDescent="0.2">
      <c r="AV1341" s="401"/>
      <c r="AW1341" s="412"/>
      <c r="AX1341" s="230"/>
      <c r="AY1341" s="42"/>
      <c r="AZ1341" s="320"/>
      <c r="BD1341" s="401"/>
      <c r="BE1341" s="42"/>
    </row>
    <row r="1342" spans="48:57" x14ac:dyDescent="0.2">
      <c r="AV1342" s="401"/>
      <c r="AW1342" s="412"/>
      <c r="AX1342" s="230"/>
      <c r="AY1342" s="42"/>
      <c r="AZ1342" s="320"/>
      <c r="BD1342" s="401"/>
      <c r="BE1342" s="42"/>
    </row>
    <row r="1343" spans="48:57" x14ac:dyDescent="0.2">
      <c r="AV1343" s="401"/>
      <c r="AW1343" s="412"/>
      <c r="AX1343" s="230"/>
      <c r="AY1343" s="42"/>
      <c r="AZ1343" s="320"/>
      <c r="BD1343" s="401"/>
      <c r="BE1343" s="42"/>
    </row>
    <row r="1344" spans="48:57" x14ac:dyDescent="0.2">
      <c r="AV1344" s="401"/>
      <c r="AW1344" s="412"/>
      <c r="AX1344" s="230"/>
      <c r="AY1344" s="42"/>
      <c r="AZ1344" s="320"/>
      <c r="BD1344" s="401"/>
      <c r="BE1344" s="42"/>
    </row>
    <row r="1345" spans="48:57" x14ac:dyDescent="0.2">
      <c r="AV1345" s="401"/>
      <c r="AW1345" s="412"/>
      <c r="AX1345" s="230"/>
      <c r="AY1345" s="42"/>
      <c r="AZ1345" s="320"/>
      <c r="BD1345" s="401"/>
      <c r="BE1345" s="42"/>
    </row>
    <row r="1346" spans="48:57" x14ac:dyDescent="0.2">
      <c r="AV1346" s="401"/>
      <c r="AW1346" s="412"/>
      <c r="AX1346" s="230"/>
      <c r="AY1346" s="42"/>
      <c r="AZ1346" s="320"/>
      <c r="BD1346" s="401"/>
      <c r="BE1346" s="42"/>
    </row>
    <row r="1347" spans="48:57" x14ac:dyDescent="0.2">
      <c r="AV1347" s="401"/>
      <c r="AW1347" s="412"/>
      <c r="AX1347" s="230"/>
      <c r="AY1347" s="42"/>
      <c r="AZ1347" s="320"/>
      <c r="BD1347" s="401"/>
      <c r="BE1347" s="42"/>
    </row>
    <row r="1348" spans="48:57" x14ac:dyDescent="0.2">
      <c r="AV1348" s="401"/>
      <c r="AW1348" s="412"/>
      <c r="AX1348" s="230"/>
      <c r="AY1348" s="42"/>
      <c r="AZ1348" s="320"/>
      <c r="BD1348" s="401"/>
      <c r="BE1348" s="42"/>
    </row>
    <row r="1349" spans="48:57" x14ac:dyDescent="0.2">
      <c r="AV1349" s="401"/>
      <c r="AW1349" s="412"/>
      <c r="AX1349" s="230"/>
      <c r="AY1349" s="42"/>
      <c r="AZ1349" s="320"/>
      <c r="BD1349" s="401"/>
      <c r="BE1349" s="42"/>
    </row>
    <row r="1350" spans="48:57" x14ac:dyDescent="0.2">
      <c r="AV1350" s="401"/>
      <c r="AW1350" s="412"/>
      <c r="AX1350" s="230"/>
      <c r="AY1350" s="42"/>
      <c r="AZ1350" s="320"/>
      <c r="BD1350" s="401"/>
      <c r="BE1350" s="42"/>
    </row>
    <row r="1351" spans="48:57" x14ac:dyDescent="0.2">
      <c r="AV1351" s="401"/>
      <c r="AW1351" s="412"/>
      <c r="AX1351" s="230"/>
      <c r="AY1351" s="42"/>
      <c r="AZ1351" s="320"/>
      <c r="BD1351" s="401"/>
      <c r="BE1351" s="42"/>
    </row>
    <row r="1352" spans="48:57" x14ac:dyDescent="0.2">
      <c r="AV1352" s="401"/>
      <c r="AW1352" s="412"/>
      <c r="AX1352" s="230"/>
      <c r="AY1352" s="42"/>
      <c r="AZ1352" s="320"/>
      <c r="BD1352" s="401"/>
      <c r="BE1352" s="42"/>
    </row>
    <row r="1353" spans="48:57" x14ac:dyDescent="0.2">
      <c r="AV1353" s="401"/>
      <c r="AW1353" s="412"/>
      <c r="AX1353" s="230"/>
      <c r="AY1353" s="42"/>
      <c r="AZ1353" s="320"/>
      <c r="BD1353" s="401"/>
      <c r="BE1353" s="42"/>
    </row>
    <row r="1354" spans="48:57" x14ac:dyDescent="0.2">
      <c r="AV1354" s="401"/>
      <c r="AW1354" s="412"/>
      <c r="AX1354" s="230"/>
      <c r="AY1354" s="42"/>
      <c r="AZ1354" s="320"/>
      <c r="BD1354" s="401"/>
      <c r="BE1354" s="42"/>
    </row>
    <row r="1355" spans="48:57" x14ac:dyDescent="0.2">
      <c r="AV1355" s="401"/>
      <c r="AW1355" s="412"/>
      <c r="AX1355" s="230"/>
      <c r="AY1355" s="42"/>
      <c r="AZ1355" s="320"/>
      <c r="BD1355" s="401"/>
      <c r="BE1355" s="42"/>
    </row>
    <row r="1356" spans="48:57" x14ac:dyDescent="0.2">
      <c r="AV1356" s="401"/>
      <c r="AW1356" s="412"/>
      <c r="AX1356" s="230"/>
      <c r="AY1356" s="42"/>
      <c r="AZ1356" s="320"/>
      <c r="BD1356" s="401"/>
      <c r="BE1356" s="42"/>
    </row>
    <row r="1357" spans="48:57" x14ac:dyDescent="0.2">
      <c r="AV1357" s="401"/>
      <c r="AW1357" s="412"/>
      <c r="AX1357" s="230"/>
      <c r="AY1357" s="42"/>
      <c r="AZ1357" s="320"/>
      <c r="BD1357" s="401"/>
      <c r="BE1357" s="42"/>
    </row>
    <row r="1358" spans="48:57" x14ac:dyDescent="0.2">
      <c r="AV1358" s="401"/>
      <c r="AW1358" s="412"/>
      <c r="AX1358" s="230"/>
      <c r="AY1358" s="42"/>
      <c r="AZ1358" s="320"/>
      <c r="BD1358" s="401"/>
      <c r="BE1358" s="42"/>
    </row>
    <row r="1359" spans="48:57" x14ac:dyDescent="0.2">
      <c r="AV1359" s="401"/>
      <c r="AW1359" s="412"/>
      <c r="AX1359" s="230"/>
      <c r="AY1359" s="42"/>
      <c r="AZ1359" s="320"/>
      <c r="BD1359" s="401"/>
      <c r="BE1359" s="42"/>
    </row>
    <row r="1360" spans="48:57" x14ac:dyDescent="0.2">
      <c r="AV1360" s="401"/>
      <c r="AW1360" s="412"/>
      <c r="AX1360" s="230"/>
      <c r="AY1360" s="42"/>
      <c r="AZ1360" s="320"/>
      <c r="BD1360" s="401"/>
      <c r="BE1360" s="42"/>
    </row>
    <row r="1361" spans="48:57" x14ac:dyDescent="0.2">
      <c r="AV1361" s="401"/>
      <c r="AW1361" s="412"/>
      <c r="AX1361" s="230"/>
      <c r="AY1361" s="42"/>
      <c r="AZ1361" s="320"/>
      <c r="BD1361" s="401"/>
      <c r="BE1361" s="42"/>
    </row>
    <row r="1362" spans="48:57" x14ac:dyDescent="0.2">
      <c r="AV1362" s="401"/>
      <c r="AW1362" s="412"/>
      <c r="AX1362" s="230"/>
      <c r="AY1362" s="42"/>
      <c r="AZ1362" s="320"/>
      <c r="BD1362" s="401"/>
      <c r="BE1362" s="42"/>
    </row>
    <row r="1363" spans="48:57" x14ac:dyDescent="0.2">
      <c r="AV1363" s="401"/>
      <c r="AW1363" s="412"/>
      <c r="AX1363" s="230"/>
      <c r="AY1363" s="42"/>
      <c r="AZ1363" s="320"/>
      <c r="BD1363" s="401"/>
      <c r="BE1363" s="42"/>
    </row>
    <row r="1364" spans="48:57" x14ac:dyDescent="0.2">
      <c r="AV1364" s="401"/>
      <c r="AW1364" s="412"/>
      <c r="AX1364" s="230"/>
      <c r="AY1364" s="42"/>
      <c r="AZ1364" s="320"/>
      <c r="BD1364" s="401"/>
      <c r="BE1364" s="42"/>
    </row>
    <row r="1365" spans="48:57" x14ac:dyDescent="0.2">
      <c r="AV1365" s="401"/>
      <c r="AW1365" s="412"/>
      <c r="AX1365" s="230"/>
      <c r="AY1365" s="42"/>
      <c r="AZ1365" s="320"/>
      <c r="BD1365" s="401"/>
      <c r="BE1365" s="42"/>
    </row>
    <row r="1366" spans="48:57" x14ac:dyDescent="0.2">
      <c r="AV1366" s="401"/>
      <c r="AW1366" s="412"/>
      <c r="AX1366" s="230"/>
      <c r="AY1366" s="42"/>
      <c r="AZ1366" s="320"/>
      <c r="BD1366" s="401"/>
      <c r="BE1366" s="42"/>
    </row>
    <row r="1367" spans="48:57" x14ac:dyDescent="0.2">
      <c r="AV1367" s="401"/>
      <c r="AW1367" s="412"/>
      <c r="AX1367" s="230"/>
      <c r="AY1367" s="42"/>
      <c r="AZ1367" s="320"/>
      <c r="BD1367" s="401"/>
      <c r="BE1367" s="42"/>
    </row>
    <row r="1368" spans="48:57" x14ac:dyDescent="0.2">
      <c r="AV1368" s="401"/>
      <c r="AW1368" s="412"/>
      <c r="AX1368" s="230"/>
      <c r="AY1368" s="42"/>
      <c r="AZ1368" s="320"/>
      <c r="BD1368" s="401"/>
      <c r="BE1368" s="42"/>
    </row>
    <row r="1369" spans="48:57" x14ac:dyDescent="0.2">
      <c r="AV1369" s="401"/>
      <c r="AW1369" s="412"/>
      <c r="AX1369" s="230"/>
      <c r="AY1369" s="42"/>
      <c r="AZ1369" s="320"/>
      <c r="BD1369" s="401"/>
      <c r="BE1369" s="42"/>
    </row>
    <row r="1370" spans="48:57" x14ac:dyDescent="0.2">
      <c r="AV1370" s="401"/>
      <c r="AW1370" s="412"/>
      <c r="AX1370" s="230"/>
      <c r="AY1370" s="42"/>
      <c r="AZ1370" s="320"/>
      <c r="BD1370" s="401"/>
      <c r="BE1370" s="42"/>
    </row>
    <row r="1371" spans="48:57" x14ac:dyDescent="0.2">
      <c r="AV1371" s="401"/>
      <c r="AW1371" s="412"/>
      <c r="AX1371" s="230"/>
      <c r="AY1371" s="42"/>
      <c r="AZ1371" s="320"/>
      <c r="BD1371" s="401"/>
      <c r="BE1371" s="42"/>
    </row>
    <row r="1372" spans="48:57" x14ac:dyDescent="0.2">
      <c r="AV1372" s="401"/>
      <c r="AW1372" s="412"/>
      <c r="AX1372" s="230"/>
      <c r="AY1372" s="42"/>
      <c r="AZ1372" s="320"/>
      <c r="BD1372" s="401"/>
      <c r="BE1372" s="42"/>
    </row>
    <row r="1373" spans="48:57" x14ac:dyDescent="0.2">
      <c r="AV1373" s="401"/>
      <c r="AW1373" s="412"/>
      <c r="AX1373" s="230"/>
      <c r="AY1373" s="42"/>
      <c r="AZ1373" s="320"/>
      <c r="BD1373" s="401"/>
      <c r="BE1373" s="42"/>
    </row>
    <row r="1374" spans="48:57" x14ac:dyDescent="0.2">
      <c r="AV1374" s="401"/>
      <c r="AW1374" s="412"/>
      <c r="AX1374" s="230"/>
      <c r="AY1374" s="42"/>
      <c r="AZ1374" s="320"/>
      <c r="BD1374" s="401"/>
      <c r="BE1374" s="42"/>
    </row>
    <row r="1375" spans="48:57" x14ac:dyDescent="0.2">
      <c r="AV1375" s="401"/>
      <c r="AW1375" s="412"/>
      <c r="AX1375" s="230"/>
      <c r="AY1375" s="42"/>
      <c r="AZ1375" s="320"/>
      <c r="BD1375" s="401"/>
      <c r="BE1375" s="42"/>
    </row>
    <row r="1376" spans="48:57" x14ac:dyDescent="0.2">
      <c r="AV1376" s="401"/>
      <c r="AW1376" s="412"/>
      <c r="AX1376" s="230"/>
      <c r="AY1376" s="42"/>
      <c r="AZ1376" s="320"/>
      <c r="BD1376" s="401"/>
      <c r="BE1376" s="42"/>
    </row>
    <row r="1377" spans="48:57" x14ac:dyDescent="0.2">
      <c r="AV1377" s="401"/>
      <c r="AW1377" s="412"/>
      <c r="AX1377" s="230"/>
      <c r="AY1377" s="42"/>
      <c r="AZ1377" s="320"/>
      <c r="BD1377" s="401"/>
      <c r="BE1377" s="42"/>
    </row>
    <row r="1378" spans="48:57" x14ac:dyDescent="0.2">
      <c r="AV1378" s="401"/>
      <c r="AW1378" s="412"/>
      <c r="AX1378" s="230"/>
      <c r="AY1378" s="42"/>
      <c r="AZ1378" s="320"/>
      <c r="BD1378" s="401"/>
      <c r="BE1378" s="42"/>
    </row>
    <row r="1379" spans="48:57" x14ac:dyDescent="0.2">
      <c r="AV1379" s="401"/>
      <c r="AW1379" s="412"/>
      <c r="AX1379" s="230"/>
      <c r="AY1379" s="42"/>
      <c r="AZ1379" s="320"/>
      <c r="BD1379" s="401"/>
      <c r="BE1379" s="42"/>
    </row>
    <row r="1380" spans="48:57" x14ac:dyDescent="0.2">
      <c r="AV1380" s="401"/>
      <c r="AW1380" s="412"/>
      <c r="AX1380" s="230"/>
      <c r="AY1380" s="42"/>
      <c r="AZ1380" s="320"/>
      <c r="BD1380" s="401"/>
      <c r="BE1380" s="42"/>
    </row>
    <row r="1381" spans="48:57" x14ac:dyDescent="0.2">
      <c r="AV1381" s="401"/>
      <c r="AW1381" s="412"/>
      <c r="AX1381" s="230"/>
      <c r="AY1381" s="42"/>
      <c r="AZ1381" s="320"/>
      <c r="BD1381" s="401"/>
      <c r="BE1381" s="42"/>
    </row>
    <row r="1382" spans="48:57" x14ac:dyDescent="0.2">
      <c r="AV1382" s="401"/>
      <c r="AW1382" s="412"/>
      <c r="AX1382" s="230"/>
      <c r="AY1382" s="42"/>
      <c r="AZ1382" s="320"/>
      <c r="BD1382" s="401"/>
      <c r="BE1382" s="42"/>
    </row>
    <row r="1383" spans="48:57" x14ac:dyDescent="0.2">
      <c r="AV1383" s="401"/>
      <c r="AW1383" s="412"/>
      <c r="AX1383" s="230"/>
      <c r="AY1383" s="42"/>
      <c r="AZ1383" s="320"/>
      <c r="BD1383" s="401"/>
      <c r="BE1383" s="42"/>
    </row>
    <row r="1384" spans="48:57" x14ac:dyDescent="0.2">
      <c r="AV1384" s="401"/>
      <c r="AW1384" s="412"/>
      <c r="AX1384" s="230"/>
      <c r="AY1384" s="42"/>
      <c r="AZ1384" s="320"/>
      <c r="BD1384" s="401"/>
      <c r="BE1384" s="42"/>
    </row>
    <row r="1385" spans="48:57" x14ac:dyDescent="0.2">
      <c r="AV1385" s="401"/>
      <c r="AW1385" s="412"/>
      <c r="AX1385" s="230"/>
      <c r="AY1385" s="42"/>
      <c r="AZ1385" s="320"/>
      <c r="BD1385" s="401"/>
      <c r="BE1385" s="42"/>
    </row>
    <row r="1386" spans="48:57" x14ac:dyDescent="0.2">
      <c r="AV1386" s="401"/>
      <c r="AW1386" s="412"/>
      <c r="AX1386" s="230"/>
      <c r="AY1386" s="42"/>
      <c r="AZ1386" s="320"/>
      <c r="BD1386" s="401"/>
      <c r="BE1386" s="42"/>
    </row>
    <row r="1387" spans="48:57" x14ac:dyDescent="0.2">
      <c r="AV1387" s="401"/>
      <c r="AW1387" s="412"/>
      <c r="AX1387" s="230"/>
      <c r="AY1387" s="42"/>
      <c r="AZ1387" s="320"/>
      <c r="BD1387" s="401"/>
      <c r="BE1387" s="42"/>
    </row>
    <row r="1388" spans="48:57" x14ac:dyDescent="0.2">
      <c r="AV1388" s="401"/>
      <c r="AW1388" s="412"/>
      <c r="AX1388" s="230"/>
      <c r="AY1388" s="42"/>
      <c r="AZ1388" s="320"/>
      <c r="BD1388" s="401"/>
      <c r="BE1388" s="42"/>
    </row>
    <row r="1389" spans="48:57" x14ac:dyDescent="0.2">
      <c r="AV1389" s="401"/>
      <c r="AW1389" s="412"/>
      <c r="AX1389" s="230"/>
      <c r="AY1389" s="42"/>
      <c r="AZ1389" s="320"/>
      <c r="BD1389" s="401"/>
      <c r="BE1389" s="42"/>
    </row>
    <row r="1390" spans="48:57" x14ac:dyDescent="0.2">
      <c r="AV1390" s="401"/>
      <c r="AW1390" s="412"/>
      <c r="AX1390" s="230"/>
      <c r="AY1390" s="42"/>
      <c r="AZ1390" s="320"/>
      <c r="BD1390" s="401"/>
      <c r="BE1390" s="42"/>
    </row>
    <row r="1391" spans="48:57" x14ac:dyDescent="0.2">
      <c r="AV1391" s="401"/>
      <c r="AW1391" s="412"/>
      <c r="AX1391" s="230"/>
      <c r="AY1391" s="42"/>
      <c r="AZ1391" s="320"/>
      <c r="BD1391" s="401"/>
      <c r="BE1391" s="42"/>
    </row>
    <row r="1392" spans="48:57" x14ac:dyDescent="0.2">
      <c r="AV1392" s="401"/>
      <c r="AW1392" s="412"/>
      <c r="AX1392" s="230"/>
      <c r="AY1392" s="42"/>
      <c r="AZ1392" s="320"/>
      <c r="BD1392" s="401"/>
      <c r="BE1392" s="42"/>
    </row>
    <row r="1393" spans="48:57" x14ac:dyDescent="0.2">
      <c r="AV1393" s="401"/>
      <c r="AW1393" s="412"/>
      <c r="AX1393" s="230"/>
      <c r="AY1393" s="42"/>
      <c r="AZ1393" s="320"/>
      <c r="BD1393" s="401"/>
      <c r="BE1393" s="42"/>
    </row>
    <row r="1394" spans="48:57" x14ac:dyDescent="0.2">
      <c r="AV1394" s="401"/>
      <c r="AW1394" s="412"/>
      <c r="AX1394" s="230"/>
      <c r="AY1394" s="42"/>
      <c r="AZ1394" s="320"/>
      <c r="BD1394" s="401"/>
      <c r="BE1394" s="42"/>
    </row>
    <row r="1395" spans="48:57" x14ac:dyDescent="0.2">
      <c r="AV1395" s="401"/>
      <c r="AW1395" s="412"/>
      <c r="AX1395" s="230"/>
      <c r="AY1395" s="42"/>
      <c r="AZ1395" s="320"/>
      <c r="BD1395" s="401"/>
      <c r="BE1395" s="42"/>
    </row>
    <row r="1396" spans="48:57" x14ac:dyDescent="0.2">
      <c r="AV1396" s="401"/>
      <c r="AW1396" s="412"/>
      <c r="AX1396" s="230"/>
      <c r="AY1396" s="42"/>
      <c r="AZ1396" s="320"/>
      <c r="BD1396" s="401"/>
      <c r="BE1396" s="42"/>
    </row>
    <row r="1397" spans="48:57" x14ac:dyDescent="0.2">
      <c r="AV1397" s="401"/>
      <c r="AW1397" s="412"/>
      <c r="AX1397" s="230"/>
      <c r="AY1397" s="42"/>
      <c r="AZ1397" s="320"/>
      <c r="BD1397" s="401"/>
      <c r="BE1397" s="42"/>
    </row>
    <row r="1398" spans="48:57" x14ac:dyDescent="0.2">
      <c r="AV1398" s="401"/>
      <c r="AW1398" s="412"/>
      <c r="AX1398" s="230"/>
      <c r="AY1398" s="42"/>
      <c r="AZ1398" s="320"/>
      <c r="BD1398" s="401"/>
      <c r="BE1398" s="42"/>
    </row>
    <row r="1399" spans="48:57" x14ac:dyDescent="0.2">
      <c r="AV1399" s="401"/>
      <c r="AW1399" s="412"/>
      <c r="AX1399" s="230"/>
      <c r="AY1399" s="42"/>
      <c r="AZ1399" s="320"/>
      <c r="BD1399" s="401"/>
      <c r="BE1399" s="42"/>
    </row>
    <row r="1400" spans="48:57" x14ac:dyDescent="0.2">
      <c r="AV1400" s="401"/>
      <c r="AW1400" s="412"/>
      <c r="AX1400" s="230"/>
      <c r="AY1400" s="42"/>
      <c r="AZ1400" s="320"/>
      <c r="BD1400" s="401"/>
      <c r="BE1400" s="42"/>
    </row>
    <row r="1401" spans="48:57" x14ac:dyDescent="0.2">
      <c r="AV1401" s="401"/>
      <c r="AW1401" s="412"/>
      <c r="AX1401" s="230"/>
      <c r="AY1401" s="42"/>
      <c r="AZ1401" s="320"/>
      <c r="BD1401" s="401"/>
      <c r="BE1401" s="42"/>
    </row>
    <row r="1402" spans="48:57" x14ac:dyDescent="0.2">
      <c r="AV1402" s="401"/>
      <c r="AW1402" s="412"/>
      <c r="AX1402" s="230"/>
      <c r="AY1402" s="42"/>
      <c r="AZ1402" s="320"/>
      <c r="BD1402" s="401"/>
      <c r="BE1402" s="42"/>
    </row>
    <row r="1403" spans="48:57" x14ac:dyDescent="0.2">
      <c r="AV1403" s="401"/>
      <c r="AW1403" s="412"/>
      <c r="AX1403" s="230"/>
      <c r="AY1403" s="42"/>
      <c r="AZ1403" s="320"/>
      <c r="BD1403" s="401"/>
      <c r="BE1403" s="42"/>
    </row>
    <row r="1404" spans="48:57" x14ac:dyDescent="0.2">
      <c r="AV1404" s="401"/>
      <c r="AW1404" s="412"/>
      <c r="AX1404" s="230"/>
      <c r="AY1404" s="42"/>
      <c r="AZ1404" s="320"/>
      <c r="BD1404" s="401"/>
      <c r="BE1404" s="42"/>
    </row>
    <row r="1405" spans="48:57" x14ac:dyDescent="0.2">
      <c r="AV1405" s="401"/>
      <c r="AW1405" s="412"/>
      <c r="AX1405" s="230"/>
      <c r="AY1405" s="42"/>
      <c r="AZ1405" s="320"/>
      <c r="BD1405" s="401"/>
      <c r="BE1405" s="42"/>
    </row>
    <row r="1406" spans="48:57" x14ac:dyDescent="0.2">
      <c r="AV1406" s="401"/>
      <c r="AW1406" s="412"/>
      <c r="AX1406" s="230"/>
      <c r="AY1406" s="42"/>
      <c r="AZ1406" s="320"/>
      <c r="BD1406" s="401"/>
      <c r="BE1406" s="42"/>
    </row>
    <row r="1407" spans="48:57" x14ac:dyDescent="0.2">
      <c r="AV1407" s="401"/>
      <c r="AW1407" s="412"/>
      <c r="AX1407" s="230"/>
      <c r="AY1407" s="42"/>
      <c r="AZ1407" s="320"/>
      <c r="BD1407" s="401"/>
      <c r="BE1407" s="42"/>
    </row>
    <row r="1408" spans="48:57" x14ac:dyDescent="0.2">
      <c r="AV1408" s="401"/>
      <c r="AW1408" s="412"/>
      <c r="AX1408" s="230"/>
      <c r="AY1408" s="42"/>
      <c r="AZ1408" s="320"/>
      <c r="BD1408" s="401"/>
      <c r="BE1408" s="42"/>
    </row>
    <row r="1409" spans="48:57" x14ac:dyDescent="0.2">
      <c r="AV1409" s="401"/>
      <c r="AW1409" s="412"/>
      <c r="AX1409" s="230"/>
      <c r="AY1409" s="42"/>
      <c r="AZ1409" s="320"/>
      <c r="BD1409" s="401"/>
      <c r="BE1409" s="42"/>
    </row>
    <row r="1410" spans="48:57" x14ac:dyDescent="0.2">
      <c r="AV1410" s="401"/>
      <c r="AW1410" s="412"/>
      <c r="AX1410" s="230"/>
      <c r="AY1410" s="42"/>
      <c r="AZ1410" s="320"/>
      <c r="BD1410" s="401"/>
      <c r="BE1410" s="42"/>
    </row>
    <row r="1411" spans="48:57" x14ac:dyDescent="0.2">
      <c r="AV1411" s="401"/>
      <c r="AW1411" s="412"/>
      <c r="AX1411" s="230"/>
      <c r="AY1411" s="42"/>
      <c r="AZ1411" s="320"/>
      <c r="BD1411" s="401"/>
      <c r="BE1411" s="42"/>
    </row>
    <row r="1412" spans="48:57" x14ac:dyDescent="0.2">
      <c r="AV1412" s="401"/>
      <c r="AW1412" s="412"/>
      <c r="AX1412" s="230"/>
      <c r="AY1412" s="42"/>
      <c r="AZ1412" s="320"/>
      <c r="BD1412" s="401"/>
      <c r="BE1412" s="42"/>
    </row>
    <row r="1413" spans="48:57" x14ac:dyDescent="0.2">
      <c r="AV1413" s="401"/>
      <c r="AW1413" s="412"/>
      <c r="AX1413" s="230"/>
      <c r="AY1413" s="42"/>
      <c r="AZ1413" s="320"/>
      <c r="BD1413" s="401"/>
      <c r="BE1413" s="42"/>
    </row>
    <row r="1414" spans="48:57" x14ac:dyDescent="0.2">
      <c r="AV1414" s="401"/>
      <c r="AW1414" s="412"/>
      <c r="AX1414" s="230"/>
      <c r="AY1414" s="42"/>
      <c r="AZ1414" s="320"/>
      <c r="BD1414" s="401"/>
      <c r="BE1414" s="42"/>
    </row>
    <row r="1415" spans="48:57" x14ac:dyDescent="0.2">
      <c r="AV1415" s="401"/>
      <c r="AW1415" s="412"/>
      <c r="AX1415" s="230"/>
      <c r="AY1415" s="42"/>
      <c r="AZ1415" s="320"/>
      <c r="BD1415" s="401"/>
      <c r="BE1415" s="42"/>
    </row>
    <row r="1416" spans="48:57" x14ac:dyDescent="0.2">
      <c r="AV1416" s="401"/>
      <c r="AW1416" s="412"/>
      <c r="AX1416" s="230"/>
      <c r="AY1416" s="42"/>
      <c r="AZ1416" s="320"/>
      <c r="BD1416" s="401"/>
      <c r="BE1416" s="42"/>
    </row>
    <row r="1417" spans="48:57" x14ac:dyDescent="0.2">
      <c r="AV1417" s="401"/>
      <c r="AW1417" s="412"/>
      <c r="AX1417" s="230"/>
      <c r="AY1417" s="42"/>
      <c r="AZ1417" s="320"/>
      <c r="BD1417" s="401"/>
      <c r="BE1417" s="42"/>
    </row>
    <row r="1418" spans="48:57" x14ac:dyDescent="0.2">
      <c r="AV1418" s="401"/>
      <c r="AW1418" s="412"/>
      <c r="AX1418" s="230"/>
      <c r="AY1418" s="42"/>
      <c r="AZ1418" s="320"/>
      <c r="BD1418" s="401"/>
      <c r="BE1418" s="42"/>
    </row>
    <row r="1419" spans="48:57" x14ac:dyDescent="0.2">
      <c r="AV1419" s="401"/>
      <c r="AW1419" s="412"/>
      <c r="AX1419" s="230"/>
      <c r="AY1419" s="42"/>
      <c r="AZ1419" s="320"/>
      <c r="BD1419" s="401"/>
      <c r="BE1419" s="42"/>
    </row>
    <row r="1420" spans="48:57" x14ac:dyDescent="0.2">
      <c r="AV1420" s="401"/>
      <c r="AW1420" s="412"/>
      <c r="AX1420" s="230"/>
      <c r="AY1420" s="42"/>
      <c r="AZ1420" s="320"/>
      <c r="BD1420" s="401"/>
      <c r="BE1420" s="42"/>
    </row>
    <row r="1421" spans="48:57" x14ac:dyDescent="0.2">
      <c r="AV1421" s="401"/>
      <c r="AW1421" s="412"/>
      <c r="AX1421" s="230"/>
      <c r="AY1421" s="42"/>
      <c r="AZ1421" s="320"/>
      <c r="BD1421" s="401"/>
      <c r="BE1421" s="42"/>
    </row>
    <row r="1422" spans="48:57" x14ac:dyDescent="0.2">
      <c r="AV1422" s="401"/>
      <c r="AW1422" s="412"/>
      <c r="AX1422" s="230"/>
      <c r="AY1422" s="42"/>
      <c r="AZ1422" s="320"/>
      <c r="BD1422" s="401"/>
      <c r="BE1422" s="42"/>
    </row>
    <row r="1423" spans="48:57" x14ac:dyDescent="0.2">
      <c r="AV1423" s="401"/>
      <c r="AW1423" s="412"/>
      <c r="AX1423" s="230"/>
      <c r="AY1423" s="42"/>
      <c r="AZ1423" s="320"/>
      <c r="BD1423" s="401"/>
      <c r="BE1423" s="42"/>
    </row>
    <row r="1424" spans="48:57" x14ac:dyDescent="0.2">
      <c r="AV1424" s="401"/>
      <c r="AW1424" s="412"/>
      <c r="AX1424" s="230"/>
      <c r="AY1424" s="42"/>
      <c r="AZ1424" s="320"/>
      <c r="BD1424" s="401"/>
      <c r="BE1424" s="42"/>
    </row>
    <row r="1425" spans="48:57" x14ac:dyDescent="0.2">
      <c r="AV1425" s="401"/>
      <c r="AW1425" s="412"/>
      <c r="AX1425" s="230"/>
      <c r="AY1425" s="42"/>
      <c r="AZ1425" s="320"/>
      <c r="BD1425" s="401"/>
      <c r="BE1425" s="42"/>
    </row>
    <row r="1426" spans="48:57" x14ac:dyDescent="0.2">
      <c r="AV1426" s="401"/>
      <c r="AW1426" s="412"/>
      <c r="AX1426" s="230"/>
      <c r="AY1426" s="42"/>
      <c r="AZ1426" s="320"/>
      <c r="BD1426" s="401"/>
      <c r="BE1426" s="42"/>
    </row>
    <row r="1427" spans="48:57" x14ac:dyDescent="0.2">
      <c r="AV1427" s="401"/>
      <c r="AW1427" s="412"/>
      <c r="AX1427" s="230"/>
      <c r="AY1427" s="42"/>
      <c r="AZ1427" s="320"/>
      <c r="BD1427" s="401"/>
      <c r="BE1427" s="42"/>
    </row>
    <row r="1428" spans="48:57" x14ac:dyDescent="0.2">
      <c r="AV1428" s="401"/>
      <c r="AW1428" s="412"/>
      <c r="AX1428" s="230"/>
      <c r="AY1428" s="42"/>
      <c r="AZ1428" s="320"/>
      <c r="BD1428" s="401"/>
      <c r="BE1428" s="42"/>
    </row>
    <row r="1429" spans="48:57" x14ac:dyDescent="0.2">
      <c r="AV1429" s="401"/>
      <c r="AW1429" s="412"/>
      <c r="AX1429" s="230"/>
      <c r="AY1429" s="42"/>
      <c r="AZ1429" s="320"/>
      <c r="BD1429" s="401"/>
      <c r="BE1429" s="42"/>
    </row>
    <row r="1430" spans="48:57" x14ac:dyDescent="0.2">
      <c r="AV1430" s="401"/>
      <c r="AW1430" s="412"/>
      <c r="AX1430" s="230"/>
      <c r="AY1430" s="42"/>
      <c r="AZ1430" s="320"/>
      <c r="BD1430" s="401"/>
      <c r="BE1430" s="42"/>
    </row>
    <row r="1431" spans="48:57" x14ac:dyDescent="0.2">
      <c r="AV1431" s="401"/>
      <c r="AW1431" s="412"/>
      <c r="AX1431" s="230"/>
      <c r="AY1431" s="42"/>
      <c r="AZ1431" s="320"/>
      <c r="BD1431" s="401"/>
      <c r="BE1431" s="42"/>
    </row>
    <row r="1432" spans="48:57" x14ac:dyDescent="0.2">
      <c r="AV1432" s="401"/>
      <c r="AW1432" s="412"/>
      <c r="AX1432" s="230"/>
      <c r="AY1432" s="42"/>
      <c r="AZ1432" s="320"/>
      <c r="BD1432" s="401"/>
      <c r="BE1432" s="42"/>
    </row>
    <row r="1433" spans="48:57" x14ac:dyDescent="0.2">
      <c r="AV1433" s="401"/>
      <c r="AW1433" s="412"/>
      <c r="AX1433" s="230"/>
      <c r="AY1433" s="42"/>
      <c r="AZ1433" s="320"/>
      <c r="BD1433" s="401"/>
      <c r="BE1433" s="42"/>
    </row>
    <row r="1434" spans="48:57" x14ac:dyDescent="0.2">
      <c r="AV1434" s="401"/>
      <c r="AW1434" s="412"/>
      <c r="AX1434" s="230"/>
      <c r="AY1434" s="42"/>
      <c r="AZ1434" s="320"/>
      <c r="BD1434" s="401"/>
      <c r="BE1434" s="42"/>
    </row>
    <row r="1435" spans="48:57" x14ac:dyDescent="0.2">
      <c r="AV1435" s="401"/>
      <c r="AW1435" s="412"/>
      <c r="AX1435" s="230"/>
      <c r="AY1435" s="42"/>
      <c r="AZ1435" s="320"/>
      <c r="BD1435" s="401"/>
      <c r="BE1435" s="42"/>
    </row>
    <row r="1436" spans="48:57" x14ac:dyDescent="0.2">
      <c r="AV1436" s="401"/>
      <c r="AW1436" s="412"/>
      <c r="AX1436" s="230"/>
      <c r="AY1436" s="42"/>
      <c r="AZ1436" s="320"/>
      <c r="BD1436" s="401"/>
      <c r="BE1436" s="42"/>
    </row>
    <row r="1437" spans="48:57" x14ac:dyDescent="0.2">
      <c r="AV1437" s="401"/>
      <c r="AW1437" s="412"/>
      <c r="AX1437" s="230"/>
      <c r="AY1437" s="42"/>
      <c r="AZ1437" s="320"/>
      <c r="BD1437" s="401"/>
      <c r="BE1437" s="42"/>
    </row>
    <row r="1438" spans="48:57" x14ac:dyDescent="0.2">
      <c r="AV1438" s="401"/>
      <c r="AW1438" s="412"/>
      <c r="AX1438" s="230"/>
      <c r="AY1438" s="42"/>
      <c r="AZ1438" s="320"/>
      <c r="BD1438" s="401"/>
      <c r="BE1438" s="42"/>
    </row>
    <row r="1439" spans="48:57" x14ac:dyDescent="0.2">
      <c r="AV1439" s="401"/>
      <c r="AW1439" s="412"/>
      <c r="AX1439" s="230"/>
      <c r="AY1439" s="42"/>
      <c r="AZ1439" s="320"/>
      <c r="BD1439" s="401"/>
      <c r="BE1439" s="42"/>
    </row>
    <row r="1440" spans="48:57" x14ac:dyDescent="0.2">
      <c r="AV1440" s="401"/>
      <c r="AW1440" s="412"/>
      <c r="AX1440" s="230"/>
      <c r="AY1440" s="42"/>
      <c r="AZ1440" s="320"/>
      <c r="BD1440" s="401"/>
      <c r="BE1440" s="42"/>
    </row>
    <row r="1441" spans="48:57" x14ac:dyDescent="0.2">
      <c r="AV1441" s="401"/>
      <c r="AW1441" s="412"/>
      <c r="AX1441" s="230"/>
      <c r="AY1441" s="42"/>
      <c r="AZ1441" s="320"/>
      <c r="BD1441" s="401"/>
      <c r="BE1441" s="42"/>
    </row>
    <row r="1442" spans="48:57" x14ac:dyDescent="0.2">
      <c r="AV1442" s="401"/>
      <c r="AW1442" s="412"/>
      <c r="AX1442" s="230"/>
      <c r="AY1442" s="42"/>
      <c r="AZ1442" s="320"/>
      <c r="BD1442" s="401"/>
      <c r="BE1442" s="42"/>
    </row>
    <row r="1443" spans="48:57" x14ac:dyDescent="0.2">
      <c r="AV1443" s="401"/>
      <c r="AW1443" s="412"/>
      <c r="AX1443" s="230"/>
      <c r="AY1443" s="42"/>
      <c r="AZ1443" s="320"/>
      <c r="BD1443" s="401"/>
      <c r="BE1443" s="42"/>
    </row>
    <row r="1444" spans="48:57" x14ac:dyDescent="0.2">
      <c r="AV1444" s="401"/>
      <c r="AW1444" s="412"/>
      <c r="AX1444" s="230"/>
      <c r="AY1444" s="42"/>
      <c r="AZ1444" s="320"/>
      <c r="BD1444" s="401"/>
      <c r="BE1444" s="42"/>
    </row>
    <row r="1445" spans="48:57" x14ac:dyDescent="0.2">
      <c r="AV1445" s="401"/>
      <c r="AW1445" s="412"/>
      <c r="AX1445" s="230"/>
      <c r="AY1445" s="42"/>
      <c r="AZ1445" s="320"/>
      <c r="BD1445" s="401"/>
      <c r="BE1445" s="42"/>
    </row>
    <row r="1446" spans="48:57" x14ac:dyDescent="0.2">
      <c r="AV1446" s="401"/>
      <c r="AW1446" s="412"/>
      <c r="AX1446" s="230"/>
      <c r="AY1446" s="42"/>
      <c r="AZ1446" s="320"/>
      <c r="BD1446" s="401"/>
      <c r="BE1446" s="42"/>
    </row>
    <row r="1447" spans="48:57" x14ac:dyDescent="0.2">
      <c r="AV1447" s="401"/>
      <c r="AW1447" s="412"/>
      <c r="AX1447" s="230"/>
      <c r="AY1447" s="42"/>
      <c r="AZ1447" s="320"/>
      <c r="BD1447" s="401"/>
      <c r="BE1447" s="42"/>
    </row>
    <row r="1448" spans="48:57" x14ac:dyDescent="0.2">
      <c r="AV1448" s="401"/>
      <c r="AW1448" s="412"/>
      <c r="AX1448" s="230"/>
      <c r="AY1448" s="42"/>
      <c r="AZ1448" s="320"/>
      <c r="BD1448" s="401"/>
      <c r="BE1448" s="42"/>
    </row>
    <row r="1449" spans="48:57" x14ac:dyDescent="0.2">
      <c r="AV1449" s="401"/>
      <c r="AW1449" s="412"/>
      <c r="AX1449" s="230"/>
      <c r="AY1449" s="42"/>
      <c r="AZ1449" s="320"/>
      <c r="BD1449" s="401"/>
      <c r="BE1449" s="42"/>
    </row>
    <row r="1450" spans="48:57" x14ac:dyDescent="0.2">
      <c r="AV1450" s="401"/>
      <c r="AW1450" s="412"/>
      <c r="AX1450" s="230"/>
      <c r="AY1450" s="42"/>
      <c r="AZ1450" s="320"/>
      <c r="BD1450" s="401"/>
      <c r="BE1450" s="42"/>
    </row>
    <row r="1451" spans="48:57" x14ac:dyDescent="0.2">
      <c r="AV1451" s="401"/>
      <c r="AW1451" s="412"/>
      <c r="AX1451" s="230"/>
      <c r="AY1451" s="42"/>
      <c r="AZ1451" s="320"/>
      <c r="BD1451" s="401"/>
      <c r="BE1451" s="42"/>
    </row>
    <row r="1452" spans="48:57" x14ac:dyDescent="0.2">
      <c r="AV1452" s="401"/>
      <c r="AW1452" s="412"/>
      <c r="AX1452" s="230"/>
      <c r="AY1452" s="42"/>
      <c r="AZ1452" s="320"/>
      <c r="BD1452" s="401"/>
      <c r="BE1452" s="42"/>
    </row>
    <row r="1453" spans="48:57" x14ac:dyDescent="0.2">
      <c r="AV1453" s="401"/>
      <c r="AW1453" s="412"/>
      <c r="AX1453" s="230"/>
      <c r="AY1453" s="42"/>
      <c r="AZ1453" s="320"/>
      <c r="BD1453" s="401"/>
      <c r="BE1453" s="42"/>
    </row>
    <row r="1454" spans="48:57" x14ac:dyDescent="0.2">
      <c r="AV1454" s="401"/>
      <c r="AW1454" s="412"/>
      <c r="AX1454" s="230"/>
      <c r="AY1454" s="42"/>
      <c r="AZ1454" s="320"/>
      <c r="BD1454" s="401"/>
      <c r="BE1454" s="42"/>
    </row>
    <row r="1455" spans="48:57" x14ac:dyDescent="0.2">
      <c r="AV1455" s="401"/>
      <c r="AW1455" s="412"/>
      <c r="AX1455" s="230"/>
      <c r="AY1455" s="42"/>
      <c r="AZ1455" s="320"/>
      <c r="BD1455" s="401"/>
      <c r="BE1455" s="42"/>
    </row>
    <row r="1456" spans="48:57" x14ac:dyDescent="0.2">
      <c r="AV1456" s="401"/>
      <c r="AW1456" s="412"/>
      <c r="AX1456" s="230"/>
      <c r="AY1456" s="42"/>
      <c r="AZ1456" s="320"/>
      <c r="BD1456" s="401"/>
      <c r="BE1456" s="42"/>
    </row>
    <row r="1457" spans="48:57" x14ac:dyDescent="0.2">
      <c r="AV1457" s="401"/>
      <c r="AW1457" s="412"/>
      <c r="AX1457" s="230"/>
      <c r="AY1457" s="42"/>
      <c r="AZ1457" s="320"/>
      <c r="BD1457" s="401"/>
      <c r="BE1457" s="42"/>
    </row>
    <row r="1458" spans="48:57" x14ac:dyDescent="0.2">
      <c r="AV1458" s="401"/>
      <c r="AW1458" s="412"/>
      <c r="AX1458" s="230"/>
      <c r="AY1458" s="42"/>
      <c r="AZ1458" s="320"/>
      <c r="BD1458" s="401"/>
      <c r="BE1458" s="42"/>
    </row>
    <row r="1459" spans="48:57" x14ac:dyDescent="0.2">
      <c r="AV1459" s="401"/>
      <c r="AW1459" s="412"/>
      <c r="AX1459" s="230"/>
      <c r="AY1459" s="42"/>
      <c r="AZ1459" s="320"/>
      <c r="BD1459" s="401"/>
      <c r="BE1459" s="42"/>
    </row>
    <row r="1460" spans="48:57" x14ac:dyDescent="0.2">
      <c r="AV1460" s="401"/>
      <c r="AW1460" s="412"/>
      <c r="AX1460" s="230"/>
      <c r="AY1460" s="42"/>
      <c r="AZ1460" s="320"/>
      <c r="BD1460" s="401"/>
      <c r="BE1460" s="42"/>
    </row>
    <row r="1461" spans="48:57" x14ac:dyDescent="0.2">
      <c r="AV1461" s="401"/>
      <c r="AW1461" s="412"/>
      <c r="AX1461" s="230"/>
      <c r="AY1461" s="42"/>
      <c r="AZ1461" s="320"/>
      <c r="BD1461" s="401"/>
      <c r="BE1461" s="42"/>
    </row>
    <row r="1462" spans="48:57" x14ac:dyDescent="0.2">
      <c r="AV1462" s="401"/>
      <c r="AW1462" s="412"/>
      <c r="AX1462" s="230"/>
      <c r="AY1462" s="42"/>
      <c r="AZ1462" s="320"/>
      <c r="BD1462" s="401"/>
      <c r="BE1462" s="42"/>
    </row>
    <row r="1463" spans="48:57" x14ac:dyDescent="0.2">
      <c r="AV1463" s="401"/>
      <c r="AW1463" s="412"/>
      <c r="AX1463" s="230"/>
      <c r="AY1463" s="42"/>
      <c r="AZ1463" s="320"/>
      <c r="BD1463" s="401"/>
      <c r="BE1463" s="42"/>
    </row>
    <row r="1464" spans="48:57" x14ac:dyDescent="0.2">
      <c r="AV1464" s="401"/>
      <c r="AW1464" s="412"/>
      <c r="AX1464" s="230"/>
      <c r="AY1464" s="42"/>
      <c r="AZ1464" s="320"/>
      <c r="BD1464" s="401"/>
      <c r="BE1464" s="42"/>
    </row>
    <row r="1465" spans="48:57" x14ac:dyDescent="0.2">
      <c r="AV1465" s="401"/>
      <c r="AW1465" s="412"/>
      <c r="AX1465" s="230"/>
      <c r="AY1465" s="42"/>
      <c r="AZ1465" s="320"/>
      <c r="BD1465" s="401"/>
      <c r="BE1465" s="42"/>
    </row>
    <row r="1466" spans="48:57" x14ac:dyDescent="0.2">
      <c r="AV1466" s="401"/>
      <c r="AW1466" s="412"/>
      <c r="AX1466" s="230"/>
      <c r="AY1466" s="42"/>
      <c r="AZ1466" s="320"/>
      <c r="BD1466" s="401"/>
      <c r="BE1466" s="42"/>
    </row>
    <row r="1467" spans="48:57" x14ac:dyDescent="0.2">
      <c r="AV1467" s="401"/>
      <c r="AW1467" s="412"/>
      <c r="AX1467" s="230"/>
      <c r="AY1467" s="42"/>
      <c r="AZ1467" s="320"/>
      <c r="BD1467" s="401"/>
      <c r="BE1467" s="42"/>
    </row>
    <row r="1468" spans="48:57" x14ac:dyDescent="0.2">
      <c r="AV1468" s="401"/>
      <c r="AW1468" s="412"/>
      <c r="AX1468" s="230"/>
      <c r="AY1468" s="42"/>
      <c r="AZ1468" s="320"/>
      <c r="BD1468" s="401"/>
      <c r="BE1468" s="42"/>
    </row>
    <row r="1469" spans="48:57" x14ac:dyDescent="0.2">
      <c r="AV1469" s="401"/>
      <c r="AW1469" s="412"/>
      <c r="AX1469" s="230"/>
      <c r="AY1469" s="42"/>
      <c r="AZ1469" s="320"/>
      <c r="BD1469" s="401"/>
      <c r="BE1469" s="42"/>
    </row>
    <row r="1470" spans="48:57" x14ac:dyDescent="0.2">
      <c r="AV1470" s="401"/>
      <c r="AW1470" s="412"/>
      <c r="AX1470" s="230"/>
      <c r="AY1470" s="42"/>
      <c r="AZ1470" s="320"/>
      <c r="BD1470" s="401"/>
      <c r="BE1470" s="42"/>
    </row>
    <row r="1471" spans="48:57" x14ac:dyDescent="0.2">
      <c r="AV1471" s="401"/>
      <c r="AW1471" s="412"/>
      <c r="AX1471" s="230"/>
      <c r="AY1471" s="42"/>
      <c r="AZ1471" s="320"/>
      <c r="BD1471" s="401"/>
      <c r="BE1471" s="42"/>
    </row>
    <row r="1472" spans="48:57" x14ac:dyDescent="0.2">
      <c r="AV1472" s="401"/>
      <c r="AW1472" s="412"/>
      <c r="AX1472" s="230"/>
      <c r="AY1472" s="42"/>
      <c r="AZ1472" s="320"/>
      <c r="BD1472" s="401"/>
      <c r="BE1472" s="42"/>
    </row>
    <row r="1473" spans="48:57" x14ac:dyDescent="0.2">
      <c r="AV1473" s="401"/>
      <c r="AW1473" s="412"/>
      <c r="AX1473" s="230"/>
      <c r="AY1473" s="42"/>
      <c r="AZ1473" s="320"/>
      <c r="BD1473" s="401"/>
      <c r="BE1473" s="42"/>
    </row>
    <row r="1474" spans="48:57" x14ac:dyDescent="0.2">
      <c r="AV1474" s="401"/>
      <c r="AW1474" s="412"/>
      <c r="AX1474" s="230"/>
      <c r="AY1474" s="42"/>
      <c r="AZ1474" s="320"/>
      <c r="BD1474" s="401"/>
      <c r="BE1474" s="42"/>
    </row>
    <row r="1475" spans="48:57" x14ac:dyDescent="0.2">
      <c r="AV1475" s="401"/>
      <c r="AW1475" s="412"/>
      <c r="AX1475" s="230"/>
      <c r="AY1475" s="42"/>
      <c r="AZ1475" s="320"/>
      <c r="BD1475" s="401"/>
      <c r="BE1475" s="42"/>
    </row>
    <row r="1476" spans="48:57" x14ac:dyDescent="0.2">
      <c r="AV1476" s="401"/>
      <c r="AW1476" s="412"/>
      <c r="AX1476" s="230"/>
      <c r="AY1476" s="42"/>
      <c r="AZ1476" s="320"/>
      <c r="BD1476" s="401"/>
      <c r="BE1476" s="42"/>
    </row>
    <row r="1477" spans="48:57" x14ac:dyDescent="0.2">
      <c r="AV1477" s="401"/>
      <c r="AW1477" s="412"/>
      <c r="AX1477" s="230"/>
      <c r="AY1477" s="42"/>
      <c r="AZ1477" s="320"/>
      <c r="BD1477" s="401"/>
      <c r="BE1477" s="42"/>
    </row>
    <row r="1478" spans="48:57" x14ac:dyDescent="0.2">
      <c r="AV1478" s="401"/>
      <c r="AW1478" s="412"/>
      <c r="AX1478" s="230"/>
      <c r="AY1478" s="42"/>
      <c r="AZ1478" s="320"/>
      <c r="BD1478" s="401"/>
      <c r="BE1478" s="42"/>
    </row>
    <row r="1479" spans="48:57" x14ac:dyDescent="0.2">
      <c r="AV1479" s="401"/>
      <c r="AW1479" s="412"/>
      <c r="AX1479" s="230"/>
      <c r="AY1479" s="42"/>
      <c r="AZ1479" s="320"/>
      <c r="BD1479" s="401"/>
      <c r="BE1479" s="42"/>
    </row>
    <row r="1480" spans="48:57" x14ac:dyDescent="0.2">
      <c r="AV1480" s="401"/>
      <c r="AW1480" s="412"/>
      <c r="AX1480" s="230"/>
      <c r="AY1480" s="42"/>
      <c r="AZ1480" s="320"/>
      <c r="BD1480" s="401"/>
      <c r="BE1480" s="42"/>
    </row>
    <row r="1481" spans="48:57" x14ac:dyDescent="0.2">
      <c r="AV1481" s="401"/>
      <c r="AW1481" s="412"/>
      <c r="AX1481" s="230"/>
      <c r="AY1481" s="42"/>
      <c r="AZ1481" s="320"/>
      <c r="BD1481" s="401"/>
      <c r="BE1481" s="42"/>
    </row>
    <row r="1482" spans="48:57" x14ac:dyDescent="0.2">
      <c r="AV1482" s="401"/>
      <c r="AW1482" s="412"/>
      <c r="AX1482" s="230"/>
      <c r="AY1482" s="42"/>
      <c r="AZ1482" s="320"/>
      <c r="BD1482" s="401"/>
      <c r="BE1482" s="42"/>
    </row>
    <row r="1483" spans="48:57" x14ac:dyDescent="0.2">
      <c r="AV1483" s="401"/>
      <c r="AW1483" s="412"/>
      <c r="AX1483" s="230"/>
      <c r="AY1483" s="42"/>
      <c r="AZ1483" s="320"/>
      <c r="BD1483" s="401"/>
      <c r="BE1483" s="42"/>
    </row>
    <row r="1484" spans="48:57" x14ac:dyDescent="0.2">
      <c r="AV1484" s="401"/>
      <c r="AW1484" s="412"/>
      <c r="AX1484" s="230"/>
      <c r="AY1484" s="42"/>
      <c r="AZ1484" s="320"/>
      <c r="BD1484" s="401"/>
      <c r="BE1484" s="42"/>
    </row>
    <row r="1485" spans="48:57" x14ac:dyDescent="0.2">
      <c r="AV1485" s="401"/>
      <c r="AW1485" s="412"/>
      <c r="AX1485" s="230"/>
      <c r="AY1485" s="42"/>
      <c r="AZ1485" s="320"/>
      <c r="BD1485" s="401"/>
      <c r="BE1485" s="42"/>
    </row>
    <row r="1486" spans="48:57" x14ac:dyDescent="0.2">
      <c r="AV1486" s="401"/>
      <c r="AW1486" s="412"/>
      <c r="AX1486" s="230"/>
      <c r="AY1486" s="42"/>
      <c r="AZ1486" s="320"/>
      <c r="BD1486" s="401"/>
      <c r="BE1486" s="42"/>
    </row>
    <row r="1487" spans="48:57" x14ac:dyDescent="0.2">
      <c r="AV1487" s="401"/>
      <c r="AW1487" s="412"/>
      <c r="AX1487" s="230"/>
      <c r="AY1487" s="42"/>
      <c r="AZ1487" s="320"/>
      <c r="BD1487" s="401"/>
      <c r="BE1487" s="42"/>
    </row>
    <row r="1488" spans="48:57" x14ac:dyDescent="0.2">
      <c r="AV1488" s="401"/>
      <c r="AW1488" s="412"/>
      <c r="AX1488" s="230"/>
      <c r="AY1488" s="42"/>
      <c r="AZ1488" s="320"/>
      <c r="BD1488" s="401"/>
      <c r="BE1488" s="42"/>
    </row>
    <row r="1489" spans="48:57" x14ac:dyDescent="0.2">
      <c r="AV1489" s="401"/>
      <c r="AW1489" s="412"/>
      <c r="AX1489" s="230"/>
      <c r="AY1489" s="42"/>
      <c r="AZ1489" s="320"/>
      <c r="BD1489" s="401"/>
      <c r="BE1489" s="42"/>
    </row>
    <row r="1490" spans="48:57" x14ac:dyDescent="0.2">
      <c r="AV1490" s="401"/>
      <c r="AW1490" s="412"/>
      <c r="AX1490" s="230"/>
      <c r="AY1490" s="42"/>
      <c r="AZ1490" s="320"/>
      <c r="BD1490" s="401"/>
      <c r="BE1490" s="42"/>
    </row>
    <row r="1491" spans="48:57" x14ac:dyDescent="0.2">
      <c r="AV1491" s="401"/>
      <c r="AW1491" s="412"/>
      <c r="AX1491" s="230"/>
      <c r="AY1491" s="42"/>
      <c r="AZ1491" s="320"/>
      <c r="BD1491" s="401"/>
      <c r="BE1491" s="42"/>
    </row>
    <row r="1492" spans="48:57" x14ac:dyDescent="0.2">
      <c r="AV1492" s="401"/>
      <c r="AW1492" s="412"/>
      <c r="AX1492" s="230"/>
      <c r="AY1492" s="42"/>
      <c r="AZ1492" s="320"/>
      <c r="BD1492" s="401"/>
      <c r="BE1492" s="42"/>
    </row>
    <row r="1493" spans="48:57" x14ac:dyDescent="0.2">
      <c r="AV1493" s="401"/>
      <c r="AW1493" s="412"/>
      <c r="AX1493" s="230"/>
      <c r="AY1493" s="42"/>
      <c r="AZ1493" s="320"/>
      <c r="BD1493" s="401"/>
      <c r="BE1493" s="42"/>
    </row>
    <row r="1494" spans="48:57" x14ac:dyDescent="0.2">
      <c r="AV1494" s="401"/>
      <c r="AW1494" s="412"/>
      <c r="AX1494" s="230"/>
      <c r="AY1494" s="42"/>
      <c r="AZ1494" s="320"/>
      <c r="BD1494" s="401"/>
      <c r="BE1494" s="42"/>
    </row>
    <row r="1495" spans="48:57" x14ac:dyDescent="0.2">
      <c r="AV1495" s="401"/>
      <c r="AW1495" s="412"/>
      <c r="AX1495" s="230"/>
      <c r="AY1495" s="42"/>
      <c r="AZ1495" s="320"/>
      <c r="BD1495" s="401"/>
      <c r="BE1495" s="42"/>
    </row>
    <row r="1496" spans="48:57" x14ac:dyDescent="0.2">
      <c r="AV1496" s="401"/>
      <c r="AW1496" s="412"/>
      <c r="AX1496" s="230"/>
      <c r="AY1496" s="42"/>
      <c r="AZ1496" s="320"/>
      <c r="BD1496" s="401"/>
      <c r="BE1496" s="42"/>
    </row>
    <row r="1497" spans="48:57" x14ac:dyDescent="0.2">
      <c r="AV1497" s="401"/>
      <c r="AW1497" s="412"/>
      <c r="AX1497" s="230"/>
      <c r="AY1497" s="42"/>
      <c r="AZ1497" s="320"/>
      <c r="BD1497" s="401"/>
      <c r="BE1497" s="42"/>
    </row>
    <row r="1498" spans="48:57" x14ac:dyDescent="0.2">
      <c r="AV1498" s="401"/>
      <c r="AW1498" s="412"/>
      <c r="AX1498" s="230"/>
      <c r="AY1498" s="42"/>
      <c r="AZ1498" s="320"/>
      <c r="BD1498" s="401"/>
      <c r="BE1498" s="42"/>
    </row>
    <row r="1499" spans="48:57" x14ac:dyDescent="0.2">
      <c r="AV1499" s="401"/>
      <c r="AW1499" s="412"/>
      <c r="AX1499" s="230"/>
      <c r="AY1499" s="42"/>
      <c r="AZ1499" s="320"/>
      <c r="BD1499" s="401"/>
      <c r="BE1499" s="42"/>
    </row>
    <row r="1500" spans="48:57" x14ac:dyDescent="0.2">
      <c r="AV1500" s="401"/>
      <c r="AW1500" s="412"/>
      <c r="AX1500" s="230"/>
      <c r="AY1500" s="42"/>
      <c r="AZ1500" s="320"/>
      <c r="BD1500" s="401"/>
      <c r="BE1500" s="42"/>
    </row>
    <row r="1501" spans="48:57" x14ac:dyDescent="0.2">
      <c r="AV1501" s="401"/>
      <c r="AW1501" s="412"/>
      <c r="AX1501" s="230"/>
      <c r="AY1501" s="42"/>
      <c r="AZ1501" s="320"/>
      <c r="BD1501" s="401"/>
      <c r="BE1501" s="42"/>
    </row>
    <row r="1502" spans="48:57" x14ac:dyDescent="0.2">
      <c r="AV1502" s="401"/>
      <c r="AW1502" s="412"/>
      <c r="AX1502" s="230"/>
      <c r="AY1502" s="42"/>
      <c r="AZ1502" s="320"/>
      <c r="BD1502" s="401"/>
      <c r="BE1502" s="42"/>
    </row>
    <row r="1503" spans="48:57" x14ac:dyDescent="0.2">
      <c r="AV1503" s="401"/>
      <c r="AW1503" s="412"/>
      <c r="AX1503" s="230"/>
      <c r="AY1503" s="42"/>
      <c r="AZ1503" s="320"/>
      <c r="BD1503" s="401"/>
      <c r="BE1503" s="42"/>
    </row>
    <row r="1504" spans="48:57" x14ac:dyDescent="0.2">
      <c r="AV1504" s="401"/>
      <c r="AW1504" s="412"/>
      <c r="AX1504" s="230"/>
      <c r="AY1504" s="42"/>
      <c r="AZ1504" s="320"/>
      <c r="BD1504" s="401"/>
      <c r="BE1504" s="42"/>
    </row>
    <row r="1505" spans="48:57" x14ac:dyDescent="0.2">
      <c r="AV1505" s="401"/>
      <c r="AW1505" s="412"/>
      <c r="AX1505" s="230"/>
      <c r="AY1505" s="42"/>
      <c r="AZ1505" s="320"/>
      <c r="BD1505" s="401"/>
      <c r="BE1505" s="42"/>
    </row>
    <row r="1506" spans="48:57" x14ac:dyDescent="0.2">
      <c r="AV1506" s="401"/>
      <c r="AW1506" s="412"/>
      <c r="AX1506" s="230"/>
      <c r="AY1506" s="42"/>
      <c r="AZ1506" s="320"/>
      <c r="BD1506" s="401"/>
      <c r="BE1506" s="42"/>
    </row>
    <row r="1507" spans="48:57" x14ac:dyDescent="0.2">
      <c r="AV1507" s="401"/>
      <c r="AW1507" s="412"/>
      <c r="AX1507" s="230"/>
      <c r="AY1507" s="42"/>
      <c r="AZ1507" s="320"/>
      <c r="BD1507" s="401"/>
      <c r="BE1507" s="42"/>
    </row>
    <row r="1508" spans="48:57" x14ac:dyDescent="0.2">
      <c r="AV1508" s="401"/>
      <c r="AW1508" s="412"/>
      <c r="AX1508" s="230"/>
      <c r="AY1508" s="42"/>
      <c r="AZ1508" s="320"/>
      <c r="BD1508" s="401"/>
      <c r="BE1508" s="42"/>
    </row>
    <row r="1509" spans="48:57" x14ac:dyDescent="0.2">
      <c r="AV1509" s="401"/>
      <c r="AW1509" s="412"/>
      <c r="AX1509" s="230"/>
      <c r="AY1509" s="42"/>
      <c r="AZ1509" s="320"/>
      <c r="BD1509" s="401"/>
      <c r="BE1509" s="42"/>
    </row>
    <row r="1510" spans="48:57" x14ac:dyDescent="0.2">
      <c r="AV1510" s="401"/>
      <c r="AW1510" s="412"/>
      <c r="AX1510" s="230"/>
      <c r="AY1510" s="42"/>
      <c r="AZ1510" s="320"/>
      <c r="BD1510" s="401"/>
      <c r="BE1510" s="42"/>
    </row>
    <row r="1511" spans="48:57" x14ac:dyDescent="0.2">
      <c r="AV1511" s="401"/>
      <c r="AW1511" s="412"/>
      <c r="AX1511" s="230"/>
      <c r="AY1511" s="42"/>
      <c r="AZ1511" s="320"/>
      <c r="BD1511" s="401"/>
      <c r="BE1511" s="42"/>
    </row>
    <row r="1512" spans="48:57" x14ac:dyDescent="0.2">
      <c r="AV1512" s="401"/>
      <c r="AW1512" s="412"/>
      <c r="AX1512" s="230"/>
      <c r="AY1512" s="42"/>
      <c r="AZ1512" s="320"/>
      <c r="BD1512" s="401"/>
      <c r="BE1512" s="42"/>
    </row>
    <row r="1513" spans="48:57" x14ac:dyDescent="0.2">
      <c r="AV1513" s="401"/>
      <c r="AW1513" s="412"/>
      <c r="AX1513" s="230"/>
      <c r="AY1513" s="42"/>
      <c r="AZ1513" s="320"/>
      <c r="BD1513" s="401"/>
      <c r="BE1513" s="42"/>
    </row>
    <row r="1514" spans="48:57" x14ac:dyDescent="0.2">
      <c r="AV1514" s="401"/>
      <c r="AW1514" s="412"/>
      <c r="AX1514" s="230"/>
      <c r="AY1514" s="42"/>
      <c r="AZ1514" s="320"/>
      <c r="BD1514" s="401"/>
      <c r="BE1514" s="42"/>
    </row>
    <row r="1515" spans="48:57" x14ac:dyDescent="0.2">
      <c r="AV1515" s="401"/>
      <c r="AW1515" s="412"/>
      <c r="AX1515" s="230"/>
      <c r="AY1515" s="42"/>
      <c r="AZ1515" s="320"/>
      <c r="BD1515" s="401"/>
      <c r="BE1515" s="42"/>
    </row>
    <row r="1516" spans="48:57" x14ac:dyDescent="0.2">
      <c r="AV1516" s="401"/>
      <c r="AW1516" s="412"/>
      <c r="AX1516" s="230"/>
      <c r="AY1516" s="42"/>
      <c r="AZ1516" s="320"/>
      <c r="BD1516" s="401"/>
      <c r="BE1516" s="42"/>
    </row>
    <row r="1517" spans="48:57" x14ac:dyDescent="0.2">
      <c r="AV1517" s="401"/>
      <c r="AW1517" s="412"/>
      <c r="AX1517" s="230"/>
      <c r="AY1517" s="42"/>
      <c r="AZ1517" s="320"/>
      <c r="BD1517" s="401"/>
      <c r="BE1517" s="42"/>
    </row>
    <row r="1518" spans="48:57" x14ac:dyDescent="0.2">
      <c r="AV1518" s="401"/>
      <c r="AW1518" s="412"/>
      <c r="AX1518" s="230"/>
      <c r="AY1518" s="42"/>
      <c r="AZ1518" s="320"/>
      <c r="BD1518" s="401"/>
      <c r="BE1518" s="42"/>
    </row>
    <row r="1519" spans="48:57" x14ac:dyDescent="0.2">
      <c r="AV1519" s="401"/>
      <c r="AW1519" s="412"/>
      <c r="AX1519" s="230"/>
      <c r="AY1519" s="42"/>
      <c r="AZ1519" s="320"/>
      <c r="BD1519" s="401"/>
      <c r="BE1519" s="42"/>
    </row>
    <row r="1520" spans="48:57" x14ac:dyDescent="0.2">
      <c r="AV1520" s="401"/>
      <c r="AW1520" s="412"/>
      <c r="AX1520" s="230"/>
      <c r="AY1520" s="42"/>
      <c r="AZ1520" s="320"/>
      <c r="BD1520" s="401"/>
      <c r="BE1520" s="42"/>
    </row>
    <row r="1521" spans="48:57" x14ac:dyDescent="0.2">
      <c r="AV1521" s="401"/>
      <c r="AW1521" s="412"/>
      <c r="AX1521" s="230"/>
      <c r="AY1521" s="42"/>
      <c r="AZ1521" s="320"/>
      <c r="BD1521" s="401"/>
      <c r="BE1521" s="42"/>
    </row>
    <row r="1522" spans="48:57" x14ac:dyDescent="0.2">
      <c r="AV1522" s="401"/>
      <c r="AW1522" s="412"/>
      <c r="AX1522" s="230"/>
      <c r="AY1522" s="42"/>
      <c r="AZ1522" s="320"/>
      <c r="BD1522" s="401"/>
      <c r="BE1522" s="42"/>
    </row>
    <row r="1523" spans="48:57" x14ac:dyDescent="0.2">
      <c r="AV1523" s="401"/>
      <c r="AW1523" s="412"/>
      <c r="AX1523" s="230"/>
      <c r="AY1523" s="42"/>
      <c r="AZ1523" s="320"/>
      <c r="BD1523" s="401"/>
      <c r="BE1523" s="42"/>
    </row>
    <row r="1524" spans="48:57" x14ac:dyDescent="0.2">
      <c r="AV1524" s="401"/>
      <c r="AW1524" s="412"/>
      <c r="AX1524" s="230"/>
      <c r="AY1524" s="42"/>
      <c r="AZ1524" s="320"/>
      <c r="BD1524" s="401"/>
      <c r="BE1524" s="42"/>
    </row>
    <row r="1525" spans="48:57" x14ac:dyDescent="0.2">
      <c r="AV1525" s="401"/>
      <c r="AW1525" s="412"/>
      <c r="AX1525" s="230"/>
      <c r="AY1525" s="42"/>
      <c r="AZ1525" s="320"/>
      <c r="BD1525" s="401"/>
      <c r="BE1525" s="42"/>
    </row>
    <row r="1526" spans="48:57" x14ac:dyDescent="0.2">
      <c r="AV1526" s="401"/>
      <c r="AW1526" s="412"/>
      <c r="AX1526" s="230"/>
      <c r="AY1526" s="42"/>
      <c r="AZ1526" s="320"/>
      <c r="BD1526" s="401"/>
      <c r="BE1526" s="42"/>
    </row>
    <row r="1527" spans="48:57" x14ac:dyDescent="0.2">
      <c r="AV1527" s="401"/>
      <c r="AW1527" s="412"/>
      <c r="AX1527" s="230"/>
      <c r="AY1527" s="42"/>
      <c r="AZ1527" s="320"/>
      <c r="BD1527" s="401"/>
      <c r="BE1527" s="42"/>
    </row>
    <row r="1528" spans="48:57" x14ac:dyDescent="0.2">
      <c r="AV1528" s="401"/>
      <c r="AW1528" s="412"/>
      <c r="AX1528" s="230"/>
      <c r="AY1528" s="42"/>
      <c r="AZ1528" s="320"/>
      <c r="BD1528" s="401"/>
      <c r="BE1528" s="42"/>
    </row>
    <row r="1529" spans="48:57" x14ac:dyDescent="0.2">
      <c r="AV1529" s="401"/>
      <c r="AW1529" s="412"/>
      <c r="AX1529" s="230"/>
      <c r="AY1529" s="42"/>
      <c r="AZ1529" s="320"/>
      <c r="BD1529" s="401"/>
      <c r="BE1529" s="42"/>
    </row>
    <row r="1530" spans="48:57" x14ac:dyDescent="0.2">
      <c r="AV1530" s="401"/>
      <c r="AW1530" s="412"/>
      <c r="AX1530" s="230"/>
      <c r="AY1530" s="42"/>
      <c r="AZ1530" s="320"/>
      <c r="BD1530" s="401"/>
      <c r="BE1530" s="42"/>
    </row>
    <row r="1531" spans="48:57" x14ac:dyDescent="0.2">
      <c r="AV1531" s="401"/>
      <c r="AW1531" s="412"/>
      <c r="AX1531" s="230"/>
      <c r="AY1531" s="42"/>
      <c r="AZ1531" s="320"/>
      <c r="BD1531" s="401"/>
      <c r="BE1531" s="42"/>
    </row>
    <row r="1532" spans="48:57" x14ac:dyDescent="0.2">
      <c r="AV1532" s="401"/>
      <c r="AW1532" s="412"/>
      <c r="AX1532" s="230"/>
      <c r="AY1532" s="42"/>
      <c r="AZ1532" s="320"/>
      <c r="BD1532" s="401"/>
      <c r="BE1532" s="42"/>
    </row>
    <row r="1533" spans="48:57" x14ac:dyDescent="0.2">
      <c r="AV1533" s="401"/>
      <c r="AW1533" s="412"/>
      <c r="AX1533" s="230"/>
      <c r="AY1533" s="42"/>
      <c r="AZ1533" s="320"/>
      <c r="BD1533" s="401"/>
      <c r="BE1533" s="42"/>
    </row>
    <row r="1534" spans="48:57" x14ac:dyDescent="0.2">
      <c r="AV1534" s="401"/>
      <c r="AW1534" s="412"/>
      <c r="AX1534" s="230"/>
      <c r="AY1534" s="42"/>
      <c r="AZ1534" s="320"/>
      <c r="BD1534" s="401"/>
      <c r="BE1534" s="42"/>
    </row>
    <row r="1535" spans="48:57" x14ac:dyDescent="0.2">
      <c r="AV1535" s="401"/>
      <c r="AW1535" s="412"/>
      <c r="AX1535" s="230"/>
      <c r="AY1535" s="42"/>
      <c r="AZ1535" s="320"/>
      <c r="BD1535" s="401"/>
      <c r="BE1535" s="42"/>
    </row>
    <row r="1536" spans="48:57" x14ac:dyDescent="0.2">
      <c r="AV1536" s="401"/>
      <c r="AW1536" s="412"/>
      <c r="AX1536" s="230"/>
      <c r="AY1536" s="42"/>
      <c r="AZ1536" s="320"/>
      <c r="BD1536" s="401"/>
      <c r="BE1536" s="42"/>
    </row>
    <row r="1537" spans="48:57" x14ac:dyDescent="0.2">
      <c r="AV1537" s="401"/>
      <c r="AW1537" s="412"/>
      <c r="AX1537" s="230"/>
      <c r="AY1537" s="42"/>
      <c r="AZ1537" s="320"/>
      <c r="BD1537" s="401"/>
      <c r="BE1537" s="42"/>
    </row>
    <row r="1538" spans="48:57" x14ac:dyDescent="0.2">
      <c r="AV1538" s="401"/>
      <c r="AW1538" s="412"/>
      <c r="AX1538" s="230"/>
      <c r="AY1538" s="42"/>
      <c r="AZ1538" s="320"/>
      <c r="BD1538" s="401"/>
      <c r="BE1538" s="42"/>
    </row>
    <row r="1539" spans="48:57" x14ac:dyDescent="0.2">
      <c r="AV1539" s="401"/>
      <c r="AW1539" s="412"/>
      <c r="AX1539" s="230"/>
      <c r="AY1539" s="42"/>
      <c r="AZ1539" s="320"/>
      <c r="BD1539" s="401"/>
      <c r="BE1539" s="42"/>
    </row>
    <row r="1540" spans="48:57" x14ac:dyDescent="0.2">
      <c r="AV1540" s="401"/>
      <c r="AW1540" s="412"/>
      <c r="AX1540" s="230"/>
      <c r="AY1540" s="42"/>
      <c r="AZ1540" s="320"/>
      <c r="BD1540" s="401"/>
      <c r="BE1540" s="42"/>
    </row>
    <row r="1541" spans="48:57" x14ac:dyDescent="0.2">
      <c r="AV1541" s="401"/>
      <c r="AW1541" s="412"/>
      <c r="AX1541" s="230"/>
      <c r="AY1541" s="42"/>
      <c r="AZ1541" s="320"/>
      <c r="BD1541" s="401"/>
      <c r="BE1541" s="42"/>
    </row>
    <row r="1542" spans="48:57" x14ac:dyDescent="0.2">
      <c r="AV1542" s="401"/>
      <c r="AW1542" s="412"/>
      <c r="AX1542" s="230"/>
      <c r="AY1542" s="42"/>
      <c r="AZ1542" s="320"/>
      <c r="BD1542" s="401"/>
      <c r="BE1542" s="42"/>
    </row>
    <row r="1543" spans="48:57" x14ac:dyDescent="0.2">
      <c r="AV1543" s="401"/>
      <c r="AW1543" s="412"/>
      <c r="AX1543" s="230"/>
      <c r="AY1543" s="42"/>
      <c r="AZ1543" s="320"/>
      <c r="BD1543" s="401"/>
      <c r="BE1543" s="42"/>
    </row>
    <row r="1544" spans="48:57" x14ac:dyDescent="0.2">
      <c r="AV1544" s="401"/>
      <c r="AW1544" s="412"/>
      <c r="AX1544" s="230"/>
      <c r="AY1544" s="42"/>
      <c r="AZ1544" s="320"/>
      <c r="BD1544" s="401"/>
      <c r="BE1544" s="42"/>
    </row>
    <row r="1545" spans="48:57" x14ac:dyDescent="0.2">
      <c r="AV1545" s="401"/>
      <c r="AW1545" s="412"/>
      <c r="AX1545" s="230"/>
      <c r="AY1545" s="42"/>
      <c r="AZ1545" s="320"/>
      <c r="BD1545" s="401"/>
      <c r="BE1545" s="42"/>
    </row>
    <row r="1546" spans="48:57" x14ac:dyDescent="0.2">
      <c r="AV1546" s="401"/>
      <c r="AW1546" s="412"/>
      <c r="AX1546" s="230"/>
      <c r="AY1546" s="42"/>
      <c r="AZ1546" s="320"/>
      <c r="BD1546" s="401"/>
      <c r="BE1546" s="42"/>
    </row>
    <row r="1547" spans="48:57" x14ac:dyDescent="0.2">
      <c r="AV1547" s="401"/>
      <c r="AW1547" s="412"/>
      <c r="AX1547" s="230"/>
      <c r="AY1547" s="42"/>
      <c r="AZ1547" s="320"/>
      <c r="BD1547" s="401"/>
      <c r="BE1547" s="42"/>
    </row>
    <row r="1548" spans="48:57" x14ac:dyDescent="0.2">
      <c r="AV1548" s="401"/>
      <c r="AW1548" s="412"/>
      <c r="AX1548" s="230"/>
      <c r="AY1548" s="42"/>
      <c r="AZ1548" s="320"/>
      <c r="BD1548" s="401"/>
      <c r="BE1548" s="42"/>
    </row>
    <row r="1549" spans="48:57" x14ac:dyDescent="0.2">
      <c r="AV1549" s="401"/>
      <c r="AW1549" s="412"/>
      <c r="AX1549" s="230"/>
      <c r="AY1549" s="42"/>
      <c r="AZ1549" s="320"/>
      <c r="BD1549" s="401"/>
      <c r="BE1549" s="42"/>
    </row>
    <row r="1550" spans="48:57" x14ac:dyDescent="0.2">
      <c r="AV1550" s="401"/>
      <c r="AW1550" s="412"/>
      <c r="AX1550" s="230"/>
      <c r="AY1550" s="42"/>
      <c r="AZ1550" s="320"/>
      <c r="BD1550" s="401"/>
      <c r="BE1550" s="42"/>
    </row>
    <row r="1551" spans="48:57" x14ac:dyDescent="0.2">
      <c r="AV1551" s="401"/>
      <c r="AW1551" s="412"/>
      <c r="AX1551" s="230"/>
      <c r="AY1551" s="42"/>
      <c r="AZ1551" s="320"/>
      <c r="BD1551" s="401"/>
      <c r="BE1551" s="42"/>
    </row>
    <row r="1552" spans="48:57" x14ac:dyDescent="0.2">
      <c r="AV1552" s="401"/>
      <c r="AW1552" s="412"/>
      <c r="AX1552" s="230"/>
      <c r="AY1552" s="42"/>
      <c r="AZ1552" s="320"/>
      <c r="BD1552" s="401"/>
      <c r="BE1552" s="42"/>
    </row>
    <row r="1553" spans="48:57" x14ac:dyDescent="0.2">
      <c r="AV1553" s="401"/>
      <c r="AW1553" s="412"/>
      <c r="AX1553" s="230"/>
      <c r="AY1553" s="42"/>
      <c r="AZ1553" s="320"/>
      <c r="BD1553" s="401"/>
      <c r="BE1553" s="42"/>
    </row>
    <row r="1554" spans="48:57" x14ac:dyDescent="0.2">
      <c r="AV1554" s="401"/>
      <c r="AW1554" s="412"/>
      <c r="AX1554" s="230"/>
      <c r="AY1554" s="42"/>
      <c r="AZ1554" s="320"/>
      <c r="BD1554" s="401"/>
      <c r="BE1554" s="42"/>
    </row>
    <row r="1555" spans="48:57" x14ac:dyDescent="0.2">
      <c r="AV1555" s="401"/>
      <c r="AW1555" s="412"/>
      <c r="AX1555" s="230"/>
      <c r="AY1555" s="42"/>
      <c r="AZ1555" s="320"/>
      <c r="BD1555" s="401"/>
      <c r="BE1555" s="42"/>
    </row>
    <row r="1556" spans="48:57" x14ac:dyDescent="0.2">
      <c r="AV1556" s="401"/>
      <c r="AW1556" s="412"/>
      <c r="AX1556" s="230"/>
      <c r="AY1556" s="42"/>
      <c r="AZ1556" s="320"/>
      <c r="BD1556" s="401"/>
      <c r="BE1556" s="42"/>
    </row>
    <row r="1557" spans="48:57" x14ac:dyDescent="0.2">
      <c r="AV1557" s="401"/>
      <c r="AW1557" s="412"/>
      <c r="AX1557" s="230"/>
      <c r="AY1557" s="42"/>
      <c r="AZ1557" s="320"/>
      <c r="BD1557" s="401"/>
      <c r="BE1557" s="42"/>
    </row>
    <row r="1558" spans="48:57" x14ac:dyDescent="0.2">
      <c r="AV1558" s="401"/>
      <c r="AW1558" s="412"/>
      <c r="AX1558" s="230"/>
      <c r="AY1558" s="42"/>
      <c r="AZ1558" s="320"/>
      <c r="BD1558" s="401"/>
      <c r="BE1558" s="42"/>
    </row>
    <row r="1559" spans="48:57" x14ac:dyDescent="0.2">
      <c r="AV1559" s="401"/>
      <c r="AW1559" s="412"/>
      <c r="AX1559" s="230"/>
      <c r="AY1559" s="42"/>
      <c r="AZ1559" s="320"/>
      <c r="BD1559" s="401"/>
      <c r="BE1559" s="42"/>
    </row>
    <row r="1560" spans="48:57" x14ac:dyDescent="0.2">
      <c r="AV1560" s="401"/>
      <c r="AW1560" s="412"/>
      <c r="AX1560" s="230"/>
      <c r="AY1560" s="42"/>
      <c r="AZ1560" s="320"/>
      <c r="BD1560" s="401"/>
      <c r="BE1560" s="42"/>
    </row>
    <row r="1561" spans="48:57" x14ac:dyDescent="0.2">
      <c r="AV1561" s="401"/>
      <c r="AW1561" s="412"/>
      <c r="AX1561" s="230"/>
      <c r="AY1561" s="42"/>
      <c r="AZ1561" s="320"/>
      <c r="BD1561" s="401"/>
      <c r="BE1561" s="42"/>
    </row>
    <row r="1562" spans="48:57" x14ac:dyDescent="0.2">
      <c r="AV1562" s="401"/>
      <c r="AW1562" s="412"/>
      <c r="AX1562" s="230"/>
      <c r="AY1562" s="42"/>
      <c r="AZ1562" s="320"/>
      <c r="BD1562" s="401"/>
      <c r="BE1562" s="42"/>
    </row>
    <row r="1563" spans="48:57" x14ac:dyDescent="0.2">
      <c r="AV1563" s="401"/>
      <c r="AW1563" s="412"/>
      <c r="AX1563" s="230"/>
      <c r="AY1563" s="42"/>
      <c r="AZ1563" s="320"/>
      <c r="BD1563" s="401"/>
      <c r="BE1563" s="42"/>
    </row>
    <row r="1564" spans="48:57" x14ac:dyDescent="0.2">
      <c r="AV1564" s="401"/>
      <c r="AW1564" s="412"/>
      <c r="AX1564" s="230"/>
      <c r="AY1564" s="42"/>
      <c r="AZ1564" s="320"/>
      <c r="BD1564" s="401"/>
      <c r="BE1564" s="42"/>
    </row>
    <row r="1565" spans="48:57" x14ac:dyDescent="0.2">
      <c r="AV1565" s="401"/>
      <c r="AW1565" s="412"/>
      <c r="AX1565" s="230"/>
      <c r="AY1565" s="42"/>
      <c r="AZ1565" s="320"/>
      <c r="BD1565" s="401"/>
      <c r="BE1565" s="42"/>
    </row>
    <row r="1566" spans="48:57" x14ac:dyDescent="0.2">
      <c r="AV1566" s="401"/>
      <c r="AW1566" s="412"/>
      <c r="AX1566" s="230"/>
      <c r="AY1566" s="42"/>
      <c r="AZ1566" s="320"/>
      <c r="BD1566" s="401"/>
      <c r="BE1566" s="42"/>
    </row>
    <row r="1567" spans="48:57" x14ac:dyDescent="0.2">
      <c r="AV1567" s="401"/>
      <c r="AW1567" s="412"/>
      <c r="AX1567" s="230"/>
      <c r="AY1567" s="42"/>
      <c r="AZ1567" s="320"/>
      <c r="BD1567" s="401"/>
      <c r="BE1567" s="42"/>
    </row>
    <row r="1568" spans="48:57" x14ac:dyDescent="0.2">
      <c r="AV1568" s="401"/>
      <c r="AW1568" s="412"/>
      <c r="AX1568" s="230"/>
      <c r="AY1568" s="42"/>
      <c r="AZ1568" s="320"/>
      <c r="BD1568" s="401"/>
      <c r="BE1568" s="42"/>
    </row>
    <row r="1569" spans="48:57" x14ac:dyDescent="0.2">
      <c r="AV1569" s="401"/>
      <c r="AW1569" s="412"/>
      <c r="AX1569" s="230"/>
      <c r="AY1569" s="42"/>
      <c r="AZ1569" s="320"/>
      <c r="BD1569" s="401"/>
      <c r="BE1569" s="42"/>
    </row>
    <row r="1570" spans="48:57" x14ac:dyDescent="0.2">
      <c r="AV1570" s="401"/>
      <c r="AW1570" s="412"/>
      <c r="AX1570" s="230"/>
      <c r="AY1570" s="42"/>
      <c r="AZ1570" s="320"/>
      <c r="BD1570" s="401"/>
      <c r="BE1570" s="42"/>
    </row>
    <row r="1571" spans="48:57" x14ac:dyDescent="0.2">
      <c r="AV1571" s="401"/>
      <c r="AW1571" s="412"/>
      <c r="AX1571" s="230"/>
      <c r="AY1571" s="42"/>
      <c r="AZ1571" s="320"/>
      <c r="BD1571" s="401"/>
      <c r="BE1571" s="42"/>
    </row>
    <row r="1572" spans="48:57" x14ac:dyDescent="0.2">
      <c r="AV1572" s="401"/>
      <c r="AW1572" s="412"/>
      <c r="AX1572" s="230"/>
      <c r="AY1572" s="42"/>
      <c r="AZ1572" s="320"/>
      <c r="BD1572" s="401"/>
      <c r="BE1572" s="42"/>
    </row>
    <row r="1573" spans="48:57" x14ac:dyDescent="0.2">
      <c r="AV1573" s="401"/>
      <c r="AW1573" s="412"/>
      <c r="AX1573" s="230"/>
      <c r="AY1573" s="42"/>
      <c r="AZ1573" s="320"/>
      <c r="BD1573" s="401"/>
      <c r="BE1573" s="42"/>
    </row>
    <row r="1574" spans="48:57" x14ac:dyDescent="0.2">
      <c r="AV1574" s="401"/>
      <c r="AW1574" s="412"/>
      <c r="AX1574" s="230"/>
      <c r="AY1574" s="42"/>
      <c r="AZ1574" s="320"/>
      <c r="BD1574" s="401"/>
      <c r="BE1574" s="42"/>
    </row>
    <row r="1575" spans="48:57" x14ac:dyDescent="0.2">
      <c r="AV1575" s="401"/>
      <c r="AW1575" s="412"/>
      <c r="AX1575" s="230"/>
      <c r="AY1575" s="42"/>
      <c r="AZ1575" s="320"/>
      <c r="BD1575" s="401"/>
      <c r="BE1575" s="42"/>
    </row>
    <row r="1576" spans="48:57" x14ac:dyDescent="0.2">
      <c r="AV1576" s="401"/>
      <c r="AW1576" s="412"/>
      <c r="AX1576" s="230"/>
      <c r="AY1576" s="42"/>
      <c r="AZ1576" s="320"/>
      <c r="BD1576" s="401"/>
      <c r="BE1576" s="42"/>
    </row>
    <row r="1577" spans="48:57" x14ac:dyDescent="0.2">
      <c r="AV1577" s="401"/>
      <c r="AW1577" s="412"/>
      <c r="AX1577" s="230"/>
      <c r="AY1577" s="42"/>
      <c r="AZ1577" s="320"/>
      <c r="BD1577" s="401"/>
      <c r="BE1577" s="42"/>
    </row>
    <row r="1578" spans="48:57" x14ac:dyDescent="0.2">
      <c r="AV1578" s="401"/>
      <c r="AW1578" s="412"/>
      <c r="AX1578" s="230"/>
      <c r="AY1578" s="42"/>
      <c r="AZ1578" s="320"/>
      <c r="BD1578" s="401"/>
      <c r="BE1578" s="42"/>
    </row>
    <row r="1579" spans="48:57" x14ac:dyDescent="0.2">
      <c r="AV1579" s="401"/>
      <c r="AW1579" s="412"/>
      <c r="AX1579" s="230"/>
      <c r="AY1579" s="42"/>
      <c r="AZ1579" s="320"/>
      <c r="BD1579" s="401"/>
      <c r="BE1579" s="42"/>
    </row>
    <row r="1580" spans="48:57" x14ac:dyDescent="0.2">
      <c r="AV1580" s="401"/>
      <c r="AW1580" s="412"/>
      <c r="AX1580" s="230"/>
      <c r="AY1580" s="42"/>
      <c r="AZ1580" s="320"/>
      <c r="BD1580" s="401"/>
      <c r="BE1580" s="42"/>
    </row>
    <row r="1581" spans="48:57" x14ac:dyDescent="0.2">
      <c r="AV1581" s="401"/>
      <c r="AW1581" s="412"/>
      <c r="AX1581" s="230"/>
      <c r="AY1581" s="42"/>
      <c r="AZ1581" s="320"/>
      <c r="BD1581" s="401"/>
      <c r="BE1581" s="42"/>
    </row>
    <row r="1582" spans="48:57" x14ac:dyDescent="0.2">
      <c r="AV1582" s="401"/>
      <c r="AW1582" s="412"/>
      <c r="AX1582" s="230"/>
      <c r="AY1582" s="42"/>
      <c r="AZ1582" s="320"/>
      <c r="BD1582" s="401"/>
      <c r="BE1582" s="42"/>
    </row>
    <row r="1583" spans="48:57" x14ac:dyDescent="0.2">
      <c r="AV1583" s="401"/>
      <c r="AW1583" s="412"/>
      <c r="AX1583" s="230"/>
      <c r="AY1583" s="42"/>
      <c r="AZ1583" s="320"/>
      <c r="BD1583" s="401"/>
      <c r="BE1583" s="42"/>
    </row>
    <row r="1584" spans="48:57" x14ac:dyDescent="0.2">
      <c r="AV1584" s="401"/>
      <c r="AW1584" s="412"/>
      <c r="AX1584" s="230"/>
      <c r="AY1584" s="42"/>
      <c r="AZ1584" s="320"/>
      <c r="BD1584" s="401"/>
      <c r="BE1584" s="42"/>
    </row>
    <row r="1585" spans="48:57" x14ac:dyDescent="0.2">
      <c r="AV1585" s="401"/>
      <c r="AW1585" s="412"/>
      <c r="AX1585" s="230"/>
      <c r="AY1585" s="42"/>
      <c r="AZ1585" s="320"/>
      <c r="BD1585" s="401"/>
      <c r="BE1585" s="42"/>
    </row>
    <row r="1586" spans="48:57" x14ac:dyDescent="0.2">
      <c r="AV1586" s="401"/>
      <c r="AW1586" s="412"/>
      <c r="AX1586" s="230"/>
      <c r="AY1586" s="42"/>
      <c r="AZ1586" s="320"/>
      <c r="BD1586" s="401"/>
      <c r="BE1586" s="42"/>
    </row>
    <row r="1587" spans="48:57" x14ac:dyDescent="0.2">
      <c r="AV1587" s="401"/>
      <c r="AW1587" s="412"/>
      <c r="AX1587" s="230"/>
      <c r="AY1587" s="42"/>
      <c r="AZ1587" s="320"/>
      <c r="BD1587" s="401"/>
      <c r="BE1587" s="42"/>
    </row>
    <row r="1588" spans="48:57" x14ac:dyDescent="0.2">
      <c r="AV1588" s="401"/>
      <c r="AW1588" s="412"/>
      <c r="AX1588" s="230"/>
      <c r="AY1588" s="42"/>
      <c r="AZ1588" s="320"/>
      <c r="BD1588" s="401"/>
      <c r="BE1588" s="42"/>
    </row>
    <row r="1589" spans="48:57" x14ac:dyDescent="0.2">
      <c r="AV1589" s="401"/>
      <c r="AW1589" s="412"/>
      <c r="AX1589" s="230"/>
      <c r="AY1589" s="42"/>
      <c r="AZ1589" s="320"/>
      <c r="BD1589" s="401"/>
      <c r="BE1589" s="42"/>
    </row>
    <row r="1590" spans="48:57" x14ac:dyDescent="0.2">
      <c r="AV1590" s="401"/>
      <c r="AW1590" s="412"/>
      <c r="AX1590" s="230"/>
      <c r="AY1590" s="42"/>
      <c r="AZ1590" s="320"/>
      <c r="BD1590" s="401"/>
      <c r="BE1590" s="42"/>
    </row>
    <row r="1591" spans="48:57" x14ac:dyDescent="0.2">
      <c r="AV1591" s="401"/>
      <c r="AW1591" s="412"/>
      <c r="AX1591" s="230"/>
      <c r="AY1591" s="42"/>
      <c r="AZ1591" s="320"/>
      <c r="BD1591" s="401"/>
      <c r="BE1591" s="42"/>
    </row>
    <row r="1592" spans="48:57" x14ac:dyDescent="0.2">
      <c r="AV1592" s="401"/>
      <c r="AW1592" s="412"/>
      <c r="AX1592" s="230"/>
      <c r="AY1592" s="42"/>
      <c r="AZ1592" s="320"/>
      <c r="BD1592" s="401"/>
      <c r="BE1592" s="42"/>
    </row>
    <row r="1593" spans="48:57" x14ac:dyDescent="0.2">
      <c r="AV1593" s="401"/>
      <c r="AW1593" s="412"/>
      <c r="AX1593" s="230"/>
      <c r="AY1593" s="42"/>
      <c r="AZ1593" s="320"/>
      <c r="BD1593" s="401"/>
      <c r="BE1593" s="42"/>
    </row>
    <row r="1594" spans="48:57" x14ac:dyDescent="0.2">
      <c r="AV1594" s="401"/>
      <c r="AW1594" s="412"/>
      <c r="AX1594" s="230"/>
      <c r="AY1594" s="42"/>
      <c r="AZ1594" s="320"/>
      <c r="BD1594" s="401"/>
      <c r="BE1594" s="42"/>
    </row>
    <row r="1595" spans="48:57" x14ac:dyDescent="0.2">
      <c r="AV1595" s="401"/>
      <c r="AW1595" s="412"/>
      <c r="AX1595" s="230"/>
      <c r="AY1595" s="42"/>
      <c r="AZ1595" s="320"/>
      <c r="BD1595" s="401"/>
      <c r="BE1595" s="42"/>
    </row>
    <row r="1596" spans="48:57" x14ac:dyDescent="0.2">
      <c r="AV1596" s="401"/>
      <c r="AW1596" s="412"/>
      <c r="AX1596" s="230"/>
      <c r="AY1596" s="42"/>
      <c r="AZ1596" s="320"/>
      <c r="BD1596" s="401"/>
      <c r="BE1596" s="42"/>
    </row>
    <row r="1597" spans="48:57" x14ac:dyDescent="0.2">
      <c r="AV1597" s="401"/>
      <c r="AW1597" s="412"/>
      <c r="AX1597" s="230"/>
      <c r="AY1597" s="42"/>
      <c r="AZ1597" s="320"/>
      <c r="BD1597" s="401"/>
      <c r="BE1597" s="42"/>
    </row>
    <row r="1598" spans="48:57" x14ac:dyDescent="0.2">
      <c r="AV1598" s="401"/>
      <c r="AW1598" s="412"/>
      <c r="AX1598" s="230"/>
      <c r="AY1598" s="42"/>
      <c r="AZ1598" s="320"/>
      <c r="BD1598" s="401"/>
      <c r="BE1598" s="42"/>
    </row>
    <row r="1599" spans="48:57" x14ac:dyDescent="0.2">
      <c r="AV1599" s="401"/>
      <c r="AW1599" s="412"/>
      <c r="AX1599" s="230"/>
      <c r="AY1599" s="42"/>
      <c r="AZ1599" s="320"/>
      <c r="BD1599" s="401"/>
      <c r="BE1599" s="42"/>
    </row>
    <row r="1600" spans="48:57" x14ac:dyDescent="0.2">
      <c r="AV1600" s="401"/>
      <c r="AW1600" s="412"/>
      <c r="AX1600" s="230"/>
      <c r="AY1600" s="42"/>
      <c r="AZ1600" s="320"/>
      <c r="BD1600" s="401"/>
      <c r="BE1600" s="42"/>
    </row>
    <row r="1601" spans="48:57" x14ac:dyDescent="0.2">
      <c r="AV1601" s="401"/>
      <c r="AW1601" s="412"/>
      <c r="AX1601" s="230"/>
      <c r="AY1601" s="42"/>
      <c r="AZ1601" s="320"/>
      <c r="BD1601" s="401"/>
      <c r="BE1601" s="42"/>
    </row>
    <row r="1602" spans="48:57" x14ac:dyDescent="0.2">
      <c r="AV1602" s="401"/>
      <c r="AW1602" s="412"/>
      <c r="AX1602" s="230"/>
      <c r="AY1602" s="42"/>
      <c r="AZ1602" s="320"/>
      <c r="BD1602" s="401"/>
      <c r="BE1602" s="42"/>
    </row>
    <row r="1603" spans="48:57" x14ac:dyDescent="0.2">
      <c r="AV1603" s="401"/>
      <c r="AW1603" s="412"/>
      <c r="AX1603" s="230"/>
      <c r="AY1603" s="42"/>
      <c r="AZ1603" s="320"/>
      <c r="BD1603" s="401"/>
      <c r="BE1603" s="42"/>
    </row>
    <row r="1604" spans="48:57" x14ac:dyDescent="0.2">
      <c r="AV1604" s="401"/>
      <c r="AW1604" s="412"/>
      <c r="AX1604" s="230"/>
      <c r="AY1604" s="42"/>
      <c r="AZ1604" s="320"/>
      <c r="BD1604" s="401"/>
      <c r="BE1604" s="42"/>
    </row>
    <row r="1605" spans="48:57" x14ac:dyDescent="0.2">
      <c r="AV1605" s="401"/>
      <c r="AW1605" s="412"/>
      <c r="AX1605" s="230"/>
      <c r="AY1605" s="42"/>
      <c r="AZ1605" s="320"/>
      <c r="BD1605" s="401"/>
      <c r="BE1605" s="42"/>
    </row>
    <row r="1606" spans="48:57" x14ac:dyDescent="0.2">
      <c r="AV1606" s="401"/>
      <c r="AW1606" s="412"/>
      <c r="AX1606" s="230"/>
      <c r="AY1606" s="42"/>
      <c r="AZ1606" s="320"/>
      <c r="BD1606" s="401"/>
      <c r="BE1606" s="42"/>
    </row>
    <row r="1607" spans="48:57" x14ac:dyDescent="0.2">
      <c r="AV1607" s="401"/>
      <c r="AW1607" s="412"/>
      <c r="AX1607" s="230"/>
      <c r="AY1607" s="42"/>
      <c r="AZ1607" s="320"/>
      <c r="BD1607" s="401"/>
      <c r="BE1607" s="42"/>
    </row>
    <row r="1608" spans="48:57" x14ac:dyDescent="0.2">
      <c r="AV1608" s="401"/>
      <c r="AW1608" s="412"/>
      <c r="AX1608" s="230"/>
      <c r="AY1608" s="42"/>
      <c r="AZ1608" s="320"/>
      <c r="BD1608" s="401"/>
      <c r="BE1608" s="42"/>
    </row>
    <row r="1609" spans="48:57" x14ac:dyDescent="0.2">
      <c r="AV1609" s="401"/>
      <c r="AW1609" s="412"/>
      <c r="AX1609" s="230"/>
      <c r="AY1609" s="42"/>
      <c r="AZ1609" s="320"/>
      <c r="BD1609" s="401"/>
      <c r="BE1609" s="42"/>
    </row>
    <row r="1610" spans="48:57" x14ac:dyDescent="0.2">
      <c r="AV1610" s="401"/>
      <c r="AW1610" s="412"/>
      <c r="AX1610" s="230"/>
      <c r="AY1610" s="42"/>
      <c r="AZ1610" s="320"/>
      <c r="BD1610" s="401"/>
      <c r="BE1610" s="42"/>
    </row>
    <row r="1611" spans="48:57" x14ac:dyDescent="0.2">
      <c r="AV1611" s="401"/>
      <c r="AW1611" s="412"/>
      <c r="AX1611" s="230"/>
      <c r="AY1611" s="42"/>
      <c r="AZ1611" s="320"/>
      <c r="BD1611" s="401"/>
      <c r="BE1611" s="42"/>
    </row>
    <row r="1612" spans="48:57" x14ac:dyDescent="0.2">
      <c r="AV1612" s="401"/>
      <c r="AW1612" s="412"/>
      <c r="AX1612" s="230"/>
      <c r="AY1612" s="42"/>
      <c r="AZ1612" s="320"/>
      <c r="BD1612" s="401"/>
      <c r="BE1612" s="42"/>
    </row>
    <row r="1613" spans="48:57" x14ac:dyDescent="0.2">
      <c r="AV1613" s="401"/>
      <c r="AW1613" s="412"/>
      <c r="AX1613" s="230"/>
      <c r="AY1613" s="42"/>
      <c r="AZ1613" s="320"/>
      <c r="BD1613" s="401"/>
      <c r="BE1613" s="42"/>
    </row>
    <row r="1614" spans="48:57" x14ac:dyDescent="0.2">
      <c r="AV1614" s="401"/>
      <c r="AW1614" s="412"/>
      <c r="AX1614" s="230"/>
      <c r="AY1614" s="42"/>
      <c r="AZ1614" s="320"/>
      <c r="BD1614" s="401"/>
      <c r="BE1614" s="42"/>
    </row>
    <row r="1615" spans="48:57" x14ac:dyDescent="0.2">
      <c r="AV1615" s="401"/>
      <c r="AW1615" s="412"/>
      <c r="AX1615" s="230"/>
      <c r="AY1615" s="42"/>
      <c r="AZ1615" s="320"/>
      <c r="BD1615" s="401"/>
      <c r="BE1615" s="42"/>
    </row>
    <row r="1616" spans="48:57" x14ac:dyDescent="0.2">
      <c r="AV1616" s="401"/>
      <c r="AW1616" s="412"/>
      <c r="AX1616" s="230"/>
      <c r="AY1616" s="42"/>
      <c r="AZ1616" s="320"/>
      <c r="BD1616" s="401"/>
      <c r="BE1616" s="42"/>
    </row>
    <row r="1617" spans="48:57" x14ac:dyDescent="0.2">
      <c r="AV1617" s="401"/>
      <c r="AW1617" s="412"/>
      <c r="AX1617" s="230"/>
      <c r="AY1617" s="42"/>
      <c r="AZ1617" s="320"/>
      <c r="BD1617" s="401"/>
      <c r="BE1617" s="42"/>
    </row>
    <row r="1618" spans="48:57" x14ac:dyDescent="0.2">
      <c r="AV1618" s="401"/>
      <c r="AW1618" s="412"/>
      <c r="AX1618" s="230"/>
      <c r="AY1618" s="42"/>
      <c r="AZ1618" s="320"/>
      <c r="BD1618" s="401"/>
      <c r="BE1618" s="42"/>
    </row>
    <row r="1619" spans="48:57" x14ac:dyDescent="0.2">
      <c r="AV1619" s="401"/>
      <c r="AW1619" s="412"/>
      <c r="AX1619" s="230"/>
      <c r="AY1619" s="42"/>
      <c r="AZ1619" s="320"/>
      <c r="BD1619" s="401"/>
      <c r="BE1619" s="42"/>
    </row>
    <row r="1620" spans="48:57" x14ac:dyDescent="0.2">
      <c r="AV1620" s="401"/>
      <c r="AW1620" s="412"/>
      <c r="AX1620" s="230"/>
      <c r="AY1620" s="42"/>
      <c r="AZ1620" s="320"/>
      <c r="BD1620" s="401"/>
      <c r="BE1620" s="42"/>
    </row>
    <row r="1621" spans="48:57" x14ac:dyDescent="0.2">
      <c r="AV1621" s="401"/>
      <c r="AW1621" s="412"/>
      <c r="AX1621" s="230"/>
      <c r="AY1621" s="42"/>
      <c r="AZ1621" s="320"/>
      <c r="BD1621" s="401"/>
      <c r="BE1621" s="42"/>
    </row>
    <row r="1622" spans="48:57" x14ac:dyDescent="0.2">
      <c r="AV1622" s="401"/>
      <c r="AW1622" s="412"/>
      <c r="AX1622" s="230"/>
      <c r="AY1622" s="42"/>
      <c r="AZ1622" s="320"/>
      <c r="BD1622" s="401"/>
      <c r="BE1622" s="42"/>
    </row>
    <row r="1623" spans="48:57" x14ac:dyDescent="0.2">
      <c r="AV1623" s="401"/>
      <c r="AW1623" s="412"/>
      <c r="AX1623" s="230"/>
      <c r="AY1623" s="42"/>
      <c r="AZ1623" s="320"/>
      <c r="BD1623" s="401"/>
      <c r="BE1623" s="42"/>
    </row>
    <row r="1624" spans="48:57" x14ac:dyDescent="0.2">
      <c r="AV1624" s="401"/>
      <c r="AW1624" s="412"/>
      <c r="AX1624" s="230"/>
      <c r="AY1624" s="42"/>
      <c r="AZ1624" s="320"/>
      <c r="BD1624" s="401"/>
      <c r="BE1624" s="42"/>
    </row>
    <row r="1625" spans="48:57" x14ac:dyDescent="0.2">
      <c r="AV1625" s="401"/>
      <c r="AW1625" s="412"/>
      <c r="AX1625" s="230"/>
      <c r="AY1625" s="42"/>
      <c r="AZ1625" s="320"/>
      <c r="BD1625" s="401"/>
      <c r="BE1625" s="42"/>
    </row>
    <row r="1626" spans="48:57" x14ac:dyDescent="0.2">
      <c r="AV1626" s="401"/>
      <c r="AW1626" s="412"/>
      <c r="AX1626" s="230"/>
      <c r="AY1626" s="42"/>
      <c r="AZ1626" s="320"/>
      <c r="BD1626" s="401"/>
      <c r="BE1626" s="42"/>
    </row>
    <row r="1627" spans="48:57" x14ac:dyDescent="0.2">
      <c r="AV1627" s="401"/>
      <c r="AW1627" s="412"/>
      <c r="AX1627" s="230"/>
      <c r="AY1627" s="42"/>
      <c r="AZ1627" s="320"/>
      <c r="BD1627" s="401"/>
      <c r="BE1627" s="42"/>
    </row>
    <row r="1628" spans="48:57" x14ac:dyDescent="0.2">
      <c r="AV1628" s="401"/>
      <c r="AW1628" s="412"/>
      <c r="AX1628" s="230"/>
      <c r="AY1628" s="42"/>
      <c r="AZ1628" s="320"/>
      <c r="BD1628" s="401"/>
      <c r="BE1628" s="42"/>
    </row>
    <row r="1629" spans="48:57" x14ac:dyDescent="0.2">
      <c r="AV1629" s="401"/>
      <c r="AW1629" s="412"/>
      <c r="AX1629" s="230"/>
      <c r="AY1629" s="42"/>
      <c r="AZ1629" s="320"/>
      <c r="BD1629" s="401"/>
      <c r="BE1629" s="42"/>
    </row>
    <row r="1630" spans="48:57" x14ac:dyDescent="0.2">
      <c r="AV1630" s="401"/>
      <c r="AW1630" s="412"/>
      <c r="AX1630" s="230"/>
      <c r="AY1630" s="42"/>
      <c r="AZ1630" s="320"/>
      <c r="BD1630" s="401"/>
      <c r="BE1630" s="42"/>
    </row>
    <row r="1631" spans="48:57" x14ac:dyDescent="0.2">
      <c r="AV1631" s="401"/>
      <c r="AW1631" s="412"/>
      <c r="AX1631" s="230"/>
      <c r="AY1631" s="42"/>
      <c r="AZ1631" s="320"/>
      <c r="BD1631" s="401"/>
      <c r="BE1631" s="42"/>
    </row>
    <row r="1632" spans="48:57" x14ac:dyDescent="0.2">
      <c r="AV1632" s="401"/>
      <c r="AW1632" s="412"/>
      <c r="AX1632" s="230"/>
      <c r="AY1632" s="42"/>
      <c r="AZ1632" s="320"/>
      <c r="BD1632" s="401"/>
      <c r="BE1632" s="42"/>
    </row>
    <row r="1633" spans="48:57" x14ac:dyDescent="0.2">
      <c r="AV1633" s="401"/>
      <c r="AW1633" s="412"/>
      <c r="AX1633" s="230"/>
      <c r="AY1633" s="42"/>
      <c r="AZ1633" s="320"/>
      <c r="BD1633" s="401"/>
      <c r="BE1633" s="42"/>
    </row>
    <row r="1634" spans="48:57" x14ac:dyDescent="0.2">
      <c r="AV1634" s="401"/>
      <c r="AW1634" s="412"/>
      <c r="AX1634" s="230"/>
      <c r="AY1634" s="42"/>
      <c r="AZ1634" s="320"/>
      <c r="BD1634" s="401"/>
      <c r="BE1634" s="42"/>
    </row>
    <row r="1635" spans="48:57" x14ac:dyDescent="0.2">
      <c r="AV1635" s="401"/>
      <c r="AW1635" s="412"/>
      <c r="AX1635" s="230"/>
      <c r="AY1635" s="42"/>
      <c r="AZ1635" s="320"/>
      <c r="BD1635" s="401"/>
      <c r="BE1635" s="42"/>
    </row>
    <row r="1636" spans="48:57" x14ac:dyDescent="0.2">
      <c r="AV1636" s="401"/>
      <c r="AW1636" s="412"/>
      <c r="AX1636" s="230"/>
      <c r="AY1636" s="42"/>
      <c r="AZ1636" s="320"/>
      <c r="BD1636" s="401"/>
      <c r="BE1636" s="42"/>
    </row>
    <row r="1637" spans="48:57" x14ac:dyDescent="0.2">
      <c r="AV1637" s="401"/>
      <c r="AW1637" s="412"/>
      <c r="AX1637" s="230"/>
      <c r="AY1637" s="42"/>
      <c r="AZ1637" s="320"/>
      <c r="BD1637" s="401"/>
      <c r="BE1637" s="42"/>
    </row>
    <row r="1638" spans="48:57" x14ac:dyDescent="0.2">
      <c r="AV1638" s="401"/>
      <c r="AW1638" s="412"/>
      <c r="AX1638" s="230"/>
      <c r="AY1638" s="42"/>
      <c r="AZ1638" s="320"/>
      <c r="BD1638" s="401"/>
      <c r="BE1638" s="42"/>
    </row>
    <row r="1639" spans="48:57" x14ac:dyDescent="0.2">
      <c r="AV1639" s="401"/>
      <c r="AW1639" s="412"/>
      <c r="AX1639" s="230"/>
      <c r="AY1639" s="42"/>
      <c r="AZ1639" s="320"/>
      <c r="BD1639" s="401"/>
      <c r="BE1639" s="42"/>
    </row>
    <row r="1640" spans="48:57" x14ac:dyDescent="0.2">
      <c r="AV1640" s="401"/>
      <c r="AW1640" s="412"/>
      <c r="AX1640" s="230"/>
      <c r="AY1640" s="42"/>
      <c r="AZ1640" s="320"/>
      <c r="BD1640" s="401"/>
      <c r="BE1640" s="42"/>
    </row>
    <row r="1641" spans="48:57" x14ac:dyDescent="0.2">
      <c r="AV1641" s="401"/>
      <c r="AW1641" s="412"/>
      <c r="AX1641" s="230"/>
      <c r="AY1641" s="42"/>
      <c r="AZ1641" s="320"/>
      <c r="BD1641" s="401"/>
      <c r="BE1641" s="42"/>
    </row>
    <row r="1642" spans="48:57" x14ac:dyDescent="0.2">
      <c r="AV1642" s="401"/>
      <c r="AW1642" s="412"/>
      <c r="AX1642" s="230"/>
      <c r="AY1642" s="42"/>
      <c r="AZ1642" s="320"/>
      <c r="BD1642" s="401"/>
      <c r="BE1642" s="42"/>
    </row>
    <row r="1643" spans="48:57" x14ac:dyDescent="0.2">
      <c r="AV1643" s="401"/>
      <c r="AW1643" s="412"/>
      <c r="AX1643" s="230"/>
      <c r="AY1643" s="42"/>
      <c r="AZ1643" s="320"/>
      <c r="BD1643" s="401"/>
      <c r="BE1643" s="42"/>
    </row>
    <row r="1644" spans="48:57" x14ac:dyDescent="0.2">
      <c r="AV1644" s="401"/>
      <c r="AW1644" s="412"/>
      <c r="AX1644" s="230"/>
      <c r="AY1644" s="42"/>
      <c r="AZ1644" s="320"/>
      <c r="BD1644" s="401"/>
      <c r="BE1644" s="42"/>
    </row>
    <row r="1645" spans="48:57" x14ac:dyDescent="0.2">
      <c r="AV1645" s="401"/>
      <c r="AW1645" s="412"/>
      <c r="AX1645" s="230"/>
      <c r="AY1645" s="42"/>
      <c r="AZ1645" s="320"/>
      <c r="BD1645" s="401"/>
      <c r="BE1645" s="42"/>
    </row>
    <row r="1646" spans="48:57" x14ac:dyDescent="0.2">
      <c r="AV1646" s="401"/>
      <c r="AW1646" s="412"/>
      <c r="AX1646" s="230"/>
      <c r="AY1646" s="42"/>
      <c r="AZ1646" s="320"/>
      <c r="BD1646" s="401"/>
      <c r="BE1646" s="42"/>
    </row>
    <row r="1647" spans="48:57" x14ac:dyDescent="0.2">
      <c r="AV1647" s="401"/>
      <c r="AW1647" s="412"/>
      <c r="AX1647" s="230"/>
      <c r="AY1647" s="42"/>
      <c r="AZ1647" s="320"/>
      <c r="BD1647" s="401"/>
      <c r="BE1647" s="42"/>
    </row>
    <row r="1648" spans="48:57" x14ac:dyDescent="0.2">
      <c r="AV1648" s="401"/>
      <c r="AW1648" s="412"/>
      <c r="AX1648" s="230"/>
      <c r="AY1648" s="42"/>
      <c r="AZ1648" s="320"/>
      <c r="BD1648" s="401"/>
      <c r="BE1648" s="42"/>
    </row>
    <row r="1649" spans="48:57" x14ac:dyDescent="0.2">
      <c r="AV1649" s="401"/>
      <c r="AW1649" s="412"/>
      <c r="AX1649" s="230"/>
      <c r="AY1649" s="42"/>
      <c r="AZ1649" s="320"/>
      <c r="BD1649" s="401"/>
      <c r="BE1649" s="42"/>
    </row>
    <row r="1650" spans="48:57" x14ac:dyDescent="0.2">
      <c r="AV1650" s="401"/>
      <c r="AW1650" s="412"/>
      <c r="AX1650" s="230"/>
      <c r="AY1650" s="42"/>
      <c r="AZ1650" s="320"/>
      <c r="BD1650" s="401"/>
      <c r="BE1650" s="42"/>
    </row>
    <row r="1651" spans="48:57" x14ac:dyDescent="0.2">
      <c r="AV1651" s="401"/>
      <c r="AW1651" s="412"/>
      <c r="AX1651" s="230"/>
      <c r="AY1651" s="42"/>
      <c r="AZ1651" s="320"/>
      <c r="BD1651" s="401"/>
      <c r="BE1651" s="42"/>
    </row>
    <row r="1652" spans="48:57" x14ac:dyDescent="0.2">
      <c r="AV1652" s="401"/>
      <c r="AW1652" s="412"/>
      <c r="AX1652" s="230"/>
      <c r="AY1652" s="42"/>
      <c r="AZ1652" s="320"/>
      <c r="BD1652" s="401"/>
      <c r="BE1652" s="42"/>
    </row>
    <row r="1653" spans="48:57" x14ac:dyDescent="0.2">
      <c r="AV1653" s="401"/>
      <c r="AW1653" s="412"/>
      <c r="AX1653" s="230"/>
      <c r="AY1653" s="42"/>
      <c r="AZ1653" s="320"/>
      <c r="BD1653" s="401"/>
      <c r="BE1653" s="42"/>
    </row>
    <row r="1654" spans="48:57" x14ac:dyDescent="0.2">
      <c r="AV1654" s="401"/>
      <c r="AW1654" s="412"/>
      <c r="AX1654" s="230"/>
      <c r="AY1654" s="42"/>
      <c r="AZ1654" s="320"/>
      <c r="BD1654" s="401"/>
      <c r="BE1654" s="42"/>
    </row>
    <row r="1655" spans="48:57" x14ac:dyDescent="0.2">
      <c r="AV1655" s="401"/>
      <c r="AW1655" s="412"/>
      <c r="AX1655" s="230"/>
      <c r="AY1655" s="42"/>
      <c r="AZ1655" s="320"/>
      <c r="BD1655" s="401"/>
      <c r="BE1655" s="42"/>
    </row>
    <row r="1656" spans="48:57" x14ac:dyDescent="0.2">
      <c r="AV1656" s="401"/>
      <c r="AW1656" s="412"/>
      <c r="AX1656" s="230"/>
      <c r="AY1656" s="42"/>
      <c r="AZ1656" s="320"/>
      <c r="BD1656" s="401"/>
      <c r="BE1656" s="42"/>
    </row>
    <row r="1657" spans="48:57" x14ac:dyDescent="0.2">
      <c r="AV1657" s="401"/>
      <c r="AW1657" s="412"/>
      <c r="AX1657" s="230"/>
      <c r="AY1657" s="42"/>
      <c r="AZ1657" s="320"/>
      <c r="BD1657" s="401"/>
      <c r="BE1657" s="42"/>
    </row>
    <row r="1658" spans="48:57" x14ac:dyDescent="0.2">
      <c r="AV1658" s="401"/>
      <c r="AW1658" s="412"/>
      <c r="AX1658" s="230"/>
      <c r="AY1658" s="42"/>
      <c r="AZ1658" s="320"/>
      <c r="BD1658" s="401"/>
      <c r="BE1658" s="42"/>
    </row>
    <row r="1659" spans="48:57" x14ac:dyDescent="0.2">
      <c r="AV1659" s="401"/>
      <c r="AW1659" s="412"/>
      <c r="AX1659" s="230"/>
      <c r="AY1659" s="42"/>
      <c r="AZ1659" s="320"/>
      <c r="BD1659" s="401"/>
      <c r="BE1659" s="42"/>
    </row>
    <row r="1660" spans="48:57" x14ac:dyDescent="0.2">
      <c r="AV1660" s="401"/>
      <c r="AW1660" s="412"/>
      <c r="AX1660" s="230"/>
      <c r="AY1660" s="42"/>
      <c r="AZ1660" s="320"/>
      <c r="BD1660" s="401"/>
      <c r="BE1660" s="42"/>
    </row>
    <row r="1661" spans="48:57" x14ac:dyDescent="0.2">
      <c r="AV1661" s="401"/>
      <c r="AW1661" s="412"/>
      <c r="AX1661" s="230"/>
      <c r="AY1661" s="42"/>
      <c r="AZ1661" s="320"/>
      <c r="BD1661" s="401"/>
      <c r="BE1661" s="42"/>
    </row>
    <row r="1662" spans="48:57" x14ac:dyDescent="0.2">
      <c r="AV1662" s="401"/>
      <c r="AW1662" s="412"/>
      <c r="AX1662" s="230"/>
      <c r="AY1662" s="42"/>
      <c r="AZ1662" s="320"/>
      <c r="BD1662" s="401"/>
      <c r="BE1662" s="42"/>
    </row>
    <row r="1663" spans="48:57" x14ac:dyDescent="0.2">
      <c r="AV1663" s="401"/>
      <c r="AW1663" s="412"/>
      <c r="AX1663" s="230"/>
      <c r="AY1663" s="42"/>
      <c r="AZ1663" s="320"/>
      <c r="BD1663" s="401"/>
      <c r="BE1663" s="42"/>
    </row>
    <row r="1664" spans="48:57" x14ac:dyDescent="0.2">
      <c r="AV1664" s="401"/>
      <c r="AW1664" s="412"/>
      <c r="AX1664" s="230"/>
      <c r="AY1664" s="42"/>
      <c r="AZ1664" s="320"/>
      <c r="BD1664" s="401"/>
      <c r="BE1664" s="42"/>
    </row>
    <row r="1665" spans="48:57" x14ac:dyDescent="0.2">
      <c r="AV1665" s="401"/>
      <c r="AW1665" s="412"/>
      <c r="AX1665" s="230"/>
      <c r="AY1665" s="42"/>
      <c r="AZ1665" s="320"/>
      <c r="BD1665" s="401"/>
      <c r="BE1665" s="42"/>
    </row>
    <row r="1666" spans="48:57" x14ac:dyDescent="0.2">
      <c r="AV1666" s="401"/>
      <c r="AW1666" s="412"/>
      <c r="AX1666" s="230"/>
      <c r="AY1666" s="42"/>
      <c r="AZ1666" s="320"/>
      <c r="BD1666" s="401"/>
      <c r="BE1666" s="42"/>
    </row>
    <row r="1667" spans="48:57" x14ac:dyDescent="0.2">
      <c r="AV1667" s="401"/>
      <c r="AW1667" s="412"/>
      <c r="AX1667" s="230"/>
      <c r="AY1667" s="42"/>
      <c r="AZ1667" s="320"/>
      <c r="BD1667" s="401"/>
      <c r="BE1667" s="42"/>
    </row>
    <row r="1668" spans="48:57" x14ac:dyDescent="0.2">
      <c r="AV1668" s="401"/>
      <c r="AW1668" s="412"/>
      <c r="AX1668" s="230"/>
      <c r="AY1668" s="42"/>
      <c r="AZ1668" s="320"/>
      <c r="BD1668" s="401"/>
      <c r="BE1668" s="42"/>
    </row>
    <row r="1669" spans="48:57" x14ac:dyDescent="0.2">
      <c r="AV1669" s="401"/>
      <c r="AW1669" s="412"/>
      <c r="AX1669" s="230"/>
      <c r="AY1669" s="42"/>
      <c r="AZ1669" s="320"/>
      <c r="BD1669" s="401"/>
      <c r="BE1669" s="42"/>
    </row>
    <row r="1670" spans="48:57" x14ac:dyDescent="0.2">
      <c r="AV1670" s="401"/>
      <c r="AW1670" s="412"/>
      <c r="AX1670" s="230"/>
      <c r="AY1670" s="42"/>
      <c r="AZ1670" s="320"/>
      <c r="BD1670" s="401"/>
      <c r="BE1670" s="42"/>
    </row>
    <row r="1671" spans="48:57" x14ac:dyDescent="0.2">
      <c r="AV1671" s="401"/>
      <c r="AW1671" s="412"/>
      <c r="AX1671" s="230"/>
      <c r="AY1671" s="42"/>
      <c r="AZ1671" s="320"/>
      <c r="BD1671" s="401"/>
      <c r="BE1671" s="42"/>
    </row>
    <row r="1672" spans="48:57" x14ac:dyDescent="0.2">
      <c r="AV1672" s="401"/>
      <c r="AW1672" s="412"/>
      <c r="AX1672" s="230"/>
      <c r="AY1672" s="42"/>
      <c r="AZ1672" s="320"/>
      <c r="BD1672" s="401"/>
      <c r="BE1672" s="42"/>
    </row>
    <row r="1673" spans="48:57" x14ac:dyDescent="0.2">
      <c r="AV1673" s="401"/>
      <c r="AW1673" s="412"/>
      <c r="AX1673" s="230"/>
      <c r="AY1673" s="42"/>
      <c r="AZ1673" s="320"/>
      <c r="BD1673" s="401"/>
      <c r="BE1673" s="42"/>
    </row>
    <row r="1674" spans="48:57" x14ac:dyDescent="0.2">
      <c r="AV1674" s="401"/>
      <c r="AW1674" s="412"/>
      <c r="AX1674" s="230"/>
      <c r="AY1674" s="42"/>
      <c r="AZ1674" s="320"/>
      <c r="BD1674" s="401"/>
      <c r="BE1674" s="42"/>
    </row>
    <row r="1675" spans="48:57" x14ac:dyDescent="0.2">
      <c r="AV1675" s="401"/>
      <c r="AW1675" s="412"/>
      <c r="AX1675" s="230"/>
      <c r="AY1675" s="42"/>
      <c r="AZ1675" s="320"/>
      <c r="BD1675" s="401"/>
      <c r="BE1675" s="42"/>
    </row>
    <row r="1676" spans="48:57" x14ac:dyDescent="0.2">
      <c r="AV1676" s="401"/>
      <c r="AW1676" s="412"/>
      <c r="AX1676" s="230"/>
      <c r="AY1676" s="42"/>
      <c r="AZ1676" s="320"/>
      <c r="BD1676" s="401"/>
      <c r="BE1676" s="42"/>
    </row>
    <row r="1677" spans="48:57" x14ac:dyDescent="0.2">
      <c r="AV1677" s="401"/>
      <c r="AW1677" s="412"/>
      <c r="AX1677" s="230"/>
      <c r="AY1677" s="42"/>
      <c r="AZ1677" s="320"/>
      <c r="BD1677" s="401"/>
      <c r="BE1677" s="42"/>
    </row>
    <row r="1678" spans="48:57" x14ac:dyDescent="0.2">
      <c r="AV1678" s="401"/>
      <c r="AW1678" s="412"/>
      <c r="AX1678" s="230"/>
      <c r="AY1678" s="42"/>
      <c r="AZ1678" s="320"/>
      <c r="BD1678" s="401"/>
      <c r="BE1678" s="42"/>
    </row>
    <row r="1679" spans="48:57" x14ac:dyDescent="0.2">
      <c r="AV1679" s="401"/>
      <c r="AW1679" s="412"/>
      <c r="AX1679" s="230"/>
      <c r="AY1679" s="42"/>
      <c r="AZ1679" s="320"/>
      <c r="BD1679" s="401"/>
      <c r="BE1679" s="42"/>
    </row>
    <row r="1680" spans="48:57" x14ac:dyDescent="0.2">
      <c r="AV1680" s="401"/>
      <c r="AW1680" s="412"/>
      <c r="AX1680" s="230"/>
      <c r="AY1680" s="42"/>
      <c r="AZ1680" s="320"/>
      <c r="BD1680" s="401"/>
      <c r="BE1680" s="42"/>
    </row>
    <row r="1681" spans="48:57" x14ac:dyDescent="0.2">
      <c r="AV1681" s="401"/>
      <c r="AW1681" s="412"/>
      <c r="AX1681" s="230"/>
      <c r="AY1681" s="42"/>
      <c r="AZ1681" s="320"/>
      <c r="BD1681" s="401"/>
      <c r="BE1681" s="42"/>
    </row>
    <row r="1682" spans="48:57" x14ac:dyDescent="0.2">
      <c r="AV1682" s="401"/>
      <c r="AW1682" s="412"/>
      <c r="AX1682" s="230"/>
      <c r="AY1682" s="42"/>
      <c r="AZ1682" s="320"/>
      <c r="BD1682" s="401"/>
      <c r="BE1682" s="42"/>
    </row>
    <row r="1683" spans="48:57" x14ac:dyDescent="0.2">
      <c r="AV1683" s="401"/>
      <c r="AW1683" s="412"/>
      <c r="AX1683" s="230"/>
      <c r="AY1683" s="42"/>
      <c r="AZ1683" s="320"/>
      <c r="BD1683" s="401"/>
      <c r="BE1683" s="42"/>
    </row>
    <row r="1684" spans="48:57" x14ac:dyDescent="0.2">
      <c r="AV1684" s="401"/>
      <c r="AW1684" s="412"/>
      <c r="AX1684" s="230"/>
      <c r="AY1684" s="42"/>
      <c r="AZ1684" s="320"/>
      <c r="BD1684" s="401"/>
      <c r="BE1684" s="42"/>
    </row>
    <row r="1685" spans="48:57" x14ac:dyDescent="0.2">
      <c r="AV1685" s="401"/>
      <c r="AW1685" s="412"/>
      <c r="AX1685" s="230"/>
      <c r="AY1685" s="42"/>
      <c r="AZ1685" s="320"/>
      <c r="BD1685" s="401"/>
      <c r="BE1685" s="42"/>
    </row>
    <row r="1686" spans="48:57" x14ac:dyDescent="0.2">
      <c r="AV1686" s="401"/>
      <c r="AW1686" s="412"/>
      <c r="AX1686" s="230"/>
      <c r="AY1686" s="42"/>
      <c r="AZ1686" s="320"/>
      <c r="BD1686" s="401"/>
      <c r="BE1686" s="42"/>
    </row>
    <row r="1687" spans="48:57" x14ac:dyDescent="0.2">
      <c r="AV1687" s="401"/>
      <c r="AW1687" s="412"/>
      <c r="AX1687" s="230"/>
      <c r="AY1687" s="42"/>
      <c r="AZ1687" s="320"/>
      <c r="BD1687" s="401"/>
      <c r="BE1687" s="42"/>
    </row>
    <row r="1688" spans="48:57" x14ac:dyDescent="0.2">
      <c r="AV1688" s="401"/>
      <c r="AW1688" s="412"/>
      <c r="AX1688" s="230"/>
      <c r="AY1688" s="42"/>
      <c r="AZ1688" s="320"/>
      <c r="BD1688" s="401"/>
      <c r="BE1688" s="42"/>
    </row>
    <row r="1689" spans="48:57" x14ac:dyDescent="0.2">
      <c r="AV1689" s="401"/>
      <c r="AW1689" s="412"/>
      <c r="AX1689" s="230"/>
      <c r="AY1689" s="42"/>
      <c r="AZ1689" s="320"/>
      <c r="BD1689" s="401"/>
      <c r="BE1689" s="42"/>
    </row>
    <row r="1690" spans="48:57" x14ac:dyDescent="0.2">
      <c r="AV1690" s="401"/>
      <c r="AW1690" s="412"/>
      <c r="AX1690" s="230"/>
      <c r="AY1690" s="42"/>
      <c r="AZ1690" s="320"/>
      <c r="BD1690" s="401"/>
      <c r="BE1690" s="42"/>
    </row>
    <row r="1691" spans="48:57" x14ac:dyDescent="0.2">
      <c r="AV1691" s="401"/>
      <c r="AW1691" s="412"/>
      <c r="AX1691" s="230"/>
      <c r="AY1691" s="42"/>
      <c r="AZ1691" s="320"/>
      <c r="BD1691" s="401"/>
      <c r="BE1691" s="42"/>
    </row>
    <row r="1692" spans="48:57" x14ac:dyDescent="0.2">
      <c r="AV1692" s="401"/>
      <c r="AW1692" s="412"/>
      <c r="AX1692" s="230"/>
      <c r="AY1692" s="42"/>
      <c r="AZ1692" s="320"/>
      <c r="BD1692" s="401"/>
      <c r="BE1692" s="42"/>
    </row>
    <row r="1693" spans="48:57" x14ac:dyDescent="0.2">
      <c r="AV1693" s="401"/>
      <c r="AW1693" s="412"/>
      <c r="AX1693" s="230"/>
      <c r="AY1693" s="42"/>
      <c r="AZ1693" s="320"/>
      <c r="BD1693" s="401"/>
      <c r="BE1693" s="42"/>
    </row>
    <row r="1694" spans="48:57" x14ac:dyDescent="0.2">
      <c r="AV1694" s="401"/>
      <c r="AW1694" s="412"/>
      <c r="AX1694" s="230"/>
      <c r="AY1694" s="42"/>
      <c r="AZ1694" s="320"/>
      <c r="BD1694" s="401"/>
      <c r="BE1694" s="42"/>
    </row>
    <row r="1695" spans="48:57" x14ac:dyDescent="0.2">
      <c r="AV1695" s="401"/>
      <c r="AW1695" s="412"/>
      <c r="AX1695" s="230"/>
      <c r="AY1695" s="42"/>
      <c r="AZ1695" s="320"/>
      <c r="BD1695" s="401"/>
      <c r="BE1695" s="42"/>
    </row>
    <row r="1696" spans="48:57" x14ac:dyDescent="0.2">
      <c r="AV1696" s="401"/>
      <c r="AW1696" s="412"/>
      <c r="AX1696" s="230"/>
      <c r="AY1696" s="42"/>
      <c r="AZ1696" s="320"/>
      <c r="BD1696" s="401"/>
      <c r="BE1696" s="42"/>
    </row>
    <row r="1697" spans="48:57" x14ac:dyDescent="0.2">
      <c r="AV1697" s="401"/>
      <c r="AW1697" s="412"/>
      <c r="AX1697" s="230"/>
      <c r="AY1697" s="42"/>
      <c r="AZ1697" s="320"/>
      <c r="BD1697" s="401"/>
      <c r="BE1697" s="42"/>
    </row>
    <row r="1698" spans="48:57" x14ac:dyDescent="0.2">
      <c r="AV1698" s="401"/>
      <c r="AW1698" s="412"/>
      <c r="AX1698" s="230"/>
      <c r="AY1698" s="42"/>
      <c r="AZ1698" s="320"/>
      <c r="BD1698" s="401"/>
      <c r="BE1698" s="42"/>
    </row>
    <row r="1699" spans="48:57" x14ac:dyDescent="0.2">
      <c r="AV1699" s="401"/>
      <c r="AW1699" s="412"/>
      <c r="AX1699" s="230"/>
      <c r="AY1699" s="42"/>
      <c r="AZ1699" s="320"/>
      <c r="BD1699" s="401"/>
      <c r="BE1699" s="42"/>
    </row>
    <row r="1700" spans="48:57" x14ac:dyDescent="0.2">
      <c r="AV1700" s="401"/>
      <c r="AW1700" s="412"/>
      <c r="AX1700" s="230"/>
      <c r="AY1700" s="42"/>
      <c r="AZ1700" s="320"/>
      <c r="BD1700" s="401"/>
      <c r="BE1700" s="42"/>
    </row>
    <row r="1701" spans="48:57" x14ac:dyDescent="0.2">
      <c r="AV1701" s="401"/>
      <c r="AW1701" s="412"/>
      <c r="AX1701" s="230"/>
      <c r="AY1701" s="42"/>
      <c r="AZ1701" s="320"/>
      <c r="BD1701" s="401"/>
      <c r="BE1701" s="42"/>
    </row>
    <row r="1702" spans="48:57" x14ac:dyDescent="0.2">
      <c r="AV1702" s="401"/>
      <c r="AW1702" s="412"/>
      <c r="AX1702" s="230"/>
      <c r="AY1702" s="42"/>
      <c r="AZ1702" s="320"/>
      <c r="BD1702" s="401"/>
      <c r="BE1702" s="42"/>
    </row>
    <row r="1703" spans="48:57" x14ac:dyDescent="0.2">
      <c r="AV1703" s="401"/>
      <c r="AW1703" s="412"/>
      <c r="AX1703" s="230"/>
      <c r="AY1703" s="42"/>
      <c r="AZ1703" s="320"/>
      <c r="BD1703" s="401"/>
      <c r="BE1703" s="42"/>
    </row>
    <row r="1704" spans="48:57" x14ac:dyDescent="0.2">
      <c r="AV1704" s="401"/>
      <c r="AW1704" s="412"/>
      <c r="AX1704" s="230"/>
      <c r="AY1704" s="42"/>
      <c r="AZ1704" s="320"/>
      <c r="BD1704" s="401"/>
      <c r="BE1704" s="42"/>
    </row>
    <row r="1705" spans="48:57" x14ac:dyDescent="0.2">
      <c r="AV1705" s="401"/>
      <c r="AW1705" s="412"/>
      <c r="AX1705" s="230"/>
      <c r="AY1705" s="42"/>
      <c r="AZ1705" s="320"/>
      <c r="BD1705" s="401"/>
      <c r="BE1705" s="42"/>
    </row>
    <row r="1706" spans="48:57" x14ac:dyDescent="0.2">
      <c r="AV1706" s="401"/>
      <c r="AW1706" s="412"/>
      <c r="AX1706" s="230"/>
      <c r="AY1706" s="42"/>
      <c r="AZ1706" s="320"/>
      <c r="BD1706" s="401"/>
      <c r="BE1706" s="42"/>
    </row>
    <row r="1707" spans="48:57" x14ac:dyDescent="0.2">
      <c r="AV1707" s="401"/>
      <c r="AW1707" s="412"/>
      <c r="AX1707" s="230"/>
      <c r="AY1707" s="42"/>
      <c r="AZ1707" s="320"/>
      <c r="BD1707" s="401"/>
      <c r="BE1707" s="42"/>
    </row>
    <row r="1708" spans="48:57" x14ac:dyDescent="0.2">
      <c r="AV1708" s="401"/>
      <c r="AW1708" s="412"/>
      <c r="AX1708" s="230"/>
      <c r="AY1708" s="42"/>
      <c r="AZ1708" s="320"/>
      <c r="BD1708" s="401"/>
      <c r="BE1708" s="42"/>
    </row>
    <row r="1709" spans="48:57" x14ac:dyDescent="0.2">
      <c r="AV1709" s="401"/>
      <c r="AW1709" s="412"/>
      <c r="AX1709" s="230"/>
      <c r="AY1709" s="42"/>
      <c r="AZ1709" s="320"/>
      <c r="BD1709" s="401"/>
      <c r="BE1709" s="42"/>
    </row>
    <row r="1710" spans="48:57" x14ac:dyDescent="0.2">
      <c r="AV1710" s="401"/>
      <c r="AW1710" s="412"/>
      <c r="AX1710" s="230"/>
      <c r="AY1710" s="42"/>
      <c r="AZ1710" s="320"/>
      <c r="BD1710" s="401"/>
      <c r="BE1710" s="42"/>
    </row>
    <row r="1711" spans="48:57" x14ac:dyDescent="0.2">
      <c r="AV1711" s="401"/>
      <c r="AW1711" s="412"/>
      <c r="AX1711" s="230"/>
      <c r="AY1711" s="42"/>
      <c r="AZ1711" s="320"/>
      <c r="BD1711" s="401"/>
      <c r="BE1711" s="42"/>
    </row>
    <row r="1712" spans="48:57" x14ac:dyDescent="0.2">
      <c r="AV1712" s="401"/>
      <c r="AW1712" s="412"/>
      <c r="AX1712" s="230"/>
      <c r="AY1712" s="42"/>
      <c r="AZ1712" s="320"/>
      <c r="BD1712" s="401"/>
      <c r="BE1712" s="42"/>
    </row>
    <row r="1713" spans="48:57" x14ac:dyDescent="0.2">
      <c r="AV1713" s="401"/>
      <c r="AW1713" s="412"/>
      <c r="AX1713" s="230"/>
      <c r="AY1713" s="42"/>
      <c r="AZ1713" s="320"/>
      <c r="BD1713" s="401"/>
      <c r="BE1713" s="42"/>
    </row>
    <row r="1714" spans="48:57" x14ac:dyDescent="0.2">
      <c r="AV1714" s="401"/>
      <c r="AW1714" s="412"/>
      <c r="AX1714" s="230"/>
      <c r="AY1714" s="42"/>
      <c r="AZ1714" s="320"/>
      <c r="BD1714" s="401"/>
      <c r="BE1714" s="42"/>
    </row>
    <row r="1715" spans="48:57" x14ac:dyDescent="0.2">
      <c r="AV1715" s="401"/>
      <c r="AW1715" s="412"/>
      <c r="AX1715" s="230"/>
      <c r="AY1715" s="42"/>
      <c r="AZ1715" s="320"/>
      <c r="BD1715" s="401"/>
      <c r="BE1715" s="42"/>
    </row>
    <row r="1716" spans="48:57" x14ac:dyDescent="0.2">
      <c r="AV1716" s="401"/>
      <c r="AW1716" s="412"/>
      <c r="AX1716" s="230"/>
      <c r="AY1716" s="42"/>
      <c r="AZ1716" s="320"/>
      <c r="BD1716" s="401"/>
      <c r="BE1716" s="42"/>
    </row>
    <row r="1717" spans="48:57" x14ac:dyDescent="0.2">
      <c r="AV1717" s="401"/>
      <c r="AW1717" s="412"/>
      <c r="AX1717" s="230"/>
      <c r="AY1717" s="42"/>
      <c r="AZ1717" s="320"/>
      <c r="BD1717" s="401"/>
      <c r="BE1717" s="42"/>
    </row>
    <row r="1718" spans="48:57" x14ac:dyDescent="0.2">
      <c r="AV1718" s="401"/>
      <c r="AW1718" s="412"/>
      <c r="AX1718" s="230"/>
      <c r="AY1718" s="42"/>
      <c r="AZ1718" s="320"/>
      <c r="BD1718" s="401"/>
      <c r="BE1718" s="42"/>
    </row>
    <row r="1719" spans="48:57" x14ac:dyDescent="0.2">
      <c r="AV1719" s="401"/>
      <c r="AW1719" s="412"/>
      <c r="AX1719" s="230"/>
      <c r="AY1719" s="42"/>
      <c r="AZ1719" s="320"/>
      <c r="BD1719" s="401"/>
      <c r="BE1719" s="42"/>
    </row>
    <row r="1720" spans="48:57" x14ac:dyDescent="0.2">
      <c r="AV1720" s="401"/>
      <c r="AW1720" s="412"/>
      <c r="AX1720" s="230"/>
      <c r="AY1720" s="42"/>
      <c r="AZ1720" s="320"/>
      <c r="BD1720" s="401"/>
      <c r="BE1720" s="42"/>
    </row>
    <row r="1721" spans="48:57" x14ac:dyDescent="0.2">
      <c r="AV1721" s="401"/>
      <c r="AW1721" s="412"/>
      <c r="AX1721" s="230"/>
      <c r="AY1721" s="42"/>
      <c r="AZ1721" s="320"/>
      <c r="BD1721" s="401"/>
      <c r="BE1721" s="42"/>
    </row>
    <row r="1722" spans="48:57" x14ac:dyDescent="0.2">
      <c r="AV1722" s="401"/>
      <c r="AW1722" s="412"/>
      <c r="AX1722" s="230"/>
      <c r="AY1722" s="42"/>
      <c r="AZ1722" s="320"/>
      <c r="BD1722" s="401"/>
      <c r="BE1722" s="42"/>
    </row>
    <row r="1723" spans="48:57" x14ac:dyDescent="0.2">
      <c r="AV1723" s="401"/>
      <c r="AW1723" s="412"/>
      <c r="AX1723" s="230"/>
      <c r="AY1723" s="42"/>
      <c r="AZ1723" s="320"/>
      <c r="BD1723" s="401"/>
      <c r="BE1723" s="42"/>
    </row>
    <row r="1724" spans="48:57" x14ac:dyDescent="0.2">
      <c r="AV1724" s="401"/>
      <c r="AW1724" s="412"/>
      <c r="AX1724" s="230"/>
      <c r="AY1724" s="42"/>
      <c r="AZ1724" s="320"/>
      <c r="BD1724" s="401"/>
      <c r="BE1724" s="42"/>
    </row>
    <row r="1725" spans="48:57" x14ac:dyDescent="0.2">
      <c r="AV1725" s="401"/>
      <c r="AW1725" s="412"/>
      <c r="AX1725" s="230"/>
      <c r="AY1725" s="42"/>
      <c r="AZ1725" s="320"/>
      <c r="BD1725" s="401"/>
      <c r="BE1725" s="42"/>
    </row>
    <row r="1726" spans="48:57" x14ac:dyDescent="0.2">
      <c r="AV1726" s="401"/>
      <c r="AW1726" s="412"/>
      <c r="AX1726" s="230"/>
      <c r="AY1726" s="42"/>
      <c r="AZ1726" s="320"/>
      <c r="BD1726" s="401"/>
      <c r="BE1726" s="42"/>
    </row>
    <row r="1727" spans="48:57" x14ac:dyDescent="0.2">
      <c r="AV1727" s="401"/>
      <c r="AW1727" s="412"/>
      <c r="AX1727" s="230"/>
      <c r="AY1727" s="42"/>
      <c r="AZ1727" s="320"/>
      <c r="BD1727" s="401"/>
      <c r="BE1727" s="42"/>
    </row>
    <row r="1728" spans="48:57" x14ac:dyDescent="0.2">
      <c r="AV1728" s="401"/>
      <c r="AW1728" s="412"/>
      <c r="AX1728" s="230"/>
      <c r="AY1728" s="42"/>
      <c r="AZ1728" s="320"/>
      <c r="BD1728" s="401"/>
      <c r="BE1728" s="42"/>
    </row>
    <row r="1729" spans="48:57" x14ac:dyDescent="0.2">
      <c r="AV1729" s="401"/>
      <c r="AW1729" s="412"/>
      <c r="AX1729" s="230"/>
      <c r="AY1729" s="42"/>
      <c r="AZ1729" s="320"/>
      <c r="BD1729" s="401"/>
      <c r="BE1729" s="42"/>
    </row>
    <row r="1730" spans="48:57" x14ac:dyDescent="0.2">
      <c r="AV1730" s="401"/>
      <c r="AW1730" s="412"/>
      <c r="AX1730" s="230"/>
      <c r="AY1730" s="42"/>
      <c r="AZ1730" s="320"/>
      <c r="BD1730" s="401"/>
      <c r="BE1730" s="42"/>
    </row>
    <row r="1731" spans="48:57" x14ac:dyDescent="0.2">
      <c r="AV1731" s="401"/>
      <c r="AW1731" s="412"/>
      <c r="AX1731" s="230"/>
      <c r="AY1731" s="42"/>
      <c r="AZ1731" s="320"/>
      <c r="BD1731" s="401"/>
      <c r="BE1731" s="42"/>
    </row>
    <row r="1732" spans="48:57" x14ac:dyDescent="0.2">
      <c r="AV1732" s="401"/>
      <c r="AW1732" s="412"/>
      <c r="AX1732" s="230"/>
      <c r="AY1732" s="42"/>
      <c r="AZ1732" s="320"/>
      <c r="BD1732" s="401"/>
      <c r="BE1732" s="42"/>
    </row>
    <row r="1733" spans="48:57" x14ac:dyDescent="0.2">
      <c r="AV1733" s="401"/>
      <c r="AW1733" s="412"/>
      <c r="AX1733" s="230"/>
      <c r="AY1733" s="42"/>
      <c r="AZ1733" s="320"/>
      <c r="BD1733" s="401"/>
      <c r="BE1733" s="42"/>
    </row>
    <row r="1734" spans="48:57" x14ac:dyDescent="0.2">
      <c r="AV1734" s="401"/>
      <c r="AW1734" s="412"/>
      <c r="AX1734" s="230"/>
      <c r="AY1734" s="42"/>
      <c r="AZ1734" s="320"/>
      <c r="BD1734" s="401"/>
      <c r="BE1734" s="42"/>
    </row>
    <row r="1735" spans="48:57" x14ac:dyDescent="0.2">
      <c r="AV1735" s="401"/>
      <c r="AW1735" s="412"/>
      <c r="AX1735" s="230"/>
      <c r="AY1735" s="42"/>
      <c r="AZ1735" s="320"/>
      <c r="BD1735" s="401"/>
      <c r="BE1735" s="42"/>
    </row>
    <row r="1736" spans="48:57" x14ac:dyDescent="0.2">
      <c r="AV1736" s="401"/>
      <c r="AW1736" s="412"/>
      <c r="AX1736" s="230"/>
      <c r="AY1736" s="42"/>
      <c r="AZ1736" s="320"/>
      <c r="BD1736" s="401"/>
      <c r="BE1736" s="42"/>
    </row>
    <row r="1737" spans="48:57" x14ac:dyDescent="0.2">
      <c r="AV1737" s="401"/>
      <c r="AW1737" s="412"/>
      <c r="AX1737" s="230"/>
      <c r="AY1737" s="42"/>
      <c r="AZ1737" s="320"/>
      <c r="BD1737" s="401"/>
      <c r="BE1737" s="42"/>
    </row>
    <row r="1738" spans="48:57" x14ac:dyDescent="0.2">
      <c r="AV1738" s="401"/>
      <c r="AW1738" s="412"/>
      <c r="AX1738" s="230"/>
      <c r="AY1738" s="42"/>
      <c r="AZ1738" s="320"/>
      <c r="BD1738" s="401"/>
      <c r="BE1738" s="42"/>
    </row>
    <row r="1739" spans="48:57" x14ac:dyDescent="0.2">
      <c r="AV1739" s="401"/>
      <c r="AW1739" s="412"/>
      <c r="AX1739" s="230"/>
      <c r="AY1739" s="42"/>
      <c r="AZ1739" s="320"/>
      <c r="BD1739" s="401"/>
      <c r="BE1739" s="42"/>
    </row>
    <row r="1740" spans="48:57" x14ac:dyDescent="0.2">
      <c r="AV1740" s="401"/>
      <c r="AW1740" s="412"/>
      <c r="AX1740" s="230"/>
      <c r="AY1740" s="42"/>
      <c r="AZ1740" s="320"/>
      <c r="BD1740" s="401"/>
      <c r="BE1740" s="42"/>
    </row>
    <row r="1741" spans="48:57" x14ac:dyDescent="0.2">
      <c r="AV1741" s="401"/>
      <c r="AW1741" s="412"/>
      <c r="AX1741" s="230"/>
      <c r="AY1741" s="42"/>
      <c r="AZ1741" s="320"/>
      <c r="BD1741" s="401"/>
      <c r="BE1741" s="42"/>
    </row>
    <row r="1742" spans="48:57" x14ac:dyDescent="0.2">
      <c r="AV1742" s="401"/>
      <c r="AW1742" s="412"/>
      <c r="AX1742" s="230"/>
      <c r="AY1742" s="42"/>
      <c r="AZ1742" s="320"/>
      <c r="BD1742" s="401"/>
      <c r="BE1742" s="42"/>
    </row>
    <row r="1743" spans="48:57" x14ac:dyDescent="0.2">
      <c r="AV1743" s="401"/>
      <c r="AW1743" s="412"/>
      <c r="AX1743" s="230"/>
      <c r="AY1743" s="42"/>
      <c r="AZ1743" s="320"/>
      <c r="BD1743" s="401"/>
      <c r="BE1743" s="42"/>
    </row>
    <row r="1744" spans="48:57" x14ac:dyDescent="0.2">
      <c r="AV1744" s="401"/>
      <c r="AW1744" s="412"/>
      <c r="AX1744" s="230"/>
      <c r="AY1744" s="42"/>
      <c r="AZ1744" s="320"/>
      <c r="BD1744" s="401"/>
      <c r="BE1744" s="42"/>
    </row>
    <row r="1745" spans="48:57" x14ac:dyDescent="0.2">
      <c r="AV1745" s="401"/>
      <c r="AW1745" s="412"/>
      <c r="AX1745" s="230"/>
      <c r="AY1745" s="42"/>
      <c r="AZ1745" s="320"/>
      <c r="BD1745" s="401"/>
      <c r="BE1745" s="42"/>
    </row>
    <row r="1746" spans="48:57" x14ac:dyDescent="0.2">
      <c r="AV1746" s="401"/>
      <c r="AW1746" s="412"/>
      <c r="AX1746" s="230"/>
      <c r="AY1746" s="42"/>
      <c r="AZ1746" s="320"/>
      <c r="BD1746" s="401"/>
      <c r="BE1746" s="42"/>
    </row>
    <row r="1747" spans="48:57" x14ac:dyDescent="0.2">
      <c r="AV1747" s="401"/>
      <c r="AW1747" s="412"/>
      <c r="AX1747" s="230"/>
      <c r="AY1747" s="42"/>
      <c r="AZ1747" s="320"/>
      <c r="BD1747" s="401"/>
      <c r="BE1747" s="42"/>
    </row>
    <row r="1748" spans="48:57" x14ac:dyDescent="0.2">
      <c r="AV1748" s="401"/>
      <c r="AW1748" s="412"/>
      <c r="AX1748" s="230"/>
      <c r="AY1748" s="42"/>
      <c r="AZ1748" s="320"/>
      <c r="BD1748" s="401"/>
      <c r="BE1748" s="42"/>
    </row>
    <row r="1749" spans="48:57" x14ac:dyDescent="0.2">
      <c r="AV1749" s="401"/>
      <c r="AW1749" s="412"/>
      <c r="AX1749" s="230"/>
      <c r="AY1749" s="42"/>
      <c r="AZ1749" s="320"/>
      <c r="BD1749" s="401"/>
      <c r="BE1749" s="42"/>
    </row>
    <row r="1750" spans="48:57" x14ac:dyDescent="0.2">
      <c r="AV1750" s="401"/>
      <c r="AW1750" s="412"/>
      <c r="AX1750" s="230"/>
      <c r="AY1750" s="42"/>
      <c r="AZ1750" s="320"/>
      <c r="BD1750" s="401"/>
      <c r="BE1750" s="42"/>
    </row>
    <row r="1751" spans="48:57" x14ac:dyDescent="0.2">
      <c r="AV1751" s="401"/>
      <c r="AW1751" s="412"/>
      <c r="AX1751" s="230"/>
      <c r="AY1751" s="42"/>
      <c r="AZ1751" s="320"/>
      <c r="BD1751" s="401"/>
      <c r="BE1751" s="42"/>
    </row>
    <row r="1752" spans="48:57" x14ac:dyDescent="0.2">
      <c r="AV1752" s="401"/>
      <c r="AW1752" s="412"/>
      <c r="AX1752" s="230"/>
      <c r="AY1752" s="42"/>
      <c r="AZ1752" s="320"/>
      <c r="BD1752" s="401"/>
      <c r="BE1752" s="42"/>
    </row>
    <row r="1753" spans="48:57" x14ac:dyDescent="0.2">
      <c r="AV1753" s="401"/>
      <c r="AW1753" s="412"/>
      <c r="AX1753" s="230"/>
      <c r="AY1753" s="42"/>
      <c r="AZ1753" s="320"/>
      <c r="BD1753" s="401"/>
      <c r="BE1753" s="42"/>
    </row>
    <row r="1754" spans="48:57" x14ac:dyDescent="0.2">
      <c r="AV1754" s="401"/>
      <c r="AW1754" s="412"/>
      <c r="AX1754" s="230"/>
      <c r="AY1754" s="42"/>
      <c r="AZ1754" s="320"/>
      <c r="BD1754" s="401"/>
      <c r="BE1754" s="42"/>
    </row>
    <row r="1755" spans="48:57" x14ac:dyDescent="0.2">
      <c r="AV1755" s="401"/>
      <c r="AW1755" s="412"/>
      <c r="AX1755" s="230"/>
      <c r="AY1755" s="42"/>
      <c r="AZ1755" s="320"/>
      <c r="BD1755" s="401"/>
      <c r="BE1755" s="42"/>
    </row>
    <row r="1756" spans="48:57" x14ac:dyDescent="0.2">
      <c r="AV1756" s="401"/>
      <c r="AW1756" s="412"/>
      <c r="AX1756" s="230"/>
      <c r="AY1756" s="42"/>
      <c r="AZ1756" s="320"/>
      <c r="BD1756" s="401"/>
      <c r="BE1756" s="42"/>
    </row>
    <row r="1757" spans="48:57" x14ac:dyDescent="0.2">
      <c r="AV1757" s="401"/>
      <c r="AW1757" s="412"/>
      <c r="AX1757" s="230"/>
      <c r="AY1757" s="42"/>
      <c r="AZ1757" s="320"/>
      <c r="BD1757" s="401"/>
      <c r="BE1757" s="42"/>
    </row>
    <row r="1758" spans="48:57" x14ac:dyDescent="0.2">
      <c r="AV1758" s="401"/>
      <c r="AW1758" s="412"/>
      <c r="AX1758" s="230"/>
      <c r="AY1758" s="42"/>
      <c r="AZ1758" s="320"/>
      <c r="BD1758" s="401"/>
      <c r="BE1758" s="42"/>
    </row>
    <row r="1759" spans="48:57" x14ac:dyDescent="0.2">
      <c r="AV1759" s="401"/>
      <c r="AW1759" s="412"/>
      <c r="AX1759" s="230"/>
      <c r="AY1759" s="42"/>
      <c r="AZ1759" s="320"/>
      <c r="BD1759" s="401"/>
      <c r="BE1759" s="42"/>
    </row>
    <row r="1760" spans="48:57" x14ac:dyDescent="0.2">
      <c r="AV1760" s="401"/>
      <c r="AW1760" s="412"/>
      <c r="AX1760" s="230"/>
      <c r="AY1760" s="42"/>
      <c r="AZ1760" s="320"/>
      <c r="BD1760" s="401"/>
      <c r="BE1760" s="42"/>
    </row>
    <row r="1761" spans="48:57" x14ac:dyDescent="0.2">
      <c r="AV1761" s="401"/>
      <c r="AW1761" s="412"/>
      <c r="AX1761" s="230"/>
      <c r="AY1761" s="42"/>
      <c r="AZ1761" s="320"/>
      <c r="BD1761" s="401"/>
      <c r="BE1761" s="42"/>
    </row>
    <row r="1762" spans="48:57" x14ac:dyDescent="0.2">
      <c r="AV1762" s="401"/>
      <c r="AW1762" s="412"/>
      <c r="AX1762" s="230"/>
      <c r="AY1762" s="42"/>
      <c r="AZ1762" s="320"/>
      <c r="BD1762" s="401"/>
      <c r="BE1762" s="42"/>
    </row>
    <row r="1763" spans="48:57" x14ac:dyDescent="0.2">
      <c r="AV1763" s="401"/>
      <c r="AW1763" s="412"/>
      <c r="AX1763" s="230"/>
      <c r="AY1763" s="42"/>
      <c r="AZ1763" s="320"/>
      <c r="BD1763" s="401"/>
      <c r="BE1763" s="42"/>
    </row>
    <row r="1764" spans="48:57" x14ac:dyDescent="0.2">
      <c r="AV1764" s="401"/>
      <c r="AW1764" s="412"/>
      <c r="AX1764" s="230"/>
      <c r="AY1764" s="42"/>
      <c r="AZ1764" s="320"/>
      <c r="BD1764" s="401"/>
      <c r="BE1764" s="42"/>
    </row>
    <row r="1765" spans="48:57" x14ac:dyDescent="0.2">
      <c r="AV1765" s="401"/>
      <c r="AW1765" s="412"/>
      <c r="AX1765" s="230"/>
      <c r="AY1765" s="42"/>
      <c r="AZ1765" s="320"/>
      <c r="BD1765" s="401"/>
      <c r="BE1765" s="42"/>
    </row>
    <row r="1766" spans="48:57" x14ac:dyDescent="0.2">
      <c r="AV1766" s="401"/>
      <c r="AW1766" s="412"/>
      <c r="AX1766" s="230"/>
      <c r="AY1766" s="42"/>
      <c r="AZ1766" s="320"/>
      <c r="BD1766" s="401"/>
      <c r="BE1766" s="42"/>
    </row>
    <row r="1767" spans="48:57" x14ac:dyDescent="0.2">
      <c r="AV1767" s="401"/>
      <c r="AW1767" s="412"/>
      <c r="AX1767" s="230"/>
      <c r="AY1767" s="42"/>
      <c r="AZ1767" s="320"/>
      <c r="BD1767" s="401"/>
      <c r="BE1767" s="42"/>
    </row>
    <row r="1768" spans="48:57" x14ac:dyDescent="0.2">
      <c r="AV1768" s="401"/>
      <c r="AW1768" s="412"/>
      <c r="AX1768" s="230"/>
      <c r="AY1768" s="42"/>
      <c r="AZ1768" s="320"/>
      <c r="BD1768" s="401"/>
      <c r="BE1768" s="42"/>
    </row>
    <row r="1769" spans="48:57" x14ac:dyDescent="0.2">
      <c r="AV1769" s="401"/>
      <c r="AW1769" s="412"/>
      <c r="AX1769" s="230"/>
      <c r="AY1769" s="42"/>
      <c r="AZ1769" s="320"/>
      <c r="BD1769" s="401"/>
      <c r="BE1769" s="42"/>
    </row>
    <row r="1770" spans="48:57" x14ac:dyDescent="0.2">
      <c r="AV1770" s="401"/>
      <c r="AW1770" s="412"/>
      <c r="AX1770" s="230"/>
      <c r="AY1770" s="42"/>
      <c r="AZ1770" s="320"/>
      <c r="BD1770" s="401"/>
      <c r="BE1770" s="42"/>
    </row>
    <row r="1771" spans="48:57" x14ac:dyDescent="0.2">
      <c r="AV1771" s="401"/>
      <c r="AW1771" s="412"/>
      <c r="AX1771" s="230"/>
      <c r="AY1771" s="42"/>
      <c r="AZ1771" s="320"/>
      <c r="BD1771" s="401"/>
      <c r="BE1771" s="42"/>
    </row>
    <row r="1772" spans="48:57" x14ac:dyDescent="0.2">
      <c r="AV1772" s="401"/>
      <c r="AW1772" s="412"/>
      <c r="AX1772" s="230"/>
      <c r="AY1772" s="42"/>
      <c r="AZ1772" s="320"/>
      <c r="BD1772" s="401"/>
      <c r="BE1772" s="42"/>
    </row>
    <row r="1773" spans="48:57" x14ac:dyDescent="0.2">
      <c r="AV1773" s="401"/>
      <c r="AW1773" s="412"/>
      <c r="AX1773" s="230"/>
      <c r="AY1773" s="42"/>
      <c r="AZ1773" s="320"/>
      <c r="BD1773" s="401"/>
      <c r="BE1773" s="42"/>
    </row>
    <row r="1774" spans="48:57" x14ac:dyDescent="0.2">
      <c r="AV1774" s="401"/>
      <c r="AW1774" s="412"/>
      <c r="AX1774" s="230"/>
      <c r="AY1774" s="42"/>
      <c r="AZ1774" s="320"/>
      <c r="BD1774" s="401"/>
      <c r="BE1774" s="42"/>
    </row>
    <row r="1775" spans="48:57" x14ac:dyDescent="0.2">
      <c r="AV1775" s="401"/>
      <c r="AW1775" s="412"/>
      <c r="AX1775" s="230"/>
      <c r="AY1775" s="42"/>
      <c r="AZ1775" s="320"/>
      <c r="BD1775" s="401"/>
      <c r="BE1775" s="42"/>
    </row>
    <row r="1776" spans="48:57" x14ac:dyDescent="0.2">
      <c r="AV1776" s="401"/>
      <c r="AW1776" s="412"/>
      <c r="AX1776" s="230"/>
      <c r="AY1776" s="42"/>
      <c r="AZ1776" s="320"/>
      <c r="BD1776" s="401"/>
      <c r="BE1776" s="42"/>
    </row>
    <row r="1777" spans="48:57" x14ac:dyDescent="0.2">
      <c r="AV1777" s="401"/>
      <c r="AW1777" s="412"/>
      <c r="AX1777" s="230"/>
      <c r="AY1777" s="42"/>
      <c r="AZ1777" s="320"/>
      <c r="BD1777" s="401"/>
      <c r="BE1777" s="42"/>
    </row>
    <row r="1778" spans="48:57" x14ac:dyDescent="0.2">
      <c r="AV1778" s="401"/>
      <c r="AW1778" s="412"/>
      <c r="AX1778" s="230"/>
      <c r="AY1778" s="42"/>
      <c r="AZ1778" s="320"/>
      <c r="BD1778" s="401"/>
      <c r="BE1778" s="42"/>
    </row>
    <row r="1779" spans="48:57" x14ac:dyDescent="0.2">
      <c r="AV1779" s="401"/>
      <c r="AW1779" s="412"/>
      <c r="AX1779" s="230"/>
      <c r="AY1779" s="42"/>
      <c r="AZ1779" s="320"/>
      <c r="BD1779" s="401"/>
      <c r="BE1779" s="42"/>
    </row>
    <row r="1780" spans="48:57" x14ac:dyDescent="0.2">
      <c r="AV1780" s="401"/>
      <c r="AW1780" s="412"/>
      <c r="AX1780" s="230"/>
      <c r="AY1780" s="42"/>
      <c r="AZ1780" s="320"/>
      <c r="BD1780" s="401"/>
      <c r="BE1780" s="42"/>
    </row>
    <row r="1781" spans="48:57" x14ac:dyDescent="0.2">
      <c r="AV1781" s="401"/>
      <c r="AW1781" s="412"/>
      <c r="AX1781" s="230"/>
      <c r="AY1781" s="42"/>
      <c r="AZ1781" s="320"/>
      <c r="BD1781" s="401"/>
      <c r="BE1781" s="42"/>
    </row>
    <row r="1782" spans="48:57" x14ac:dyDescent="0.2">
      <c r="AV1782" s="401"/>
      <c r="AW1782" s="412"/>
      <c r="AX1782" s="230"/>
      <c r="AY1782" s="42"/>
      <c r="AZ1782" s="320"/>
      <c r="BD1782" s="401"/>
      <c r="BE1782" s="42"/>
    </row>
    <row r="1783" spans="48:57" x14ac:dyDescent="0.2">
      <c r="AV1783" s="401"/>
      <c r="AW1783" s="412"/>
      <c r="AX1783" s="230"/>
      <c r="AY1783" s="42"/>
      <c r="AZ1783" s="320"/>
      <c r="BD1783" s="401"/>
      <c r="BE1783" s="42"/>
    </row>
    <row r="1784" spans="48:57" x14ac:dyDescent="0.2">
      <c r="AV1784" s="401"/>
      <c r="AW1784" s="412"/>
      <c r="AX1784" s="230"/>
      <c r="AY1784" s="42"/>
      <c r="AZ1784" s="320"/>
      <c r="BD1784" s="401"/>
      <c r="BE1784" s="42"/>
    </row>
    <row r="1785" spans="48:57" x14ac:dyDescent="0.2">
      <c r="AV1785" s="401"/>
      <c r="AW1785" s="412"/>
      <c r="AX1785" s="230"/>
      <c r="AY1785" s="42"/>
      <c r="AZ1785" s="320"/>
      <c r="BD1785" s="401"/>
      <c r="BE1785" s="42"/>
    </row>
    <row r="1786" spans="48:57" x14ac:dyDescent="0.2">
      <c r="AV1786" s="401"/>
      <c r="AW1786" s="412"/>
      <c r="AX1786" s="230"/>
      <c r="AY1786" s="42"/>
      <c r="AZ1786" s="320"/>
      <c r="BD1786" s="401"/>
      <c r="BE1786" s="42"/>
    </row>
    <row r="1787" spans="48:57" x14ac:dyDescent="0.2">
      <c r="AV1787" s="401"/>
      <c r="AW1787" s="412"/>
      <c r="AX1787" s="230"/>
      <c r="AY1787" s="42"/>
      <c r="AZ1787" s="320"/>
      <c r="BD1787" s="401"/>
      <c r="BE1787" s="42"/>
    </row>
    <row r="1788" spans="48:57" x14ac:dyDescent="0.2">
      <c r="AV1788" s="401"/>
      <c r="AW1788" s="412"/>
      <c r="AX1788" s="230"/>
      <c r="AY1788" s="42"/>
      <c r="AZ1788" s="320"/>
      <c r="BD1788" s="401"/>
      <c r="BE1788" s="42"/>
    </row>
    <row r="1789" spans="48:57" x14ac:dyDescent="0.2">
      <c r="AV1789" s="401"/>
      <c r="AW1789" s="412"/>
      <c r="AX1789" s="230"/>
      <c r="AY1789" s="42"/>
      <c r="AZ1789" s="320"/>
      <c r="BD1789" s="401"/>
      <c r="BE1789" s="42"/>
    </row>
    <row r="1790" spans="48:57" x14ac:dyDescent="0.2">
      <c r="AV1790" s="401"/>
      <c r="AW1790" s="412"/>
      <c r="AX1790" s="230"/>
      <c r="AY1790" s="42"/>
      <c r="AZ1790" s="320"/>
      <c r="BD1790" s="401"/>
      <c r="BE1790" s="42"/>
    </row>
    <row r="1791" spans="48:57" x14ac:dyDescent="0.2">
      <c r="AV1791" s="401"/>
      <c r="AW1791" s="412"/>
      <c r="AX1791" s="230"/>
      <c r="AY1791" s="42"/>
      <c r="AZ1791" s="320"/>
      <c r="BD1791" s="401"/>
      <c r="BE1791" s="42"/>
    </row>
    <row r="1792" spans="48:57" x14ac:dyDescent="0.2">
      <c r="AV1792" s="401"/>
      <c r="AW1792" s="412"/>
      <c r="AX1792" s="230"/>
      <c r="AY1792" s="42"/>
      <c r="AZ1792" s="320"/>
      <c r="BD1792" s="401"/>
      <c r="BE1792" s="42"/>
    </row>
    <row r="1793" spans="48:57" x14ac:dyDescent="0.2">
      <c r="AV1793" s="401"/>
      <c r="AW1793" s="412"/>
      <c r="AX1793" s="230"/>
      <c r="AY1793" s="42"/>
      <c r="AZ1793" s="320"/>
      <c r="BD1793" s="401"/>
      <c r="BE1793" s="42"/>
    </row>
    <row r="1794" spans="48:57" x14ac:dyDescent="0.2">
      <c r="AV1794" s="401"/>
      <c r="AW1794" s="412"/>
      <c r="AX1794" s="230"/>
      <c r="AY1794" s="42"/>
      <c r="AZ1794" s="320"/>
      <c r="BD1794" s="401"/>
      <c r="BE1794" s="42"/>
    </row>
    <row r="1795" spans="48:57" x14ac:dyDescent="0.2">
      <c r="AV1795" s="401"/>
      <c r="AW1795" s="412"/>
      <c r="AX1795" s="230"/>
      <c r="AY1795" s="42"/>
      <c r="AZ1795" s="320"/>
      <c r="BD1795" s="401"/>
      <c r="BE1795" s="42"/>
    </row>
    <row r="1796" spans="48:57" x14ac:dyDescent="0.2">
      <c r="AV1796" s="401"/>
      <c r="AW1796" s="412"/>
      <c r="AX1796" s="230"/>
      <c r="AY1796" s="42"/>
      <c r="AZ1796" s="320"/>
      <c r="BD1796" s="401"/>
      <c r="BE1796" s="42"/>
    </row>
    <row r="1797" spans="48:57" x14ac:dyDescent="0.2">
      <c r="AV1797" s="401"/>
      <c r="AW1797" s="412"/>
      <c r="AX1797" s="230"/>
      <c r="AY1797" s="42"/>
      <c r="AZ1797" s="320"/>
      <c r="BD1797" s="401"/>
      <c r="BE1797" s="42"/>
    </row>
    <row r="1798" spans="48:57" x14ac:dyDescent="0.2">
      <c r="AV1798" s="401"/>
      <c r="AW1798" s="412"/>
      <c r="AX1798" s="230"/>
      <c r="AY1798" s="42"/>
      <c r="AZ1798" s="320"/>
      <c r="BD1798" s="401"/>
      <c r="BE1798" s="42"/>
    </row>
    <row r="1799" spans="48:57" x14ac:dyDescent="0.2">
      <c r="AV1799" s="401"/>
      <c r="AW1799" s="412"/>
      <c r="AX1799" s="230"/>
      <c r="AY1799" s="42"/>
      <c r="AZ1799" s="320"/>
      <c r="BD1799" s="401"/>
      <c r="BE1799" s="42"/>
    </row>
    <row r="1800" spans="48:57" x14ac:dyDescent="0.2">
      <c r="AV1800" s="401"/>
      <c r="AW1800" s="412"/>
      <c r="AX1800" s="230"/>
      <c r="AY1800" s="42"/>
      <c r="AZ1800" s="320"/>
      <c r="BD1800" s="401"/>
      <c r="BE1800" s="42"/>
    </row>
    <row r="1801" spans="48:57" x14ac:dyDescent="0.2">
      <c r="AV1801" s="401"/>
      <c r="AW1801" s="412"/>
      <c r="AX1801" s="230"/>
      <c r="AY1801" s="42"/>
      <c r="AZ1801" s="320"/>
      <c r="BD1801" s="401"/>
      <c r="BE1801" s="42"/>
    </row>
    <row r="1802" spans="48:57" x14ac:dyDescent="0.2">
      <c r="AV1802" s="401"/>
      <c r="AW1802" s="412"/>
      <c r="AX1802" s="230"/>
      <c r="AY1802" s="42"/>
      <c r="AZ1802" s="320"/>
      <c r="BD1802" s="401"/>
      <c r="BE1802" s="42"/>
    </row>
    <row r="1803" spans="48:57" x14ac:dyDescent="0.2">
      <c r="AV1803" s="401"/>
      <c r="AW1803" s="412"/>
      <c r="AX1803" s="230"/>
      <c r="AY1803" s="42"/>
      <c r="AZ1803" s="320"/>
      <c r="BD1803" s="401"/>
      <c r="BE1803" s="42"/>
    </row>
    <row r="1804" spans="48:57" x14ac:dyDescent="0.2">
      <c r="AV1804" s="401"/>
      <c r="AW1804" s="412"/>
      <c r="AX1804" s="230"/>
      <c r="AY1804" s="42"/>
      <c r="AZ1804" s="320"/>
      <c r="BD1804" s="401"/>
      <c r="BE1804" s="42"/>
    </row>
    <row r="1805" spans="48:57" x14ac:dyDescent="0.2">
      <c r="AV1805" s="401"/>
      <c r="AW1805" s="412"/>
      <c r="AX1805" s="230"/>
      <c r="AY1805" s="42"/>
      <c r="AZ1805" s="320"/>
      <c r="BD1805" s="401"/>
      <c r="BE1805" s="42"/>
    </row>
    <row r="1806" spans="48:57" x14ac:dyDescent="0.2">
      <c r="AV1806" s="401"/>
      <c r="AW1806" s="412"/>
      <c r="AX1806" s="230"/>
      <c r="AY1806" s="42"/>
      <c r="AZ1806" s="320"/>
      <c r="BD1806" s="401"/>
      <c r="BE1806" s="42"/>
    </row>
    <row r="1807" spans="48:57" x14ac:dyDescent="0.2">
      <c r="AV1807" s="401"/>
      <c r="AW1807" s="412"/>
      <c r="AX1807" s="230"/>
      <c r="AY1807" s="42"/>
      <c r="AZ1807" s="320"/>
      <c r="BD1807" s="401"/>
      <c r="BE1807" s="42"/>
    </row>
    <row r="1808" spans="48:57" x14ac:dyDescent="0.2">
      <c r="AV1808" s="401"/>
      <c r="AW1808" s="412"/>
      <c r="AX1808" s="230"/>
      <c r="AY1808" s="42"/>
      <c r="AZ1808" s="320"/>
      <c r="BD1808" s="401"/>
      <c r="BE1808" s="42"/>
    </row>
    <row r="1809" spans="48:57" x14ac:dyDescent="0.2">
      <c r="AV1809" s="401"/>
      <c r="AW1809" s="412"/>
      <c r="AX1809" s="230"/>
      <c r="AY1809" s="42"/>
      <c r="AZ1809" s="320"/>
      <c r="BD1809" s="401"/>
      <c r="BE1809" s="42"/>
    </row>
    <row r="1810" spans="48:57" x14ac:dyDescent="0.2">
      <c r="AV1810" s="401"/>
      <c r="AW1810" s="412"/>
      <c r="AX1810" s="230"/>
      <c r="AY1810" s="42"/>
      <c r="AZ1810" s="320"/>
      <c r="BD1810" s="401"/>
      <c r="BE1810" s="42"/>
    </row>
    <row r="1811" spans="48:57" x14ac:dyDescent="0.2">
      <c r="AV1811" s="401"/>
      <c r="AW1811" s="412"/>
      <c r="AX1811" s="230"/>
      <c r="AY1811" s="42"/>
      <c r="AZ1811" s="320"/>
      <c r="BD1811" s="401"/>
      <c r="BE1811" s="42"/>
    </row>
    <row r="1812" spans="48:57" x14ac:dyDescent="0.2">
      <c r="AV1812" s="401"/>
      <c r="AW1812" s="412"/>
      <c r="AX1812" s="230"/>
      <c r="AY1812" s="42"/>
      <c r="AZ1812" s="320"/>
      <c r="BD1812" s="401"/>
      <c r="BE1812" s="42"/>
    </row>
    <row r="1813" spans="48:57" x14ac:dyDescent="0.2">
      <c r="AV1813" s="401"/>
      <c r="AW1813" s="412"/>
      <c r="AX1813" s="230"/>
      <c r="AY1813" s="42"/>
      <c r="AZ1813" s="320"/>
      <c r="BD1813" s="401"/>
      <c r="BE1813" s="42"/>
    </row>
    <row r="1814" spans="48:57" x14ac:dyDescent="0.2">
      <c r="AV1814" s="401"/>
      <c r="AW1814" s="412"/>
      <c r="AX1814" s="230"/>
      <c r="AY1814" s="42"/>
      <c r="AZ1814" s="320"/>
      <c r="BD1814" s="401"/>
      <c r="BE1814" s="42"/>
    </row>
    <row r="1815" spans="48:57" x14ac:dyDescent="0.2">
      <c r="AV1815" s="401"/>
      <c r="AW1815" s="412"/>
      <c r="AX1815" s="230"/>
      <c r="AY1815" s="42"/>
      <c r="AZ1815" s="320"/>
      <c r="BD1815" s="401"/>
      <c r="BE1815" s="42"/>
    </row>
    <row r="1816" spans="48:57" x14ac:dyDescent="0.2">
      <c r="AV1816" s="401"/>
      <c r="AW1816" s="412"/>
      <c r="AX1816" s="230"/>
      <c r="AY1816" s="42"/>
      <c r="AZ1816" s="320"/>
      <c r="BD1816" s="401"/>
      <c r="BE1816" s="42"/>
    </row>
    <row r="1817" spans="48:57" x14ac:dyDescent="0.2">
      <c r="AV1817" s="401"/>
      <c r="AW1817" s="412"/>
      <c r="AX1817" s="230"/>
      <c r="AY1817" s="42"/>
      <c r="AZ1817" s="320"/>
      <c r="BD1817" s="401"/>
      <c r="BE1817" s="42"/>
    </row>
    <row r="1818" spans="48:57" x14ac:dyDescent="0.2">
      <c r="AV1818" s="401"/>
      <c r="AW1818" s="412"/>
      <c r="AX1818" s="230"/>
      <c r="AY1818" s="42"/>
      <c r="AZ1818" s="320"/>
      <c r="BD1818" s="401"/>
      <c r="BE1818" s="42"/>
    </row>
    <row r="1819" spans="48:57" x14ac:dyDescent="0.2">
      <c r="AV1819" s="401"/>
      <c r="AW1819" s="412"/>
      <c r="AX1819" s="230"/>
      <c r="AY1819" s="42"/>
      <c r="AZ1819" s="320"/>
      <c r="BD1819" s="401"/>
      <c r="BE1819" s="42"/>
    </row>
    <row r="1820" spans="48:57" x14ac:dyDescent="0.2">
      <c r="AV1820" s="401"/>
      <c r="AW1820" s="412"/>
      <c r="AX1820" s="230"/>
      <c r="AY1820" s="42"/>
      <c r="AZ1820" s="320"/>
      <c r="BD1820" s="401"/>
      <c r="BE1820" s="42"/>
    </row>
    <row r="1821" spans="48:57" x14ac:dyDescent="0.2">
      <c r="AV1821" s="401"/>
      <c r="AW1821" s="412"/>
      <c r="AX1821" s="230"/>
      <c r="AY1821" s="42"/>
      <c r="AZ1821" s="320"/>
      <c r="BD1821" s="401"/>
      <c r="BE1821" s="42"/>
    </row>
    <row r="1822" spans="48:57" x14ac:dyDescent="0.2">
      <c r="AV1822" s="401"/>
      <c r="AW1822" s="412"/>
      <c r="AX1822" s="230"/>
      <c r="AY1822" s="42"/>
      <c r="AZ1822" s="320"/>
      <c r="BD1822" s="401"/>
      <c r="BE1822" s="42"/>
    </row>
    <row r="1823" spans="48:57" x14ac:dyDescent="0.2">
      <c r="AV1823" s="401"/>
      <c r="AW1823" s="412"/>
      <c r="AX1823" s="230"/>
      <c r="AY1823" s="42"/>
      <c r="AZ1823" s="320"/>
      <c r="BD1823" s="401"/>
      <c r="BE1823" s="42"/>
    </row>
    <row r="1824" spans="48:57" x14ac:dyDescent="0.2">
      <c r="AV1824" s="401"/>
      <c r="AW1824" s="412"/>
      <c r="AX1824" s="230"/>
      <c r="AY1824" s="42"/>
      <c r="AZ1824" s="320"/>
      <c r="BD1824" s="401"/>
      <c r="BE1824" s="42"/>
    </row>
    <row r="1825" spans="48:57" x14ac:dyDescent="0.2">
      <c r="AV1825" s="401"/>
      <c r="AW1825" s="412"/>
      <c r="AX1825" s="230"/>
      <c r="AY1825" s="42"/>
      <c r="AZ1825" s="320"/>
      <c r="BD1825" s="401"/>
      <c r="BE1825" s="42"/>
    </row>
    <row r="1826" spans="48:57" x14ac:dyDescent="0.2">
      <c r="AV1826" s="401"/>
      <c r="AW1826" s="412"/>
      <c r="AX1826" s="230"/>
      <c r="AY1826" s="42"/>
      <c r="AZ1826" s="320"/>
      <c r="BD1826" s="401"/>
      <c r="BE1826" s="42"/>
    </row>
    <row r="1827" spans="48:57" x14ac:dyDescent="0.2">
      <c r="AV1827" s="401"/>
      <c r="AW1827" s="412"/>
      <c r="AX1827" s="230"/>
      <c r="AY1827" s="42"/>
      <c r="AZ1827" s="320"/>
      <c r="BD1827" s="401"/>
      <c r="BE1827" s="42"/>
    </row>
    <row r="1828" spans="48:57" x14ac:dyDescent="0.2">
      <c r="AV1828" s="401"/>
      <c r="AW1828" s="412"/>
      <c r="AX1828" s="230"/>
      <c r="AY1828" s="42"/>
      <c r="AZ1828" s="320"/>
      <c r="BD1828" s="401"/>
      <c r="BE1828" s="42"/>
    </row>
    <row r="1829" spans="48:57" x14ac:dyDescent="0.2">
      <c r="AV1829" s="401"/>
      <c r="AW1829" s="412"/>
      <c r="AX1829" s="230"/>
      <c r="AY1829" s="42"/>
      <c r="AZ1829" s="320"/>
      <c r="BD1829" s="401"/>
      <c r="BE1829" s="42"/>
    </row>
    <row r="1830" spans="48:57" x14ac:dyDescent="0.2">
      <c r="AV1830" s="401"/>
      <c r="AW1830" s="412"/>
      <c r="AX1830" s="230"/>
      <c r="AY1830" s="42"/>
      <c r="AZ1830" s="320"/>
      <c r="BD1830" s="401"/>
      <c r="BE1830" s="42"/>
    </row>
    <row r="1831" spans="48:57" x14ac:dyDescent="0.2">
      <c r="AV1831" s="401"/>
      <c r="AW1831" s="412"/>
      <c r="AX1831" s="230"/>
      <c r="AY1831" s="42"/>
      <c r="AZ1831" s="320"/>
      <c r="BD1831" s="401"/>
      <c r="BE1831" s="42"/>
    </row>
    <row r="1832" spans="48:57" x14ac:dyDescent="0.2">
      <c r="AV1832" s="401"/>
      <c r="AW1832" s="412"/>
      <c r="AX1832" s="230"/>
      <c r="AY1832" s="42"/>
      <c r="AZ1832" s="320"/>
      <c r="BD1832" s="401"/>
      <c r="BE1832" s="42"/>
    </row>
    <row r="1833" spans="48:57" x14ac:dyDescent="0.2">
      <c r="AV1833" s="401"/>
      <c r="AW1833" s="412"/>
      <c r="AX1833" s="230"/>
      <c r="AY1833" s="42"/>
      <c r="AZ1833" s="320"/>
      <c r="BD1833" s="401"/>
      <c r="BE1833" s="42"/>
    </row>
    <row r="1834" spans="48:57" x14ac:dyDescent="0.2">
      <c r="AV1834" s="401"/>
      <c r="AW1834" s="412"/>
      <c r="AX1834" s="230"/>
      <c r="AY1834" s="42"/>
      <c r="AZ1834" s="320"/>
      <c r="BD1834" s="401"/>
      <c r="BE1834" s="42"/>
    </row>
    <row r="1835" spans="48:57" x14ac:dyDescent="0.2">
      <c r="AV1835" s="401"/>
      <c r="AW1835" s="412"/>
      <c r="AX1835" s="230"/>
      <c r="AY1835" s="42"/>
      <c r="AZ1835" s="320"/>
      <c r="BD1835" s="401"/>
      <c r="BE1835" s="42"/>
    </row>
    <row r="1836" spans="48:57" x14ac:dyDescent="0.2">
      <c r="AV1836" s="401"/>
      <c r="AW1836" s="412"/>
      <c r="AX1836" s="230"/>
      <c r="AY1836" s="42"/>
      <c r="AZ1836" s="320"/>
      <c r="BD1836" s="401"/>
      <c r="BE1836" s="42"/>
    </row>
    <row r="1837" spans="48:57" x14ac:dyDescent="0.2">
      <c r="AV1837" s="401"/>
      <c r="AW1837" s="412"/>
      <c r="AX1837" s="230"/>
      <c r="AY1837" s="42"/>
      <c r="AZ1837" s="320"/>
      <c r="BD1837" s="401"/>
      <c r="BE1837" s="42"/>
    </row>
    <row r="1838" spans="48:57" x14ac:dyDescent="0.2">
      <c r="AV1838" s="401"/>
      <c r="AW1838" s="412"/>
      <c r="AX1838" s="230"/>
      <c r="AY1838" s="42"/>
      <c r="AZ1838" s="320"/>
      <c r="BD1838" s="401"/>
      <c r="BE1838" s="42"/>
    </row>
    <row r="1839" spans="48:57" x14ac:dyDescent="0.2">
      <c r="AV1839" s="401"/>
      <c r="AW1839" s="412"/>
      <c r="AX1839" s="230"/>
      <c r="AY1839" s="42"/>
      <c r="AZ1839" s="320"/>
      <c r="BD1839" s="401"/>
      <c r="BE1839" s="42"/>
    </row>
    <row r="1840" spans="48:57" x14ac:dyDescent="0.2">
      <c r="AV1840" s="401"/>
      <c r="AW1840" s="412"/>
      <c r="AX1840" s="230"/>
      <c r="AY1840" s="42"/>
      <c r="AZ1840" s="320"/>
      <c r="BD1840" s="401"/>
      <c r="BE1840" s="42"/>
    </row>
    <row r="1841" spans="48:57" x14ac:dyDescent="0.2">
      <c r="AV1841" s="401"/>
      <c r="AW1841" s="412"/>
      <c r="AX1841" s="230"/>
      <c r="AY1841" s="42"/>
      <c r="AZ1841" s="320"/>
      <c r="BD1841" s="401"/>
      <c r="BE1841" s="42"/>
    </row>
    <row r="1842" spans="48:57" x14ac:dyDescent="0.2">
      <c r="AV1842" s="401"/>
      <c r="AW1842" s="412"/>
      <c r="AX1842" s="230"/>
      <c r="AY1842" s="42"/>
      <c r="AZ1842" s="320"/>
      <c r="BD1842" s="401"/>
      <c r="BE1842" s="42"/>
    </row>
    <row r="1843" spans="48:57" x14ac:dyDescent="0.2">
      <c r="AV1843" s="401"/>
      <c r="AW1843" s="412"/>
      <c r="AX1843" s="230"/>
      <c r="AY1843" s="42"/>
      <c r="AZ1843" s="320"/>
      <c r="BD1843" s="401"/>
      <c r="BE1843" s="42"/>
    </row>
    <row r="1844" spans="48:57" x14ac:dyDescent="0.2">
      <c r="AV1844" s="401"/>
      <c r="AW1844" s="412"/>
      <c r="AX1844" s="230"/>
      <c r="AY1844" s="42"/>
      <c r="AZ1844" s="320"/>
      <c r="BD1844" s="401"/>
      <c r="BE1844" s="42"/>
    </row>
    <row r="1845" spans="48:57" x14ac:dyDescent="0.2">
      <c r="AV1845" s="401"/>
      <c r="AW1845" s="412"/>
      <c r="AX1845" s="230"/>
      <c r="AY1845" s="42"/>
      <c r="AZ1845" s="320"/>
      <c r="BD1845" s="401"/>
      <c r="BE1845" s="42"/>
    </row>
    <row r="1846" spans="48:57" x14ac:dyDescent="0.2">
      <c r="AV1846" s="401"/>
      <c r="AW1846" s="412"/>
      <c r="AX1846" s="230"/>
      <c r="AY1846" s="42"/>
      <c r="AZ1846" s="320"/>
      <c r="BD1846" s="401"/>
      <c r="BE1846" s="42"/>
    </row>
    <row r="1847" spans="48:57" x14ac:dyDescent="0.2">
      <c r="AV1847" s="401"/>
      <c r="AW1847" s="412"/>
      <c r="AX1847" s="230"/>
      <c r="AY1847" s="42"/>
      <c r="AZ1847" s="320"/>
      <c r="BD1847" s="401"/>
      <c r="BE1847" s="42"/>
    </row>
    <row r="1848" spans="48:57" x14ac:dyDescent="0.2">
      <c r="AV1848" s="401"/>
      <c r="AW1848" s="412"/>
      <c r="AX1848" s="230"/>
      <c r="AY1848" s="42"/>
      <c r="AZ1848" s="320"/>
      <c r="BD1848" s="401"/>
      <c r="BE1848" s="42"/>
    </row>
    <row r="1849" spans="48:57" x14ac:dyDescent="0.2">
      <c r="AV1849" s="401"/>
      <c r="AW1849" s="412"/>
      <c r="AX1849" s="230"/>
      <c r="AY1849" s="42"/>
      <c r="AZ1849" s="320"/>
      <c r="BD1849" s="401"/>
      <c r="BE1849" s="42"/>
    </row>
    <row r="1850" spans="48:57" x14ac:dyDescent="0.2">
      <c r="AV1850" s="401"/>
      <c r="AW1850" s="412"/>
      <c r="AX1850" s="230"/>
      <c r="AY1850" s="42"/>
      <c r="AZ1850" s="320"/>
      <c r="BD1850" s="401"/>
      <c r="BE1850" s="42"/>
    </row>
    <row r="1851" spans="48:57" x14ac:dyDescent="0.2">
      <c r="AV1851" s="401"/>
      <c r="AW1851" s="412"/>
      <c r="AX1851" s="230"/>
      <c r="AY1851" s="42"/>
      <c r="AZ1851" s="320"/>
      <c r="BD1851" s="401"/>
      <c r="BE1851" s="42"/>
    </row>
    <row r="1852" spans="48:57" x14ac:dyDescent="0.2">
      <c r="AV1852" s="401"/>
      <c r="AW1852" s="412"/>
      <c r="AX1852" s="230"/>
      <c r="AY1852" s="42"/>
      <c r="AZ1852" s="320"/>
      <c r="BD1852" s="401"/>
      <c r="BE1852" s="42"/>
    </row>
    <row r="1853" spans="48:57" x14ac:dyDescent="0.2">
      <c r="AV1853" s="401"/>
      <c r="AW1853" s="412"/>
      <c r="AX1853" s="230"/>
      <c r="AY1853" s="42"/>
      <c r="AZ1853" s="320"/>
      <c r="BD1853" s="401"/>
      <c r="BE1853" s="42"/>
    </row>
    <row r="1854" spans="48:57" x14ac:dyDescent="0.2">
      <c r="AV1854" s="401"/>
      <c r="AW1854" s="412"/>
      <c r="AX1854" s="230"/>
      <c r="AY1854" s="42"/>
      <c r="AZ1854" s="320"/>
      <c r="BD1854" s="401"/>
      <c r="BE1854" s="42"/>
    </row>
    <row r="1855" spans="48:57" x14ac:dyDescent="0.2">
      <c r="AV1855" s="401"/>
      <c r="AW1855" s="412"/>
      <c r="AX1855" s="230"/>
      <c r="AY1855" s="42"/>
      <c r="AZ1855" s="320"/>
      <c r="BD1855" s="401"/>
      <c r="BE1855" s="42"/>
    </row>
    <row r="1856" spans="48:57" x14ac:dyDescent="0.2">
      <c r="AV1856" s="401"/>
      <c r="AW1856" s="412"/>
      <c r="AX1856" s="230"/>
      <c r="AY1856" s="42"/>
      <c r="AZ1856" s="320"/>
      <c r="BD1856" s="401"/>
      <c r="BE1856" s="42"/>
    </row>
    <row r="1857" spans="48:57" x14ac:dyDescent="0.2">
      <c r="AV1857" s="401"/>
      <c r="AW1857" s="412"/>
      <c r="AX1857" s="230"/>
      <c r="AY1857" s="42"/>
      <c r="AZ1857" s="320"/>
      <c r="BD1857" s="401"/>
      <c r="BE1857" s="42"/>
    </row>
    <row r="1858" spans="48:57" x14ac:dyDescent="0.2">
      <c r="AV1858" s="401"/>
      <c r="AW1858" s="412"/>
      <c r="AX1858" s="230"/>
      <c r="AY1858" s="42"/>
      <c r="AZ1858" s="320"/>
      <c r="BD1858" s="401"/>
      <c r="BE1858" s="42"/>
    </row>
    <row r="1859" spans="48:57" x14ac:dyDescent="0.2">
      <c r="AV1859" s="401"/>
      <c r="AW1859" s="412"/>
      <c r="AX1859" s="230"/>
      <c r="AY1859" s="42"/>
      <c r="AZ1859" s="320"/>
      <c r="BD1859" s="401"/>
      <c r="BE1859" s="42"/>
    </row>
    <row r="1860" spans="48:57" x14ac:dyDescent="0.2">
      <c r="AV1860" s="401"/>
      <c r="AW1860" s="412"/>
      <c r="AX1860" s="230"/>
      <c r="AY1860" s="42"/>
      <c r="AZ1860" s="320"/>
      <c r="BD1860" s="401"/>
      <c r="BE1860" s="42"/>
    </row>
    <row r="1861" spans="48:57" x14ac:dyDescent="0.2">
      <c r="AV1861" s="401"/>
      <c r="AW1861" s="412"/>
      <c r="AX1861" s="230"/>
      <c r="AY1861" s="42"/>
      <c r="AZ1861" s="320"/>
      <c r="BD1861" s="401"/>
      <c r="BE1861" s="42"/>
    </row>
    <row r="1862" spans="48:57" x14ac:dyDescent="0.2">
      <c r="AV1862" s="401"/>
      <c r="AW1862" s="412"/>
      <c r="AX1862" s="230"/>
      <c r="AY1862" s="42"/>
      <c r="AZ1862" s="320"/>
      <c r="BD1862" s="401"/>
      <c r="BE1862" s="42"/>
    </row>
    <row r="1863" spans="48:57" x14ac:dyDescent="0.2">
      <c r="AV1863" s="401"/>
      <c r="AW1863" s="412"/>
      <c r="AX1863" s="230"/>
      <c r="AY1863" s="42"/>
      <c r="AZ1863" s="320"/>
      <c r="BD1863" s="401"/>
      <c r="BE1863" s="42"/>
    </row>
    <row r="1864" spans="48:57" x14ac:dyDescent="0.2">
      <c r="AV1864" s="401"/>
      <c r="AW1864" s="412"/>
      <c r="AX1864" s="230"/>
      <c r="AY1864" s="42"/>
      <c r="AZ1864" s="320"/>
      <c r="BD1864" s="401"/>
      <c r="BE1864" s="42"/>
    </row>
    <row r="1865" spans="48:57" x14ac:dyDescent="0.2">
      <c r="AV1865" s="401"/>
      <c r="AW1865" s="412"/>
      <c r="AX1865" s="230"/>
      <c r="AY1865" s="42"/>
      <c r="AZ1865" s="320"/>
      <c r="BD1865" s="401"/>
      <c r="BE1865" s="42"/>
    </row>
    <row r="1866" spans="48:57" x14ac:dyDescent="0.2">
      <c r="AV1866" s="401"/>
      <c r="AW1866" s="412"/>
      <c r="AX1866" s="230"/>
      <c r="AY1866" s="42"/>
      <c r="AZ1866" s="320"/>
      <c r="BD1866" s="401"/>
      <c r="BE1866" s="42"/>
    </row>
    <row r="1867" spans="48:57" x14ac:dyDescent="0.2">
      <c r="AV1867" s="401"/>
      <c r="AW1867" s="412"/>
      <c r="AX1867" s="230"/>
      <c r="AY1867" s="42"/>
      <c r="AZ1867" s="320"/>
      <c r="BD1867" s="401"/>
      <c r="BE1867" s="42"/>
    </row>
    <row r="1868" spans="48:57" x14ac:dyDescent="0.2">
      <c r="AV1868" s="401"/>
      <c r="AW1868" s="412"/>
      <c r="AX1868" s="230"/>
      <c r="AY1868" s="42"/>
      <c r="AZ1868" s="320"/>
      <c r="BD1868" s="401"/>
      <c r="BE1868" s="42"/>
    </row>
    <row r="1869" spans="48:57" x14ac:dyDescent="0.2">
      <c r="AV1869" s="401"/>
      <c r="AW1869" s="412"/>
      <c r="AX1869" s="230"/>
      <c r="AY1869" s="42"/>
      <c r="AZ1869" s="320"/>
      <c r="BD1869" s="401"/>
      <c r="BE1869" s="42"/>
    </row>
    <row r="1870" spans="48:57" x14ac:dyDescent="0.2">
      <c r="AV1870" s="401"/>
      <c r="AW1870" s="412"/>
      <c r="AX1870" s="230"/>
      <c r="AY1870" s="42"/>
      <c r="AZ1870" s="320"/>
      <c r="BD1870" s="401"/>
      <c r="BE1870" s="42"/>
    </row>
    <row r="1871" spans="48:57" x14ac:dyDescent="0.2">
      <c r="AV1871" s="401"/>
      <c r="AW1871" s="412"/>
      <c r="AX1871" s="230"/>
      <c r="AY1871" s="42"/>
      <c r="AZ1871" s="320"/>
      <c r="BD1871" s="401"/>
      <c r="BE1871" s="42"/>
    </row>
    <row r="1872" spans="48:57" x14ac:dyDescent="0.2">
      <c r="AV1872" s="401"/>
      <c r="AW1872" s="412"/>
      <c r="AX1872" s="230"/>
      <c r="AY1872" s="42"/>
      <c r="AZ1872" s="320"/>
      <c r="BD1872" s="401"/>
      <c r="BE1872" s="42"/>
    </row>
    <row r="1873" spans="48:57" x14ac:dyDescent="0.2">
      <c r="AV1873" s="401"/>
      <c r="AW1873" s="412"/>
      <c r="AX1873" s="230"/>
      <c r="AY1873" s="42"/>
      <c r="AZ1873" s="320"/>
      <c r="BD1873" s="401"/>
      <c r="BE1873" s="42"/>
    </row>
    <row r="1874" spans="48:57" x14ac:dyDescent="0.2">
      <c r="AV1874" s="401"/>
      <c r="AW1874" s="412"/>
      <c r="AX1874" s="230"/>
      <c r="AY1874" s="42"/>
      <c r="AZ1874" s="320"/>
      <c r="BD1874" s="401"/>
      <c r="BE1874" s="42"/>
    </row>
    <row r="1875" spans="48:57" x14ac:dyDescent="0.2">
      <c r="AV1875" s="401"/>
      <c r="AW1875" s="412"/>
      <c r="AX1875" s="230"/>
      <c r="AY1875" s="42"/>
      <c r="AZ1875" s="320"/>
      <c r="BD1875" s="401"/>
      <c r="BE1875" s="42"/>
    </row>
    <row r="1876" spans="48:57" x14ac:dyDescent="0.2">
      <c r="AV1876" s="401"/>
      <c r="AW1876" s="412"/>
      <c r="AX1876" s="230"/>
      <c r="AY1876" s="42"/>
      <c r="AZ1876" s="320"/>
      <c r="BD1876" s="401"/>
      <c r="BE1876" s="42"/>
    </row>
    <row r="1877" spans="48:57" x14ac:dyDescent="0.2">
      <c r="AV1877" s="401"/>
      <c r="AW1877" s="412"/>
      <c r="AX1877" s="230"/>
      <c r="AY1877" s="42"/>
      <c r="AZ1877" s="320"/>
      <c r="BD1877" s="401"/>
      <c r="BE1877" s="42"/>
    </row>
    <row r="1878" spans="48:57" x14ac:dyDescent="0.2">
      <c r="AV1878" s="401"/>
      <c r="AW1878" s="412"/>
      <c r="AX1878" s="230"/>
      <c r="AY1878" s="42"/>
      <c r="AZ1878" s="320"/>
      <c r="BD1878" s="401"/>
      <c r="BE1878" s="42"/>
    </row>
    <row r="1879" spans="48:57" x14ac:dyDescent="0.2">
      <c r="AV1879" s="401"/>
      <c r="AW1879" s="412"/>
      <c r="AX1879" s="230"/>
      <c r="AY1879" s="42"/>
      <c r="AZ1879" s="320"/>
      <c r="BD1879" s="401"/>
      <c r="BE1879" s="42"/>
    </row>
    <row r="1880" spans="48:57" x14ac:dyDescent="0.2">
      <c r="AV1880" s="401"/>
      <c r="AW1880" s="412"/>
      <c r="AX1880" s="230"/>
      <c r="AY1880" s="42"/>
      <c r="AZ1880" s="320"/>
      <c r="BD1880" s="401"/>
      <c r="BE1880" s="42"/>
    </row>
    <row r="1881" spans="48:57" x14ac:dyDescent="0.2">
      <c r="AV1881" s="401"/>
      <c r="AW1881" s="412"/>
      <c r="AX1881" s="230"/>
      <c r="AY1881" s="42"/>
      <c r="AZ1881" s="320"/>
      <c r="BD1881" s="401"/>
      <c r="BE1881" s="42"/>
    </row>
    <row r="1882" spans="48:57" x14ac:dyDescent="0.2">
      <c r="AV1882" s="401"/>
      <c r="AW1882" s="412"/>
      <c r="AX1882" s="230"/>
      <c r="AY1882" s="42"/>
      <c r="AZ1882" s="320"/>
      <c r="BD1882" s="401"/>
      <c r="BE1882" s="42"/>
    </row>
    <row r="1883" spans="48:57" x14ac:dyDescent="0.2">
      <c r="AV1883" s="401"/>
      <c r="AW1883" s="412"/>
      <c r="AX1883" s="230"/>
      <c r="AY1883" s="42"/>
      <c r="AZ1883" s="320"/>
      <c r="BD1883" s="401"/>
      <c r="BE1883" s="42"/>
    </row>
    <row r="1884" spans="48:57" x14ac:dyDescent="0.2">
      <c r="AV1884" s="401"/>
      <c r="AW1884" s="412"/>
      <c r="AX1884" s="230"/>
      <c r="AY1884" s="42"/>
      <c r="AZ1884" s="320"/>
      <c r="BD1884" s="401"/>
      <c r="BE1884" s="42"/>
    </row>
    <row r="1885" spans="48:57" x14ac:dyDescent="0.2">
      <c r="AV1885" s="401"/>
      <c r="AW1885" s="412"/>
      <c r="AX1885" s="230"/>
      <c r="AY1885" s="42"/>
      <c r="AZ1885" s="320"/>
      <c r="BD1885" s="401"/>
      <c r="BE1885" s="42"/>
    </row>
    <row r="1886" spans="48:57" x14ac:dyDescent="0.2">
      <c r="AV1886" s="401"/>
      <c r="AW1886" s="412"/>
      <c r="AX1886" s="230"/>
      <c r="AY1886" s="42"/>
      <c r="AZ1886" s="320"/>
      <c r="BD1886" s="401"/>
      <c r="BE1886" s="42"/>
    </row>
    <row r="1887" spans="48:57" x14ac:dyDescent="0.2">
      <c r="AV1887" s="401"/>
      <c r="AW1887" s="412"/>
      <c r="AX1887" s="230"/>
      <c r="AY1887" s="42"/>
      <c r="AZ1887" s="320"/>
      <c r="BD1887" s="401"/>
      <c r="BE1887" s="42"/>
    </row>
    <row r="1888" spans="48:57" x14ac:dyDescent="0.2">
      <c r="AV1888" s="401"/>
      <c r="AW1888" s="412"/>
      <c r="AX1888" s="230"/>
      <c r="AY1888" s="42"/>
      <c r="AZ1888" s="320"/>
      <c r="BD1888" s="401"/>
      <c r="BE1888" s="42"/>
    </row>
    <row r="1889" spans="48:57" x14ac:dyDescent="0.2">
      <c r="AV1889" s="401"/>
      <c r="AW1889" s="412"/>
      <c r="AX1889" s="230"/>
      <c r="AY1889" s="42"/>
      <c r="AZ1889" s="320"/>
      <c r="BD1889" s="401"/>
      <c r="BE1889" s="42"/>
    </row>
    <row r="1890" spans="48:57" x14ac:dyDescent="0.2">
      <c r="AV1890" s="401"/>
      <c r="AW1890" s="412"/>
      <c r="AX1890" s="230"/>
      <c r="AY1890" s="42"/>
      <c r="AZ1890" s="320"/>
      <c r="BD1890" s="401"/>
      <c r="BE1890" s="42"/>
    </row>
    <row r="1891" spans="48:57" x14ac:dyDescent="0.2">
      <c r="AV1891" s="401"/>
      <c r="AW1891" s="412"/>
      <c r="AX1891" s="230"/>
      <c r="AY1891" s="42"/>
      <c r="AZ1891" s="320"/>
      <c r="BD1891" s="401"/>
      <c r="BE1891" s="42"/>
    </row>
    <row r="1892" spans="48:57" x14ac:dyDescent="0.2">
      <c r="AV1892" s="401"/>
      <c r="AW1892" s="412"/>
      <c r="AX1892" s="230"/>
      <c r="AY1892" s="42"/>
      <c r="AZ1892" s="320"/>
      <c r="BD1892" s="401"/>
      <c r="BE1892" s="42"/>
    </row>
    <row r="1893" spans="48:57" x14ac:dyDescent="0.2">
      <c r="AV1893" s="401"/>
      <c r="AW1893" s="412"/>
      <c r="AX1893" s="230"/>
      <c r="AY1893" s="42"/>
      <c r="AZ1893" s="320"/>
      <c r="BD1893" s="401"/>
      <c r="BE1893" s="42"/>
    </row>
    <row r="1894" spans="48:57" x14ac:dyDescent="0.2">
      <c r="AV1894" s="401"/>
      <c r="AW1894" s="412"/>
      <c r="AX1894" s="230"/>
      <c r="AY1894" s="42"/>
      <c r="AZ1894" s="320"/>
      <c r="BD1894" s="401"/>
      <c r="BE1894" s="42"/>
    </row>
    <row r="1895" spans="48:57" x14ac:dyDescent="0.2">
      <c r="AV1895" s="401"/>
      <c r="AW1895" s="412"/>
      <c r="AX1895" s="230"/>
      <c r="AY1895" s="42"/>
      <c r="AZ1895" s="320"/>
      <c r="BD1895" s="401"/>
      <c r="BE1895" s="42"/>
    </row>
    <row r="1896" spans="48:57" x14ac:dyDescent="0.2">
      <c r="AV1896" s="401"/>
      <c r="AW1896" s="412"/>
      <c r="AX1896" s="230"/>
      <c r="AY1896" s="42"/>
      <c r="AZ1896" s="320"/>
      <c r="BD1896" s="401"/>
      <c r="BE1896" s="42"/>
    </row>
    <row r="1897" spans="48:57" x14ac:dyDescent="0.2">
      <c r="AV1897" s="401"/>
      <c r="AW1897" s="412"/>
      <c r="AX1897" s="230"/>
      <c r="AY1897" s="42"/>
      <c r="AZ1897" s="320"/>
      <c r="BD1897" s="401"/>
      <c r="BE1897" s="42"/>
    </row>
    <row r="1898" spans="48:57" x14ac:dyDescent="0.2">
      <c r="AV1898" s="401"/>
      <c r="AW1898" s="412"/>
      <c r="AX1898" s="230"/>
      <c r="AY1898" s="42"/>
      <c r="AZ1898" s="320"/>
      <c r="BD1898" s="401"/>
      <c r="BE1898" s="42"/>
    </row>
    <row r="1899" spans="48:57" x14ac:dyDescent="0.2">
      <c r="AV1899" s="401"/>
      <c r="AW1899" s="412"/>
      <c r="AX1899" s="230"/>
      <c r="AY1899" s="42"/>
      <c r="AZ1899" s="320"/>
      <c r="BD1899" s="401"/>
      <c r="BE1899" s="42"/>
    </row>
    <row r="1900" spans="48:57" x14ac:dyDescent="0.2">
      <c r="AV1900" s="401"/>
      <c r="AW1900" s="412"/>
      <c r="AX1900" s="230"/>
      <c r="AY1900" s="42"/>
      <c r="AZ1900" s="320"/>
      <c r="BD1900" s="401"/>
      <c r="BE1900" s="42"/>
    </row>
    <row r="1901" spans="48:57" x14ac:dyDescent="0.2">
      <c r="AV1901" s="401"/>
      <c r="AW1901" s="412"/>
      <c r="AX1901" s="230"/>
      <c r="AY1901" s="42"/>
      <c r="AZ1901" s="320"/>
      <c r="BD1901" s="401"/>
      <c r="BE1901" s="42"/>
    </row>
    <row r="1902" spans="48:57" x14ac:dyDescent="0.2">
      <c r="AV1902" s="401"/>
      <c r="AW1902" s="412"/>
      <c r="AX1902" s="230"/>
      <c r="AY1902" s="42"/>
      <c r="AZ1902" s="320"/>
      <c r="BD1902" s="401"/>
      <c r="BE1902" s="42"/>
    </row>
    <row r="1903" spans="48:57" x14ac:dyDescent="0.2">
      <c r="AV1903" s="401"/>
      <c r="AW1903" s="412"/>
      <c r="AX1903" s="230"/>
      <c r="AY1903" s="42"/>
      <c r="AZ1903" s="320"/>
      <c r="BD1903" s="401"/>
      <c r="BE1903" s="42"/>
    </row>
    <row r="1904" spans="48:57" x14ac:dyDescent="0.2">
      <c r="AV1904" s="401"/>
      <c r="AW1904" s="412"/>
      <c r="AX1904" s="230"/>
      <c r="AY1904" s="42"/>
      <c r="AZ1904" s="320"/>
      <c r="BD1904" s="401"/>
      <c r="BE1904" s="42"/>
    </row>
    <row r="1905" spans="48:57" x14ac:dyDescent="0.2">
      <c r="AV1905" s="401"/>
      <c r="AW1905" s="412"/>
      <c r="AX1905" s="230"/>
      <c r="AY1905" s="42"/>
      <c r="AZ1905" s="320"/>
      <c r="BD1905" s="401"/>
      <c r="BE1905" s="42"/>
    </row>
    <row r="1906" spans="48:57" x14ac:dyDescent="0.2">
      <c r="AV1906" s="401"/>
      <c r="AW1906" s="412"/>
      <c r="AX1906" s="230"/>
      <c r="AY1906" s="42"/>
      <c r="AZ1906" s="320"/>
      <c r="BD1906" s="401"/>
      <c r="BE1906" s="42"/>
    </row>
    <row r="1907" spans="48:57" x14ac:dyDescent="0.2">
      <c r="AV1907" s="401"/>
      <c r="AW1907" s="412"/>
      <c r="AX1907" s="230"/>
      <c r="AY1907" s="42"/>
      <c r="AZ1907" s="320"/>
      <c r="BD1907" s="401"/>
      <c r="BE1907" s="42"/>
    </row>
    <row r="1908" spans="48:57" x14ac:dyDescent="0.2">
      <c r="AV1908" s="401"/>
      <c r="AW1908" s="412"/>
      <c r="AX1908" s="230"/>
      <c r="AY1908" s="42"/>
      <c r="AZ1908" s="320"/>
      <c r="BD1908" s="401"/>
      <c r="BE1908" s="42"/>
    </row>
    <row r="1909" spans="48:57" x14ac:dyDescent="0.2">
      <c r="AV1909" s="401"/>
      <c r="AW1909" s="412"/>
      <c r="AX1909" s="230"/>
      <c r="AY1909" s="42"/>
      <c r="AZ1909" s="320"/>
      <c r="BD1909" s="401"/>
      <c r="BE1909" s="42"/>
    </row>
    <row r="1910" spans="48:57" x14ac:dyDescent="0.2">
      <c r="AV1910" s="401"/>
      <c r="AW1910" s="412"/>
      <c r="AX1910" s="230"/>
      <c r="AY1910" s="42"/>
      <c r="AZ1910" s="320"/>
      <c r="BD1910" s="401"/>
      <c r="BE1910" s="42"/>
    </row>
    <row r="1911" spans="48:57" x14ac:dyDescent="0.2">
      <c r="AV1911" s="401"/>
      <c r="AW1911" s="412"/>
      <c r="AX1911" s="230"/>
      <c r="AY1911" s="42"/>
      <c r="AZ1911" s="320"/>
      <c r="BD1911" s="401"/>
      <c r="BE1911" s="42"/>
    </row>
    <row r="1912" spans="48:57" x14ac:dyDescent="0.2">
      <c r="AV1912" s="401"/>
      <c r="AW1912" s="412"/>
      <c r="AX1912" s="230"/>
      <c r="AY1912" s="42"/>
      <c r="AZ1912" s="320"/>
      <c r="BD1912" s="401"/>
      <c r="BE1912" s="42"/>
    </row>
    <row r="1913" spans="48:57" x14ac:dyDescent="0.2">
      <c r="AV1913" s="401"/>
      <c r="AW1913" s="412"/>
      <c r="AX1913" s="230"/>
      <c r="AY1913" s="42"/>
      <c r="AZ1913" s="320"/>
      <c r="BD1913" s="401"/>
      <c r="BE1913" s="42"/>
    </row>
    <row r="1914" spans="48:57" x14ac:dyDescent="0.2">
      <c r="AV1914" s="401"/>
      <c r="AW1914" s="412"/>
      <c r="AX1914" s="230"/>
      <c r="AY1914" s="42"/>
      <c r="AZ1914" s="320"/>
      <c r="BD1914" s="401"/>
      <c r="BE1914" s="42"/>
    </row>
    <row r="1915" spans="48:57" x14ac:dyDescent="0.2">
      <c r="AV1915" s="401"/>
      <c r="AW1915" s="412"/>
      <c r="AX1915" s="230"/>
      <c r="AY1915" s="42"/>
      <c r="AZ1915" s="320"/>
      <c r="BD1915" s="401"/>
      <c r="BE1915" s="42"/>
    </row>
    <row r="1916" spans="48:57" x14ac:dyDescent="0.2">
      <c r="AV1916" s="401"/>
      <c r="AW1916" s="412"/>
      <c r="AX1916" s="230"/>
      <c r="AY1916" s="42"/>
      <c r="AZ1916" s="320"/>
      <c r="BD1916" s="401"/>
      <c r="BE1916" s="42"/>
    </row>
    <row r="1917" spans="48:57" x14ac:dyDescent="0.2">
      <c r="AV1917" s="401"/>
      <c r="AW1917" s="412"/>
      <c r="AX1917" s="230"/>
      <c r="AY1917" s="42"/>
      <c r="AZ1917" s="320"/>
      <c r="BD1917" s="401"/>
      <c r="BE1917" s="42"/>
    </row>
    <row r="1918" spans="48:57" x14ac:dyDescent="0.2">
      <c r="AV1918" s="401"/>
      <c r="AW1918" s="412"/>
      <c r="AX1918" s="230"/>
      <c r="AY1918" s="42"/>
      <c r="AZ1918" s="320"/>
      <c r="BD1918" s="401"/>
      <c r="BE1918" s="42"/>
    </row>
    <row r="1919" spans="48:57" x14ac:dyDescent="0.2">
      <c r="AV1919" s="401"/>
      <c r="AW1919" s="412"/>
      <c r="AX1919" s="230"/>
      <c r="AY1919" s="42"/>
      <c r="AZ1919" s="320"/>
      <c r="BD1919" s="401"/>
      <c r="BE1919" s="42"/>
    </row>
    <row r="1920" spans="48:57" x14ac:dyDescent="0.2">
      <c r="AV1920" s="401"/>
      <c r="AW1920" s="412"/>
      <c r="AX1920" s="230"/>
      <c r="AY1920" s="42"/>
      <c r="AZ1920" s="320"/>
      <c r="BD1920" s="401"/>
      <c r="BE1920" s="42"/>
    </row>
    <row r="1921" spans="48:57" x14ac:dyDescent="0.2">
      <c r="AV1921" s="401"/>
      <c r="AW1921" s="412"/>
      <c r="AX1921" s="230"/>
      <c r="AY1921" s="42"/>
      <c r="AZ1921" s="320"/>
      <c r="BD1921" s="401"/>
      <c r="BE1921" s="42"/>
    </row>
    <row r="1922" spans="48:57" x14ac:dyDescent="0.2">
      <c r="AV1922" s="401"/>
      <c r="AW1922" s="412"/>
      <c r="AX1922" s="230"/>
      <c r="AY1922" s="42"/>
      <c r="AZ1922" s="320"/>
      <c r="BD1922" s="401"/>
      <c r="BE1922" s="42"/>
    </row>
    <row r="1923" spans="48:57" x14ac:dyDescent="0.2">
      <c r="AV1923" s="401"/>
      <c r="AW1923" s="412"/>
      <c r="AX1923" s="230"/>
      <c r="AY1923" s="42"/>
      <c r="AZ1923" s="320"/>
      <c r="BD1923" s="401"/>
      <c r="BE1923" s="42"/>
    </row>
    <row r="1924" spans="48:57" x14ac:dyDescent="0.2">
      <c r="AV1924" s="401"/>
      <c r="AW1924" s="412"/>
      <c r="AX1924" s="230"/>
      <c r="AY1924" s="42"/>
      <c r="AZ1924" s="320"/>
      <c r="BD1924" s="401"/>
      <c r="BE1924" s="42"/>
    </row>
    <row r="1925" spans="48:57" x14ac:dyDescent="0.2">
      <c r="AV1925" s="401"/>
      <c r="AW1925" s="412"/>
      <c r="AX1925" s="230"/>
      <c r="AY1925" s="42"/>
      <c r="AZ1925" s="320"/>
      <c r="BD1925" s="401"/>
      <c r="BE1925" s="42"/>
    </row>
    <row r="1926" spans="48:57" x14ac:dyDescent="0.2">
      <c r="AV1926" s="401"/>
      <c r="AW1926" s="412"/>
      <c r="AX1926" s="230"/>
      <c r="AY1926" s="42"/>
      <c r="AZ1926" s="320"/>
      <c r="BD1926" s="401"/>
      <c r="BE1926" s="42"/>
    </row>
    <row r="1927" spans="48:57" x14ac:dyDescent="0.2">
      <c r="AV1927" s="401"/>
      <c r="AW1927" s="412"/>
      <c r="AX1927" s="230"/>
      <c r="AY1927" s="42"/>
      <c r="AZ1927" s="320"/>
      <c r="BD1927" s="401"/>
      <c r="BE1927" s="42"/>
    </row>
    <row r="1928" spans="48:57" x14ac:dyDescent="0.2">
      <c r="AV1928" s="401"/>
      <c r="AW1928" s="412"/>
      <c r="AX1928" s="230"/>
      <c r="AY1928" s="42"/>
      <c r="AZ1928" s="320"/>
      <c r="BD1928" s="401"/>
      <c r="BE1928" s="42"/>
    </row>
    <row r="1929" spans="48:57" x14ac:dyDescent="0.2">
      <c r="AV1929" s="401"/>
      <c r="AW1929" s="412"/>
      <c r="AX1929" s="230"/>
      <c r="AY1929" s="42"/>
      <c r="AZ1929" s="320"/>
      <c r="BD1929" s="401"/>
      <c r="BE1929" s="42"/>
    </row>
    <row r="1930" spans="48:57" x14ac:dyDescent="0.2">
      <c r="AV1930" s="401"/>
      <c r="AW1930" s="412"/>
      <c r="AX1930" s="230"/>
      <c r="AY1930" s="42"/>
      <c r="AZ1930" s="320"/>
      <c r="BD1930" s="401"/>
      <c r="BE1930" s="42"/>
    </row>
    <row r="1931" spans="48:57" x14ac:dyDescent="0.2">
      <c r="AV1931" s="401"/>
      <c r="AW1931" s="412"/>
      <c r="AX1931" s="230"/>
      <c r="AY1931" s="42"/>
      <c r="AZ1931" s="320"/>
      <c r="BD1931" s="401"/>
      <c r="BE1931" s="42"/>
    </row>
    <row r="1932" spans="48:57" x14ac:dyDescent="0.2">
      <c r="AV1932" s="401"/>
      <c r="AW1932" s="412"/>
      <c r="AX1932" s="230"/>
      <c r="AY1932" s="42"/>
      <c r="AZ1932" s="320"/>
      <c r="BD1932" s="401"/>
      <c r="BE1932" s="42"/>
    </row>
    <row r="1933" spans="48:57" x14ac:dyDescent="0.2">
      <c r="AV1933" s="401"/>
      <c r="AW1933" s="412"/>
      <c r="AX1933" s="230"/>
      <c r="AY1933" s="42"/>
      <c r="AZ1933" s="320"/>
      <c r="BD1933" s="401"/>
      <c r="BE1933" s="42"/>
    </row>
    <row r="1934" spans="48:57" x14ac:dyDescent="0.2">
      <c r="AV1934" s="401"/>
      <c r="AW1934" s="412"/>
      <c r="AX1934" s="230"/>
      <c r="AY1934" s="42"/>
      <c r="AZ1934" s="320"/>
      <c r="BD1934" s="401"/>
      <c r="BE1934" s="42"/>
    </row>
    <row r="1935" spans="48:57" x14ac:dyDescent="0.2">
      <c r="AV1935" s="401"/>
      <c r="AW1935" s="412"/>
      <c r="AX1935" s="230"/>
      <c r="AY1935" s="42"/>
      <c r="AZ1935" s="320"/>
      <c r="BD1935" s="401"/>
      <c r="BE1935" s="42"/>
    </row>
    <row r="1936" spans="48:57" x14ac:dyDescent="0.2">
      <c r="AV1936" s="401"/>
      <c r="AW1936" s="412"/>
      <c r="AX1936" s="230"/>
      <c r="AY1936" s="42"/>
      <c r="AZ1936" s="320"/>
      <c r="BD1936" s="401"/>
      <c r="BE1936" s="42"/>
    </row>
    <row r="1937" spans="48:57" x14ac:dyDescent="0.2">
      <c r="AV1937" s="401"/>
      <c r="AW1937" s="412"/>
      <c r="AX1937" s="230"/>
      <c r="AY1937" s="42"/>
      <c r="AZ1937" s="320"/>
      <c r="BD1937" s="401"/>
      <c r="BE1937" s="42"/>
    </row>
    <row r="1938" spans="48:57" x14ac:dyDescent="0.2">
      <c r="AV1938" s="401"/>
      <c r="AW1938" s="412"/>
      <c r="AX1938" s="230"/>
      <c r="AY1938" s="42"/>
      <c r="AZ1938" s="320"/>
      <c r="BD1938" s="401"/>
      <c r="BE1938" s="42"/>
    </row>
    <row r="1939" spans="48:57" x14ac:dyDescent="0.2">
      <c r="AV1939" s="401"/>
      <c r="AW1939" s="412"/>
      <c r="AX1939" s="230"/>
      <c r="AY1939" s="42"/>
      <c r="AZ1939" s="320"/>
      <c r="BD1939" s="401"/>
      <c r="BE1939" s="42"/>
    </row>
    <row r="1940" spans="48:57" x14ac:dyDescent="0.2">
      <c r="AV1940" s="401"/>
      <c r="AW1940" s="412"/>
      <c r="AX1940" s="230"/>
      <c r="AY1940" s="42"/>
      <c r="AZ1940" s="320"/>
      <c r="BD1940" s="401"/>
      <c r="BE1940" s="42"/>
    </row>
    <row r="1941" spans="48:57" x14ac:dyDescent="0.2">
      <c r="AV1941" s="401"/>
      <c r="AW1941" s="412"/>
      <c r="AX1941" s="230"/>
      <c r="AY1941" s="42"/>
      <c r="AZ1941" s="320"/>
      <c r="BD1941" s="401"/>
      <c r="BE1941" s="42"/>
    </row>
    <row r="1942" spans="48:57" x14ac:dyDescent="0.2">
      <c r="AV1942" s="401"/>
      <c r="AW1942" s="412"/>
      <c r="AX1942" s="230"/>
      <c r="AY1942" s="42"/>
      <c r="AZ1942" s="320"/>
      <c r="BD1942" s="401"/>
      <c r="BE1942" s="42"/>
    </row>
    <row r="1943" spans="48:57" x14ac:dyDescent="0.2">
      <c r="AV1943" s="401"/>
      <c r="AW1943" s="412"/>
      <c r="AX1943" s="230"/>
      <c r="AY1943" s="42"/>
      <c r="AZ1943" s="320"/>
      <c r="BD1943" s="401"/>
      <c r="BE1943" s="42"/>
    </row>
    <row r="1944" spans="48:57" x14ac:dyDescent="0.2">
      <c r="AV1944" s="401"/>
      <c r="AW1944" s="412"/>
      <c r="AX1944" s="230"/>
      <c r="AY1944" s="42"/>
      <c r="AZ1944" s="320"/>
      <c r="BD1944" s="401"/>
      <c r="BE1944" s="42"/>
    </row>
    <row r="1945" spans="48:57" x14ac:dyDescent="0.2">
      <c r="AV1945" s="401"/>
      <c r="AW1945" s="412"/>
      <c r="AX1945" s="230"/>
      <c r="AY1945" s="42"/>
      <c r="AZ1945" s="320"/>
      <c r="BD1945" s="401"/>
      <c r="BE1945" s="42"/>
    </row>
    <row r="1946" spans="48:57" x14ac:dyDescent="0.2">
      <c r="AV1946" s="401"/>
      <c r="AW1946" s="412"/>
      <c r="AX1946" s="230"/>
      <c r="AY1946" s="42"/>
      <c r="AZ1946" s="320"/>
      <c r="BD1946" s="401"/>
      <c r="BE1946" s="42"/>
    </row>
    <row r="1947" spans="48:57" x14ac:dyDescent="0.2">
      <c r="AV1947" s="401"/>
      <c r="AW1947" s="412"/>
      <c r="AX1947" s="230"/>
      <c r="AY1947" s="42"/>
      <c r="AZ1947" s="320"/>
      <c r="BD1947" s="401"/>
      <c r="BE1947" s="42"/>
    </row>
    <row r="1948" spans="48:57" x14ac:dyDescent="0.2">
      <c r="AV1948" s="401"/>
      <c r="AW1948" s="412"/>
      <c r="AX1948" s="230"/>
      <c r="AY1948" s="42"/>
      <c r="AZ1948" s="320"/>
      <c r="BD1948" s="401"/>
      <c r="BE1948" s="42"/>
    </row>
    <row r="1949" spans="48:57" x14ac:dyDescent="0.2">
      <c r="AV1949" s="401"/>
      <c r="AW1949" s="412"/>
      <c r="AX1949" s="230"/>
      <c r="AY1949" s="42"/>
      <c r="AZ1949" s="320"/>
      <c r="BD1949" s="401"/>
      <c r="BE1949" s="42"/>
    </row>
    <row r="1950" spans="48:57" x14ac:dyDescent="0.2">
      <c r="AV1950" s="401"/>
      <c r="AW1950" s="412"/>
      <c r="AX1950" s="230"/>
      <c r="AY1950" s="42"/>
      <c r="AZ1950" s="320"/>
      <c r="BD1950" s="401"/>
      <c r="BE1950" s="42"/>
    </row>
    <row r="1951" spans="48:57" x14ac:dyDescent="0.2">
      <c r="AV1951" s="401"/>
      <c r="AW1951" s="412"/>
      <c r="AX1951" s="230"/>
      <c r="AY1951" s="42"/>
      <c r="AZ1951" s="320"/>
      <c r="BD1951" s="401"/>
      <c r="BE1951" s="42"/>
    </row>
    <row r="1952" spans="48:57" x14ac:dyDescent="0.2">
      <c r="AV1952" s="401"/>
      <c r="AW1952" s="412"/>
      <c r="AX1952" s="230"/>
      <c r="AY1952" s="42"/>
      <c r="AZ1952" s="320"/>
      <c r="BD1952" s="401"/>
      <c r="BE1952" s="42"/>
    </row>
    <row r="1953" spans="48:57" x14ac:dyDescent="0.2">
      <c r="AV1953" s="401"/>
      <c r="AW1953" s="412"/>
      <c r="AX1953" s="230"/>
      <c r="AY1953" s="42"/>
      <c r="AZ1953" s="320"/>
      <c r="BD1953" s="401"/>
      <c r="BE1953" s="42"/>
    </row>
    <row r="1954" spans="48:57" x14ac:dyDescent="0.2">
      <c r="AV1954" s="401"/>
      <c r="AW1954" s="412"/>
      <c r="AX1954" s="230"/>
      <c r="AY1954" s="42"/>
      <c r="AZ1954" s="320"/>
      <c r="BD1954" s="401"/>
      <c r="BE1954" s="42"/>
    </row>
    <row r="1955" spans="48:57" x14ac:dyDescent="0.2">
      <c r="AV1955" s="401"/>
      <c r="AW1955" s="412"/>
      <c r="AX1955" s="230"/>
      <c r="AY1955" s="42"/>
      <c r="AZ1955" s="320"/>
      <c r="BD1955" s="401"/>
      <c r="BE1955" s="42"/>
    </row>
    <row r="1956" spans="48:57" x14ac:dyDescent="0.2">
      <c r="AV1956" s="401"/>
      <c r="AW1956" s="412"/>
      <c r="AX1956" s="230"/>
      <c r="AY1956" s="42"/>
      <c r="AZ1956" s="320"/>
      <c r="BD1956" s="401"/>
      <c r="BE1956" s="42"/>
    </row>
    <row r="1957" spans="48:57" x14ac:dyDescent="0.2">
      <c r="AV1957" s="401"/>
      <c r="AW1957" s="412"/>
      <c r="AX1957" s="230"/>
      <c r="AY1957" s="42"/>
      <c r="AZ1957" s="320"/>
      <c r="BD1957" s="401"/>
      <c r="BE1957" s="42"/>
    </row>
    <row r="1958" spans="48:57" x14ac:dyDescent="0.2">
      <c r="AV1958" s="401"/>
      <c r="AW1958" s="412"/>
      <c r="AX1958" s="230"/>
      <c r="AY1958" s="42"/>
      <c r="AZ1958" s="320"/>
      <c r="BD1958" s="401"/>
      <c r="BE1958" s="42"/>
    </row>
    <row r="1959" spans="48:57" x14ac:dyDescent="0.2">
      <c r="AV1959" s="401"/>
      <c r="AW1959" s="412"/>
      <c r="AX1959" s="230"/>
      <c r="AY1959" s="42"/>
      <c r="AZ1959" s="320"/>
      <c r="BD1959" s="401"/>
      <c r="BE1959" s="42"/>
    </row>
    <row r="1960" spans="48:57" x14ac:dyDescent="0.2">
      <c r="AV1960" s="401"/>
      <c r="AW1960" s="412"/>
      <c r="AX1960" s="230"/>
      <c r="AY1960" s="42"/>
      <c r="AZ1960" s="320"/>
      <c r="BD1960" s="401"/>
      <c r="BE1960" s="42"/>
    </row>
    <row r="1961" spans="48:57" x14ac:dyDescent="0.2">
      <c r="AV1961" s="401"/>
      <c r="AW1961" s="412"/>
      <c r="AX1961" s="230"/>
      <c r="AY1961" s="42"/>
      <c r="AZ1961" s="320"/>
      <c r="BD1961" s="401"/>
      <c r="BE1961" s="42"/>
    </row>
    <row r="1962" spans="48:57" x14ac:dyDescent="0.2">
      <c r="AV1962" s="401"/>
      <c r="AW1962" s="412"/>
      <c r="AX1962" s="230"/>
      <c r="AY1962" s="42"/>
      <c r="AZ1962" s="320"/>
      <c r="BD1962" s="401"/>
      <c r="BE1962" s="42"/>
    </row>
    <row r="1963" spans="48:57" x14ac:dyDescent="0.2">
      <c r="AV1963" s="401"/>
      <c r="AW1963" s="412"/>
      <c r="AX1963" s="230"/>
      <c r="AY1963" s="42"/>
      <c r="AZ1963" s="320"/>
      <c r="BD1963" s="401"/>
      <c r="BE1963" s="42"/>
    </row>
    <row r="1964" spans="48:57" x14ac:dyDescent="0.2">
      <c r="AV1964" s="401"/>
      <c r="AW1964" s="412"/>
      <c r="AX1964" s="230"/>
      <c r="AY1964" s="42"/>
      <c r="AZ1964" s="320"/>
      <c r="BD1964" s="401"/>
      <c r="BE1964" s="42"/>
    </row>
    <row r="1965" spans="48:57" x14ac:dyDescent="0.2">
      <c r="AV1965" s="401"/>
      <c r="AW1965" s="412"/>
      <c r="AX1965" s="230"/>
      <c r="AY1965" s="42"/>
      <c r="AZ1965" s="320"/>
      <c r="BD1965" s="401"/>
      <c r="BE1965" s="42"/>
    </row>
    <row r="1966" spans="48:57" x14ac:dyDescent="0.2">
      <c r="AV1966" s="401"/>
      <c r="AW1966" s="412"/>
      <c r="AX1966" s="230"/>
      <c r="AY1966" s="42"/>
      <c r="AZ1966" s="320"/>
      <c r="BD1966" s="401"/>
      <c r="BE1966" s="42"/>
    </row>
    <row r="1967" spans="48:57" x14ac:dyDescent="0.2">
      <c r="AV1967" s="401"/>
      <c r="AW1967" s="412"/>
      <c r="AX1967" s="230"/>
      <c r="AY1967" s="42"/>
      <c r="AZ1967" s="320"/>
      <c r="BD1967" s="401"/>
      <c r="BE1967" s="42"/>
    </row>
    <row r="1968" spans="48:57" x14ac:dyDescent="0.2">
      <c r="AV1968" s="401"/>
      <c r="AW1968" s="412"/>
      <c r="AX1968" s="230"/>
      <c r="AY1968" s="42"/>
      <c r="AZ1968" s="320"/>
      <c r="BD1968" s="401"/>
      <c r="BE1968" s="42"/>
    </row>
    <row r="1969" spans="48:57" x14ac:dyDescent="0.2">
      <c r="AV1969" s="401"/>
      <c r="AW1969" s="412"/>
      <c r="AX1969" s="230"/>
      <c r="AY1969" s="42"/>
      <c r="AZ1969" s="320"/>
      <c r="BD1969" s="401"/>
      <c r="BE1969" s="42"/>
    </row>
    <row r="1970" spans="48:57" x14ac:dyDescent="0.2">
      <c r="AV1970" s="401"/>
      <c r="AW1970" s="412"/>
      <c r="AX1970" s="230"/>
      <c r="AY1970" s="42"/>
      <c r="AZ1970" s="320"/>
      <c r="BD1970" s="401"/>
      <c r="BE1970" s="42"/>
    </row>
    <row r="1971" spans="48:57" x14ac:dyDescent="0.2">
      <c r="AV1971" s="401"/>
      <c r="AW1971" s="412"/>
      <c r="AX1971" s="230"/>
      <c r="AY1971" s="42"/>
      <c r="AZ1971" s="320"/>
      <c r="BD1971" s="401"/>
      <c r="BE1971" s="42"/>
    </row>
    <row r="1972" spans="48:57" x14ac:dyDescent="0.2">
      <c r="AV1972" s="401"/>
      <c r="AW1972" s="412"/>
      <c r="AX1972" s="230"/>
      <c r="AY1972" s="42"/>
      <c r="AZ1972" s="320"/>
      <c r="BD1972" s="401"/>
      <c r="BE1972" s="42"/>
    </row>
    <row r="1973" spans="48:57" x14ac:dyDescent="0.2">
      <c r="AV1973" s="401"/>
      <c r="AW1973" s="412"/>
      <c r="AX1973" s="230"/>
      <c r="AY1973" s="42"/>
      <c r="AZ1973" s="320"/>
      <c r="BD1973" s="401"/>
      <c r="BE1973" s="42"/>
    </row>
    <row r="1974" spans="48:57" x14ac:dyDescent="0.2">
      <c r="AV1974" s="401"/>
      <c r="AW1974" s="412"/>
      <c r="AX1974" s="230"/>
      <c r="AY1974" s="42"/>
      <c r="AZ1974" s="320"/>
      <c r="BD1974" s="401"/>
      <c r="BE1974" s="42"/>
    </row>
    <row r="1975" spans="48:57" x14ac:dyDescent="0.2">
      <c r="AV1975" s="401"/>
      <c r="AW1975" s="412"/>
      <c r="AX1975" s="230"/>
      <c r="AY1975" s="42"/>
      <c r="AZ1975" s="320"/>
      <c r="BD1975" s="401"/>
      <c r="BE1975" s="42"/>
    </row>
    <row r="1976" spans="48:57" x14ac:dyDescent="0.2">
      <c r="AV1976" s="401"/>
      <c r="AW1976" s="412"/>
      <c r="AX1976" s="230"/>
      <c r="AY1976" s="42"/>
      <c r="AZ1976" s="320"/>
      <c r="BD1976" s="401"/>
      <c r="BE1976" s="42"/>
    </row>
    <row r="1977" spans="48:57" x14ac:dyDescent="0.2">
      <c r="AV1977" s="401"/>
      <c r="AW1977" s="412"/>
      <c r="AX1977" s="230"/>
      <c r="AY1977" s="42"/>
      <c r="AZ1977" s="320"/>
      <c r="BD1977" s="401"/>
      <c r="BE1977" s="42"/>
    </row>
    <row r="1978" spans="48:57" x14ac:dyDescent="0.2">
      <c r="AV1978" s="401"/>
      <c r="AW1978" s="412"/>
      <c r="AX1978" s="230"/>
      <c r="AY1978" s="42"/>
      <c r="AZ1978" s="320"/>
      <c r="BD1978" s="401"/>
      <c r="BE1978" s="42"/>
    </row>
    <row r="1979" spans="48:57" x14ac:dyDescent="0.2">
      <c r="AV1979" s="401"/>
      <c r="AW1979" s="412"/>
      <c r="AX1979" s="230"/>
      <c r="AY1979" s="42"/>
      <c r="AZ1979" s="320"/>
      <c r="BD1979" s="401"/>
      <c r="BE1979" s="42"/>
    </row>
    <row r="1980" spans="48:57" x14ac:dyDescent="0.2">
      <c r="AV1980" s="401"/>
      <c r="AW1980" s="412"/>
      <c r="AX1980" s="230"/>
      <c r="AY1980" s="42"/>
      <c r="AZ1980" s="320"/>
      <c r="BD1980" s="401"/>
      <c r="BE1980" s="42"/>
    </row>
    <row r="1981" spans="48:57" x14ac:dyDescent="0.2">
      <c r="AV1981" s="401"/>
      <c r="AW1981" s="412"/>
      <c r="AX1981" s="230"/>
      <c r="AY1981" s="42"/>
      <c r="AZ1981" s="320"/>
      <c r="BD1981" s="401"/>
      <c r="BE1981" s="42"/>
    </row>
    <row r="1982" spans="48:57" x14ac:dyDescent="0.2">
      <c r="AV1982" s="401"/>
      <c r="AW1982" s="412"/>
      <c r="AX1982" s="230"/>
      <c r="AY1982" s="42"/>
      <c r="AZ1982" s="320"/>
      <c r="BD1982" s="401"/>
      <c r="BE1982" s="42"/>
    </row>
    <row r="1983" spans="48:57" x14ac:dyDescent="0.2">
      <c r="AV1983" s="401"/>
      <c r="AW1983" s="412"/>
      <c r="AX1983" s="230"/>
      <c r="AY1983" s="42"/>
      <c r="AZ1983" s="320"/>
      <c r="BD1983" s="401"/>
      <c r="BE1983" s="42"/>
    </row>
    <row r="1984" spans="48:57" x14ac:dyDescent="0.2">
      <c r="AV1984" s="401"/>
      <c r="AW1984" s="412"/>
      <c r="AX1984" s="230"/>
      <c r="AY1984" s="42"/>
      <c r="AZ1984" s="320"/>
      <c r="BD1984" s="401"/>
      <c r="BE1984" s="42"/>
    </row>
    <row r="1985" spans="48:57" x14ac:dyDescent="0.2">
      <c r="AV1985" s="401"/>
      <c r="AW1985" s="412"/>
      <c r="AX1985" s="230"/>
      <c r="AY1985" s="42"/>
      <c r="AZ1985" s="320"/>
      <c r="BD1985" s="401"/>
      <c r="BE1985" s="42"/>
    </row>
    <row r="1986" spans="48:57" x14ac:dyDescent="0.2">
      <c r="AV1986" s="401"/>
      <c r="AW1986" s="412"/>
      <c r="AX1986" s="230"/>
      <c r="AY1986" s="42"/>
      <c r="AZ1986" s="320"/>
      <c r="BD1986" s="401"/>
      <c r="BE1986" s="42"/>
    </row>
    <row r="1987" spans="48:57" x14ac:dyDescent="0.2">
      <c r="AV1987" s="401"/>
      <c r="AW1987" s="412"/>
      <c r="AX1987" s="230"/>
      <c r="AY1987" s="42"/>
      <c r="AZ1987" s="320"/>
      <c r="BD1987" s="401"/>
      <c r="BE1987" s="42"/>
    </row>
    <row r="1988" spans="48:57" x14ac:dyDescent="0.2">
      <c r="AV1988" s="401"/>
      <c r="AW1988" s="412"/>
      <c r="AX1988" s="230"/>
      <c r="AY1988" s="42"/>
      <c r="AZ1988" s="320"/>
      <c r="BD1988" s="401"/>
      <c r="BE1988" s="42"/>
    </row>
    <row r="1989" spans="48:57" x14ac:dyDescent="0.2">
      <c r="AV1989" s="401"/>
      <c r="AW1989" s="412"/>
      <c r="AX1989" s="230"/>
      <c r="AY1989" s="42"/>
      <c r="AZ1989" s="320"/>
      <c r="BD1989" s="401"/>
      <c r="BE1989" s="42"/>
    </row>
    <row r="1990" spans="48:57" x14ac:dyDescent="0.2">
      <c r="AV1990" s="401"/>
      <c r="AW1990" s="412"/>
      <c r="AX1990" s="230"/>
      <c r="AY1990" s="42"/>
      <c r="AZ1990" s="320"/>
      <c r="BD1990" s="401"/>
      <c r="BE1990" s="42"/>
    </row>
    <row r="1991" spans="48:57" x14ac:dyDescent="0.2">
      <c r="AV1991" s="401"/>
      <c r="AW1991" s="412"/>
      <c r="AX1991" s="230"/>
      <c r="AY1991" s="42"/>
      <c r="AZ1991" s="320"/>
      <c r="BD1991" s="401"/>
      <c r="BE1991" s="42"/>
    </row>
    <row r="1992" spans="48:57" x14ac:dyDescent="0.2">
      <c r="AV1992" s="401"/>
      <c r="AW1992" s="412"/>
      <c r="AX1992" s="230"/>
      <c r="AY1992" s="42"/>
      <c r="AZ1992" s="320"/>
      <c r="BD1992" s="401"/>
      <c r="BE1992" s="42"/>
    </row>
    <row r="1993" spans="48:57" x14ac:dyDescent="0.2">
      <c r="AV1993" s="401"/>
      <c r="AW1993" s="412"/>
      <c r="AX1993" s="230"/>
      <c r="AY1993" s="42"/>
      <c r="AZ1993" s="320"/>
      <c r="BD1993" s="401"/>
      <c r="BE1993" s="42"/>
    </row>
    <row r="1994" spans="48:57" x14ac:dyDescent="0.2">
      <c r="AV1994" s="401"/>
      <c r="AW1994" s="412"/>
      <c r="AX1994" s="230"/>
      <c r="AY1994" s="42"/>
      <c r="AZ1994" s="320"/>
      <c r="BD1994" s="401"/>
      <c r="BE1994" s="42"/>
    </row>
    <row r="1995" spans="48:57" x14ac:dyDescent="0.2">
      <c r="AV1995" s="401"/>
      <c r="AW1995" s="412"/>
      <c r="AX1995" s="230"/>
      <c r="AY1995" s="42"/>
      <c r="AZ1995" s="320"/>
      <c r="BD1995" s="401"/>
      <c r="BE1995" s="42"/>
    </row>
    <row r="1996" spans="48:57" x14ac:dyDescent="0.2">
      <c r="AV1996" s="401"/>
      <c r="AW1996" s="412"/>
      <c r="AX1996" s="230"/>
      <c r="AY1996" s="42"/>
      <c r="AZ1996" s="320"/>
      <c r="BD1996" s="401"/>
      <c r="BE1996" s="42"/>
    </row>
    <row r="1997" spans="48:57" x14ac:dyDescent="0.2">
      <c r="AV1997" s="401"/>
      <c r="AW1997" s="412"/>
      <c r="AX1997" s="230"/>
      <c r="AY1997" s="42"/>
      <c r="AZ1997" s="320"/>
      <c r="BD1997" s="401"/>
      <c r="BE1997" s="42"/>
    </row>
    <row r="1998" spans="48:57" x14ac:dyDescent="0.2">
      <c r="AV1998" s="401"/>
      <c r="AW1998" s="412"/>
      <c r="AX1998" s="230"/>
      <c r="AY1998" s="42"/>
      <c r="AZ1998" s="320"/>
      <c r="BD1998" s="401"/>
      <c r="BE1998" s="42"/>
    </row>
    <row r="1999" spans="48:57" x14ac:dyDescent="0.2">
      <c r="AV1999" s="401"/>
      <c r="AW1999" s="412"/>
      <c r="AX1999" s="230"/>
      <c r="AY1999" s="42"/>
      <c r="AZ1999" s="320"/>
      <c r="BD1999" s="401"/>
      <c r="BE1999" s="42"/>
    </row>
    <row r="2000" spans="48:57" x14ac:dyDescent="0.2">
      <c r="AV2000" s="401"/>
      <c r="AW2000" s="412"/>
      <c r="AX2000" s="230"/>
      <c r="AY2000" s="42"/>
      <c r="AZ2000" s="320"/>
      <c r="BD2000" s="401"/>
      <c r="BE2000" s="42"/>
    </row>
    <row r="2001" spans="48:57" x14ac:dyDescent="0.2">
      <c r="AV2001" s="401"/>
      <c r="AW2001" s="412"/>
      <c r="AX2001" s="230"/>
      <c r="AY2001" s="42"/>
      <c r="AZ2001" s="320"/>
      <c r="BD2001" s="401"/>
      <c r="BE2001" s="42"/>
    </row>
    <row r="2002" spans="48:57" x14ac:dyDescent="0.2">
      <c r="AV2002" s="401"/>
      <c r="AW2002" s="412"/>
      <c r="AX2002" s="230"/>
      <c r="AY2002" s="42"/>
      <c r="AZ2002" s="320"/>
      <c r="BD2002" s="401"/>
      <c r="BE2002" s="42"/>
    </row>
    <row r="2003" spans="48:57" x14ac:dyDescent="0.2">
      <c r="AV2003" s="401"/>
      <c r="AW2003" s="412"/>
      <c r="AX2003" s="230"/>
      <c r="AY2003" s="42"/>
      <c r="AZ2003" s="320"/>
      <c r="BD2003" s="401"/>
      <c r="BE2003" s="42"/>
    </row>
    <row r="2004" spans="48:57" x14ac:dyDescent="0.2">
      <c r="AV2004" s="401"/>
      <c r="AW2004" s="412"/>
      <c r="AX2004" s="230"/>
      <c r="AY2004" s="42"/>
      <c r="AZ2004" s="320"/>
      <c r="BD2004" s="401"/>
      <c r="BE2004" s="42"/>
    </row>
    <row r="2005" spans="48:57" x14ac:dyDescent="0.2">
      <c r="AV2005" s="401"/>
      <c r="AW2005" s="412"/>
      <c r="AX2005" s="230"/>
      <c r="AY2005" s="42"/>
      <c r="AZ2005" s="320"/>
      <c r="BD2005" s="401"/>
      <c r="BE2005" s="42"/>
    </row>
    <row r="2006" spans="48:57" x14ac:dyDescent="0.2">
      <c r="AV2006" s="401"/>
      <c r="AW2006" s="412"/>
      <c r="AX2006" s="230"/>
      <c r="AY2006" s="42"/>
      <c r="AZ2006" s="320"/>
      <c r="BD2006" s="401"/>
      <c r="BE2006" s="42"/>
    </row>
    <row r="2007" spans="48:57" x14ac:dyDescent="0.2">
      <c r="AV2007" s="401"/>
      <c r="AW2007" s="412"/>
      <c r="AX2007" s="230"/>
      <c r="AY2007" s="42"/>
      <c r="AZ2007" s="320"/>
      <c r="BD2007" s="401"/>
      <c r="BE2007" s="42"/>
    </row>
    <row r="2008" spans="48:57" x14ac:dyDescent="0.2">
      <c r="AV2008" s="401"/>
      <c r="AW2008" s="412"/>
      <c r="AX2008" s="230"/>
      <c r="AY2008" s="42"/>
      <c r="AZ2008" s="320"/>
      <c r="BD2008" s="401"/>
      <c r="BE2008" s="42"/>
    </row>
    <row r="2009" spans="48:57" x14ac:dyDescent="0.2">
      <c r="AV2009" s="401"/>
      <c r="AW2009" s="412"/>
      <c r="AX2009" s="230"/>
      <c r="AY2009" s="42"/>
      <c r="AZ2009" s="320"/>
      <c r="BD2009" s="401"/>
      <c r="BE2009" s="42"/>
    </row>
    <row r="2010" spans="48:57" x14ac:dyDescent="0.2">
      <c r="AV2010" s="401"/>
      <c r="AW2010" s="412"/>
      <c r="AX2010" s="230"/>
      <c r="AY2010" s="42"/>
      <c r="AZ2010" s="320"/>
      <c r="BD2010" s="401"/>
      <c r="BE2010" s="42"/>
    </row>
    <row r="2011" spans="48:57" x14ac:dyDescent="0.2">
      <c r="AV2011" s="401"/>
      <c r="AW2011" s="412"/>
      <c r="AX2011" s="230"/>
      <c r="AY2011" s="42"/>
      <c r="AZ2011" s="320"/>
      <c r="BD2011" s="401"/>
      <c r="BE2011" s="42"/>
    </row>
    <row r="2012" spans="48:57" x14ac:dyDescent="0.2">
      <c r="AV2012" s="401"/>
      <c r="AW2012" s="412"/>
      <c r="AX2012" s="230"/>
      <c r="AY2012" s="42"/>
      <c r="AZ2012" s="320"/>
      <c r="BD2012" s="401"/>
      <c r="BE2012" s="42"/>
    </row>
    <row r="2013" spans="48:57" x14ac:dyDescent="0.2">
      <c r="AV2013" s="401"/>
      <c r="AW2013" s="412"/>
      <c r="AX2013" s="230"/>
      <c r="AY2013" s="42"/>
      <c r="AZ2013" s="320"/>
      <c r="BD2013" s="401"/>
      <c r="BE2013" s="42"/>
    </row>
    <row r="2014" spans="48:57" x14ac:dyDescent="0.2">
      <c r="AV2014" s="401"/>
      <c r="AW2014" s="412"/>
      <c r="AX2014" s="230"/>
      <c r="AY2014" s="42"/>
      <c r="AZ2014" s="320"/>
      <c r="BD2014" s="401"/>
      <c r="BE2014" s="42"/>
    </row>
    <row r="2015" spans="48:57" x14ac:dyDescent="0.2">
      <c r="AV2015" s="401"/>
      <c r="AW2015" s="412"/>
      <c r="AX2015" s="230"/>
      <c r="AY2015" s="42"/>
      <c r="AZ2015" s="320"/>
      <c r="BD2015" s="401"/>
      <c r="BE2015" s="42"/>
    </row>
    <row r="2016" spans="48:57" x14ac:dyDescent="0.2">
      <c r="AV2016" s="401"/>
      <c r="AW2016" s="412"/>
      <c r="AX2016" s="230"/>
      <c r="AY2016" s="42"/>
      <c r="AZ2016" s="320"/>
      <c r="BD2016" s="401"/>
      <c r="BE2016" s="42"/>
    </row>
    <row r="2017" spans="48:57" x14ac:dyDescent="0.2">
      <c r="AV2017" s="401"/>
      <c r="AW2017" s="412"/>
      <c r="AX2017" s="230"/>
      <c r="AY2017" s="42"/>
      <c r="AZ2017" s="320"/>
      <c r="BD2017" s="401"/>
      <c r="BE2017" s="42"/>
    </row>
    <row r="2018" spans="48:57" x14ac:dyDescent="0.2">
      <c r="AV2018" s="401"/>
      <c r="AW2018" s="412"/>
      <c r="AX2018" s="230"/>
      <c r="AY2018" s="42"/>
      <c r="AZ2018" s="320"/>
      <c r="BD2018" s="401"/>
      <c r="BE2018" s="42"/>
    </row>
    <row r="2019" spans="48:57" x14ac:dyDescent="0.2">
      <c r="AV2019" s="401"/>
      <c r="AW2019" s="412"/>
      <c r="AX2019" s="230"/>
      <c r="AY2019" s="42"/>
      <c r="AZ2019" s="320"/>
      <c r="BD2019" s="401"/>
      <c r="BE2019" s="42"/>
    </row>
    <row r="2020" spans="48:57" x14ac:dyDescent="0.2">
      <c r="AV2020" s="401"/>
      <c r="AW2020" s="412"/>
      <c r="AX2020" s="230"/>
      <c r="AY2020" s="42"/>
      <c r="AZ2020" s="320"/>
      <c r="BD2020" s="401"/>
      <c r="BE2020" s="42"/>
    </row>
    <row r="2021" spans="48:57" x14ac:dyDescent="0.2">
      <c r="AV2021" s="401"/>
      <c r="AW2021" s="412"/>
      <c r="AX2021" s="230"/>
      <c r="AY2021" s="42"/>
      <c r="AZ2021" s="320"/>
      <c r="BD2021" s="401"/>
      <c r="BE2021" s="42"/>
    </row>
    <row r="2022" spans="48:57" x14ac:dyDescent="0.2">
      <c r="AV2022" s="401"/>
      <c r="AW2022" s="412"/>
      <c r="AX2022" s="230"/>
      <c r="AY2022" s="42"/>
      <c r="AZ2022" s="320"/>
      <c r="BD2022" s="401"/>
      <c r="BE2022" s="42"/>
    </row>
    <row r="2023" spans="48:57" x14ac:dyDescent="0.2">
      <c r="AV2023" s="401"/>
      <c r="AW2023" s="412"/>
      <c r="AX2023" s="230"/>
      <c r="AY2023" s="42"/>
      <c r="AZ2023" s="320"/>
      <c r="BD2023" s="401"/>
      <c r="BE2023" s="42"/>
    </row>
    <row r="2024" spans="48:57" x14ac:dyDescent="0.2">
      <c r="AV2024" s="401"/>
      <c r="AW2024" s="412"/>
      <c r="AX2024" s="230"/>
      <c r="AY2024" s="42"/>
      <c r="AZ2024" s="320"/>
      <c r="BD2024" s="401"/>
      <c r="BE2024" s="42"/>
    </row>
    <row r="2025" spans="48:57" x14ac:dyDescent="0.2">
      <c r="AV2025" s="401"/>
      <c r="AW2025" s="412"/>
      <c r="AX2025" s="230"/>
      <c r="AY2025" s="42"/>
      <c r="AZ2025" s="320"/>
      <c r="BD2025" s="401"/>
      <c r="BE2025" s="42"/>
    </row>
    <row r="2026" spans="48:57" x14ac:dyDescent="0.2">
      <c r="AV2026" s="401"/>
      <c r="AW2026" s="412"/>
      <c r="AX2026" s="230"/>
      <c r="AY2026" s="42"/>
      <c r="AZ2026" s="320"/>
      <c r="BD2026" s="401"/>
      <c r="BE2026" s="42"/>
    </row>
    <row r="2027" spans="48:57" x14ac:dyDescent="0.2">
      <c r="AV2027" s="401"/>
      <c r="AW2027" s="412"/>
      <c r="AX2027" s="230"/>
      <c r="AY2027" s="42"/>
      <c r="AZ2027" s="320"/>
      <c r="BD2027" s="401"/>
      <c r="BE2027" s="42"/>
    </row>
    <row r="2028" spans="48:57" x14ac:dyDescent="0.2">
      <c r="AV2028" s="401"/>
      <c r="AW2028" s="412"/>
      <c r="AX2028" s="230"/>
      <c r="AY2028" s="42"/>
      <c r="AZ2028" s="320"/>
      <c r="BD2028" s="401"/>
      <c r="BE2028" s="42"/>
    </row>
    <row r="2029" spans="48:57" x14ac:dyDescent="0.2">
      <c r="AV2029" s="401"/>
      <c r="AW2029" s="412"/>
      <c r="AX2029" s="230"/>
      <c r="AY2029" s="42"/>
      <c r="AZ2029" s="320"/>
      <c r="BD2029" s="401"/>
      <c r="BE2029" s="42"/>
    </row>
    <row r="2030" spans="48:57" x14ac:dyDescent="0.2">
      <c r="AV2030" s="401"/>
      <c r="AW2030" s="412"/>
      <c r="AX2030" s="230"/>
      <c r="AY2030" s="42"/>
      <c r="AZ2030" s="320"/>
      <c r="BD2030" s="401"/>
      <c r="BE2030" s="42"/>
    </row>
    <row r="2031" spans="48:57" x14ac:dyDescent="0.2">
      <c r="AV2031" s="401"/>
      <c r="AW2031" s="412"/>
      <c r="AX2031" s="230"/>
      <c r="AY2031" s="42"/>
      <c r="AZ2031" s="320"/>
      <c r="BD2031" s="401"/>
      <c r="BE2031" s="42"/>
    </row>
    <row r="2032" spans="48:57" x14ac:dyDescent="0.2">
      <c r="AV2032" s="401"/>
      <c r="AW2032" s="412"/>
      <c r="AX2032" s="230"/>
      <c r="AY2032" s="42"/>
      <c r="AZ2032" s="320"/>
      <c r="BD2032" s="401"/>
      <c r="BE2032" s="42"/>
    </row>
    <row r="2033" spans="48:57" x14ac:dyDescent="0.2">
      <c r="AV2033" s="401"/>
      <c r="AW2033" s="412"/>
      <c r="AX2033" s="230"/>
      <c r="AY2033" s="42"/>
      <c r="AZ2033" s="320"/>
      <c r="BD2033" s="401"/>
      <c r="BE2033" s="42"/>
    </row>
    <row r="2034" spans="48:57" x14ac:dyDescent="0.2">
      <c r="AV2034" s="401"/>
      <c r="AW2034" s="412"/>
      <c r="AX2034" s="230"/>
      <c r="AY2034" s="42"/>
      <c r="AZ2034" s="320"/>
      <c r="BD2034" s="401"/>
      <c r="BE2034" s="42"/>
    </row>
    <row r="2035" spans="48:57" x14ac:dyDescent="0.2">
      <c r="AV2035" s="401"/>
      <c r="AW2035" s="412"/>
      <c r="AX2035" s="230"/>
      <c r="AY2035" s="42"/>
      <c r="AZ2035" s="320"/>
      <c r="BD2035" s="401"/>
      <c r="BE2035" s="42"/>
    </row>
    <row r="2036" spans="48:57" x14ac:dyDescent="0.2">
      <c r="AV2036" s="401"/>
      <c r="AW2036" s="412"/>
      <c r="AX2036" s="230"/>
      <c r="AY2036" s="42"/>
      <c r="AZ2036" s="320"/>
      <c r="BD2036" s="401"/>
      <c r="BE2036" s="42"/>
    </row>
    <row r="2037" spans="48:57" x14ac:dyDescent="0.2">
      <c r="AV2037" s="401"/>
      <c r="AW2037" s="412"/>
      <c r="AX2037" s="230"/>
      <c r="AY2037" s="42"/>
      <c r="AZ2037" s="320"/>
      <c r="BD2037" s="401"/>
      <c r="BE2037" s="42"/>
    </row>
    <row r="2038" spans="48:57" x14ac:dyDescent="0.2">
      <c r="AV2038" s="401"/>
      <c r="AW2038" s="412"/>
      <c r="AX2038" s="230"/>
      <c r="AY2038" s="42"/>
      <c r="AZ2038" s="320"/>
      <c r="BD2038" s="401"/>
      <c r="BE2038" s="42"/>
    </row>
    <row r="2039" spans="48:57" x14ac:dyDescent="0.2">
      <c r="AV2039" s="401"/>
      <c r="AW2039" s="412"/>
      <c r="AX2039" s="230"/>
      <c r="AY2039" s="42"/>
      <c r="AZ2039" s="320"/>
      <c r="BD2039" s="401"/>
      <c r="BE2039" s="42"/>
    </row>
    <row r="2040" spans="48:57" x14ac:dyDescent="0.2">
      <c r="AV2040" s="401"/>
      <c r="AW2040" s="412"/>
      <c r="AX2040" s="230"/>
      <c r="AY2040" s="42"/>
      <c r="AZ2040" s="320"/>
      <c r="BD2040" s="401"/>
      <c r="BE2040" s="42"/>
    </row>
    <row r="2041" spans="48:57" x14ac:dyDescent="0.2">
      <c r="AV2041" s="401"/>
      <c r="AW2041" s="412"/>
      <c r="AX2041" s="230"/>
      <c r="AY2041" s="42"/>
      <c r="AZ2041" s="320"/>
      <c r="BD2041" s="401"/>
      <c r="BE2041" s="42"/>
    </row>
    <row r="2042" spans="48:57" x14ac:dyDescent="0.2">
      <c r="AV2042" s="401"/>
      <c r="AW2042" s="412"/>
      <c r="AX2042" s="230"/>
      <c r="AY2042" s="42"/>
      <c r="AZ2042" s="320"/>
      <c r="BD2042" s="401"/>
      <c r="BE2042" s="42"/>
    </row>
    <row r="2043" spans="48:57" x14ac:dyDescent="0.2">
      <c r="AV2043" s="401"/>
      <c r="AW2043" s="412"/>
      <c r="AX2043" s="230"/>
      <c r="AY2043" s="42"/>
      <c r="AZ2043" s="320"/>
      <c r="BD2043" s="401"/>
      <c r="BE2043" s="42"/>
    </row>
    <row r="2044" spans="48:57" x14ac:dyDescent="0.2">
      <c r="AV2044" s="401"/>
      <c r="AW2044" s="412"/>
      <c r="AX2044" s="230"/>
      <c r="AY2044" s="42"/>
      <c r="AZ2044" s="320"/>
      <c r="BD2044" s="401"/>
      <c r="BE2044" s="42"/>
    </row>
    <row r="2045" spans="48:57" x14ac:dyDescent="0.2">
      <c r="AV2045" s="401"/>
      <c r="AW2045" s="412"/>
      <c r="AX2045" s="230"/>
      <c r="AY2045" s="42"/>
      <c r="AZ2045" s="320"/>
      <c r="BD2045" s="401"/>
      <c r="BE2045" s="42"/>
    </row>
    <row r="2046" spans="48:57" x14ac:dyDescent="0.2">
      <c r="AV2046" s="401"/>
      <c r="AW2046" s="412"/>
      <c r="AX2046" s="230"/>
      <c r="AY2046" s="42"/>
      <c r="AZ2046" s="320"/>
      <c r="BD2046" s="401"/>
      <c r="BE2046" s="42"/>
    </row>
    <row r="2047" spans="48:57" x14ac:dyDescent="0.2">
      <c r="AV2047" s="401"/>
      <c r="AW2047" s="412"/>
      <c r="AX2047" s="230"/>
      <c r="AY2047" s="42"/>
      <c r="AZ2047" s="320"/>
      <c r="BD2047" s="401"/>
      <c r="BE2047" s="42"/>
    </row>
    <row r="2048" spans="48:57" x14ac:dyDescent="0.2">
      <c r="AV2048" s="401"/>
      <c r="AW2048" s="412"/>
      <c r="AX2048" s="230"/>
      <c r="AY2048" s="42"/>
      <c r="AZ2048" s="320"/>
      <c r="BD2048" s="401"/>
      <c r="BE2048" s="42"/>
    </row>
    <row r="2049" spans="48:57" x14ac:dyDescent="0.2">
      <c r="AV2049" s="401"/>
      <c r="AW2049" s="412"/>
      <c r="AX2049" s="230"/>
      <c r="AY2049" s="42"/>
      <c r="AZ2049" s="320"/>
      <c r="BD2049" s="401"/>
      <c r="BE2049" s="42"/>
    </row>
    <row r="2050" spans="48:57" x14ac:dyDescent="0.2">
      <c r="AV2050" s="401"/>
      <c r="AW2050" s="412"/>
      <c r="AX2050" s="230"/>
      <c r="AY2050" s="42"/>
      <c r="AZ2050" s="320"/>
      <c r="BD2050" s="401"/>
      <c r="BE2050" s="42"/>
    </row>
    <row r="2051" spans="48:57" x14ac:dyDescent="0.2">
      <c r="AV2051" s="401"/>
      <c r="AW2051" s="412"/>
      <c r="AX2051" s="230"/>
      <c r="AY2051" s="42"/>
      <c r="AZ2051" s="320"/>
      <c r="BD2051" s="401"/>
      <c r="BE2051" s="42"/>
    </row>
    <row r="2052" spans="48:57" x14ac:dyDescent="0.2">
      <c r="AV2052" s="401"/>
      <c r="AW2052" s="412"/>
      <c r="AX2052" s="230"/>
      <c r="AY2052" s="42"/>
      <c r="AZ2052" s="320"/>
      <c r="BD2052" s="401"/>
      <c r="BE2052" s="42"/>
    </row>
    <row r="2053" spans="48:57" x14ac:dyDescent="0.2">
      <c r="AV2053" s="401"/>
      <c r="AW2053" s="412"/>
      <c r="AX2053" s="230"/>
      <c r="AY2053" s="42"/>
      <c r="AZ2053" s="320"/>
      <c r="BD2053" s="401"/>
      <c r="BE2053" s="42"/>
    </row>
    <row r="2054" spans="48:57" x14ac:dyDescent="0.2">
      <c r="AV2054" s="401"/>
      <c r="AW2054" s="412"/>
      <c r="AX2054" s="230"/>
      <c r="AY2054" s="42"/>
      <c r="AZ2054" s="320"/>
      <c r="BD2054" s="401"/>
      <c r="BE2054" s="42"/>
    </row>
    <row r="2055" spans="48:57" x14ac:dyDescent="0.2">
      <c r="AV2055" s="401"/>
      <c r="AW2055" s="412"/>
      <c r="AX2055" s="230"/>
      <c r="AY2055" s="42"/>
      <c r="AZ2055" s="320"/>
      <c r="BD2055" s="401"/>
      <c r="BE2055" s="42"/>
    </row>
    <row r="2056" spans="48:57" x14ac:dyDescent="0.2">
      <c r="AV2056" s="401"/>
      <c r="AW2056" s="412"/>
      <c r="AX2056" s="230"/>
      <c r="AY2056" s="42"/>
      <c r="AZ2056" s="320"/>
      <c r="BD2056" s="401"/>
      <c r="BE2056" s="42"/>
    </row>
    <row r="2057" spans="48:57" x14ac:dyDescent="0.2">
      <c r="AV2057" s="401"/>
      <c r="AW2057" s="412"/>
      <c r="AX2057" s="230"/>
      <c r="AY2057" s="42"/>
      <c r="AZ2057" s="320"/>
      <c r="BD2057" s="401"/>
      <c r="BE2057" s="42"/>
    </row>
    <row r="2058" spans="48:57" x14ac:dyDescent="0.2">
      <c r="AV2058" s="401"/>
      <c r="AW2058" s="412"/>
      <c r="AX2058" s="230"/>
      <c r="AY2058" s="42"/>
      <c r="AZ2058" s="320"/>
      <c r="BD2058" s="401"/>
      <c r="BE2058" s="42"/>
    </row>
    <row r="2059" spans="48:57" x14ac:dyDescent="0.2">
      <c r="AV2059" s="401"/>
      <c r="AW2059" s="412"/>
      <c r="AX2059" s="230"/>
      <c r="AY2059" s="42"/>
      <c r="AZ2059" s="320"/>
      <c r="BD2059" s="401"/>
      <c r="BE2059" s="42"/>
    </row>
    <row r="2060" spans="48:57" x14ac:dyDescent="0.2">
      <c r="AV2060" s="401"/>
      <c r="AW2060" s="412"/>
      <c r="AX2060" s="230"/>
      <c r="AY2060" s="42"/>
      <c r="AZ2060" s="320"/>
      <c r="BD2060" s="401"/>
      <c r="BE2060" s="42"/>
    </row>
    <row r="2061" spans="48:57" x14ac:dyDescent="0.2">
      <c r="AV2061" s="401"/>
      <c r="AW2061" s="412"/>
      <c r="AX2061" s="230"/>
      <c r="AY2061" s="42"/>
      <c r="AZ2061" s="320"/>
      <c r="BD2061" s="401"/>
      <c r="BE2061" s="42"/>
    </row>
    <row r="2062" spans="48:57" x14ac:dyDescent="0.2">
      <c r="AV2062" s="401"/>
      <c r="AW2062" s="412"/>
      <c r="AX2062" s="230"/>
      <c r="AY2062" s="42"/>
      <c r="AZ2062" s="320"/>
      <c r="BD2062" s="401"/>
      <c r="BE2062" s="42"/>
    </row>
    <row r="2063" spans="48:57" x14ac:dyDescent="0.2">
      <c r="AV2063" s="401"/>
      <c r="AW2063" s="412"/>
      <c r="AX2063" s="230"/>
      <c r="AY2063" s="42"/>
      <c r="AZ2063" s="320"/>
      <c r="BD2063" s="401"/>
      <c r="BE2063" s="42"/>
    </row>
    <row r="2064" spans="48:57" x14ac:dyDescent="0.2">
      <c r="AV2064" s="401"/>
      <c r="AW2064" s="412"/>
      <c r="AX2064" s="230"/>
      <c r="AY2064" s="42"/>
      <c r="AZ2064" s="320"/>
      <c r="BD2064" s="401"/>
      <c r="BE2064" s="42"/>
    </row>
    <row r="2065" spans="48:57" x14ac:dyDescent="0.2">
      <c r="AV2065" s="401"/>
      <c r="AW2065" s="412"/>
      <c r="AX2065" s="230"/>
      <c r="AY2065" s="42"/>
      <c r="AZ2065" s="320"/>
      <c r="BD2065" s="401"/>
      <c r="BE2065" s="42"/>
    </row>
    <row r="2066" spans="48:57" x14ac:dyDescent="0.2">
      <c r="AV2066" s="401"/>
      <c r="AW2066" s="412"/>
      <c r="AX2066" s="230"/>
      <c r="AY2066" s="42"/>
      <c r="AZ2066" s="320"/>
      <c r="BD2066" s="401"/>
      <c r="BE2066" s="42"/>
    </row>
    <row r="2067" spans="48:57" x14ac:dyDescent="0.2">
      <c r="AV2067" s="401"/>
      <c r="AW2067" s="412"/>
      <c r="AX2067" s="230"/>
      <c r="AY2067" s="42"/>
      <c r="AZ2067" s="320"/>
      <c r="BD2067" s="401"/>
      <c r="BE2067" s="42"/>
    </row>
    <row r="2068" spans="48:57" x14ac:dyDescent="0.2">
      <c r="AV2068" s="401"/>
      <c r="AW2068" s="412"/>
      <c r="AX2068" s="230"/>
      <c r="AY2068" s="42"/>
      <c r="AZ2068" s="320"/>
      <c r="BD2068" s="401"/>
      <c r="BE2068" s="42"/>
    </row>
    <row r="2069" spans="48:57" x14ac:dyDescent="0.2">
      <c r="AV2069" s="401"/>
      <c r="AW2069" s="412"/>
      <c r="AX2069" s="230"/>
      <c r="AY2069" s="42"/>
      <c r="AZ2069" s="320"/>
      <c r="BD2069" s="401"/>
      <c r="BE2069" s="42"/>
    </row>
    <row r="2070" spans="48:57" x14ac:dyDescent="0.2">
      <c r="AV2070" s="401"/>
      <c r="AW2070" s="412"/>
      <c r="AX2070" s="230"/>
      <c r="AY2070" s="42"/>
      <c r="AZ2070" s="320"/>
      <c r="BD2070" s="401"/>
      <c r="BE2070" s="42"/>
    </row>
    <row r="2071" spans="48:57" x14ac:dyDescent="0.2">
      <c r="AV2071" s="401"/>
      <c r="AW2071" s="412"/>
      <c r="AX2071" s="230"/>
      <c r="AY2071" s="42"/>
      <c r="AZ2071" s="320"/>
      <c r="BD2071" s="401"/>
      <c r="BE2071" s="42"/>
    </row>
    <row r="2072" spans="48:57" x14ac:dyDescent="0.2">
      <c r="AV2072" s="401"/>
      <c r="AW2072" s="412"/>
      <c r="AX2072" s="230"/>
      <c r="AY2072" s="42"/>
      <c r="AZ2072" s="320"/>
      <c r="BD2072" s="401"/>
      <c r="BE2072" s="42"/>
    </row>
    <row r="2073" spans="48:57" x14ac:dyDescent="0.2">
      <c r="AV2073" s="401"/>
      <c r="AW2073" s="412"/>
      <c r="AX2073" s="230"/>
      <c r="AY2073" s="42"/>
      <c r="AZ2073" s="320"/>
      <c r="BD2073" s="401"/>
      <c r="BE2073" s="42"/>
    </row>
    <row r="2074" spans="48:57" x14ac:dyDescent="0.2">
      <c r="AV2074" s="401"/>
      <c r="AW2074" s="412"/>
      <c r="AX2074" s="230"/>
      <c r="AY2074" s="42"/>
      <c r="AZ2074" s="320"/>
      <c r="BD2074" s="401"/>
      <c r="BE2074" s="42"/>
    </row>
    <row r="2075" spans="48:57" x14ac:dyDescent="0.2">
      <c r="AV2075" s="401"/>
      <c r="AW2075" s="412"/>
      <c r="AX2075" s="230"/>
      <c r="AY2075" s="42"/>
      <c r="AZ2075" s="320"/>
      <c r="BD2075" s="401"/>
      <c r="BE2075" s="42"/>
    </row>
    <row r="2076" spans="48:57" x14ac:dyDescent="0.2">
      <c r="AV2076" s="401"/>
      <c r="AW2076" s="412"/>
      <c r="AX2076" s="230"/>
      <c r="AY2076" s="42"/>
      <c r="AZ2076" s="320"/>
      <c r="BD2076" s="401"/>
      <c r="BE2076" s="42"/>
    </row>
    <row r="2077" spans="48:57" x14ac:dyDescent="0.2">
      <c r="AV2077" s="401"/>
      <c r="AW2077" s="412"/>
      <c r="AX2077" s="230"/>
      <c r="AY2077" s="42"/>
      <c r="AZ2077" s="320"/>
      <c r="BD2077" s="401"/>
      <c r="BE2077" s="42"/>
    </row>
    <row r="2078" spans="48:57" x14ac:dyDescent="0.2">
      <c r="AV2078" s="401"/>
      <c r="AW2078" s="412"/>
      <c r="AX2078" s="230"/>
      <c r="AY2078" s="42"/>
      <c r="AZ2078" s="320"/>
      <c r="BD2078" s="401"/>
      <c r="BE2078" s="42"/>
    </row>
    <row r="2079" spans="48:57" x14ac:dyDescent="0.2">
      <c r="AV2079" s="401"/>
      <c r="AW2079" s="412"/>
      <c r="AX2079" s="230"/>
      <c r="AY2079" s="42"/>
      <c r="AZ2079" s="320"/>
      <c r="BD2079" s="401"/>
      <c r="BE2079" s="42"/>
    </row>
    <row r="2080" spans="48:57" x14ac:dyDescent="0.2">
      <c r="AV2080" s="401"/>
      <c r="AW2080" s="412"/>
      <c r="AX2080" s="230"/>
      <c r="AY2080" s="42"/>
      <c r="AZ2080" s="320"/>
      <c r="BD2080" s="401"/>
      <c r="BE2080" s="42"/>
    </row>
    <row r="2081" spans="48:57" x14ac:dyDescent="0.2">
      <c r="AV2081" s="401"/>
      <c r="AW2081" s="412"/>
      <c r="AX2081" s="230"/>
      <c r="AY2081" s="42"/>
      <c r="AZ2081" s="320"/>
      <c r="BD2081" s="401"/>
      <c r="BE2081" s="42"/>
    </row>
    <row r="2082" spans="48:57" x14ac:dyDescent="0.2">
      <c r="AV2082" s="401"/>
      <c r="AW2082" s="412"/>
      <c r="AX2082" s="230"/>
      <c r="AY2082" s="42"/>
      <c r="AZ2082" s="320"/>
      <c r="BD2082" s="401"/>
      <c r="BE2082" s="42"/>
    </row>
    <row r="2083" spans="48:57" x14ac:dyDescent="0.2">
      <c r="AV2083" s="401"/>
      <c r="AW2083" s="412"/>
      <c r="AX2083" s="230"/>
      <c r="AY2083" s="42"/>
      <c r="AZ2083" s="320"/>
      <c r="BD2083" s="401"/>
      <c r="BE2083" s="42"/>
    </row>
    <row r="2084" spans="48:57" x14ac:dyDescent="0.2">
      <c r="AV2084" s="401"/>
      <c r="AW2084" s="412"/>
      <c r="AX2084" s="230"/>
      <c r="AY2084" s="42"/>
      <c r="AZ2084" s="320"/>
      <c r="BD2084" s="401"/>
      <c r="BE2084" s="42"/>
    </row>
    <row r="2085" spans="48:57" x14ac:dyDescent="0.2">
      <c r="AV2085" s="401"/>
      <c r="AW2085" s="412"/>
      <c r="AX2085" s="230"/>
      <c r="AY2085" s="42"/>
      <c r="AZ2085" s="320"/>
      <c r="BD2085" s="401"/>
      <c r="BE2085" s="42"/>
    </row>
    <row r="2086" spans="48:57" x14ac:dyDescent="0.2">
      <c r="AV2086" s="401"/>
      <c r="AW2086" s="412"/>
      <c r="AX2086" s="230"/>
      <c r="AY2086" s="42"/>
      <c r="AZ2086" s="320"/>
      <c r="BD2086" s="401"/>
      <c r="BE2086" s="42"/>
    </row>
    <row r="2087" spans="48:57" x14ac:dyDescent="0.2">
      <c r="AV2087" s="401"/>
      <c r="AW2087" s="412"/>
      <c r="AX2087" s="230"/>
      <c r="AY2087" s="42"/>
      <c r="AZ2087" s="320"/>
      <c r="BD2087" s="401"/>
      <c r="BE2087" s="42"/>
    </row>
    <row r="2088" spans="48:57" x14ac:dyDescent="0.2">
      <c r="AV2088" s="401"/>
      <c r="AW2088" s="412"/>
      <c r="AX2088" s="230"/>
      <c r="AY2088" s="42"/>
      <c r="AZ2088" s="320"/>
      <c r="BD2088" s="401"/>
      <c r="BE2088" s="42"/>
    </row>
    <row r="2089" spans="48:57" x14ac:dyDescent="0.2">
      <c r="AV2089" s="401"/>
      <c r="AW2089" s="412"/>
      <c r="AX2089" s="230"/>
      <c r="AY2089" s="42"/>
      <c r="AZ2089" s="320"/>
      <c r="BD2089" s="401"/>
      <c r="BE2089" s="42"/>
    </row>
    <row r="2090" spans="48:57" x14ac:dyDescent="0.2">
      <c r="AV2090" s="401"/>
      <c r="AW2090" s="412"/>
      <c r="AX2090" s="230"/>
      <c r="AY2090" s="42"/>
      <c r="AZ2090" s="320"/>
      <c r="BD2090" s="401"/>
      <c r="BE2090" s="42"/>
    </row>
    <row r="2091" spans="48:57" x14ac:dyDescent="0.2">
      <c r="AV2091" s="401"/>
      <c r="AW2091" s="412"/>
      <c r="AX2091" s="230"/>
      <c r="AY2091" s="42"/>
      <c r="AZ2091" s="320"/>
      <c r="BD2091" s="401"/>
      <c r="BE2091" s="42"/>
    </row>
    <row r="2092" spans="48:57" x14ac:dyDescent="0.2">
      <c r="AV2092" s="401"/>
      <c r="AW2092" s="412"/>
      <c r="AX2092" s="230"/>
      <c r="AY2092" s="42"/>
      <c r="AZ2092" s="320"/>
      <c r="BD2092" s="401"/>
      <c r="BE2092" s="42"/>
    </row>
    <row r="2093" spans="48:57" x14ac:dyDescent="0.2">
      <c r="AV2093" s="401"/>
      <c r="AW2093" s="412"/>
      <c r="AX2093" s="230"/>
      <c r="AY2093" s="42"/>
      <c r="AZ2093" s="320"/>
      <c r="BD2093" s="401"/>
      <c r="BE2093" s="42"/>
    </row>
    <row r="2094" spans="48:57" x14ac:dyDescent="0.2">
      <c r="AV2094" s="401"/>
      <c r="AW2094" s="412"/>
      <c r="AX2094" s="230"/>
      <c r="AY2094" s="42"/>
      <c r="AZ2094" s="320"/>
      <c r="BD2094" s="401"/>
      <c r="BE2094" s="42"/>
    </row>
    <row r="2095" spans="48:57" x14ac:dyDescent="0.2">
      <c r="AV2095" s="401"/>
      <c r="AW2095" s="412"/>
      <c r="AX2095" s="230"/>
      <c r="AY2095" s="42"/>
      <c r="AZ2095" s="320"/>
      <c r="BD2095" s="401"/>
      <c r="BE2095" s="42"/>
    </row>
    <row r="2096" spans="48:57" x14ac:dyDescent="0.2">
      <c r="AV2096" s="401"/>
      <c r="AW2096" s="412"/>
      <c r="AX2096" s="230"/>
      <c r="AY2096" s="42"/>
      <c r="AZ2096" s="320"/>
      <c r="BD2096" s="401"/>
      <c r="BE2096" s="42"/>
    </row>
    <row r="2097" spans="48:57" x14ac:dyDescent="0.2">
      <c r="AV2097" s="401"/>
      <c r="AW2097" s="412"/>
      <c r="AX2097" s="230"/>
      <c r="AY2097" s="42"/>
      <c r="AZ2097" s="320"/>
      <c r="BD2097" s="401"/>
      <c r="BE2097" s="42"/>
    </row>
    <row r="2098" spans="48:57" x14ac:dyDescent="0.2">
      <c r="AV2098" s="401"/>
      <c r="AW2098" s="412"/>
      <c r="AX2098" s="230"/>
      <c r="AY2098" s="42"/>
      <c r="AZ2098" s="320"/>
      <c r="BD2098" s="401"/>
      <c r="BE2098" s="42"/>
    </row>
    <row r="2099" spans="48:57" x14ac:dyDescent="0.2">
      <c r="AV2099" s="401"/>
      <c r="AW2099" s="412"/>
      <c r="AX2099" s="230"/>
      <c r="AY2099" s="42"/>
      <c r="AZ2099" s="320"/>
      <c r="BD2099" s="401"/>
      <c r="BE2099" s="42"/>
    </row>
    <row r="2100" spans="48:57" x14ac:dyDescent="0.2">
      <c r="AV2100" s="401"/>
      <c r="AW2100" s="412"/>
      <c r="AX2100" s="230"/>
      <c r="AY2100" s="42"/>
      <c r="AZ2100" s="320"/>
      <c r="BD2100" s="401"/>
      <c r="BE2100" s="42"/>
    </row>
    <row r="2101" spans="48:57" x14ac:dyDescent="0.2">
      <c r="AV2101" s="401"/>
      <c r="AW2101" s="412"/>
      <c r="AX2101" s="230"/>
      <c r="AY2101" s="42"/>
      <c r="AZ2101" s="320"/>
      <c r="BD2101" s="401"/>
      <c r="BE2101" s="42"/>
    </row>
    <row r="2102" spans="48:57" x14ac:dyDescent="0.2">
      <c r="AV2102" s="401"/>
      <c r="AW2102" s="412"/>
      <c r="AX2102" s="230"/>
      <c r="AY2102" s="42"/>
      <c r="AZ2102" s="320"/>
      <c r="BD2102" s="401"/>
      <c r="BE2102" s="42"/>
    </row>
    <row r="2103" spans="48:57" x14ac:dyDescent="0.2">
      <c r="AV2103" s="401"/>
      <c r="AW2103" s="412"/>
      <c r="AX2103" s="230"/>
      <c r="AY2103" s="42"/>
      <c r="AZ2103" s="320"/>
      <c r="BD2103" s="401"/>
      <c r="BE2103" s="42"/>
    </row>
    <row r="2104" spans="48:57" x14ac:dyDescent="0.2">
      <c r="AV2104" s="401"/>
      <c r="AW2104" s="412"/>
      <c r="AX2104" s="230"/>
      <c r="AY2104" s="42"/>
      <c r="AZ2104" s="320"/>
      <c r="BD2104" s="401"/>
      <c r="BE2104" s="42"/>
    </row>
    <row r="2105" spans="48:57" x14ac:dyDescent="0.2">
      <c r="AV2105" s="401"/>
      <c r="AW2105" s="412"/>
      <c r="AX2105" s="230"/>
      <c r="AY2105" s="42"/>
      <c r="AZ2105" s="320"/>
      <c r="BD2105" s="401"/>
      <c r="BE2105" s="42"/>
    </row>
    <row r="2106" spans="48:57" x14ac:dyDescent="0.2">
      <c r="AV2106" s="401"/>
      <c r="AW2106" s="412"/>
      <c r="AX2106" s="230"/>
      <c r="AY2106" s="42"/>
      <c r="AZ2106" s="320"/>
      <c r="BD2106" s="401"/>
      <c r="BE2106" s="42"/>
    </row>
    <row r="2107" spans="48:57" x14ac:dyDescent="0.2">
      <c r="AV2107" s="401"/>
      <c r="AW2107" s="412"/>
      <c r="AX2107" s="230"/>
      <c r="AY2107" s="42"/>
      <c r="AZ2107" s="320"/>
      <c r="BD2107" s="401"/>
      <c r="BE2107" s="42"/>
    </row>
    <row r="2108" spans="48:57" x14ac:dyDescent="0.2">
      <c r="AV2108" s="401"/>
      <c r="AW2108" s="412"/>
      <c r="AX2108" s="230"/>
      <c r="AY2108" s="42"/>
      <c r="AZ2108" s="320"/>
      <c r="BD2108" s="401"/>
      <c r="BE2108" s="42"/>
    </row>
    <row r="2109" spans="48:57" x14ac:dyDescent="0.2">
      <c r="AV2109" s="401"/>
      <c r="AW2109" s="412"/>
      <c r="AX2109" s="230"/>
      <c r="AY2109" s="42"/>
      <c r="AZ2109" s="320"/>
      <c r="BD2109" s="401"/>
      <c r="BE2109" s="42"/>
    </row>
    <row r="2110" spans="48:57" x14ac:dyDescent="0.2">
      <c r="AV2110" s="401"/>
      <c r="AW2110" s="412"/>
      <c r="AX2110" s="230"/>
      <c r="AY2110" s="42"/>
      <c r="AZ2110" s="320"/>
      <c r="BD2110" s="401"/>
      <c r="BE2110" s="42"/>
    </row>
    <row r="2111" spans="48:57" x14ac:dyDescent="0.2">
      <c r="AV2111" s="401"/>
      <c r="AW2111" s="412"/>
      <c r="AX2111" s="230"/>
      <c r="AY2111" s="42"/>
      <c r="AZ2111" s="320"/>
      <c r="BD2111" s="401"/>
      <c r="BE2111" s="42"/>
    </row>
    <row r="2112" spans="48:57" x14ac:dyDescent="0.2">
      <c r="AV2112" s="401"/>
      <c r="AW2112" s="412"/>
      <c r="AX2112" s="230"/>
      <c r="AY2112" s="42"/>
      <c r="AZ2112" s="320"/>
      <c r="BD2112" s="401"/>
      <c r="BE2112" s="42"/>
    </row>
    <row r="2113" spans="48:57" x14ac:dyDescent="0.2">
      <c r="AV2113" s="401"/>
      <c r="AW2113" s="412"/>
      <c r="AX2113" s="230"/>
      <c r="AY2113" s="42"/>
      <c r="AZ2113" s="320"/>
      <c r="BD2113" s="401"/>
      <c r="BE2113" s="42"/>
    </row>
    <row r="2114" spans="48:57" x14ac:dyDescent="0.2">
      <c r="AV2114" s="401"/>
      <c r="AW2114" s="412"/>
      <c r="AX2114" s="230"/>
      <c r="AY2114" s="42"/>
      <c r="AZ2114" s="320"/>
      <c r="BD2114" s="401"/>
      <c r="BE2114" s="42"/>
    </row>
    <row r="2115" spans="48:57" x14ac:dyDescent="0.2">
      <c r="AV2115" s="401"/>
      <c r="AW2115" s="412"/>
      <c r="AX2115" s="230"/>
      <c r="AY2115" s="42"/>
      <c r="AZ2115" s="320"/>
      <c r="BD2115" s="401"/>
      <c r="BE2115" s="42"/>
    </row>
    <row r="2116" spans="48:57" x14ac:dyDescent="0.2">
      <c r="AV2116" s="401"/>
      <c r="AW2116" s="412"/>
      <c r="AX2116" s="230"/>
      <c r="AY2116" s="42"/>
      <c r="AZ2116" s="320"/>
      <c r="BD2116" s="401"/>
      <c r="BE2116" s="42"/>
    </row>
    <row r="2117" spans="48:57" x14ac:dyDescent="0.2">
      <c r="AV2117" s="401"/>
      <c r="AW2117" s="412"/>
      <c r="AX2117" s="230"/>
      <c r="AY2117" s="42"/>
      <c r="AZ2117" s="320"/>
      <c r="BD2117" s="401"/>
      <c r="BE2117" s="42"/>
    </row>
    <row r="2118" spans="48:57" x14ac:dyDescent="0.2">
      <c r="AV2118" s="401"/>
      <c r="AW2118" s="412"/>
      <c r="AX2118" s="230"/>
      <c r="AY2118" s="42"/>
      <c r="AZ2118" s="320"/>
      <c r="BD2118" s="401"/>
      <c r="BE2118" s="42"/>
    </row>
    <row r="2119" spans="48:57" x14ac:dyDescent="0.2">
      <c r="AV2119" s="401"/>
      <c r="AW2119" s="412"/>
      <c r="AX2119" s="230"/>
      <c r="AY2119" s="42"/>
      <c r="AZ2119" s="320"/>
      <c r="BD2119" s="401"/>
      <c r="BE2119" s="42"/>
    </row>
    <row r="2120" spans="48:57" x14ac:dyDescent="0.2">
      <c r="AV2120" s="401"/>
      <c r="AW2120" s="412"/>
      <c r="AX2120" s="230"/>
      <c r="AY2120" s="42"/>
      <c r="AZ2120" s="320"/>
      <c r="BD2120" s="401"/>
      <c r="BE2120" s="42"/>
    </row>
    <row r="2121" spans="48:57" x14ac:dyDescent="0.2">
      <c r="AV2121" s="401"/>
      <c r="AW2121" s="412"/>
      <c r="AX2121" s="230"/>
      <c r="AY2121" s="42"/>
      <c r="AZ2121" s="320"/>
      <c r="BD2121" s="401"/>
      <c r="BE2121" s="42"/>
    </row>
    <row r="2122" spans="48:57" x14ac:dyDescent="0.2">
      <c r="AV2122" s="401"/>
      <c r="AW2122" s="412"/>
      <c r="AX2122" s="230"/>
      <c r="AY2122" s="42"/>
      <c r="AZ2122" s="320"/>
      <c r="BD2122" s="401"/>
      <c r="BE2122" s="42"/>
    </row>
    <row r="2123" spans="48:57" x14ac:dyDescent="0.2">
      <c r="AV2123" s="401"/>
      <c r="AW2123" s="412"/>
      <c r="AX2123" s="230"/>
      <c r="AY2123" s="42"/>
      <c r="AZ2123" s="320"/>
      <c r="BD2123" s="401"/>
      <c r="BE2123" s="42"/>
    </row>
    <row r="2124" spans="48:57" x14ac:dyDescent="0.2">
      <c r="AV2124" s="401"/>
      <c r="AW2124" s="412"/>
      <c r="AX2124" s="230"/>
      <c r="AY2124" s="42"/>
      <c r="AZ2124" s="320"/>
      <c r="BD2124" s="401"/>
      <c r="BE2124" s="42"/>
    </row>
    <row r="2125" spans="48:57" x14ac:dyDescent="0.2">
      <c r="AV2125" s="401"/>
      <c r="AW2125" s="412"/>
      <c r="AX2125" s="230"/>
      <c r="AY2125" s="42"/>
      <c r="AZ2125" s="320"/>
      <c r="BD2125" s="401"/>
      <c r="BE2125" s="42"/>
    </row>
    <row r="2126" spans="48:57" x14ac:dyDescent="0.2">
      <c r="AV2126" s="401"/>
      <c r="AW2126" s="412"/>
      <c r="AX2126" s="230"/>
      <c r="AY2126" s="42"/>
      <c r="AZ2126" s="320"/>
      <c r="BD2126" s="401"/>
      <c r="BE2126" s="42"/>
    </row>
    <row r="2127" spans="48:57" x14ac:dyDescent="0.2">
      <c r="AV2127" s="401"/>
      <c r="AW2127" s="412"/>
      <c r="AX2127" s="230"/>
      <c r="AY2127" s="42"/>
      <c r="AZ2127" s="320"/>
      <c r="BD2127" s="401"/>
      <c r="BE2127" s="42"/>
    </row>
    <row r="2128" spans="48:57" x14ac:dyDescent="0.2">
      <c r="AV2128" s="401"/>
      <c r="AW2128" s="412"/>
      <c r="AX2128" s="230"/>
      <c r="AY2128" s="42"/>
      <c r="AZ2128" s="320"/>
      <c r="BD2128" s="401"/>
      <c r="BE2128" s="42"/>
    </row>
    <row r="2129" spans="48:57" x14ac:dyDescent="0.2">
      <c r="AV2129" s="401"/>
      <c r="AW2129" s="412"/>
      <c r="AX2129" s="230"/>
      <c r="AY2129" s="42"/>
      <c r="AZ2129" s="320"/>
      <c r="BD2129" s="401"/>
      <c r="BE2129" s="42"/>
    </row>
    <row r="2130" spans="48:57" x14ac:dyDescent="0.2">
      <c r="AV2130" s="401"/>
      <c r="AW2130" s="412"/>
      <c r="AX2130" s="230"/>
      <c r="AY2130" s="42"/>
      <c r="AZ2130" s="320"/>
      <c r="BD2130" s="401"/>
      <c r="BE2130" s="42"/>
    </row>
    <row r="2131" spans="48:57" x14ac:dyDescent="0.2">
      <c r="AV2131" s="401"/>
      <c r="AW2131" s="412"/>
      <c r="AX2131" s="230"/>
      <c r="AY2131" s="42"/>
      <c r="AZ2131" s="320"/>
      <c r="BD2131" s="401"/>
      <c r="BE2131" s="42"/>
    </row>
    <row r="2132" spans="48:57" x14ac:dyDescent="0.2">
      <c r="AV2132" s="401"/>
      <c r="AW2132" s="412"/>
      <c r="AX2132" s="230"/>
      <c r="AY2132" s="42"/>
      <c r="AZ2132" s="320"/>
      <c r="BD2132" s="401"/>
      <c r="BE2132" s="42"/>
    </row>
    <row r="2133" spans="48:57" x14ac:dyDescent="0.2">
      <c r="AV2133" s="401"/>
      <c r="AW2133" s="412"/>
      <c r="AX2133" s="230"/>
      <c r="AY2133" s="42"/>
      <c r="AZ2133" s="320"/>
      <c r="BD2133" s="401"/>
      <c r="BE2133" s="42"/>
    </row>
    <row r="2134" spans="48:57" x14ac:dyDescent="0.2">
      <c r="AV2134" s="401"/>
      <c r="AW2134" s="412"/>
      <c r="AX2134" s="230"/>
      <c r="AY2134" s="42"/>
      <c r="AZ2134" s="320"/>
      <c r="BD2134" s="401"/>
      <c r="BE2134" s="42"/>
    </row>
    <row r="2135" spans="48:57" x14ac:dyDescent="0.2">
      <c r="AV2135" s="401"/>
      <c r="AW2135" s="412"/>
      <c r="AX2135" s="230"/>
      <c r="AY2135" s="42"/>
      <c r="AZ2135" s="320"/>
      <c r="BD2135" s="401"/>
      <c r="BE2135" s="42"/>
    </row>
    <row r="2136" spans="48:57" x14ac:dyDescent="0.2">
      <c r="AV2136" s="401"/>
      <c r="AW2136" s="412"/>
      <c r="AX2136" s="230"/>
      <c r="AY2136" s="42"/>
      <c r="AZ2136" s="320"/>
      <c r="BD2136" s="401"/>
      <c r="BE2136" s="42"/>
    </row>
    <row r="2137" spans="48:57" x14ac:dyDescent="0.2">
      <c r="AV2137" s="401"/>
      <c r="AW2137" s="412"/>
      <c r="AX2137" s="230"/>
      <c r="AY2137" s="42"/>
      <c r="AZ2137" s="320"/>
      <c r="BD2137" s="401"/>
      <c r="BE2137" s="42"/>
    </row>
    <row r="2138" spans="48:57" x14ac:dyDescent="0.2">
      <c r="AV2138" s="401"/>
      <c r="AW2138" s="412"/>
      <c r="AX2138" s="230"/>
      <c r="AY2138" s="42"/>
      <c r="AZ2138" s="320"/>
      <c r="BD2138" s="401"/>
      <c r="BE2138" s="42"/>
    </row>
    <row r="2139" spans="48:57" x14ac:dyDescent="0.2">
      <c r="AV2139" s="401"/>
      <c r="AW2139" s="412"/>
      <c r="AX2139" s="230"/>
      <c r="AY2139" s="42"/>
      <c r="AZ2139" s="320"/>
      <c r="BD2139" s="401"/>
      <c r="BE2139" s="42"/>
    </row>
    <row r="2140" spans="48:57" x14ac:dyDescent="0.2">
      <c r="AV2140" s="401"/>
      <c r="AW2140" s="412"/>
      <c r="AX2140" s="230"/>
      <c r="AY2140" s="42"/>
      <c r="AZ2140" s="320"/>
      <c r="BD2140" s="401"/>
      <c r="BE2140" s="42"/>
    </row>
    <row r="2141" spans="48:57" x14ac:dyDescent="0.2">
      <c r="AV2141" s="401"/>
      <c r="AW2141" s="412"/>
      <c r="AX2141" s="230"/>
      <c r="AY2141" s="42"/>
      <c r="AZ2141" s="320"/>
      <c r="BD2141" s="401"/>
      <c r="BE2141" s="42"/>
    </row>
    <row r="2142" spans="48:57" x14ac:dyDescent="0.2">
      <c r="AV2142" s="401"/>
      <c r="AW2142" s="412"/>
      <c r="AX2142" s="230"/>
      <c r="AY2142" s="42"/>
      <c r="AZ2142" s="320"/>
      <c r="BD2142" s="401"/>
      <c r="BE2142" s="42"/>
    </row>
    <row r="2143" spans="48:57" x14ac:dyDescent="0.2">
      <c r="AV2143" s="401"/>
      <c r="AW2143" s="412"/>
      <c r="AX2143" s="230"/>
      <c r="AY2143" s="42"/>
      <c r="AZ2143" s="320"/>
      <c r="BD2143" s="401"/>
      <c r="BE2143" s="42"/>
    </row>
    <row r="2144" spans="48:57" x14ac:dyDescent="0.2">
      <c r="AV2144" s="401"/>
      <c r="AW2144" s="412"/>
      <c r="AX2144" s="230"/>
      <c r="AY2144" s="42"/>
      <c r="AZ2144" s="320"/>
      <c r="BD2144" s="401"/>
      <c r="BE2144" s="42"/>
    </row>
    <row r="2145" spans="48:57" x14ac:dyDescent="0.2">
      <c r="AV2145" s="401"/>
      <c r="AW2145" s="412"/>
      <c r="AX2145" s="230"/>
      <c r="AY2145" s="42"/>
      <c r="AZ2145" s="320"/>
      <c r="BD2145" s="401"/>
      <c r="BE2145" s="42"/>
    </row>
    <row r="2146" spans="48:57" x14ac:dyDescent="0.2">
      <c r="AV2146" s="401"/>
      <c r="AW2146" s="412"/>
      <c r="AX2146" s="230"/>
      <c r="AY2146" s="42"/>
      <c r="AZ2146" s="320"/>
      <c r="BD2146" s="401"/>
      <c r="BE2146" s="42"/>
    </row>
    <row r="2147" spans="48:57" x14ac:dyDescent="0.2">
      <c r="AV2147" s="401"/>
      <c r="AW2147" s="412"/>
      <c r="AX2147" s="230"/>
      <c r="AY2147" s="42"/>
      <c r="AZ2147" s="320"/>
      <c r="BD2147" s="401"/>
      <c r="BE2147" s="42"/>
    </row>
    <row r="2148" spans="48:57" x14ac:dyDescent="0.2">
      <c r="AV2148" s="401"/>
      <c r="AW2148" s="412"/>
      <c r="AX2148" s="230"/>
      <c r="AY2148" s="42"/>
      <c r="AZ2148" s="320"/>
      <c r="BD2148" s="401"/>
      <c r="BE2148" s="42"/>
    </row>
    <row r="2149" spans="48:57" x14ac:dyDescent="0.2">
      <c r="AV2149" s="401"/>
      <c r="AW2149" s="412"/>
      <c r="AX2149" s="230"/>
      <c r="AY2149" s="42"/>
      <c r="AZ2149" s="320"/>
      <c r="BD2149" s="401"/>
      <c r="BE2149" s="42"/>
    </row>
    <row r="2150" spans="48:57" x14ac:dyDescent="0.2">
      <c r="AV2150" s="401"/>
      <c r="AW2150" s="412"/>
      <c r="AX2150" s="230"/>
      <c r="AY2150" s="42"/>
      <c r="AZ2150" s="320"/>
      <c r="BD2150" s="401"/>
      <c r="BE2150" s="42"/>
    </row>
    <row r="2151" spans="48:57" x14ac:dyDescent="0.2">
      <c r="AV2151" s="401"/>
      <c r="AW2151" s="412"/>
      <c r="AX2151" s="230"/>
      <c r="AY2151" s="42"/>
      <c r="AZ2151" s="320"/>
      <c r="BD2151" s="401"/>
      <c r="BE2151" s="42"/>
    </row>
    <row r="2152" spans="48:57" x14ac:dyDescent="0.2">
      <c r="AV2152" s="401"/>
      <c r="AW2152" s="412"/>
      <c r="AX2152" s="230"/>
      <c r="AY2152" s="42"/>
      <c r="AZ2152" s="320"/>
      <c r="BD2152" s="401"/>
      <c r="BE2152" s="42"/>
    </row>
    <row r="2153" spans="48:57" x14ac:dyDescent="0.2">
      <c r="AV2153" s="401"/>
      <c r="AW2153" s="412"/>
      <c r="AX2153" s="230"/>
      <c r="AY2153" s="42"/>
      <c r="AZ2153" s="320"/>
      <c r="BD2153" s="401"/>
      <c r="BE2153" s="42"/>
    </row>
    <row r="2154" spans="48:57" x14ac:dyDescent="0.2">
      <c r="AV2154" s="401"/>
      <c r="AW2154" s="412"/>
      <c r="AX2154" s="230"/>
      <c r="AY2154" s="42"/>
      <c r="AZ2154" s="320"/>
      <c r="BD2154" s="401"/>
      <c r="BE2154" s="42"/>
    </row>
    <row r="2155" spans="48:57" x14ac:dyDescent="0.2">
      <c r="AV2155" s="401"/>
      <c r="AW2155" s="412"/>
      <c r="AX2155" s="230"/>
      <c r="AY2155" s="42"/>
      <c r="AZ2155" s="320"/>
      <c r="BD2155" s="401"/>
      <c r="BE2155" s="42"/>
    </row>
    <row r="2156" spans="48:57" x14ac:dyDescent="0.2">
      <c r="AV2156" s="401"/>
      <c r="AW2156" s="412"/>
      <c r="AX2156" s="230"/>
      <c r="AY2156" s="42"/>
      <c r="AZ2156" s="320"/>
      <c r="BD2156" s="401"/>
      <c r="BE2156" s="42"/>
    </row>
    <row r="2157" spans="48:57" x14ac:dyDescent="0.2">
      <c r="AV2157" s="401"/>
      <c r="AW2157" s="412"/>
      <c r="AX2157" s="230"/>
      <c r="AY2157" s="42"/>
      <c r="AZ2157" s="320"/>
      <c r="BD2157" s="401"/>
      <c r="BE2157" s="42"/>
    </row>
    <row r="2158" spans="48:57" x14ac:dyDescent="0.2">
      <c r="AV2158" s="401"/>
      <c r="AW2158" s="412"/>
      <c r="AX2158" s="230"/>
      <c r="AY2158" s="42"/>
      <c r="AZ2158" s="320"/>
      <c r="BD2158" s="401"/>
      <c r="BE2158" s="42"/>
    </row>
    <row r="2159" spans="48:57" x14ac:dyDescent="0.2">
      <c r="AV2159" s="401"/>
      <c r="AW2159" s="412"/>
      <c r="AX2159" s="230"/>
      <c r="AY2159" s="42"/>
      <c r="AZ2159" s="320"/>
      <c r="BD2159" s="401"/>
      <c r="BE2159" s="42"/>
    </row>
    <row r="2160" spans="48:57" x14ac:dyDescent="0.2">
      <c r="AV2160" s="401"/>
      <c r="AW2160" s="412"/>
      <c r="AX2160" s="230"/>
      <c r="AY2160" s="42"/>
      <c r="AZ2160" s="320"/>
      <c r="BD2160" s="401"/>
      <c r="BE2160" s="42"/>
    </row>
    <row r="2161" spans="48:57" x14ac:dyDescent="0.2">
      <c r="AV2161" s="401"/>
      <c r="AW2161" s="412"/>
      <c r="AX2161" s="230"/>
      <c r="AY2161" s="42"/>
      <c r="AZ2161" s="320"/>
      <c r="BD2161" s="401"/>
      <c r="BE2161" s="42"/>
    </row>
    <row r="2162" spans="48:57" x14ac:dyDescent="0.2">
      <c r="AV2162" s="401"/>
      <c r="AW2162" s="412"/>
      <c r="AX2162" s="230"/>
      <c r="AY2162" s="42"/>
      <c r="AZ2162" s="320"/>
      <c r="BD2162" s="401"/>
      <c r="BE2162" s="42"/>
    </row>
    <row r="2163" spans="48:57" x14ac:dyDescent="0.2">
      <c r="AV2163" s="401"/>
      <c r="AW2163" s="412"/>
      <c r="AX2163" s="230"/>
      <c r="AY2163" s="42"/>
      <c r="AZ2163" s="320"/>
      <c r="BD2163" s="401"/>
      <c r="BE2163" s="42"/>
    </row>
    <row r="2164" spans="48:57" x14ac:dyDescent="0.2">
      <c r="AV2164" s="401"/>
      <c r="AW2164" s="412"/>
      <c r="AX2164" s="230"/>
      <c r="AY2164" s="42"/>
      <c r="AZ2164" s="320"/>
      <c r="BD2164" s="401"/>
      <c r="BE2164" s="42"/>
    </row>
    <row r="2165" spans="48:57" x14ac:dyDescent="0.2">
      <c r="AV2165" s="401"/>
      <c r="AW2165" s="412"/>
      <c r="AX2165" s="230"/>
      <c r="AY2165" s="42"/>
      <c r="AZ2165" s="320"/>
      <c r="BD2165" s="401"/>
      <c r="BE2165" s="42"/>
    </row>
    <row r="2166" spans="48:57" x14ac:dyDescent="0.2">
      <c r="AV2166" s="401"/>
      <c r="AW2166" s="412"/>
      <c r="AX2166" s="230"/>
      <c r="AY2166" s="42"/>
      <c r="AZ2166" s="320"/>
      <c r="BD2166" s="401"/>
      <c r="BE2166" s="42"/>
    </row>
    <row r="2167" spans="48:57" x14ac:dyDescent="0.2">
      <c r="AV2167" s="401"/>
      <c r="AW2167" s="412"/>
      <c r="AX2167" s="230"/>
      <c r="AY2167" s="42"/>
      <c r="AZ2167" s="320"/>
      <c r="BD2167" s="401"/>
      <c r="BE2167" s="42"/>
    </row>
    <row r="2168" spans="48:57" x14ac:dyDescent="0.2">
      <c r="AV2168" s="401"/>
      <c r="AW2168" s="412"/>
      <c r="AX2168" s="230"/>
      <c r="AY2168" s="42"/>
      <c r="AZ2168" s="320"/>
      <c r="BD2168" s="401"/>
      <c r="BE2168" s="42"/>
    </row>
    <row r="2169" spans="48:57" x14ac:dyDescent="0.2">
      <c r="AV2169" s="401"/>
      <c r="AW2169" s="412"/>
      <c r="AX2169" s="230"/>
      <c r="AY2169" s="42"/>
      <c r="AZ2169" s="320"/>
      <c r="BD2169" s="401"/>
      <c r="BE2169" s="42"/>
    </row>
    <row r="2170" spans="48:57" x14ac:dyDescent="0.2">
      <c r="AV2170" s="401"/>
      <c r="AW2170" s="412"/>
      <c r="AX2170" s="230"/>
      <c r="AY2170" s="42"/>
      <c r="AZ2170" s="320"/>
      <c r="BD2170" s="401"/>
      <c r="BE2170" s="42"/>
    </row>
    <row r="2171" spans="48:57" x14ac:dyDescent="0.2">
      <c r="AV2171" s="401"/>
      <c r="AW2171" s="412"/>
      <c r="AX2171" s="230"/>
      <c r="AY2171" s="42"/>
      <c r="AZ2171" s="320"/>
      <c r="BD2171" s="401"/>
      <c r="BE2171" s="42"/>
    </row>
    <row r="2172" spans="48:57" x14ac:dyDescent="0.2">
      <c r="AV2172" s="401"/>
      <c r="AW2172" s="412"/>
      <c r="AX2172" s="230"/>
      <c r="AY2172" s="42"/>
      <c r="AZ2172" s="320"/>
      <c r="BD2172" s="401"/>
      <c r="BE2172" s="42"/>
    </row>
    <row r="2173" spans="48:57" x14ac:dyDescent="0.2">
      <c r="AV2173" s="401"/>
      <c r="AW2173" s="412"/>
      <c r="AX2173" s="230"/>
      <c r="AY2173" s="42"/>
      <c r="AZ2173" s="320"/>
      <c r="BD2173" s="401"/>
      <c r="BE2173" s="42"/>
    </row>
    <row r="2174" spans="48:57" x14ac:dyDescent="0.2">
      <c r="AV2174" s="401"/>
      <c r="AW2174" s="412"/>
      <c r="AX2174" s="230"/>
      <c r="AY2174" s="42"/>
      <c r="AZ2174" s="320"/>
      <c r="BD2174" s="401"/>
      <c r="BE2174" s="42"/>
    </row>
    <row r="2175" spans="48:57" x14ac:dyDescent="0.2">
      <c r="AV2175" s="401"/>
      <c r="AW2175" s="412"/>
      <c r="AX2175" s="230"/>
      <c r="AY2175" s="42"/>
      <c r="AZ2175" s="320"/>
      <c r="BD2175" s="401"/>
      <c r="BE2175" s="42"/>
    </row>
    <row r="2176" spans="48:57" x14ac:dyDescent="0.2">
      <c r="AV2176" s="401"/>
      <c r="AW2176" s="412"/>
      <c r="AX2176" s="230"/>
      <c r="AY2176" s="42"/>
      <c r="AZ2176" s="320"/>
      <c r="BD2176" s="401"/>
      <c r="BE2176" s="42"/>
    </row>
    <row r="2177" spans="48:57" x14ac:dyDescent="0.2">
      <c r="AV2177" s="401"/>
      <c r="AW2177" s="412"/>
      <c r="AX2177" s="230"/>
      <c r="AY2177" s="42"/>
      <c r="AZ2177" s="320"/>
      <c r="BD2177" s="401"/>
      <c r="BE2177" s="42"/>
    </row>
    <row r="2178" spans="48:57" x14ac:dyDescent="0.2">
      <c r="AV2178" s="401"/>
      <c r="AW2178" s="412"/>
      <c r="AX2178" s="230"/>
      <c r="AY2178" s="42"/>
      <c r="AZ2178" s="320"/>
      <c r="BD2178" s="401"/>
      <c r="BE2178" s="42"/>
    </row>
    <row r="2179" spans="48:57" x14ac:dyDescent="0.2">
      <c r="AV2179" s="401"/>
      <c r="AW2179" s="412"/>
      <c r="AX2179" s="230"/>
      <c r="AY2179" s="42"/>
      <c r="AZ2179" s="320"/>
      <c r="BD2179" s="401"/>
      <c r="BE2179" s="42"/>
    </row>
    <row r="2180" spans="48:57" x14ac:dyDescent="0.2">
      <c r="AV2180" s="401"/>
      <c r="AW2180" s="412"/>
      <c r="AX2180" s="230"/>
      <c r="AY2180" s="42"/>
      <c r="AZ2180" s="320"/>
      <c r="BD2180" s="401"/>
      <c r="BE2180" s="42"/>
    </row>
    <row r="2181" spans="48:57" x14ac:dyDescent="0.2">
      <c r="AV2181" s="401"/>
      <c r="AW2181" s="412"/>
      <c r="AX2181" s="230"/>
      <c r="AY2181" s="42"/>
      <c r="AZ2181" s="320"/>
      <c r="BD2181" s="401"/>
      <c r="BE2181" s="42"/>
    </row>
    <row r="2182" spans="48:57" x14ac:dyDescent="0.2">
      <c r="AV2182" s="401"/>
      <c r="AW2182" s="412"/>
      <c r="AX2182" s="230"/>
      <c r="AY2182" s="42"/>
      <c r="AZ2182" s="320"/>
      <c r="BD2182" s="401"/>
      <c r="BE2182" s="42"/>
    </row>
    <row r="2183" spans="48:57" x14ac:dyDescent="0.2">
      <c r="AV2183" s="401"/>
      <c r="AW2183" s="412"/>
      <c r="AX2183" s="230"/>
      <c r="AY2183" s="42"/>
      <c r="AZ2183" s="320"/>
      <c r="BD2183" s="401"/>
      <c r="BE2183" s="42"/>
    </row>
    <row r="2184" spans="48:57" x14ac:dyDescent="0.2">
      <c r="AV2184" s="401"/>
      <c r="AW2184" s="412"/>
      <c r="AX2184" s="230"/>
      <c r="AY2184" s="42"/>
      <c r="AZ2184" s="320"/>
      <c r="BD2184" s="401"/>
      <c r="BE2184" s="42"/>
    </row>
    <row r="2185" spans="48:57" x14ac:dyDescent="0.2">
      <c r="AV2185" s="401"/>
      <c r="AW2185" s="412"/>
      <c r="AX2185" s="230"/>
      <c r="AY2185" s="42"/>
      <c r="AZ2185" s="320"/>
      <c r="BD2185" s="401"/>
      <c r="BE2185" s="42"/>
    </row>
    <row r="2186" spans="48:57" x14ac:dyDescent="0.2">
      <c r="AV2186" s="401"/>
      <c r="AW2186" s="412"/>
      <c r="AX2186" s="230"/>
      <c r="AY2186" s="42"/>
      <c r="AZ2186" s="320"/>
      <c r="BD2186" s="401"/>
      <c r="BE2186" s="42"/>
    </row>
    <row r="2187" spans="48:57" x14ac:dyDescent="0.2">
      <c r="AV2187" s="401"/>
      <c r="AW2187" s="412"/>
      <c r="AX2187" s="230"/>
      <c r="AY2187" s="42"/>
      <c r="AZ2187" s="320"/>
      <c r="BD2187" s="401"/>
      <c r="BE2187" s="42"/>
    </row>
    <row r="2188" spans="48:57" x14ac:dyDescent="0.2">
      <c r="AV2188" s="401"/>
      <c r="AW2188" s="412"/>
      <c r="AX2188" s="230"/>
      <c r="AY2188" s="42"/>
      <c r="AZ2188" s="320"/>
      <c r="BD2188" s="401"/>
      <c r="BE2188" s="42"/>
    </row>
    <row r="2189" spans="48:57" x14ac:dyDescent="0.2">
      <c r="AV2189" s="401"/>
      <c r="AW2189" s="412"/>
      <c r="AX2189" s="230"/>
      <c r="AY2189" s="42"/>
      <c r="AZ2189" s="320"/>
      <c r="BD2189" s="401"/>
      <c r="BE2189" s="42"/>
    </row>
    <row r="2190" spans="48:57" x14ac:dyDescent="0.2">
      <c r="AV2190" s="401"/>
      <c r="AW2190" s="412"/>
      <c r="AX2190" s="230"/>
      <c r="AY2190" s="42"/>
      <c r="AZ2190" s="320"/>
      <c r="BD2190" s="401"/>
      <c r="BE2190" s="42"/>
    </row>
    <row r="2191" spans="48:57" x14ac:dyDescent="0.2">
      <c r="AV2191" s="401"/>
      <c r="AW2191" s="412"/>
      <c r="AX2191" s="230"/>
      <c r="AY2191" s="42"/>
      <c r="AZ2191" s="320"/>
      <c r="BD2191" s="401"/>
      <c r="BE2191" s="42"/>
    </row>
    <row r="2192" spans="48:57" x14ac:dyDescent="0.2">
      <c r="AV2192" s="401"/>
      <c r="AW2192" s="412"/>
      <c r="AX2192" s="230"/>
      <c r="AY2192" s="42"/>
      <c r="AZ2192" s="320"/>
      <c r="BD2192" s="401"/>
      <c r="BE2192" s="42"/>
    </row>
    <row r="2193" spans="48:57" x14ac:dyDescent="0.2">
      <c r="AV2193" s="401"/>
      <c r="AW2193" s="412"/>
      <c r="AX2193" s="230"/>
      <c r="AY2193" s="42"/>
      <c r="AZ2193" s="320"/>
      <c r="BD2193" s="401"/>
      <c r="BE2193" s="42"/>
    </row>
    <row r="2194" spans="48:57" x14ac:dyDescent="0.2">
      <c r="AV2194" s="401"/>
      <c r="AW2194" s="412"/>
      <c r="AX2194" s="230"/>
      <c r="AY2194" s="42"/>
      <c r="AZ2194" s="320"/>
      <c r="BD2194" s="401"/>
      <c r="BE2194" s="42"/>
    </row>
    <row r="2195" spans="48:57" x14ac:dyDescent="0.2">
      <c r="AV2195" s="401"/>
      <c r="AW2195" s="412"/>
      <c r="AX2195" s="230"/>
      <c r="AY2195" s="42"/>
      <c r="AZ2195" s="320"/>
      <c r="BD2195" s="401"/>
      <c r="BE2195" s="42"/>
    </row>
    <row r="2196" spans="48:57" x14ac:dyDescent="0.2">
      <c r="AV2196" s="401"/>
      <c r="AW2196" s="412"/>
      <c r="AX2196" s="230"/>
      <c r="AY2196" s="42"/>
      <c r="AZ2196" s="320"/>
      <c r="BD2196" s="401"/>
      <c r="BE2196" s="42"/>
    </row>
    <row r="2197" spans="48:57" x14ac:dyDescent="0.2">
      <c r="AV2197" s="401"/>
      <c r="AW2197" s="412"/>
      <c r="AX2197" s="230"/>
      <c r="AY2197" s="42"/>
      <c r="AZ2197" s="320"/>
      <c r="BD2197" s="401"/>
      <c r="BE2197" s="42"/>
    </row>
    <row r="2198" spans="48:57" x14ac:dyDescent="0.2">
      <c r="AV2198" s="401"/>
      <c r="AW2198" s="412"/>
      <c r="AX2198" s="230"/>
      <c r="AY2198" s="42"/>
      <c r="AZ2198" s="320"/>
      <c r="BD2198" s="401"/>
      <c r="BE2198" s="42"/>
    </row>
    <row r="2199" spans="48:57" x14ac:dyDescent="0.2">
      <c r="AV2199" s="401"/>
      <c r="AW2199" s="412"/>
      <c r="AX2199" s="230"/>
      <c r="AY2199" s="42"/>
      <c r="AZ2199" s="320"/>
      <c r="BD2199" s="401"/>
      <c r="BE2199" s="42"/>
    </row>
    <row r="2200" spans="48:57" x14ac:dyDescent="0.2">
      <c r="AV2200" s="401"/>
      <c r="AW2200" s="412"/>
      <c r="AX2200" s="230"/>
      <c r="AY2200" s="42"/>
      <c r="AZ2200" s="320"/>
      <c r="BD2200" s="401"/>
      <c r="BE2200" s="42"/>
    </row>
    <row r="2201" spans="48:57" x14ac:dyDescent="0.2">
      <c r="AV2201" s="401"/>
      <c r="AW2201" s="412"/>
      <c r="AX2201" s="230"/>
      <c r="AY2201" s="42"/>
      <c r="AZ2201" s="320"/>
      <c r="BD2201" s="401"/>
      <c r="BE2201" s="42"/>
    </row>
    <row r="2202" spans="48:57" x14ac:dyDescent="0.2">
      <c r="AV2202" s="401"/>
      <c r="AW2202" s="412"/>
      <c r="AX2202" s="230"/>
      <c r="AY2202" s="42"/>
      <c r="AZ2202" s="320"/>
      <c r="BD2202" s="401"/>
      <c r="BE2202" s="42"/>
    </row>
    <row r="2203" spans="48:57" x14ac:dyDescent="0.2">
      <c r="AV2203" s="401"/>
      <c r="AW2203" s="412"/>
      <c r="AX2203" s="230"/>
      <c r="AY2203" s="42"/>
      <c r="AZ2203" s="320"/>
      <c r="BD2203" s="401"/>
      <c r="BE2203" s="42"/>
    </row>
    <row r="2204" spans="48:57" x14ac:dyDescent="0.2">
      <c r="AV2204" s="401"/>
      <c r="AW2204" s="412"/>
      <c r="AX2204" s="230"/>
      <c r="AY2204" s="42"/>
      <c r="AZ2204" s="320"/>
      <c r="BD2204" s="401"/>
      <c r="BE2204" s="42"/>
    </row>
    <row r="2205" spans="48:57" x14ac:dyDescent="0.2">
      <c r="AV2205" s="401"/>
      <c r="AW2205" s="412"/>
      <c r="AX2205" s="230"/>
      <c r="AY2205" s="42"/>
      <c r="AZ2205" s="320"/>
      <c r="BD2205" s="401"/>
      <c r="BE2205" s="42"/>
    </row>
    <row r="2206" spans="48:57" x14ac:dyDescent="0.2">
      <c r="AV2206" s="401"/>
      <c r="AW2206" s="412"/>
      <c r="AX2206" s="230"/>
      <c r="AY2206" s="42"/>
      <c r="AZ2206" s="320"/>
      <c r="BD2206" s="401"/>
      <c r="BE2206" s="42"/>
    </row>
    <row r="2207" spans="48:57" x14ac:dyDescent="0.2">
      <c r="AV2207" s="401"/>
      <c r="AW2207" s="412"/>
      <c r="AX2207" s="230"/>
      <c r="AY2207" s="42"/>
      <c r="AZ2207" s="320"/>
      <c r="BD2207" s="401"/>
      <c r="BE2207" s="42"/>
    </row>
    <row r="2208" spans="48:57" x14ac:dyDescent="0.2">
      <c r="AV2208" s="401"/>
      <c r="AW2208" s="412"/>
      <c r="AX2208" s="230"/>
      <c r="AY2208" s="42"/>
      <c r="AZ2208" s="320"/>
      <c r="BD2208" s="401"/>
      <c r="BE2208" s="42"/>
    </row>
    <row r="2209" spans="48:57" x14ac:dyDescent="0.2">
      <c r="AV2209" s="401"/>
      <c r="AW2209" s="412"/>
      <c r="AX2209" s="230"/>
      <c r="AY2209" s="42"/>
      <c r="AZ2209" s="320"/>
      <c r="BD2209" s="401"/>
      <c r="BE2209" s="42"/>
    </row>
    <row r="2210" spans="48:57" x14ac:dyDescent="0.2">
      <c r="AV2210" s="401"/>
      <c r="AW2210" s="412"/>
      <c r="AX2210" s="230"/>
      <c r="AY2210" s="42"/>
      <c r="AZ2210" s="320"/>
      <c r="BD2210" s="401"/>
      <c r="BE2210" s="42"/>
    </row>
    <row r="2211" spans="48:57" x14ac:dyDescent="0.2">
      <c r="AV2211" s="401"/>
      <c r="AW2211" s="412"/>
      <c r="AX2211" s="230"/>
      <c r="AY2211" s="42"/>
      <c r="AZ2211" s="320"/>
      <c r="BD2211" s="401"/>
      <c r="BE2211" s="42"/>
    </row>
    <row r="2212" spans="48:57" x14ac:dyDescent="0.2">
      <c r="AV2212" s="401"/>
      <c r="AW2212" s="412"/>
      <c r="AX2212" s="230"/>
      <c r="AY2212" s="42"/>
      <c r="AZ2212" s="320"/>
      <c r="BD2212" s="401"/>
      <c r="BE2212" s="42"/>
    </row>
    <row r="2213" spans="48:57" x14ac:dyDescent="0.2">
      <c r="AV2213" s="401"/>
      <c r="AW2213" s="412"/>
      <c r="AX2213" s="230"/>
      <c r="AY2213" s="42"/>
      <c r="AZ2213" s="320"/>
      <c r="BD2213" s="401"/>
      <c r="BE2213" s="42"/>
    </row>
    <row r="2214" spans="48:57" x14ac:dyDescent="0.2">
      <c r="AV2214" s="401"/>
      <c r="AW2214" s="412"/>
      <c r="AX2214" s="230"/>
      <c r="AY2214" s="42"/>
      <c r="AZ2214" s="320"/>
      <c r="BD2214" s="401"/>
      <c r="BE2214" s="42"/>
    </row>
    <row r="2215" spans="48:57" x14ac:dyDescent="0.2">
      <c r="AV2215" s="401"/>
      <c r="AW2215" s="412"/>
      <c r="AX2215" s="230"/>
      <c r="AY2215" s="42"/>
      <c r="AZ2215" s="320"/>
      <c r="BD2215" s="401"/>
      <c r="BE2215" s="42"/>
    </row>
    <row r="2216" spans="48:57" x14ac:dyDescent="0.2">
      <c r="AV2216" s="401"/>
      <c r="AW2216" s="412"/>
      <c r="AX2216" s="230"/>
      <c r="AY2216" s="42"/>
      <c r="AZ2216" s="320"/>
      <c r="BD2216" s="401"/>
      <c r="BE2216" s="42"/>
    </row>
    <row r="2217" spans="48:57" x14ac:dyDescent="0.2">
      <c r="AV2217" s="401"/>
      <c r="AW2217" s="412"/>
      <c r="AX2217" s="230"/>
      <c r="AY2217" s="42"/>
      <c r="AZ2217" s="320"/>
      <c r="BD2217" s="401"/>
      <c r="BE2217" s="42"/>
    </row>
    <row r="2218" spans="48:57" x14ac:dyDescent="0.2">
      <c r="AV2218" s="401"/>
      <c r="AW2218" s="412"/>
      <c r="AX2218" s="230"/>
      <c r="AY2218" s="42"/>
      <c r="AZ2218" s="320"/>
      <c r="BD2218" s="401"/>
      <c r="BE2218" s="42"/>
    </row>
    <row r="2219" spans="48:57" x14ac:dyDescent="0.2">
      <c r="AV2219" s="401"/>
      <c r="AW2219" s="412"/>
      <c r="AX2219" s="230"/>
      <c r="AY2219" s="42"/>
      <c r="AZ2219" s="320"/>
      <c r="BD2219" s="401"/>
      <c r="BE2219" s="42"/>
    </row>
    <row r="2220" spans="48:57" x14ac:dyDescent="0.2">
      <c r="AV2220" s="401"/>
      <c r="AW2220" s="412"/>
      <c r="AX2220" s="230"/>
      <c r="AY2220" s="42"/>
      <c r="AZ2220" s="320"/>
      <c r="BD2220" s="401"/>
      <c r="BE2220" s="42"/>
    </row>
    <row r="2221" spans="48:57" x14ac:dyDescent="0.2">
      <c r="AV2221" s="401"/>
      <c r="AW2221" s="412"/>
      <c r="AX2221" s="230"/>
      <c r="AY2221" s="42"/>
      <c r="AZ2221" s="320"/>
      <c r="BD2221" s="401"/>
      <c r="BE2221" s="42"/>
    </row>
    <row r="2222" spans="48:57" x14ac:dyDescent="0.2">
      <c r="AV2222" s="401"/>
      <c r="AW2222" s="412"/>
      <c r="AX2222" s="230"/>
      <c r="AY2222" s="42"/>
      <c r="AZ2222" s="320"/>
      <c r="BD2222" s="401"/>
      <c r="BE2222" s="42"/>
    </row>
    <row r="2223" spans="48:57" x14ac:dyDescent="0.2">
      <c r="AV2223" s="401"/>
      <c r="AW2223" s="412"/>
      <c r="AX2223" s="230"/>
      <c r="AY2223" s="42"/>
      <c r="AZ2223" s="320"/>
      <c r="BD2223" s="401"/>
      <c r="BE2223" s="42"/>
    </row>
    <row r="2224" spans="48:57" x14ac:dyDescent="0.2">
      <c r="AV2224" s="401"/>
      <c r="AW2224" s="412"/>
      <c r="AX2224" s="230"/>
      <c r="AY2224" s="42"/>
      <c r="AZ2224" s="320"/>
      <c r="BD2224" s="401"/>
      <c r="BE2224" s="42"/>
    </row>
    <row r="2225" spans="48:57" x14ac:dyDescent="0.2">
      <c r="AV2225" s="401"/>
      <c r="AW2225" s="412"/>
      <c r="AX2225" s="230"/>
      <c r="AY2225" s="42"/>
      <c r="AZ2225" s="320"/>
      <c r="BD2225" s="401"/>
      <c r="BE2225" s="42"/>
    </row>
    <row r="2226" spans="48:57" x14ac:dyDescent="0.2">
      <c r="AV2226" s="401"/>
      <c r="AW2226" s="412"/>
      <c r="AX2226" s="230"/>
      <c r="AY2226" s="42"/>
      <c r="AZ2226" s="320"/>
      <c r="BD2226" s="401"/>
      <c r="BE2226" s="42"/>
    </row>
    <row r="2227" spans="48:57" x14ac:dyDescent="0.2">
      <c r="AV2227" s="401"/>
      <c r="AW2227" s="412"/>
      <c r="AX2227" s="230"/>
      <c r="AY2227" s="42"/>
      <c r="AZ2227" s="320"/>
      <c r="BD2227" s="401"/>
      <c r="BE2227" s="42"/>
    </row>
    <row r="2228" spans="48:57" x14ac:dyDescent="0.2">
      <c r="AV2228" s="401"/>
      <c r="AW2228" s="412"/>
      <c r="AX2228" s="230"/>
      <c r="AY2228" s="42"/>
      <c r="AZ2228" s="320"/>
      <c r="BD2228" s="401"/>
      <c r="BE2228" s="42"/>
    </row>
    <row r="2229" spans="48:57" x14ac:dyDescent="0.2">
      <c r="AV2229" s="401"/>
      <c r="AW2229" s="412"/>
      <c r="AX2229" s="230"/>
      <c r="AY2229" s="42"/>
      <c r="AZ2229" s="320"/>
      <c r="BD2229" s="401"/>
      <c r="BE2229" s="42"/>
    </row>
    <row r="2230" spans="48:57" x14ac:dyDescent="0.2">
      <c r="AV2230" s="401"/>
      <c r="AW2230" s="412"/>
      <c r="AX2230" s="230"/>
      <c r="AY2230" s="42"/>
      <c r="AZ2230" s="320"/>
      <c r="BD2230" s="401"/>
      <c r="BE2230" s="42"/>
    </row>
    <row r="2231" spans="48:57" x14ac:dyDescent="0.2">
      <c r="AV2231" s="401"/>
      <c r="AW2231" s="412"/>
      <c r="AX2231" s="230"/>
      <c r="AY2231" s="42"/>
      <c r="AZ2231" s="320"/>
      <c r="BD2231" s="401"/>
      <c r="BE2231" s="42"/>
    </row>
    <row r="2232" spans="48:57" x14ac:dyDescent="0.2">
      <c r="AV2232" s="401"/>
      <c r="AW2232" s="412"/>
      <c r="AX2232" s="230"/>
      <c r="AY2232" s="42"/>
      <c r="AZ2232" s="320"/>
      <c r="BD2232" s="401"/>
      <c r="BE2232" s="42"/>
    </row>
    <row r="2233" spans="48:57" x14ac:dyDescent="0.2">
      <c r="AV2233" s="401"/>
      <c r="AW2233" s="412"/>
      <c r="AX2233" s="230"/>
      <c r="AY2233" s="42"/>
      <c r="AZ2233" s="320"/>
      <c r="BD2233" s="401"/>
      <c r="BE2233" s="42"/>
    </row>
    <row r="2234" spans="48:57" x14ac:dyDescent="0.2">
      <c r="AV2234" s="401"/>
      <c r="AW2234" s="412"/>
      <c r="AX2234" s="230"/>
      <c r="AY2234" s="42"/>
      <c r="AZ2234" s="320"/>
      <c r="BD2234" s="401"/>
      <c r="BE2234" s="42"/>
    </row>
    <row r="2235" spans="48:57" x14ac:dyDescent="0.2">
      <c r="AV2235" s="401"/>
      <c r="AW2235" s="412"/>
      <c r="AX2235" s="230"/>
      <c r="AY2235" s="42"/>
      <c r="AZ2235" s="320"/>
      <c r="BD2235" s="401"/>
      <c r="BE2235" s="42"/>
    </row>
    <row r="2236" spans="48:57" x14ac:dyDescent="0.2">
      <c r="AV2236" s="401"/>
      <c r="AW2236" s="412"/>
      <c r="AX2236" s="230"/>
      <c r="AY2236" s="42"/>
      <c r="AZ2236" s="320"/>
      <c r="BD2236" s="401"/>
      <c r="BE2236" s="42"/>
    </row>
    <row r="2237" spans="48:57" x14ac:dyDescent="0.2">
      <c r="AV2237" s="401"/>
      <c r="AW2237" s="412"/>
      <c r="AX2237" s="230"/>
      <c r="AY2237" s="42"/>
      <c r="AZ2237" s="320"/>
      <c r="BD2237" s="401"/>
      <c r="BE2237" s="42"/>
    </row>
    <row r="2238" spans="48:57" x14ac:dyDescent="0.2">
      <c r="AV2238" s="401"/>
      <c r="AW2238" s="412"/>
      <c r="AX2238" s="230"/>
      <c r="AY2238" s="42"/>
      <c r="AZ2238" s="320"/>
      <c r="BD2238" s="401"/>
      <c r="BE2238" s="42"/>
    </row>
    <row r="2239" spans="48:57" x14ac:dyDescent="0.2">
      <c r="AV2239" s="401"/>
      <c r="AW2239" s="412"/>
      <c r="AX2239" s="230"/>
      <c r="AY2239" s="42"/>
      <c r="AZ2239" s="320"/>
      <c r="BD2239" s="401"/>
      <c r="BE2239" s="42"/>
    </row>
    <row r="2240" spans="48:57" x14ac:dyDescent="0.2">
      <c r="AV2240" s="401"/>
      <c r="AW2240" s="412"/>
      <c r="AX2240" s="230"/>
      <c r="AY2240" s="42"/>
      <c r="AZ2240" s="320"/>
      <c r="BD2240" s="401"/>
      <c r="BE2240" s="42"/>
    </row>
    <row r="2241" spans="48:57" x14ac:dyDescent="0.2">
      <c r="AV2241" s="401"/>
      <c r="AW2241" s="412"/>
      <c r="AX2241" s="230"/>
      <c r="AY2241" s="42"/>
      <c r="AZ2241" s="320"/>
      <c r="BD2241" s="401"/>
      <c r="BE2241" s="42"/>
    </row>
    <row r="2242" spans="48:57" x14ac:dyDescent="0.2">
      <c r="AV2242" s="401"/>
      <c r="AW2242" s="412"/>
      <c r="AX2242" s="230"/>
      <c r="AY2242" s="42"/>
      <c r="AZ2242" s="320"/>
      <c r="BD2242" s="401"/>
      <c r="BE2242" s="42"/>
    </row>
    <row r="2243" spans="48:57" x14ac:dyDescent="0.2">
      <c r="AV2243" s="401"/>
      <c r="AW2243" s="412"/>
      <c r="AX2243" s="230"/>
      <c r="AY2243" s="42"/>
      <c r="AZ2243" s="320"/>
      <c r="BD2243" s="401"/>
      <c r="BE2243" s="42"/>
    </row>
    <row r="2244" spans="48:57" x14ac:dyDescent="0.2">
      <c r="AV2244" s="401"/>
      <c r="AW2244" s="412"/>
      <c r="AX2244" s="230"/>
      <c r="AY2244" s="42"/>
      <c r="AZ2244" s="320"/>
      <c r="BD2244" s="401"/>
      <c r="BE2244" s="42"/>
    </row>
    <row r="2245" spans="48:57" x14ac:dyDescent="0.2">
      <c r="AV2245" s="401"/>
      <c r="AW2245" s="412"/>
      <c r="AX2245" s="230"/>
      <c r="AY2245" s="42"/>
      <c r="AZ2245" s="320"/>
      <c r="BD2245" s="401"/>
      <c r="BE2245" s="42"/>
    </row>
    <row r="2246" spans="48:57" x14ac:dyDescent="0.2">
      <c r="AV2246" s="401"/>
      <c r="AW2246" s="412"/>
      <c r="AX2246" s="230"/>
      <c r="AY2246" s="42"/>
      <c r="AZ2246" s="320"/>
      <c r="BD2246" s="401"/>
      <c r="BE2246" s="42"/>
    </row>
    <row r="2247" spans="48:57" x14ac:dyDescent="0.2">
      <c r="AV2247" s="401"/>
      <c r="AW2247" s="412"/>
      <c r="AX2247" s="230"/>
      <c r="AY2247" s="42"/>
      <c r="AZ2247" s="320"/>
      <c r="BD2247" s="401"/>
      <c r="BE2247" s="42"/>
    </row>
    <row r="2248" spans="48:57" x14ac:dyDescent="0.2">
      <c r="AV2248" s="401"/>
      <c r="AW2248" s="412"/>
      <c r="AX2248" s="230"/>
      <c r="AY2248" s="42"/>
      <c r="AZ2248" s="320"/>
      <c r="BD2248" s="401"/>
      <c r="BE2248" s="42"/>
    </row>
    <row r="2249" spans="48:57" x14ac:dyDescent="0.2">
      <c r="AV2249" s="401"/>
      <c r="AW2249" s="412"/>
      <c r="AX2249" s="230"/>
      <c r="AY2249" s="42"/>
      <c r="AZ2249" s="320"/>
      <c r="BD2249" s="401"/>
      <c r="BE2249" s="42"/>
    </row>
    <row r="2250" spans="48:57" x14ac:dyDescent="0.2">
      <c r="AV2250" s="401"/>
      <c r="AW2250" s="412"/>
      <c r="AX2250" s="230"/>
      <c r="AY2250" s="42"/>
      <c r="AZ2250" s="320"/>
      <c r="BD2250" s="401"/>
      <c r="BE2250" s="42"/>
    </row>
    <row r="2251" spans="48:57" x14ac:dyDescent="0.2">
      <c r="AV2251" s="401"/>
      <c r="AW2251" s="412"/>
      <c r="AX2251" s="230"/>
      <c r="AY2251" s="42"/>
      <c r="AZ2251" s="320"/>
      <c r="BD2251" s="401"/>
      <c r="BE2251" s="42"/>
    </row>
    <row r="2252" spans="48:57" x14ac:dyDescent="0.2">
      <c r="AV2252" s="401"/>
      <c r="AW2252" s="412"/>
      <c r="AX2252" s="230"/>
      <c r="AY2252" s="42"/>
      <c r="AZ2252" s="320"/>
      <c r="BD2252" s="401"/>
      <c r="BE2252" s="42"/>
    </row>
    <row r="2253" spans="48:57" x14ac:dyDescent="0.2">
      <c r="AV2253" s="401"/>
      <c r="AW2253" s="412"/>
      <c r="AX2253" s="230"/>
      <c r="AY2253" s="42"/>
      <c r="AZ2253" s="320"/>
      <c r="BD2253" s="401"/>
      <c r="BE2253" s="42"/>
    </row>
    <row r="2254" spans="48:57" x14ac:dyDescent="0.2">
      <c r="AV2254" s="401"/>
      <c r="AW2254" s="412"/>
      <c r="AX2254" s="230"/>
      <c r="AY2254" s="42"/>
      <c r="AZ2254" s="320"/>
      <c r="BD2254" s="401"/>
      <c r="BE2254" s="42"/>
    </row>
    <row r="2255" spans="48:57" x14ac:dyDescent="0.2">
      <c r="AV2255" s="401"/>
      <c r="AW2255" s="412"/>
      <c r="AX2255" s="230"/>
      <c r="AY2255" s="42"/>
      <c r="AZ2255" s="320"/>
      <c r="BD2255" s="401"/>
      <c r="BE2255" s="42"/>
    </row>
    <row r="2256" spans="48:57" x14ac:dyDescent="0.2">
      <c r="AV2256" s="401"/>
      <c r="AW2256" s="412"/>
      <c r="AX2256" s="230"/>
      <c r="AY2256" s="42"/>
      <c r="AZ2256" s="320"/>
      <c r="BD2256" s="401"/>
      <c r="BE2256" s="42"/>
    </row>
    <row r="2257" spans="48:57" x14ac:dyDescent="0.2">
      <c r="AV2257" s="401"/>
      <c r="AW2257" s="412"/>
      <c r="AX2257" s="230"/>
      <c r="AY2257" s="42"/>
      <c r="AZ2257" s="320"/>
      <c r="BD2257" s="401"/>
      <c r="BE2257" s="42"/>
    </row>
    <row r="2258" spans="48:57" x14ac:dyDescent="0.2">
      <c r="AV2258" s="401"/>
      <c r="AW2258" s="412"/>
      <c r="AX2258" s="230"/>
      <c r="AY2258" s="42"/>
      <c r="AZ2258" s="320"/>
      <c r="BD2258" s="401"/>
      <c r="BE2258" s="42"/>
    </row>
    <row r="2259" spans="48:57" x14ac:dyDescent="0.2">
      <c r="AV2259" s="401"/>
      <c r="AW2259" s="412"/>
      <c r="AX2259" s="230"/>
      <c r="AY2259" s="42"/>
      <c r="AZ2259" s="320"/>
      <c r="BD2259" s="401"/>
      <c r="BE2259" s="42"/>
    </row>
    <row r="2260" spans="48:57" x14ac:dyDescent="0.2">
      <c r="AV2260" s="401"/>
      <c r="AW2260" s="412"/>
      <c r="AX2260" s="230"/>
      <c r="AY2260" s="42"/>
      <c r="AZ2260" s="320"/>
      <c r="BD2260" s="401"/>
      <c r="BE2260" s="42"/>
    </row>
    <row r="2261" spans="48:57" x14ac:dyDescent="0.2">
      <c r="AV2261" s="401"/>
      <c r="AW2261" s="412"/>
      <c r="AX2261" s="230"/>
      <c r="AY2261" s="42"/>
      <c r="AZ2261" s="320"/>
      <c r="BD2261" s="401"/>
      <c r="BE2261" s="42"/>
    </row>
    <row r="2262" spans="48:57" x14ac:dyDescent="0.2">
      <c r="AV2262" s="401"/>
      <c r="AW2262" s="412"/>
      <c r="AX2262" s="230"/>
      <c r="AY2262" s="42"/>
      <c r="AZ2262" s="320"/>
      <c r="BD2262" s="401"/>
      <c r="BE2262" s="42"/>
    </row>
    <row r="2263" spans="48:57" x14ac:dyDescent="0.2">
      <c r="AV2263" s="401"/>
      <c r="AW2263" s="412"/>
      <c r="AX2263" s="230"/>
      <c r="AY2263" s="42"/>
      <c r="AZ2263" s="320"/>
      <c r="BD2263" s="401"/>
      <c r="BE2263" s="42"/>
    </row>
    <row r="2264" spans="48:57" x14ac:dyDescent="0.2">
      <c r="AV2264" s="401"/>
      <c r="AW2264" s="412"/>
      <c r="AX2264" s="230"/>
      <c r="AY2264" s="42"/>
      <c r="AZ2264" s="320"/>
      <c r="BD2264" s="401"/>
      <c r="BE2264" s="42"/>
    </row>
    <row r="2265" spans="48:57" x14ac:dyDescent="0.2">
      <c r="AV2265" s="401"/>
      <c r="AW2265" s="412"/>
      <c r="AX2265" s="230"/>
      <c r="AY2265" s="42"/>
      <c r="AZ2265" s="320"/>
      <c r="BD2265" s="401"/>
      <c r="BE2265" s="42"/>
    </row>
    <row r="2266" spans="48:57" x14ac:dyDescent="0.2">
      <c r="AV2266" s="401"/>
      <c r="AW2266" s="412"/>
      <c r="AX2266" s="230"/>
      <c r="AY2266" s="42"/>
      <c r="AZ2266" s="320"/>
      <c r="BD2266" s="401"/>
      <c r="BE2266" s="42"/>
    </row>
    <row r="2267" spans="48:57" x14ac:dyDescent="0.2">
      <c r="AV2267" s="401"/>
      <c r="AW2267" s="412"/>
      <c r="AX2267" s="230"/>
      <c r="AY2267" s="42"/>
      <c r="AZ2267" s="320"/>
      <c r="BD2267" s="401"/>
      <c r="BE2267" s="42"/>
    </row>
    <row r="2268" spans="48:57" x14ac:dyDescent="0.2">
      <c r="AV2268" s="401"/>
      <c r="AW2268" s="412"/>
      <c r="AX2268" s="230"/>
      <c r="AY2268" s="42"/>
      <c r="AZ2268" s="320"/>
      <c r="BD2268" s="401"/>
      <c r="BE2268" s="42"/>
    </row>
    <row r="2269" spans="48:57" x14ac:dyDescent="0.2">
      <c r="AV2269" s="401"/>
      <c r="AW2269" s="412"/>
      <c r="AX2269" s="230"/>
      <c r="AY2269" s="42"/>
      <c r="AZ2269" s="320"/>
      <c r="BD2269" s="401"/>
      <c r="BE2269" s="42"/>
    </row>
    <row r="2270" spans="48:57" x14ac:dyDescent="0.2">
      <c r="AV2270" s="401"/>
      <c r="AW2270" s="412"/>
      <c r="AX2270" s="230"/>
      <c r="AY2270" s="42"/>
      <c r="AZ2270" s="320"/>
      <c r="BD2270" s="401"/>
      <c r="BE2270" s="42"/>
    </row>
    <row r="2271" spans="48:57" x14ac:dyDescent="0.2">
      <c r="AV2271" s="401"/>
      <c r="AW2271" s="412"/>
      <c r="AX2271" s="230"/>
      <c r="AY2271" s="42"/>
      <c r="AZ2271" s="320"/>
      <c r="BD2271" s="401"/>
      <c r="BE2271" s="42"/>
    </row>
    <row r="2272" spans="48:57" x14ac:dyDescent="0.2">
      <c r="AV2272" s="401"/>
      <c r="AW2272" s="412"/>
      <c r="AX2272" s="230"/>
      <c r="AY2272" s="42"/>
      <c r="AZ2272" s="320"/>
      <c r="BD2272" s="401"/>
      <c r="BE2272" s="42"/>
    </row>
    <row r="2273" spans="48:57" x14ac:dyDescent="0.2">
      <c r="AV2273" s="401"/>
      <c r="AW2273" s="412"/>
      <c r="AX2273" s="230"/>
      <c r="AY2273" s="42"/>
      <c r="AZ2273" s="320"/>
      <c r="BD2273" s="401"/>
      <c r="BE2273" s="42"/>
    </row>
    <row r="2274" spans="48:57" x14ac:dyDescent="0.2">
      <c r="AV2274" s="401"/>
      <c r="AW2274" s="412"/>
      <c r="AX2274" s="230"/>
      <c r="AY2274" s="42"/>
      <c r="AZ2274" s="320"/>
      <c r="BD2274" s="401"/>
      <c r="BE2274" s="42"/>
    </row>
    <row r="2275" spans="48:57" x14ac:dyDescent="0.2">
      <c r="AV2275" s="401"/>
      <c r="AW2275" s="412"/>
      <c r="AX2275" s="230"/>
      <c r="AY2275" s="42"/>
      <c r="AZ2275" s="320"/>
      <c r="BD2275" s="401"/>
      <c r="BE2275" s="42"/>
    </row>
    <row r="2276" spans="48:57" x14ac:dyDescent="0.2">
      <c r="AV2276" s="401"/>
      <c r="AW2276" s="412"/>
      <c r="AX2276" s="230"/>
      <c r="AY2276" s="42"/>
      <c r="AZ2276" s="320"/>
      <c r="BD2276" s="401"/>
      <c r="BE2276" s="42"/>
    </row>
    <row r="2277" spans="48:57" x14ac:dyDescent="0.2">
      <c r="AV2277" s="401"/>
      <c r="AW2277" s="412"/>
      <c r="AX2277" s="230"/>
      <c r="AY2277" s="42"/>
      <c r="AZ2277" s="320"/>
      <c r="BD2277" s="401"/>
      <c r="BE2277" s="42"/>
    </row>
    <row r="2278" spans="48:57" x14ac:dyDescent="0.2">
      <c r="AV2278" s="401"/>
      <c r="AW2278" s="412"/>
      <c r="AX2278" s="230"/>
      <c r="AY2278" s="42"/>
      <c r="AZ2278" s="320"/>
      <c r="BD2278" s="401"/>
      <c r="BE2278" s="42"/>
    </row>
    <row r="2279" spans="48:57" x14ac:dyDescent="0.2">
      <c r="AV2279" s="401"/>
      <c r="AW2279" s="412"/>
      <c r="AX2279" s="230"/>
      <c r="AY2279" s="42"/>
      <c r="AZ2279" s="320"/>
      <c r="BD2279" s="401"/>
      <c r="BE2279" s="42"/>
    </row>
    <row r="2280" spans="48:57" x14ac:dyDescent="0.2">
      <c r="AV2280" s="401"/>
      <c r="AW2280" s="412"/>
      <c r="AX2280" s="230"/>
      <c r="AY2280" s="42"/>
      <c r="AZ2280" s="320"/>
      <c r="BD2280" s="401"/>
      <c r="BE2280" s="42"/>
    </row>
    <row r="2281" spans="48:57" x14ac:dyDescent="0.2">
      <c r="AV2281" s="401"/>
      <c r="AW2281" s="412"/>
      <c r="AX2281" s="230"/>
      <c r="AY2281" s="42"/>
      <c r="AZ2281" s="320"/>
      <c r="BD2281" s="401"/>
      <c r="BE2281" s="42"/>
    </row>
    <row r="2282" spans="48:57" x14ac:dyDescent="0.2">
      <c r="AV2282" s="401"/>
      <c r="AW2282" s="412"/>
      <c r="AX2282" s="230"/>
      <c r="AY2282" s="42"/>
      <c r="AZ2282" s="320"/>
      <c r="BD2282" s="401"/>
      <c r="BE2282" s="42"/>
    </row>
    <row r="2283" spans="48:57" x14ac:dyDescent="0.2">
      <c r="AV2283" s="401"/>
      <c r="AW2283" s="412"/>
      <c r="AX2283" s="230"/>
      <c r="AY2283" s="42"/>
      <c r="AZ2283" s="320"/>
      <c r="BD2283" s="401"/>
      <c r="BE2283" s="42"/>
    </row>
    <row r="2284" spans="48:57" x14ac:dyDescent="0.2">
      <c r="AV2284" s="401"/>
      <c r="AW2284" s="412"/>
      <c r="AX2284" s="230"/>
      <c r="AY2284" s="42"/>
      <c r="AZ2284" s="320"/>
      <c r="BD2284" s="401"/>
      <c r="BE2284" s="42"/>
    </row>
    <row r="2285" spans="48:57" x14ac:dyDescent="0.2">
      <c r="AV2285" s="401"/>
      <c r="AW2285" s="412"/>
      <c r="AX2285" s="230"/>
      <c r="AY2285" s="42"/>
      <c r="AZ2285" s="320"/>
      <c r="BD2285" s="401"/>
      <c r="BE2285" s="42"/>
    </row>
    <row r="2286" spans="48:57" x14ac:dyDescent="0.2">
      <c r="AV2286" s="401"/>
      <c r="AW2286" s="412"/>
      <c r="AX2286" s="230"/>
      <c r="AY2286" s="42"/>
      <c r="AZ2286" s="320"/>
      <c r="BD2286" s="401"/>
      <c r="BE2286" s="42"/>
    </row>
    <row r="2287" spans="48:57" x14ac:dyDescent="0.2">
      <c r="AV2287" s="401"/>
      <c r="AW2287" s="412"/>
      <c r="AX2287" s="230"/>
      <c r="AY2287" s="42"/>
      <c r="AZ2287" s="320"/>
      <c r="BD2287" s="401"/>
      <c r="BE2287" s="42"/>
    </row>
    <row r="2288" spans="48:57" x14ac:dyDescent="0.2">
      <c r="AV2288" s="401"/>
      <c r="AW2288" s="412"/>
      <c r="AX2288" s="230"/>
      <c r="AY2288" s="42"/>
      <c r="AZ2288" s="320"/>
      <c r="BD2288" s="401"/>
      <c r="BE2288" s="42"/>
    </row>
    <row r="2289" spans="48:57" x14ac:dyDescent="0.2">
      <c r="AV2289" s="401"/>
      <c r="AW2289" s="412"/>
      <c r="AX2289" s="230"/>
      <c r="AY2289" s="42"/>
      <c r="AZ2289" s="320"/>
      <c r="BD2289" s="401"/>
      <c r="BE2289" s="42"/>
    </row>
    <row r="2290" spans="48:57" x14ac:dyDescent="0.2">
      <c r="AV2290" s="401"/>
      <c r="AW2290" s="412"/>
      <c r="AX2290" s="230"/>
      <c r="AY2290" s="42"/>
      <c r="AZ2290" s="320"/>
      <c r="BD2290" s="401"/>
      <c r="BE2290" s="42"/>
    </row>
    <row r="2291" spans="48:57" x14ac:dyDescent="0.2">
      <c r="AV2291" s="401"/>
      <c r="AW2291" s="412"/>
      <c r="AX2291" s="230"/>
      <c r="AY2291" s="42"/>
      <c r="AZ2291" s="320"/>
      <c r="BD2291" s="401"/>
      <c r="BE2291" s="42"/>
    </row>
    <row r="2292" spans="48:57" x14ac:dyDescent="0.2">
      <c r="AV2292" s="401"/>
      <c r="AW2292" s="412"/>
      <c r="AX2292" s="230"/>
      <c r="AY2292" s="42"/>
      <c r="AZ2292" s="320"/>
      <c r="BD2292" s="401"/>
      <c r="BE2292" s="42"/>
    </row>
    <row r="2293" spans="48:57" x14ac:dyDescent="0.2">
      <c r="AV2293" s="401"/>
      <c r="AW2293" s="412"/>
      <c r="AX2293" s="230"/>
      <c r="AY2293" s="42"/>
      <c r="AZ2293" s="320"/>
      <c r="BD2293" s="401"/>
      <c r="BE2293" s="42"/>
    </row>
    <row r="2294" spans="48:57" x14ac:dyDescent="0.2">
      <c r="AV2294" s="401"/>
      <c r="AW2294" s="412"/>
      <c r="AX2294" s="230"/>
      <c r="AY2294" s="42"/>
      <c r="AZ2294" s="320"/>
      <c r="BD2294" s="401"/>
      <c r="BE2294" s="42"/>
    </row>
    <row r="2295" spans="48:57" x14ac:dyDescent="0.2">
      <c r="AV2295" s="401"/>
      <c r="AW2295" s="412"/>
      <c r="AX2295" s="230"/>
      <c r="AY2295" s="42"/>
      <c r="AZ2295" s="320"/>
      <c r="BD2295" s="401"/>
      <c r="BE2295" s="42"/>
    </row>
    <row r="2296" spans="48:57" x14ac:dyDescent="0.2">
      <c r="AV2296" s="401"/>
      <c r="AW2296" s="412"/>
      <c r="AX2296" s="230"/>
      <c r="AY2296" s="42"/>
      <c r="AZ2296" s="320"/>
      <c r="BD2296" s="401"/>
      <c r="BE2296" s="42"/>
    </row>
    <row r="2297" spans="48:57" x14ac:dyDescent="0.2">
      <c r="AV2297" s="401"/>
      <c r="AW2297" s="412"/>
      <c r="AX2297" s="230"/>
      <c r="AY2297" s="42"/>
      <c r="AZ2297" s="320"/>
      <c r="BD2297" s="401"/>
      <c r="BE2297" s="42"/>
    </row>
    <row r="2298" spans="48:57" x14ac:dyDescent="0.2">
      <c r="AV2298" s="401"/>
      <c r="AW2298" s="412"/>
      <c r="AX2298" s="230"/>
      <c r="AY2298" s="42"/>
      <c r="AZ2298" s="320"/>
      <c r="BD2298" s="401"/>
      <c r="BE2298" s="42"/>
    </row>
    <row r="2299" spans="48:57" x14ac:dyDescent="0.2">
      <c r="AV2299" s="401"/>
      <c r="AW2299" s="412"/>
      <c r="AX2299" s="230"/>
      <c r="AY2299" s="42"/>
      <c r="AZ2299" s="320"/>
      <c r="BD2299" s="401"/>
      <c r="BE2299" s="42"/>
    </row>
    <row r="2300" spans="48:57" x14ac:dyDescent="0.2">
      <c r="AV2300" s="401"/>
      <c r="AW2300" s="412"/>
      <c r="AX2300" s="230"/>
      <c r="AY2300" s="42"/>
      <c r="AZ2300" s="320"/>
      <c r="BD2300" s="401"/>
      <c r="BE2300" s="42"/>
    </row>
    <row r="2301" spans="48:57" x14ac:dyDescent="0.2">
      <c r="AV2301" s="401"/>
      <c r="AW2301" s="412"/>
      <c r="AX2301" s="230"/>
      <c r="AY2301" s="42"/>
      <c r="AZ2301" s="320"/>
      <c r="BD2301" s="401"/>
      <c r="BE2301" s="42"/>
    </row>
    <row r="2302" spans="48:57" x14ac:dyDescent="0.2">
      <c r="AV2302" s="401"/>
      <c r="AW2302" s="412"/>
      <c r="AX2302" s="230"/>
      <c r="AY2302" s="42"/>
      <c r="AZ2302" s="320"/>
      <c r="BD2302" s="401"/>
      <c r="BE2302" s="42"/>
    </row>
    <row r="2303" spans="48:57" x14ac:dyDescent="0.2">
      <c r="AV2303" s="401"/>
      <c r="AW2303" s="412"/>
      <c r="AX2303" s="230"/>
      <c r="AY2303" s="42"/>
      <c r="AZ2303" s="320"/>
      <c r="BD2303" s="401"/>
      <c r="BE2303" s="42"/>
    </row>
    <row r="2304" spans="48:57" x14ac:dyDescent="0.2">
      <c r="AV2304" s="401"/>
      <c r="AW2304" s="412"/>
      <c r="AX2304" s="230"/>
      <c r="AY2304" s="42"/>
      <c r="AZ2304" s="320"/>
      <c r="BD2304" s="401"/>
      <c r="BE2304" s="42"/>
    </row>
    <row r="2305" spans="48:57" x14ac:dyDescent="0.2">
      <c r="AV2305" s="401"/>
      <c r="AW2305" s="412"/>
      <c r="AX2305" s="230"/>
      <c r="AY2305" s="42"/>
      <c r="AZ2305" s="320"/>
      <c r="BD2305" s="401"/>
      <c r="BE2305" s="42"/>
    </row>
    <row r="2306" spans="48:57" x14ac:dyDescent="0.2">
      <c r="AV2306" s="401"/>
      <c r="AW2306" s="412"/>
      <c r="AX2306" s="230"/>
      <c r="AY2306" s="42"/>
      <c r="AZ2306" s="320"/>
      <c r="BD2306" s="401"/>
      <c r="BE2306" s="42"/>
    </row>
    <row r="2307" spans="48:57" x14ac:dyDescent="0.2">
      <c r="AV2307" s="401"/>
      <c r="AW2307" s="412"/>
      <c r="AX2307" s="230"/>
      <c r="AY2307" s="42"/>
      <c r="AZ2307" s="320"/>
      <c r="BD2307" s="401"/>
      <c r="BE2307" s="42"/>
    </row>
    <row r="2308" spans="48:57" x14ac:dyDescent="0.2">
      <c r="AV2308" s="401"/>
      <c r="AW2308" s="412"/>
      <c r="AX2308" s="230"/>
      <c r="AY2308" s="42"/>
      <c r="AZ2308" s="320"/>
      <c r="BD2308" s="401"/>
      <c r="BE2308" s="42"/>
    </row>
    <row r="2309" spans="48:57" x14ac:dyDescent="0.2">
      <c r="AV2309" s="401"/>
      <c r="AW2309" s="412"/>
      <c r="AX2309" s="230"/>
      <c r="AY2309" s="42"/>
      <c r="AZ2309" s="320"/>
      <c r="BD2309" s="401"/>
      <c r="BE2309" s="42"/>
    </row>
    <row r="2310" spans="48:57" x14ac:dyDescent="0.2">
      <c r="AV2310" s="401"/>
      <c r="AW2310" s="412"/>
      <c r="AX2310" s="230"/>
      <c r="AY2310" s="42"/>
      <c r="AZ2310" s="320"/>
      <c r="BD2310" s="401"/>
      <c r="BE2310" s="42"/>
    </row>
    <row r="2311" spans="48:57" x14ac:dyDescent="0.2">
      <c r="AV2311" s="401"/>
      <c r="AW2311" s="412"/>
      <c r="AX2311" s="230"/>
      <c r="AY2311" s="42"/>
      <c r="AZ2311" s="320"/>
      <c r="BD2311" s="401"/>
      <c r="BE2311" s="42"/>
    </row>
    <row r="2312" spans="48:57" x14ac:dyDescent="0.2">
      <c r="AV2312" s="401"/>
      <c r="AW2312" s="412"/>
      <c r="AX2312" s="230"/>
      <c r="AY2312" s="42"/>
      <c r="AZ2312" s="320"/>
      <c r="BD2312" s="401"/>
      <c r="BE2312" s="42"/>
    </row>
    <row r="2313" spans="48:57" x14ac:dyDescent="0.2">
      <c r="AV2313" s="401"/>
      <c r="AW2313" s="412"/>
      <c r="AX2313" s="230"/>
      <c r="AY2313" s="42"/>
      <c r="AZ2313" s="320"/>
      <c r="BD2313" s="401"/>
      <c r="BE2313" s="42"/>
    </row>
    <row r="2314" spans="48:57" x14ac:dyDescent="0.2">
      <c r="AV2314" s="401"/>
      <c r="AW2314" s="412"/>
      <c r="AX2314" s="230"/>
      <c r="AY2314" s="42"/>
      <c r="AZ2314" s="320"/>
      <c r="BD2314" s="401"/>
      <c r="BE2314" s="42"/>
    </row>
    <row r="2315" spans="48:57" x14ac:dyDescent="0.2">
      <c r="AV2315" s="401"/>
      <c r="AW2315" s="412"/>
      <c r="AX2315" s="230"/>
      <c r="AY2315" s="42"/>
      <c r="AZ2315" s="320"/>
      <c r="BD2315" s="401"/>
      <c r="BE2315" s="42"/>
    </row>
    <row r="2316" spans="48:57" x14ac:dyDescent="0.2">
      <c r="AV2316" s="401"/>
      <c r="AW2316" s="412"/>
      <c r="AX2316" s="230"/>
      <c r="AY2316" s="42"/>
      <c r="AZ2316" s="320"/>
      <c r="BD2316" s="401"/>
      <c r="BE2316" s="42"/>
    </row>
    <row r="2317" spans="48:57" x14ac:dyDescent="0.2">
      <c r="AV2317" s="401"/>
      <c r="AW2317" s="412"/>
      <c r="AX2317" s="230"/>
      <c r="AY2317" s="42"/>
      <c r="AZ2317" s="320"/>
      <c r="BD2317" s="401"/>
      <c r="BE2317" s="42"/>
    </row>
    <row r="2318" spans="48:57" x14ac:dyDescent="0.2">
      <c r="AV2318" s="401"/>
      <c r="AW2318" s="412"/>
      <c r="AX2318" s="230"/>
      <c r="AY2318" s="42"/>
      <c r="AZ2318" s="320"/>
      <c r="BD2318" s="401"/>
      <c r="BE2318" s="42"/>
    </row>
    <row r="2319" spans="48:57" x14ac:dyDescent="0.2">
      <c r="AV2319" s="401"/>
      <c r="AW2319" s="412"/>
      <c r="AX2319" s="230"/>
      <c r="AY2319" s="42"/>
      <c r="AZ2319" s="320"/>
      <c r="BD2319" s="401"/>
      <c r="BE2319" s="42"/>
    </row>
    <row r="2320" spans="48:57" x14ac:dyDescent="0.2">
      <c r="AV2320" s="401"/>
      <c r="AW2320" s="412"/>
      <c r="AX2320" s="230"/>
      <c r="AY2320" s="42"/>
      <c r="AZ2320" s="320"/>
      <c r="BD2320" s="401"/>
      <c r="BE2320" s="42"/>
    </row>
    <row r="2321" spans="48:57" x14ac:dyDescent="0.2">
      <c r="AV2321" s="401"/>
      <c r="AW2321" s="412"/>
      <c r="AX2321" s="230"/>
      <c r="AY2321" s="42"/>
      <c r="AZ2321" s="320"/>
      <c r="BD2321" s="401"/>
      <c r="BE2321" s="42"/>
    </row>
    <row r="2322" spans="48:57" x14ac:dyDescent="0.2">
      <c r="AV2322" s="401"/>
      <c r="AW2322" s="412"/>
      <c r="AX2322" s="230"/>
      <c r="AY2322" s="42"/>
      <c r="AZ2322" s="320"/>
      <c r="BD2322" s="401"/>
      <c r="BE2322" s="42"/>
    </row>
    <row r="2323" spans="48:57" x14ac:dyDescent="0.2">
      <c r="AV2323" s="401"/>
      <c r="AW2323" s="412"/>
      <c r="AX2323" s="230"/>
      <c r="AY2323" s="42"/>
      <c r="AZ2323" s="320"/>
      <c r="BD2323" s="401"/>
      <c r="BE2323" s="42"/>
    </row>
    <row r="2324" spans="48:57" x14ac:dyDescent="0.2">
      <c r="AV2324" s="401"/>
      <c r="AW2324" s="412"/>
      <c r="AX2324" s="230"/>
      <c r="AY2324" s="42"/>
      <c r="AZ2324" s="320"/>
      <c r="BD2324" s="401"/>
      <c r="BE2324" s="42"/>
    </row>
    <row r="2325" spans="48:57" x14ac:dyDescent="0.2">
      <c r="AV2325" s="401"/>
      <c r="AW2325" s="412"/>
      <c r="AX2325" s="230"/>
      <c r="AY2325" s="42"/>
      <c r="AZ2325" s="320"/>
      <c r="BD2325" s="401"/>
      <c r="BE2325" s="42"/>
    </row>
    <row r="2326" spans="48:57" x14ac:dyDescent="0.2">
      <c r="AV2326" s="401"/>
      <c r="AW2326" s="412"/>
      <c r="AX2326" s="230"/>
      <c r="AY2326" s="42"/>
      <c r="AZ2326" s="320"/>
      <c r="BD2326" s="401"/>
      <c r="BE2326" s="42"/>
    </row>
    <row r="2327" spans="48:57" x14ac:dyDescent="0.2">
      <c r="AV2327" s="401"/>
      <c r="AW2327" s="412"/>
      <c r="AX2327" s="230"/>
      <c r="AY2327" s="42"/>
      <c r="AZ2327" s="320"/>
      <c r="BD2327" s="401"/>
      <c r="BE2327" s="42"/>
    </row>
    <row r="2328" spans="48:57" x14ac:dyDescent="0.2">
      <c r="AV2328" s="401"/>
      <c r="AW2328" s="412"/>
      <c r="AX2328" s="230"/>
      <c r="AY2328" s="42"/>
      <c r="AZ2328" s="320"/>
      <c r="BD2328" s="401"/>
      <c r="BE2328" s="42"/>
    </row>
    <row r="2329" spans="48:57" x14ac:dyDescent="0.2">
      <c r="AV2329" s="401"/>
      <c r="AW2329" s="412"/>
      <c r="AX2329" s="230"/>
      <c r="AY2329" s="42"/>
      <c r="AZ2329" s="320"/>
      <c r="BD2329" s="401"/>
      <c r="BE2329" s="42"/>
    </row>
    <row r="2330" spans="48:57" x14ac:dyDescent="0.2">
      <c r="AV2330" s="401"/>
      <c r="AW2330" s="412"/>
      <c r="AX2330" s="230"/>
      <c r="AY2330" s="42"/>
      <c r="AZ2330" s="320"/>
      <c r="BD2330" s="401"/>
      <c r="BE2330" s="42"/>
    </row>
    <row r="2331" spans="48:57" x14ac:dyDescent="0.2">
      <c r="AV2331" s="401"/>
      <c r="AW2331" s="412"/>
      <c r="AX2331" s="230"/>
      <c r="AY2331" s="42"/>
      <c r="AZ2331" s="320"/>
      <c r="BD2331" s="401"/>
      <c r="BE2331" s="42"/>
    </row>
    <row r="2332" spans="48:57" x14ac:dyDescent="0.2">
      <c r="AV2332" s="401"/>
      <c r="AW2332" s="412"/>
      <c r="AX2332" s="230"/>
      <c r="AY2332" s="42"/>
      <c r="AZ2332" s="320"/>
      <c r="BD2332" s="401"/>
      <c r="BE2332" s="42"/>
    </row>
    <row r="2333" spans="48:57" x14ac:dyDescent="0.2">
      <c r="AV2333" s="401"/>
      <c r="AW2333" s="412"/>
      <c r="AX2333" s="230"/>
      <c r="AY2333" s="42"/>
      <c r="AZ2333" s="320"/>
      <c r="BD2333" s="401"/>
      <c r="BE2333" s="42"/>
    </row>
    <row r="2334" spans="48:57" x14ac:dyDescent="0.2">
      <c r="AV2334" s="401"/>
      <c r="AW2334" s="412"/>
      <c r="AX2334" s="230"/>
      <c r="AY2334" s="42"/>
      <c r="AZ2334" s="320"/>
      <c r="BD2334" s="401"/>
      <c r="BE2334" s="42"/>
    </row>
    <row r="2335" spans="48:57" x14ac:dyDescent="0.2">
      <c r="AV2335" s="401"/>
      <c r="AW2335" s="412"/>
      <c r="AX2335" s="230"/>
      <c r="AY2335" s="42"/>
      <c r="AZ2335" s="320"/>
      <c r="BD2335" s="401"/>
      <c r="BE2335" s="42"/>
    </row>
    <row r="2336" spans="48:57" x14ac:dyDescent="0.2">
      <c r="AV2336" s="401"/>
      <c r="AW2336" s="412"/>
      <c r="AX2336" s="230"/>
      <c r="AY2336" s="42"/>
      <c r="AZ2336" s="320"/>
      <c r="BD2336" s="401"/>
      <c r="BE2336" s="42"/>
    </row>
    <row r="2337" spans="48:57" x14ac:dyDescent="0.2">
      <c r="AV2337" s="401"/>
      <c r="AW2337" s="412"/>
      <c r="AX2337" s="230"/>
      <c r="AY2337" s="42"/>
      <c r="AZ2337" s="320"/>
      <c r="BD2337" s="401"/>
      <c r="BE2337" s="42"/>
    </row>
    <row r="2338" spans="48:57" x14ac:dyDescent="0.2">
      <c r="AV2338" s="401"/>
      <c r="AW2338" s="412"/>
      <c r="AX2338" s="230"/>
      <c r="AY2338" s="42"/>
      <c r="AZ2338" s="320"/>
      <c r="BD2338" s="401"/>
      <c r="BE2338" s="42"/>
    </row>
    <row r="2339" spans="48:57" x14ac:dyDescent="0.2">
      <c r="AV2339" s="401"/>
      <c r="AW2339" s="412"/>
      <c r="AX2339" s="230"/>
      <c r="AY2339" s="42"/>
      <c r="AZ2339" s="320"/>
      <c r="BD2339" s="401"/>
      <c r="BE2339" s="42"/>
    </row>
    <row r="2340" spans="48:57" x14ac:dyDescent="0.2">
      <c r="AV2340" s="401"/>
      <c r="AW2340" s="412"/>
      <c r="AX2340" s="230"/>
      <c r="AY2340" s="42"/>
      <c r="AZ2340" s="320"/>
      <c r="BD2340" s="401"/>
      <c r="BE2340" s="42"/>
    </row>
    <row r="2341" spans="48:57" x14ac:dyDescent="0.2">
      <c r="AV2341" s="401"/>
      <c r="AW2341" s="412"/>
      <c r="AX2341" s="230"/>
      <c r="AY2341" s="42"/>
      <c r="AZ2341" s="320"/>
      <c r="BD2341" s="401"/>
      <c r="BE2341" s="42"/>
    </row>
    <row r="2342" spans="48:57" x14ac:dyDescent="0.2">
      <c r="AV2342" s="401"/>
      <c r="AW2342" s="412"/>
      <c r="AX2342" s="230"/>
      <c r="AY2342" s="42"/>
      <c r="AZ2342" s="320"/>
      <c r="BD2342" s="401"/>
      <c r="BE2342" s="42"/>
    </row>
    <row r="2343" spans="48:57" x14ac:dyDescent="0.2">
      <c r="AV2343" s="401"/>
      <c r="AW2343" s="412"/>
      <c r="AX2343" s="230"/>
      <c r="AY2343" s="42"/>
      <c r="AZ2343" s="320"/>
      <c r="BD2343" s="401"/>
      <c r="BE2343" s="42"/>
    </row>
    <row r="2344" spans="48:57" x14ac:dyDescent="0.2">
      <c r="AV2344" s="401"/>
      <c r="AW2344" s="412"/>
      <c r="AX2344" s="230"/>
      <c r="AY2344" s="42"/>
      <c r="AZ2344" s="320"/>
      <c r="BD2344" s="401"/>
      <c r="BE2344" s="42"/>
    </row>
    <row r="2345" spans="48:57" x14ac:dyDescent="0.2">
      <c r="AV2345" s="401"/>
      <c r="AW2345" s="412"/>
      <c r="AX2345" s="230"/>
      <c r="AY2345" s="42"/>
      <c r="AZ2345" s="320"/>
      <c r="BD2345" s="401"/>
      <c r="BE2345" s="42"/>
    </row>
    <row r="2346" spans="48:57" x14ac:dyDescent="0.2">
      <c r="AV2346" s="401"/>
      <c r="AW2346" s="412"/>
      <c r="AX2346" s="230"/>
      <c r="AY2346" s="42"/>
      <c r="AZ2346" s="320"/>
      <c r="BD2346" s="401"/>
      <c r="BE2346" s="42"/>
    </row>
    <row r="2347" spans="48:57" x14ac:dyDescent="0.2">
      <c r="AV2347" s="401"/>
      <c r="AW2347" s="412"/>
      <c r="AX2347" s="230"/>
      <c r="AY2347" s="42"/>
      <c r="AZ2347" s="320"/>
      <c r="BD2347" s="401"/>
      <c r="BE2347" s="42"/>
    </row>
    <row r="2348" spans="48:57" x14ac:dyDescent="0.2">
      <c r="AV2348" s="401"/>
      <c r="AW2348" s="412"/>
      <c r="AX2348" s="230"/>
      <c r="AY2348" s="42"/>
      <c r="AZ2348" s="320"/>
      <c r="BD2348" s="401"/>
      <c r="BE2348" s="42"/>
    </row>
    <row r="2349" spans="48:57" x14ac:dyDescent="0.2">
      <c r="AV2349" s="401"/>
      <c r="AW2349" s="412"/>
      <c r="AX2349" s="230"/>
      <c r="AY2349" s="42"/>
      <c r="AZ2349" s="320"/>
      <c r="BD2349" s="401"/>
      <c r="BE2349" s="42"/>
    </row>
    <row r="2350" spans="48:57" x14ac:dyDescent="0.2">
      <c r="AV2350" s="401"/>
      <c r="AW2350" s="412"/>
      <c r="AX2350" s="230"/>
      <c r="AY2350" s="42"/>
      <c r="AZ2350" s="320"/>
      <c r="BD2350" s="401"/>
      <c r="BE2350" s="42"/>
    </row>
    <row r="2351" spans="48:57" x14ac:dyDescent="0.2">
      <c r="AV2351" s="401"/>
      <c r="AW2351" s="412"/>
      <c r="AX2351" s="230"/>
      <c r="AY2351" s="42"/>
      <c r="AZ2351" s="320"/>
      <c r="BD2351" s="401"/>
      <c r="BE2351" s="42"/>
    </row>
    <row r="2352" spans="48:57" x14ac:dyDescent="0.2">
      <c r="AV2352" s="401"/>
      <c r="AW2352" s="412"/>
      <c r="AX2352" s="230"/>
      <c r="AY2352" s="42"/>
      <c r="AZ2352" s="320"/>
      <c r="BD2352" s="401"/>
      <c r="BE2352" s="42"/>
    </row>
    <row r="2353" spans="48:57" x14ac:dyDescent="0.2">
      <c r="AV2353" s="401"/>
      <c r="AW2353" s="412"/>
      <c r="AX2353" s="230"/>
      <c r="AY2353" s="42"/>
      <c r="AZ2353" s="320"/>
      <c r="BD2353" s="401"/>
      <c r="BE2353" s="42"/>
    </row>
    <row r="2354" spans="48:57" x14ac:dyDescent="0.2">
      <c r="AV2354" s="401"/>
      <c r="AW2354" s="412"/>
      <c r="AX2354" s="230"/>
      <c r="AY2354" s="42"/>
      <c r="AZ2354" s="320"/>
      <c r="BD2354" s="401"/>
      <c r="BE2354" s="42"/>
    </row>
    <row r="2355" spans="48:57" x14ac:dyDescent="0.2">
      <c r="AV2355" s="401"/>
      <c r="AW2355" s="412"/>
      <c r="AX2355" s="230"/>
      <c r="AY2355" s="42"/>
      <c r="AZ2355" s="320"/>
      <c r="BD2355" s="401"/>
      <c r="BE2355" s="42"/>
    </row>
    <row r="2356" spans="48:57" x14ac:dyDescent="0.2">
      <c r="AV2356" s="401"/>
      <c r="AW2356" s="412"/>
      <c r="AX2356" s="230"/>
      <c r="AY2356" s="42"/>
      <c r="AZ2356" s="320"/>
      <c r="BD2356" s="401"/>
      <c r="BE2356" s="42"/>
    </row>
    <row r="2357" spans="48:57" x14ac:dyDescent="0.2">
      <c r="AV2357" s="401"/>
      <c r="AW2357" s="412"/>
      <c r="AX2357" s="230"/>
      <c r="AY2357" s="42"/>
      <c r="AZ2357" s="320"/>
      <c r="BD2357" s="401"/>
      <c r="BE2357" s="42"/>
    </row>
    <row r="2358" spans="48:57" x14ac:dyDescent="0.2">
      <c r="AV2358" s="401"/>
      <c r="AW2358" s="412"/>
      <c r="AX2358" s="230"/>
      <c r="AY2358" s="42"/>
      <c r="AZ2358" s="320"/>
      <c r="BD2358" s="401"/>
      <c r="BE2358" s="42"/>
    </row>
    <row r="2359" spans="48:57" x14ac:dyDescent="0.2">
      <c r="AV2359" s="401"/>
      <c r="AW2359" s="412"/>
      <c r="AX2359" s="230"/>
      <c r="AY2359" s="42"/>
      <c r="AZ2359" s="320"/>
      <c r="BD2359" s="401"/>
      <c r="BE2359" s="42"/>
    </row>
    <row r="2360" spans="48:57" x14ac:dyDescent="0.2">
      <c r="AV2360" s="401"/>
      <c r="AW2360" s="412"/>
      <c r="AX2360" s="230"/>
      <c r="AY2360" s="42"/>
      <c r="AZ2360" s="320"/>
      <c r="BD2360" s="401"/>
      <c r="BE2360" s="42"/>
    </row>
    <row r="2361" spans="48:57" x14ac:dyDescent="0.2">
      <c r="AV2361" s="401"/>
      <c r="AW2361" s="412"/>
      <c r="AX2361" s="230"/>
      <c r="AY2361" s="42"/>
      <c r="AZ2361" s="320"/>
      <c r="BD2361" s="401"/>
      <c r="BE2361" s="42"/>
    </row>
    <row r="2362" spans="48:57" x14ac:dyDescent="0.2">
      <c r="AV2362" s="401"/>
      <c r="AW2362" s="412"/>
      <c r="AX2362" s="230"/>
      <c r="AY2362" s="42"/>
      <c r="AZ2362" s="320"/>
      <c r="BD2362" s="401"/>
      <c r="BE2362" s="42"/>
    </row>
    <row r="2363" spans="48:57" x14ac:dyDescent="0.2">
      <c r="AV2363" s="401"/>
      <c r="AW2363" s="412"/>
      <c r="AX2363" s="230"/>
      <c r="AY2363" s="42"/>
      <c r="AZ2363" s="320"/>
      <c r="BD2363" s="401"/>
      <c r="BE2363" s="42"/>
    </row>
    <row r="2364" spans="48:57" x14ac:dyDescent="0.2">
      <c r="AV2364" s="401"/>
      <c r="AW2364" s="412"/>
      <c r="AX2364" s="230"/>
      <c r="AY2364" s="42"/>
      <c r="AZ2364" s="320"/>
      <c r="BD2364" s="401"/>
      <c r="BE2364" s="42"/>
    </row>
    <row r="2365" spans="48:57" x14ac:dyDescent="0.2">
      <c r="AV2365" s="401"/>
      <c r="AW2365" s="412"/>
      <c r="AX2365" s="230"/>
      <c r="AY2365" s="42"/>
      <c r="AZ2365" s="320"/>
      <c r="BD2365" s="401"/>
      <c r="BE2365" s="42"/>
    </row>
    <row r="2366" spans="48:57" x14ac:dyDescent="0.2">
      <c r="AV2366" s="401"/>
      <c r="AW2366" s="412"/>
      <c r="AX2366" s="230"/>
      <c r="AY2366" s="42"/>
      <c r="AZ2366" s="320"/>
      <c r="BD2366" s="401"/>
      <c r="BE2366" s="42"/>
    </row>
    <row r="2367" spans="48:57" x14ac:dyDescent="0.2">
      <c r="AV2367" s="401"/>
      <c r="AW2367" s="412"/>
      <c r="AX2367" s="230"/>
      <c r="AY2367" s="42"/>
      <c r="AZ2367" s="320"/>
      <c r="BD2367" s="401"/>
      <c r="BE2367" s="42"/>
    </row>
    <row r="2368" spans="48:57" x14ac:dyDescent="0.2">
      <c r="AV2368" s="401"/>
      <c r="AW2368" s="412"/>
      <c r="AX2368" s="230"/>
      <c r="AY2368" s="42"/>
      <c r="AZ2368" s="320"/>
      <c r="BD2368" s="401"/>
      <c r="BE2368" s="42"/>
    </row>
    <row r="2369" spans="48:57" x14ac:dyDescent="0.2">
      <c r="AV2369" s="401"/>
      <c r="AW2369" s="412"/>
      <c r="AX2369" s="230"/>
      <c r="AY2369" s="42"/>
      <c r="AZ2369" s="320"/>
      <c r="BD2369" s="401"/>
      <c r="BE2369" s="42"/>
    </row>
    <row r="2370" spans="48:57" x14ac:dyDescent="0.2">
      <c r="AV2370" s="401"/>
      <c r="AW2370" s="412"/>
      <c r="AX2370" s="230"/>
      <c r="AY2370" s="42"/>
      <c r="AZ2370" s="320"/>
      <c r="BD2370" s="401"/>
      <c r="BE2370" s="42"/>
    </row>
    <row r="2371" spans="48:57" x14ac:dyDescent="0.2">
      <c r="AV2371" s="401"/>
      <c r="AW2371" s="412"/>
      <c r="AX2371" s="230"/>
      <c r="AY2371" s="42"/>
      <c r="AZ2371" s="320"/>
      <c r="BD2371" s="401"/>
      <c r="BE2371" s="42"/>
    </row>
    <row r="2372" spans="48:57" x14ac:dyDescent="0.2">
      <c r="AV2372" s="401"/>
      <c r="AW2372" s="412"/>
      <c r="AX2372" s="230"/>
      <c r="AY2372" s="42"/>
      <c r="AZ2372" s="320"/>
      <c r="BD2372" s="401"/>
      <c r="BE2372" s="42"/>
    </row>
    <row r="2373" spans="48:57" x14ac:dyDescent="0.2">
      <c r="AV2373" s="401"/>
      <c r="AW2373" s="412"/>
      <c r="AX2373" s="230"/>
      <c r="AY2373" s="42"/>
      <c r="AZ2373" s="320"/>
      <c r="BD2373" s="401"/>
      <c r="BE2373" s="42"/>
    </row>
    <row r="2374" spans="48:57" x14ac:dyDescent="0.2">
      <c r="AV2374" s="401"/>
      <c r="AW2374" s="412"/>
      <c r="AX2374" s="230"/>
      <c r="AY2374" s="42"/>
      <c r="AZ2374" s="320"/>
      <c r="BD2374" s="401"/>
      <c r="BE2374" s="42"/>
    </row>
    <row r="2375" spans="48:57" x14ac:dyDescent="0.2">
      <c r="AV2375" s="401"/>
      <c r="AW2375" s="412"/>
      <c r="AX2375" s="230"/>
      <c r="AY2375" s="42"/>
      <c r="AZ2375" s="320"/>
      <c r="BD2375" s="401"/>
      <c r="BE2375" s="42"/>
    </row>
    <row r="2376" spans="48:57" x14ac:dyDescent="0.2">
      <c r="AV2376" s="401"/>
      <c r="AW2376" s="412"/>
      <c r="AX2376" s="230"/>
      <c r="AY2376" s="42"/>
      <c r="AZ2376" s="320"/>
      <c r="BD2376" s="401"/>
      <c r="BE2376" s="42"/>
    </row>
    <row r="2377" spans="48:57" x14ac:dyDescent="0.2">
      <c r="AV2377" s="401"/>
      <c r="AW2377" s="412"/>
      <c r="AX2377" s="230"/>
      <c r="AY2377" s="42"/>
      <c r="AZ2377" s="320"/>
      <c r="BD2377" s="401"/>
      <c r="BE2377" s="42"/>
    </row>
    <row r="2378" spans="48:57" x14ac:dyDescent="0.2">
      <c r="AV2378" s="401"/>
      <c r="AW2378" s="412"/>
      <c r="AX2378" s="230"/>
      <c r="AY2378" s="42"/>
      <c r="AZ2378" s="320"/>
      <c r="BD2378" s="401"/>
      <c r="BE2378" s="42"/>
    </row>
    <row r="2379" spans="48:57" x14ac:dyDescent="0.2">
      <c r="AV2379" s="401"/>
      <c r="AW2379" s="412"/>
      <c r="AX2379" s="230"/>
      <c r="AY2379" s="42"/>
      <c r="AZ2379" s="320"/>
      <c r="BD2379" s="401"/>
      <c r="BE2379" s="42"/>
    </row>
    <row r="2380" spans="48:57" x14ac:dyDescent="0.2">
      <c r="AV2380" s="401"/>
      <c r="AW2380" s="412"/>
      <c r="AX2380" s="230"/>
      <c r="AY2380" s="42"/>
      <c r="AZ2380" s="320"/>
      <c r="BD2380" s="401"/>
      <c r="BE2380" s="42"/>
    </row>
    <row r="2381" spans="48:57" x14ac:dyDescent="0.2">
      <c r="AV2381" s="401"/>
      <c r="AW2381" s="412"/>
      <c r="AX2381" s="230"/>
      <c r="AY2381" s="42"/>
      <c r="AZ2381" s="320"/>
      <c r="BD2381" s="401"/>
      <c r="BE2381" s="42"/>
    </row>
    <row r="2382" spans="48:57" x14ac:dyDescent="0.2">
      <c r="AV2382" s="401"/>
      <c r="AW2382" s="412"/>
      <c r="AX2382" s="230"/>
      <c r="AY2382" s="42"/>
      <c r="AZ2382" s="320"/>
      <c r="BD2382" s="401"/>
      <c r="BE2382" s="42"/>
    </row>
    <row r="2383" spans="48:57" x14ac:dyDescent="0.2">
      <c r="AV2383" s="401"/>
      <c r="AW2383" s="412"/>
      <c r="AX2383" s="230"/>
      <c r="AY2383" s="42"/>
      <c r="AZ2383" s="320"/>
      <c r="BD2383" s="401"/>
      <c r="BE2383" s="42"/>
    </row>
    <row r="2384" spans="48:57" x14ac:dyDescent="0.2">
      <c r="AV2384" s="401"/>
      <c r="AW2384" s="412"/>
      <c r="AX2384" s="230"/>
      <c r="AY2384" s="42"/>
      <c r="AZ2384" s="320"/>
      <c r="BD2384" s="401"/>
      <c r="BE2384" s="42"/>
    </row>
    <row r="2385" spans="48:57" x14ac:dyDescent="0.2">
      <c r="AV2385" s="401"/>
      <c r="AW2385" s="412"/>
      <c r="AX2385" s="230"/>
      <c r="AY2385" s="42"/>
      <c r="AZ2385" s="320"/>
      <c r="BD2385" s="401"/>
      <c r="BE2385" s="42"/>
    </row>
    <row r="2386" spans="48:57" x14ac:dyDescent="0.2">
      <c r="AV2386" s="401"/>
      <c r="AW2386" s="412"/>
      <c r="AX2386" s="230"/>
      <c r="AY2386" s="42"/>
      <c r="AZ2386" s="320"/>
      <c r="BD2386" s="401"/>
      <c r="BE2386" s="42"/>
    </row>
    <row r="2387" spans="48:57" x14ac:dyDescent="0.2">
      <c r="AV2387" s="401"/>
      <c r="AW2387" s="412"/>
      <c r="AX2387" s="230"/>
      <c r="AY2387" s="42"/>
      <c r="AZ2387" s="320"/>
      <c r="BD2387" s="401"/>
      <c r="BE2387" s="42"/>
    </row>
    <row r="2388" spans="48:57" x14ac:dyDescent="0.2">
      <c r="AV2388" s="401"/>
      <c r="AW2388" s="412"/>
      <c r="AX2388" s="230"/>
      <c r="AY2388" s="42"/>
      <c r="AZ2388" s="320"/>
      <c r="BD2388" s="401"/>
      <c r="BE2388" s="42"/>
    </row>
    <row r="2389" spans="48:57" x14ac:dyDescent="0.2">
      <c r="AV2389" s="401"/>
      <c r="AW2389" s="412"/>
      <c r="AX2389" s="230"/>
      <c r="AY2389" s="42"/>
      <c r="AZ2389" s="320"/>
      <c r="BD2389" s="401"/>
      <c r="BE2389" s="42"/>
    </row>
    <row r="2390" spans="48:57" x14ac:dyDescent="0.2">
      <c r="AV2390" s="401"/>
      <c r="AW2390" s="412"/>
      <c r="AX2390" s="230"/>
      <c r="AY2390" s="42"/>
      <c r="AZ2390" s="320"/>
      <c r="BD2390" s="401"/>
      <c r="BE2390" s="42"/>
    </row>
    <row r="2391" spans="48:57" x14ac:dyDescent="0.2">
      <c r="AV2391" s="401"/>
      <c r="AW2391" s="412"/>
      <c r="AX2391" s="230"/>
      <c r="AY2391" s="42"/>
      <c r="AZ2391" s="320"/>
      <c r="BD2391" s="401"/>
      <c r="BE2391" s="42"/>
    </row>
    <row r="2392" spans="48:57" x14ac:dyDescent="0.2">
      <c r="AV2392" s="401"/>
      <c r="AW2392" s="412"/>
      <c r="AX2392" s="230"/>
      <c r="AY2392" s="42"/>
      <c r="AZ2392" s="320"/>
      <c r="BD2392" s="401"/>
      <c r="BE2392" s="42"/>
    </row>
    <row r="2393" spans="48:57" x14ac:dyDescent="0.2">
      <c r="AV2393" s="401"/>
      <c r="AW2393" s="412"/>
      <c r="AX2393" s="230"/>
      <c r="AY2393" s="42"/>
      <c r="AZ2393" s="320"/>
      <c r="BD2393" s="401"/>
      <c r="BE2393" s="42"/>
    </row>
    <row r="2394" spans="48:57" x14ac:dyDescent="0.2">
      <c r="AV2394" s="401"/>
      <c r="AW2394" s="412"/>
      <c r="AX2394" s="230"/>
      <c r="AY2394" s="42"/>
      <c r="AZ2394" s="320"/>
      <c r="BD2394" s="401"/>
      <c r="BE2394" s="42"/>
    </row>
    <row r="2395" spans="48:57" x14ac:dyDescent="0.2">
      <c r="AV2395" s="401"/>
      <c r="AW2395" s="412"/>
      <c r="AX2395" s="230"/>
      <c r="AY2395" s="42"/>
      <c r="AZ2395" s="320"/>
      <c r="BD2395" s="401"/>
      <c r="BE2395" s="42"/>
    </row>
    <row r="2396" spans="48:57" x14ac:dyDescent="0.2">
      <c r="AV2396" s="401"/>
      <c r="AW2396" s="412"/>
      <c r="AX2396" s="230"/>
      <c r="AY2396" s="42"/>
      <c r="AZ2396" s="320"/>
      <c r="BD2396" s="401"/>
      <c r="BE2396" s="42"/>
    </row>
    <row r="2397" spans="48:57" x14ac:dyDescent="0.2">
      <c r="AV2397" s="401"/>
      <c r="AW2397" s="412"/>
      <c r="AX2397" s="230"/>
      <c r="AY2397" s="42"/>
      <c r="AZ2397" s="320"/>
      <c r="BD2397" s="401"/>
      <c r="BE2397" s="42"/>
    </row>
    <row r="2398" spans="48:57" x14ac:dyDescent="0.2">
      <c r="AV2398" s="401"/>
      <c r="AW2398" s="412"/>
      <c r="AX2398" s="230"/>
      <c r="AY2398" s="42"/>
      <c r="AZ2398" s="320"/>
      <c r="BD2398" s="401"/>
      <c r="BE2398" s="42"/>
    </row>
    <row r="2399" spans="48:57" x14ac:dyDescent="0.2">
      <c r="AV2399" s="401"/>
      <c r="AW2399" s="412"/>
      <c r="AX2399" s="230"/>
      <c r="AY2399" s="42"/>
      <c r="AZ2399" s="320"/>
      <c r="BD2399" s="401"/>
      <c r="BE2399" s="42"/>
    </row>
    <row r="2400" spans="48:57" x14ac:dyDescent="0.2">
      <c r="AV2400" s="401"/>
      <c r="AW2400" s="412"/>
      <c r="AX2400" s="230"/>
      <c r="AY2400" s="42"/>
      <c r="AZ2400" s="320"/>
      <c r="BD2400" s="401"/>
      <c r="BE2400" s="42"/>
    </row>
    <row r="2401" spans="48:57" x14ac:dyDescent="0.2">
      <c r="AV2401" s="401"/>
      <c r="AW2401" s="412"/>
      <c r="AX2401" s="230"/>
      <c r="AY2401" s="42"/>
      <c r="AZ2401" s="320"/>
      <c r="BD2401" s="401"/>
      <c r="BE2401" s="42"/>
    </row>
    <row r="2402" spans="48:57" x14ac:dyDescent="0.2">
      <c r="AV2402" s="401"/>
      <c r="AW2402" s="412"/>
      <c r="AX2402" s="230"/>
      <c r="AY2402" s="42"/>
      <c r="AZ2402" s="320"/>
      <c r="BD2402" s="401"/>
      <c r="BE2402" s="42"/>
    </row>
    <row r="2403" spans="48:57" x14ac:dyDescent="0.2">
      <c r="AV2403" s="401"/>
      <c r="AW2403" s="412"/>
      <c r="AX2403" s="230"/>
      <c r="AY2403" s="42"/>
      <c r="AZ2403" s="320"/>
      <c r="BD2403" s="401"/>
      <c r="BE2403" s="42"/>
    </row>
    <row r="2404" spans="48:57" x14ac:dyDescent="0.2">
      <c r="AV2404" s="401"/>
      <c r="AW2404" s="412"/>
      <c r="AX2404" s="230"/>
      <c r="AY2404" s="42"/>
      <c r="AZ2404" s="320"/>
      <c r="BD2404" s="401"/>
      <c r="BE2404" s="42"/>
    </row>
    <row r="2405" spans="48:57" x14ac:dyDescent="0.2">
      <c r="AV2405" s="401"/>
      <c r="AW2405" s="412"/>
      <c r="AX2405" s="230"/>
      <c r="AY2405" s="42"/>
      <c r="AZ2405" s="320"/>
      <c r="BD2405" s="401"/>
      <c r="BE2405" s="42"/>
    </row>
    <row r="2406" spans="48:57" x14ac:dyDescent="0.2">
      <c r="AV2406" s="401"/>
      <c r="AW2406" s="412"/>
      <c r="AX2406" s="230"/>
      <c r="AY2406" s="42"/>
      <c r="AZ2406" s="320"/>
      <c r="BD2406" s="401"/>
      <c r="BE2406" s="42"/>
    </row>
    <row r="2407" spans="48:57" x14ac:dyDescent="0.2">
      <c r="AV2407" s="401"/>
      <c r="AW2407" s="412"/>
      <c r="AX2407" s="230"/>
      <c r="AY2407" s="42"/>
      <c r="AZ2407" s="320"/>
      <c r="BD2407" s="401"/>
      <c r="BE2407" s="42"/>
    </row>
    <row r="2408" spans="48:57" x14ac:dyDescent="0.2">
      <c r="AV2408" s="401"/>
      <c r="AW2408" s="412"/>
      <c r="AX2408" s="230"/>
      <c r="AY2408" s="42"/>
      <c r="AZ2408" s="320"/>
      <c r="BD2408" s="401"/>
      <c r="BE2408" s="42"/>
    </row>
    <row r="2409" spans="48:57" x14ac:dyDescent="0.2">
      <c r="AV2409" s="401"/>
      <c r="AW2409" s="412"/>
      <c r="AX2409" s="230"/>
      <c r="AY2409" s="42"/>
      <c r="AZ2409" s="320"/>
      <c r="BD2409" s="401"/>
      <c r="BE2409" s="42"/>
    </row>
    <row r="2410" spans="48:57" x14ac:dyDescent="0.2">
      <c r="AV2410" s="401"/>
      <c r="AW2410" s="412"/>
      <c r="AX2410" s="230"/>
      <c r="AY2410" s="42"/>
      <c r="AZ2410" s="320"/>
      <c r="BD2410" s="401"/>
      <c r="BE2410" s="42"/>
    </row>
    <row r="2411" spans="48:57" x14ac:dyDescent="0.2">
      <c r="AV2411" s="401"/>
      <c r="AW2411" s="412"/>
      <c r="AX2411" s="230"/>
      <c r="AY2411" s="42"/>
      <c r="AZ2411" s="320"/>
      <c r="BD2411" s="401"/>
      <c r="BE2411" s="42"/>
    </row>
    <row r="2412" spans="48:57" x14ac:dyDescent="0.2">
      <c r="AV2412" s="401"/>
      <c r="AW2412" s="412"/>
      <c r="AX2412" s="230"/>
      <c r="AY2412" s="42"/>
      <c r="AZ2412" s="320"/>
      <c r="BD2412" s="401"/>
      <c r="BE2412" s="42"/>
    </row>
    <row r="2413" spans="48:57" x14ac:dyDescent="0.2">
      <c r="AV2413" s="401"/>
      <c r="AW2413" s="412"/>
      <c r="AX2413" s="230"/>
      <c r="AY2413" s="42"/>
      <c r="AZ2413" s="320"/>
      <c r="BD2413" s="401"/>
      <c r="BE2413" s="42"/>
    </row>
    <row r="2414" spans="48:57" x14ac:dyDescent="0.2">
      <c r="AV2414" s="401"/>
      <c r="AW2414" s="412"/>
      <c r="AX2414" s="230"/>
      <c r="AY2414" s="42"/>
      <c r="AZ2414" s="320"/>
      <c r="BD2414" s="401"/>
      <c r="BE2414" s="42"/>
    </row>
    <row r="2415" spans="48:57" x14ac:dyDescent="0.2">
      <c r="AV2415" s="401"/>
      <c r="AW2415" s="412"/>
      <c r="AX2415" s="230"/>
      <c r="AY2415" s="42"/>
      <c r="AZ2415" s="320"/>
      <c r="BD2415" s="401"/>
      <c r="BE2415" s="42"/>
    </row>
    <row r="2416" spans="48:57" x14ac:dyDescent="0.2">
      <c r="AV2416" s="401"/>
      <c r="AW2416" s="412"/>
      <c r="AX2416" s="230"/>
      <c r="AY2416" s="42"/>
      <c r="AZ2416" s="320"/>
      <c r="BD2416" s="401"/>
      <c r="BE2416" s="42"/>
    </row>
    <row r="2417" spans="48:57" x14ac:dyDescent="0.2">
      <c r="AV2417" s="401"/>
      <c r="AW2417" s="412"/>
      <c r="AX2417" s="230"/>
      <c r="AY2417" s="42"/>
      <c r="AZ2417" s="320"/>
      <c r="BD2417" s="401"/>
      <c r="BE2417" s="42"/>
    </row>
    <row r="2418" spans="48:57" x14ac:dyDescent="0.2">
      <c r="AV2418" s="401"/>
      <c r="AW2418" s="412"/>
      <c r="AX2418" s="230"/>
      <c r="AY2418" s="42"/>
      <c r="AZ2418" s="320"/>
      <c r="BD2418" s="401"/>
      <c r="BE2418" s="42"/>
    </row>
    <row r="2419" spans="48:57" x14ac:dyDescent="0.2">
      <c r="AV2419" s="401"/>
      <c r="AW2419" s="412"/>
      <c r="AX2419" s="230"/>
      <c r="AY2419" s="42"/>
      <c r="AZ2419" s="320"/>
      <c r="BD2419" s="401"/>
      <c r="BE2419" s="42"/>
    </row>
    <row r="2420" spans="48:57" x14ac:dyDescent="0.2">
      <c r="AV2420" s="401"/>
      <c r="AW2420" s="412"/>
      <c r="AX2420" s="230"/>
      <c r="AY2420" s="42"/>
      <c r="AZ2420" s="320"/>
      <c r="BD2420" s="401"/>
      <c r="BE2420" s="42"/>
    </row>
    <row r="2421" spans="48:57" x14ac:dyDescent="0.2">
      <c r="AV2421" s="401"/>
      <c r="AW2421" s="412"/>
      <c r="AX2421" s="230"/>
      <c r="AY2421" s="42"/>
      <c r="AZ2421" s="320"/>
      <c r="BD2421" s="401"/>
      <c r="BE2421" s="42"/>
    </row>
    <row r="2422" spans="48:57" x14ac:dyDescent="0.2">
      <c r="AV2422" s="401"/>
      <c r="AW2422" s="412"/>
      <c r="AX2422" s="230"/>
      <c r="AY2422" s="42"/>
      <c r="AZ2422" s="320"/>
      <c r="BD2422" s="401"/>
      <c r="BE2422" s="42"/>
    </row>
    <row r="2423" spans="48:57" x14ac:dyDescent="0.2">
      <c r="AV2423" s="401"/>
      <c r="AW2423" s="412"/>
      <c r="AX2423" s="230"/>
      <c r="AY2423" s="42"/>
      <c r="AZ2423" s="320"/>
      <c r="BD2423" s="401"/>
      <c r="BE2423" s="42"/>
    </row>
    <row r="2424" spans="48:57" x14ac:dyDescent="0.2">
      <c r="AV2424" s="401"/>
      <c r="AW2424" s="412"/>
      <c r="AX2424" s="230"/>
      <c r="AY2424" s="42"/>
      <c r="AZ2424" s="320"/>
      <c r="BD2424" s="401"/>
      <c r="BE2424" s="42"/>
    </row>
    <row r="2425" spans="48:57" x14ac:dyDescent="0.2">
      <c r="AV2425" s="401"/>
      <c r="AW2425" s="412"/>
      <c r="AX2425" s="230"/>
      <c r="AY2425" s="42"/>
      <c r="AZ2425" s="320"/>
      <c r="BD2425" s="401"/>
      <c r="BE2425" s="42"/>
    </row>
    <row r="2426" spans="48:57" x14ac:dyDescent="0.2">
      <c r="AV2426" s="401"/>
      <c r="AW2426" s="412"/>
      <c r="AX2426" s="230"/>
      <c r="AY2426" s="42"/>
      <c r="AZ2426" s="320"/>
      <c r="BD2426" s="401"/>
      <c r="BE2426" s="42"/>
    </row>
    <row r="2427" spans="48:57" x14ac:dyDescent="0.2">
      <c r="AV2427" s="401"/>
      <c r="AW2427" s="412"/>
      <c r="AX2427" s="230"/>
      <c r="AY2427" s="42"/>
      <c r="AZ2427" s="320"/>
      <c r="BD2427" s="401"/>
      <c r="BE2427" s="42"/>
    </row>
    <row r="2428" spans="48:57" x14ac:dyDescent="0.2">
      <c r="AV2428" s="401"/>
      <c r="AW2428" s="412"/>
      <c r="AX2428" s="230"/>
      <c r="AY2428" s="42"/>
      <c r="AZ2428" s="320"/>
      <c r="BD2428" s="401"/>
      <c r="BE2428" s="42"/>
    </row>
    <row r="2429" spans="48:57" x14ac:dyDescent="0.2">
      <c r="AV2429" s="401"/>
      <c r="AW2429" s="412"/>
      <c r="AX2429" s="230"/>
      <c r="AY2429" s="42"/>
      <c r="AZ2429" s="320"/>
      <c r="BD2429" s="401"/>
      <c r="BE2429" s="42"/>
    </row>
    <row r="2430" spans="48:57" x14ac:dyDescent="0.2">
      <c r="AV2430" s="401"/>
      <c r="AW2430" s="412"/>
      <c r="AX2430" s="230"/>
      <c r="AY2430" s="42"/>
      <c r="AZ2430" s="320"/>
      <c r="BD2430" s="401"/>
      <c r="BE2430" s="42"/>
    </row>
    <row r="2431" spans="48:57" x14ac:dyDescent="0.2">
      <c r="AV2431" s="401"/>
      <c r="AW2431" s="412"/>
      <c r="AX2431" s="230"/>
      <c r="AY2431" s="42"/>
      <c r="AZ2431" s="320"/>
      <c r="BD2431" s="401"/>
      <c r="BE2431" s="42"/>
    </row>
    <row r="2432" spans="48:57" x14ac:dyDescent="0.2">
      <c r="AV2432" s="401"/>
      <c r="AW2432" s="412"/>
      <c r="AX2432" s="230"/>
      <c r="AY2432" s="42"/>
      <c r="AZ2432" s="320"/>
      <c r="BD2432" s="401"/>
      <c r="BE2432" s="42"/>
    </row>
    <row r="2433" spans="48:57" x14ac:dyDescent="0.2">
      <c r="AV2433" s="401"/>
      <c r="AW2433" s="412"/>
      <c r="AX2433" s="230"/>
      <c r="AY2433" s="42"/>
      <c r="AZ2433" s="320"/>
      <c r="BD2433" s="401"/>
      <c r="BE2433" s="42"/>
    </row>
    <row r="2434" spans="48:57" x14ac:dyDescent="0.2">
      <c r="AV2434" s="401"/>
      <c r="AW2434" s="412"/>
      <c r="AX2434" s="230"/>
      <c r="AY2434" s="42"/>
      <c r="AZ2434" s="320"/>
      <c r="BD2434" s="401"/>
      <c r="BE2434" s="42"/>
    </row>
    <row r="2435" spans="48:57" x14ac:dyDescent="0.2">
      <c r="AV2435" s="401"/>
      <c r="AW2435" s="412"/>
      <c r="AX2435" s="230"/>
      <c r="AY2435" s="42"/>
      <c r="AZ2435" s="320"/>
      <c r="BD2435" s="401"/>
      <c r="BE2435" s="42"/>
    </row>
    <row r="2436" spans="48:57" x14ac:dyDescent="0.2">
      <c r="AV2436" s="401"/>
      <c r="AW2436" s="412"/>
      <c r="AX2436" s="230"/>
      <c r="AY2436" s="42"/>
      <c r="AZ2436" s="320"/>
      <c r="BD2436" s="401"/>
      <c r="BE2436" s="42"/>
    </row>
    <row r="2437" spans="48:57" x14ac:dyDescent="0.2">
      <c r="AV2437" s="401"/>
      <c r="AW2437" s="412"/>
      <c r="AX2437" s="230"/>
      <c r="AY2437" s="42"/>
      <c r="AZ2437" s="320"/>
      <c r="BD2437" s="401"/>
      <c r="BE2437" s="42"/>
    </row>
    <row r="2438" spans="48:57" x14ac:dyDescent="0.2">
      <c r="AV2438" s="401"/>
      <c r="AW2438" s="412"/>
      <c r="AX2438" s="230"/>
      <c r="AY2438" s="42"/>
      <c r="AZ2438" s="320"/>
      <c r="BD2438" s="401"/>
      <c r="BE2438" s="42"/>
    </row>
    <row r="2439" spans="48:57" x14ac:dyDescent="0.2">
      <c r="AV2439" s="401"/>
      <c r="AW2439" s="412"/>
      <c r="AX2439" s="230"/>
      <c r="AY2439" s="42"/>
      <c r="AZ2439" s="320"/>
      <c r="BD2439" s="401"/>
      <c r="BE2439" s="42"/>
    </row>
    <row r="2440" spans="48:57" x14ac:dyDescent="0.2">
      <c r="AV2440" s="401"/>
      <c r="AW2440" s="412"/>
      <c r="AX2440" s="230"/>
      <c r="AY2440" s="42"/>
      <c r="AZ2440" s="320"/>
      <c r="BD2440" s="401"/>
      <c r="BE2440" s="42"/>
    </row>
    <row r="2441" spans="48:57" x14ac:dyDescent="0.2">
      <c r="AV2441" s="401"/>
      <c r="AW2441" s="412"/>
      <c r="AX2441" s="230"/>
      <c r="AY2441" s="42"/>
      <c r="AZ2441" s="320"/>
      <c r="BD2441" s="401"/>
      <c r="BE2441" s="42"/>
    </row>
    <row r="2442" spans="48:57" x14ac:dyDescent="0.2">
      <c r="AV2442" s="401"/>
      <c r="AW2442" s="412"/>
      <c r="AX2442" s="230"/>
      <c r="AY2442" s="42"/>
      <c r="AZ2442" s="320"/>
      <c r="BD2442" s="401"/>
      <c r="BE2442" s="42"/>
    </row>
    <row r="2443" spans="48:57" x14ac:dyDescent="0.2">
      <c r="AV2443" s="401"/>
      <c r="AW2443" s="412"/>
      <c r="AX2443" s="230"/>
      <c r="AY2443" s="42"/>
      <c r="AZ2443" s="320"/>
      <c r="BD2443" s="401"/>
      <c r="BE2443" s="42"/>
    </row>
    <row r="2444" spans="48:57" x14ac:dyDescent="0.2">
      <c r="AV2444" s="401"/>
      <c r="AW2444" s="412"/>
      <c r="AX2444" s="230"/>
      <c r="AY2444" s="42"/>
      <c r="AZ2444" s="320"/>
      <c r="BD2444" s="401"/>
      <c r="BE2444" s="42"/>
    </row>
    <row r="2445" spans="48:57" x14ac:dyDescent="0.2">
      <c r="AV2445" s="401"/>
      <c r="AW2445" s="412"/>
      <c r="AX2445" s="230"/>
      <c r="AY2445" s="42"/>
      <c r="AZ2445" s="320"/>
      <c r="BD2445" s="401"/>
      <c r="BE2445" s="42"/>
    </row>
    <row r="2446" spans="48:57" x14ac:dyDescent="0.2">
      <c r="AV2446" s="401"/>
      <c r="AW2446" s="412"/>
      <c r="AX2446" s="230"/>
      <c r="AY2446" s="42"/>
      <c r="AZ2446" s="320"/>
      <c r="BD2446" s="401"/>
      <c r="BE2446" s="42"/>
    </row>
    <row r="2447" spans="48:57" x14ac:dyDescent="0.2">
      <c r="AV2447" s="401"/>
      <c r="AW2447" s="412"/>
      <c r="AX2447" s="230"/>
      <c r="AY2447" s="42"/>
      <c r="AZ2447" s="320"/>
      <c r="BD2447" s="401"/>
      <c r="BE2447" s="42"/>
    </row>
    <row r="2448" spans="48:57" x14ac:dyDescent="0.2">
      <c r="AV2448" s="401"/>
      <c r="AW2448" s="412"/>
      <c r="AX2448" s="230"/>
      <c r="AY2448" s="42"/>
      <c r="AZ2448" s="320"/>
      <c r="BD2448" s="401"/>
      <c r="BE2448" s="42"/>
    </row>
    <row r="2449" spans="48:57" x14ac:dyDescent="0.2">
      <c r="AV2449" s="401"/>
      <c r="AW2449" s="412"/>
      <c r="AX2449" s="230"/>
      <c r="AY2449" s="42"/>
      <c r="AZ2449" s="320"/>
      <c r="BD2449" s="401"/>
      <c r="BE2449" s="42"/>
    </row>
    <row r="2450" spans="48:57" x14ac:dyDescent="0.2">
      <c r="AV2450" s="401"/>
      <c r="AW2450" s="412"/>
      <c r="AX2450" s="230"/>
      <c r="AY2450" s="42"/>
      <c r="AZ2450" s="320"/>
      <c r="BD2450" s="401"/>
      <c r="BE2450" s="42"/>
    </row>
    <row r="2451" spans="48:57" x14ac:dyDescent="0.2">
      <c r="AV2451" s="401"/>
      <c r="AW2451" s="412"/>
      <c r="AX2451" s="230"/>
      <c r="AY2451" s="42"/>
      <c r="AZ2451" s="320"/>
      <c r="BD2451" s="401"/>
      <c r="BE2451" s="42"/>
    </row>
    <row r="2452" spans="48:57" x14ac:dyDescent="0.2">
      <c r="AV2452" s="401"/>
      <c r="AW2452" s="412"/>
      <c r="AX2452" s="230"/>
      <c r="AY2452" s="42"/>
      <c r="AZ2452" s="320"/>
      <c r="BD2452" s="401"/>
      <c r="BE2452" s="42"/>
    </row>
    <row r="2453" spans="48:57" x14ac:dyDescent="0.2">
      <c r="AV2453" s="401"/>
      <c r="AW2453" s="412"/>
      <c r="AX2453" s="230"/>
      <c r="AY2453" s="42"/>
      <c r="AZ2453" s="320"/>
      <c r="BD2453" s="401"/>
      <c r="BE2453" s="42"/>
    </row>
    <row r="2454" spans="48:57" x14ac:dyDescent="0.2">
      <c r="AV2454" s="401"/>
      <c r="AW2454" s="412"/>
      <c r="AX2454" s="230"/>
      <c r="AY2454" s="42"/>
      <c r="AZ2454" s="320"/>
      <c r="BD2454" s="401"/>
      <c r="BE2454" s="42"/>
    </row>
    <row r="2455" spans="48:57" x14ac:dyDescent="0.2">
      <c r="AV2455" s="401"/>
      <c r="AW2455" s="412"/>
      <c r="AX2455" s="230"/>
      <c r="AY2455" s="42"/>
      <c r="AZ2455" s="320"/>
      <c r="BD2455" s="401"/>
      <c r="BE2455" s="42"/>
    </row>
    <row r="2456" spans="48:57" x14ac:dyDescent="0.2">
      <c r="AV2456" s="401"/>
      <c r="AW2456" s="412"/>
      <c r="AX2456" s="230"/>
      <c r="AY2456" s="42"/>
      <c r="AZ2456" s="320"/>
      <c r="BD2456" s="401"/>
      <c r="BE2456" s="42"/>
    </row>
    <row r="2457" spans="48:57" x14ac:dyDescent="0.2">
      <c r="AV2457" s="401"/>
      <c r="AW2457" s="412"/>
      <c r="AX2457" s="230"/>
      <c r="AY2457" s="42"/>
      <c r="AZ2457" s="320"/>
      <c r="BD2457" s="401"/>
      <c r="BE2457" s="42"/>
    </row>
    <row r="2458" spans="48:57" x14ac:dyDescent="0.2">
      <c r="AV2458" s="401"/>
      <c r="AW2458" s="412"/>
      <c r="AX2458" s="230"/>
      <c r="AY2458" s="42"/>
      <c r="AZ2458" s="320"/>
      <c r="BD2458" s="401"/>
      <c r="BE2458" s="42"/>
    </row>
    <row r="2459" spans="48:57" x14ac:dyDescent="0.2">
      <c r="AV2459" s="401"/>
      <c r="AW2459" s="412"/>
      <c r="AX2459" s="230"/>
      <c r="AY2459" s="42"/>
      <c r="AZ2459" s="320"/>
      <c r="BD2459" s="401"/>
      <c r="BE2459" s="42"/>
    </row>
    <row r="2460" spans="48:57" x14ac:dyDescent="0.2">
      <c r="AV2460" s="401"/>
      <c r="AW2460" s="412"/>
      <c r="AX2460" s="230"/>
      <c r="AY2460" s="42"/>
      <c r="AZ2460" s="320"/>
      <c r="BD2460" s="401"/>
      <c r="BE2460" s="42"/>
    </row>
    <row r="2461" spans="48:57" x14ac:dyDescent="0.2">
      <c r="AV2461" s="401"/>
      <c r="AW2461" s="412"/>
      <c r="AX2461" s="230"/>
      <c r="AY2461" s="42"/>
      <c r="AZ2461" s="320"/>
      <c r="BD2461" s="401"/>
      <c r="BE2461" s="42"/>
    </row>
    <row r="2462" spans="48:57" x14ac:dyDescent="0.2">
      <c r="AV2462" s="401"/>
      <c r="AW2462" s="412"/>
      <c r="AX2462" s="230"/>
      <c r="AY2462" s="42"/>
      <c r="AZ2462" s="320"/>
      <c r="BD2462" s="401"/>
      <c r="BE2462" s="42"/>
    </row>
    <row r="2463" spans="48:57" x14ac:dyDescent="0.2">
      <c r="AV2463" s="401"/>
      <c r="AW2463" s="412"/>
      <c r="AX2463" s="230"/>
      <c r="AY2463" s="42"/>
      <c r="AZ2463" s="320"/>
      <c r="BD2463" s="401"/>
      <c r="BE2463" s="42"/>
    </row>
    <row r="2464" spans="48:57" x14ac:dyDescent="0.2">
      <c r="AV2464" s="401"/>
      <c r="AW2464" s="412"/>
      <c r="AX2464" s="230"/>
      <c r="AY2464" s="42"/>
      <c r="AZ2464" s="320"/>
      <c r="BD2464" s="401"/>
      <c r="BE2464" s="42"/>
    </row>
    <row r="2465" spans="48:57" x14ac:dyDescent="0.2">
      <c r="AV2465" s="401"/>
      <c r="AW2465" s="412"/>
      <c r="AX2465" s="230"/>
      <c r="AY2465" s="42"/>
      <c r="AZ2465" s="320"/>
      <c r="BD2465" s="401"/>
      <c r="BE2465" s="42"/>
    </row>
    <row r="2466" spans="48:57" x14ac:dyDescent="0.2">
      <c r="AV2466" s="401"/>
      <c r="AW2466" s="412"/>
      <c r="AX2466" s="230"/>
      <c r="AY2466" s="42"/>
      <c r="AZ2466" s="320"/>
      <c r="BD2466" s="401"/>
      <c r="BE2466" s="42"/>
    </row>
    <row r="2467" spans="48:57" x14ac:dyDescent="0.2">
      <c r="AV2467" s="401"/>
      <c r="AW2467" s="412"/>
      <c r="AX2467" s="230"/>
      <c r="AY2467" s="42"/>
      <c r="AZ2467" s="320"/>
      <c r="BD2467" s="401"/>
      <c r="BE2467" s="42"/>
    </row>
    <row r="2468" spans="48:57" x14ac:dyDescent="0.2">
      <c r="AV2468" s="401"/>
      <c r="AW2468" s="412"/>
      <c r="AX2468" s="230"/>
      <c r="AY2468" s="42"/>
      <c r="AZ2468" s="320"/>
      <c r="BD2468" s="401"/>
      <c r="BE2468" s="42"/>
    </row>
    <row r="2469" spans="48:57" x14ac:dyDescent="0.2">
      <c r="AV2469" s="401"/>
      <c r="AW2469" s="412"/>
      <c r="AX2469" s="230"/>
      <c r="AY2469" s="42"/>
      <c r="AZ2469" s="320"/>
      <c r="BD2469" s="401"/>
      <c r="BE2469" s="42"/>
    </row>
    <row r="2470" spans="48:57" x14ac:dyDescent="0.2">
      <c r="AV2470" s="401"/>
      <c r="AW2470" s="412"/>
      <c r="AX2470" s="230"/>
      <c r="AY2470" s="42"/>
      <c r="AZ2470" s="320"/>
      <c r="BD2470" s="401"/>
      <c r="BE2470" s="42"/>
    </row>
    <row r="2471" spans="48:57" x14ac:dyDescent="0.2">
      <c r="AV2471" s="401"/>
      <c r="AW2471" s="412"/>
      <c r="AX2471" s="230"/>
      <c r="AY2471" s="42"/>
      <c r="AZ2471" s="320"/>
      <c r="BD2471" s="401"/>
      <c r="BE2471" s="42"/>
    </row>
    <row r="2472" spans="48:57" x14ac:dyDescent="0.2">
      <c r="AV2472" s="401"/>
      <c r="AW2472" s="412"/>
      <c r="AX2472" s="230"/>
      <c r="AY2472" s="42"/>
      <c r="AZ2472" s="320"/>
      <c r="BD2472" s="401"/>
      <c r="BE2472" s="42"/>
    </row>
    <row r="2473" spans="48:57" x14ac:dyDescent="0.2">
      <c r="AV2473" s="401"/>
      <c r="AW2473" s="412"/>
      <c r="AX2473" s="230"/>
      <c r="AY2473" s="42"/>
      <c r="AZ2473" s="320"/>
      <c r="BD2473" s="401"/>
      <c r="BE2473" s="42"/>
    </row>
    <row r="2474" spans="48:57" x14ac:dyDescent="0.2">
      <c r="AV2474" s="401"/>
      <c r="AW2474" s="412"/>
      <c r="AX2474" s="230"/>
      <c r="AY2474" s="42"/>
      <c r="AZ2474" s="320"/>
      <c r="BD2474" s="401"/>
      <c r="BE2474" s="42"/>
    </row>
    <row r="2475" spans="48:57" x14ac:dyDescent="0.2">
      <c r="AV2475" s="401"/>
      <c r="AW2475" s="412"/>
      <c r="AX2475" s="230"/>
      <c r="AY2475" s="42"/>
      <c r="AZ2475" s="320"/>
      <c r="BD2475" s="401"/>
      <c r="BE2475" s="42"/>
    </row>
    <row r="2476" spans="48:57" x14ac:dyDescent="0.2">
      <c r="AV2476" s="401"/>
      <c r="AW2476" s="412"/>
      <c r="AX2476" s="230"/>
      <c r="AY2476" s="42"/>
      <c r="AZ2476" s="320"/>
      <c r="BD2476" s="401"/>
      <c r="BE2476" s="42"/>
    </row>
    <row r="2477" spans="48:57" x14ac:dyDescent="0.2">
      <c r="AV2477" s="401"/>
      <c r="AW2477" s="412"/>
      <c r="AX2477" s="230"/>
      <c r="AY2477" s="42"/>
      <c r="AZ2477" s="320"/>
      <c r="BD2477" s="401"/>
      <c r="BE2477" s="42"/>
    </row>
    <row r="2478" spans="48:57" x14ac:dyDescent="0.2">
      <c r="AV2478" s="401"/>
      <c r="AW2478" s="412"/>
      <c r="AX2478" s="230"/>
      <c r="AY2478" s="42"/>
      <c r="AZ2478" s="320"/>
      <c r="BD2478" s="401"/>
      <c r="BE2478" s="42"/>
    </row>
    <row r="2479" spans="48:57" x14ac:dyDescent="0.2">
      <c r="AV2479" s="401"/>
      <c r="AW2479" s="412"/>
      <c r="AX2479" s="230"/>
      <c r="AY2479" s="42"/>
      <c r="AZ2479" s="320"/>
      <c r="BD2479" s="401"/>
      <c r="BE2479" s="42"/>
    </row>
    <row r="2480" spans="48:57" x14ac:dyDescent="0.2">
      <c r="AV2480" s="401"/>
      <c r="AW2480" s="412"/>
      <c r="AX2480" s="230"/>
      <c r="AY2480" s="42"/>
      <c r="AZ2480" s="320"/>
      <c r="BD2480" s="401"/>
      <c r="BE2480" s="42"/>
    </row>
    <row r="2481" spans="48:57" x14ac:dyDescent="0.2">
      <c r="AV2481" s="401"/>
      <c r="AW2481" s="412"/>
      <c r="AX2481" s="230"/>
      <c r="AY2481" s="42"/>
      <c r="AZ2481" s="320"/>
      <c r="BD2481" s="401"/>
      <c r="BE2481" s="42"/>
    </row>
    <row r="2482" spans="48:57" x14ac:dyDescent="0.2">
      <c r="AV2482" s="401"/>
      <c r="AW2482" s="412"/>
      <c r="AX2482" s="230"/>
      <c r="AY2482" s="42"/>
      <c r="AZ2482" s="320"/>
      <c r="BD2482" s="401"/>
      <c r="BE2482" s="42"/>
    </row>
    <row r="2483" spans="48:57" x14ac:dyDescent="0.2">
      <c r="AV2483" s="401"/>
      <c r="AW2483" s="412"/>
      <c r="AX2483" s="230"/>
      <c r="AY2483" s="42"/>
      <c r="AZ2483" s="320"/>
      <c r="BD2483" s="401"/>
      <c r="BE2483" s="42"/>
    </row>
    <row r="2484" spans="48:57" x14ac:dyDescent="0.2">
      <c r="AV2484" s="401"/>
      <c r="AW2484" s="412"/>
      <c r="AX2484" s="230"/>
      <c r="AY2484" s="42"/>
      <c r="AZ2484" s="320"/>
      <c r="BD2484" s="401"/>
      <c r="BE2484" s="42"/>
    </row>
    <row r="2485" spans="48:57" x14ac:dyDescent="0.2">
      <c r="AV2485" s="401"/>
      <c r="AW2485" s="412"/>
      <c r="AX2485" s="230"/>
      <c r="AY2485" s="42"/>
      <c r="AZ2485" s="320"/>
      <c r="BD2485" s="401"/>
      <c r="BE2485" s="42"/>
    </row>
    <row r="2486" spans="48:57" x14ac:dyDescent="0.2">
      <c r="AV2486" s="401"/>
      <c r="AW2486" s="412"/>
      <c r="AX2486" s="230"/>
      <c r="AY2486" s="42"/>
      <c r="AZ2486" s="320"/>
      <c r="BD2486" s="401"/>
      <c r="BE2486" s="42"/>
    </row>
    <row r="2487" spans="48:57" x14ac:dyDescent="0.2">
      <c r="AV2487" s="401"/>
      <c r="AW2487" s="412"/>
      <c r="AX2487" s="230"/>
      <c r="AY2487" s="42"/>
      <c r="AZ2487" s="320"/>
      <c r="BD2487" s="401"/>
      <c r="BE2487" s="42"/>
    </row>
    <row r="2488" spans="48:57" x14ac:dyDescent="0.2">
      <c r="AV2488" s="401"/>
      <c r="AW2488" s="412"/>
      <c r="AX2488" s="230"/>
      <c r="AY2488" s="42"/>
      <c r="AZ2488" s="320"/>
      <c r="BD2488" s="401"/>
      <c r="BE2488" s="42"/>
    </row>
    <row r="2489" spans="48:57" x14ac:dyDescent="0.2">
      <c r="AV2489" s="401"/>
      <c r="AW2489" s="412"/>
      <c r="AX2489" s="230"/>
      <c r="AY2489" s="42"/>
      <c r="AZ2489" s="320"/>
      <c r="BD2489" s="401"/>
      <c r="BE2489" s="42"/>
    </row>
    <row r="2490" spans="48:57" x14ac:dyDescent="0.2">
      <c r="AV2490" s="401"/>
      <c r="AW2490" s="412"/>
      <c r="AX2490" s="230"/>
      <c r="AY2490" s="42"/>
      <c r="AZ2490" s="320"/>
      <c r="BD2490" s="401"/>
      <c r="BE2490" s="42"/>
    </row>
    <row r="2491" spans="48:57" x14ac:dyDescent="0.2">
      <c r="AV2491" s="401"/>
      <c r="AW2491" s="412"/>
      <c r="AX2491" s="230"/>
      <c r="AY2491" s="42"/>
      <c r="AZ2491" s="320"/>
      <c r="BD2491" s="401"/>
      <c r="BE2491" s="42"/>
    </row>
    <row r="2492" spans="48:57" x14ac:dyDescent="0.2">
      <c r="AV2492" s="401"/>
      <c r="AW2492" s="412"/>
      <c r="AX2492" s="230"/>
      <c r="AY2492" s="42"/>
      <c r="AZ2492" s="320"/>
      <c r="BD2492" s="401"/>
      <c r="BE2492" s="42"/>
    </row>
    <row r="2493" spans="48:57" x14ac:dyDescent="0.2">
      <c r="AV2493" s="401"/>
      <c r="AW2493" s="412"/>
      <c r="AX2493" s="230"/>
      <c r="AY2493" s="42"/>
      <c r="AZ2493" s="320"/>
      <c r="BD2493" s="401"/>
      <c r="BE2493" s="42"/>
    </row>
    <row r="2494" spans="48:57" x14ac:dyDescent="0.2">
      <c r="AV2494" s="401"/>
      <c r="AW2494" s="412"/>
      <c r="AX2494" s="230"/>
      <c r="AY2494" s="42"/>
      <c r="AZ2494" s="320"/>
      <c r="BD2494" s="401"/>
      <c r="BE2494" s="42"/>
    </row>
    <row r="2495" spans="48:57" x14ac:dyDescent="0.2">
      <c r="AV2495" s="401"/>
      <c r="AW2495" s="412"/>
      <c r="AX2495" s="230"/>
      <c r="AY2495" s="42"/>
      <c r="AZ2495" s="320"/>
      <c r="BD2495" s="401"/>
      <c r="BE2495" s="42"/>
    </row>
    <row r="2496" spans="48:57" x14ac:dyDescent="0.2">
      <c r="AV2496" s="401"/>
      <c r="AW2496" s="412"/>
      <c r="AX2496" s="230"/>
      <c r="AY2496" s="42"/>
      <c r="AZ2496" s="320"/>
      <c r="BD2496" s="401"/>
      <c r="BE2496" s="42"/>
    </row>
    <row r="2497" spans="48:57" x14ac:dyDescent="0.2">
      <c r="AV2497" s="401"/>
      <c r="AW2497" s="412"/>
      <c r="AX2497" s="230"/>
      <c r="AY2497" s="42"/>
      <c r="AZ2497" s="320"/>
      <c r="BD2497" s="401"/>
      <c r="BE2497" s="42"/>
    </row>
    <row r="2498" spans="48:57" x14ac:dyDescent="0.2">
      <c r="AV2498" s="401"/>
      <c r="AW2498" s="412"/>
      <c r="AX2498" s="230"/>
      <c r="AY2498" s="42"/>
      <c r="AZ2498" s="320"/>
      <c r="BD2498" s="401"/>
      <c r="BE2498" s="42"/>
    </row>
    <row r="2499" spans="48:57" x14ac:dyDescent="0.2">
      <c r="AV2499" s="401"/>
      <c r="AW2499" s="412"/>
      <c r="AX2499" s="230"/>
      <c r="AY2499" s="42"/>
      <c r="AZ2499" s="320"/>
      <c r="BD2499" s="401"/>
      <c r="BE2499" s="42"/>
    </row>
    <row r="2500" spans="48:57" x14ac:dyDescent="0.2">
      <c r="AV2500" s="401"/>
      <c r="AW2500" s="412"/>
      <c r="AX2500" s="230"/>
      <c r="AY2500" s="42"/>
      <c r="AZ2500" s="320"/>
      <c r="BD2500" s="401"/>
      <c r="BE2500" s="42"/>
    </row>
    <row r="2501" spans="48:57" x14ac:dyDescent="0.2">
      <c r="AV2501" s="401"/>
      <c r="AW2501" s="412"/>
      <c r="AX2501" s="230"/>
      <c r="AY2501" s="42"/>
      <c r="AZ2501" s="320"/>
      <c r="BD2501" s="401"/>
      <c r="BE2501" s="42"/>
    </row>
    <row r="2502" spans="48:57" x14ac:dyDescent="0.2">
      <c r="AV2502" s="401"/>
      <c r="AW2502" s="412"/>
      <c r="AX2502" s="230"/>
      <c r="AY2502" s="42"/>
      <c r="AZ2502" s="320"/>
      <c r="BD2502" s="401"/>
      <c r="BE2502" s="42"/>
    </row>
    <row r="2503" spans="48:57" x14ac:dyDescent="0.2">
      <c r="AV2503" s="401"/>
      <c r="AW2503" s="412"/>
      <c r="AX2503" s="230"/>
      <c r="AY2503" s="42"/>
      <c r="AZ2503" s="320"/>
      <c r="BD2503" s="401"/>
      <c r="BE2503" s="42"/>
    </row>
    <row r="2504" spans="48:57" x14ac:dyDescent="0.2">
      <c r="AV2504" s="401"/>
      <c r="AW2504" s="412"/>
      <c r="AX2504" s="230"/>
      <c r="AY2504" s="42"/>
      <c r="AZ2504" s="320"/>
      <c r="BD2504" s="401"/>
      <c r="BE2504" s="42"/>
    </row>
    <row r="2505" spans="48:57" x14ac:dyDescent="0.2">
      <c r="AV2505" s="401"/>
      <c r="AW2505" s="412"/>
      <c r="AX2505" s="230"/>
      <c r="AY2505" s="42"/>
      <c r="AZ2505" s="320"/>
      <c r="BD2505" s="401"/>
      <c r="BE2505" s="42"/>
    </row>
    <row r="2506" spans="48:57" x14ac:dyDescent="0.2">
      <c r="AV2506" s="401"/>
      <c r="AW2506" s="412"/>
      <c r="AX2506" s="230"/>
      <c r="AY2506" s="42"/>
      <c r="AZ2506" s="320"/>
      <c r="BD2506" s="401"/>
      <c r="BE2506" s="42"/>
    </row>
    <row r="2507" spans="48:57" x14ac:dyDescent="0.2">
      <c r="AV2507" s="401"/>
      <c r="AW2507" s="412"/>
      <c r="AX2507" s="230"/>
      <c r="AY2507" s="42"/>
      <c r="AZ2507" s="320"/>
      <c r="BD2507" s="401"/>
      <c r="BE2507" s="42"/>
    </row>
    <row r="2508" spans="48:57" x14ac:dyDescent="0.2">
      <c r="AV2508" s="401"/>
      <c r="AW2508" s="412"/>
      <c r="AX2508" s="230"/>
      <c r="AY2508" s="42"/>
      <c r="AZ2508" s="320"/>
      <c r="BD2508" s="401"/>
      <c r="BE2508" s="42"/>
    </row>
    <row r="2509" spans="48:57" x14ac:dyDescent="0.2">
      <c r="AV2509" s="401"/>
      <c r="AW2509" s="412"/>
      <c r="AX2509" s="230"/>
      <c r="AY2509" s="42"/>
      <c r="AZ2509" s="320"/>
      <c r="BD2509" s="401"/>
      <c r="BE2509" s="42"/>
    </row>
    <row r="2510" spans="48:57" x14ac:dyDescent="0.2">
      <c r="AV2510" s="401"/>
      <c r="AW2510" s="412"/>
      <c r="AX2510" s="230"/>
      <c r="AY2510" s="42"/>
      <c r="AZ2510" s="320"/>
      <c r="BD2510" s="401"/>
      <c r="BE2510" s="42"/>
    </row>
    <row r="2511" spans="48:57" x14ac:dyDescent="0.2">
      <c r="AV2511" s="401"/>
      <c r="AW2511" s="412"/>
      <c r="AX2511" s="230"/>
      <c r="AY2511" s="42"/>
      <c r="AZ2511" s="320"/>
      <c r="BD2511" s="401"/>
      <c r="BE2511" s="42"/>
    </row>
    <row r="2512" spans="48:57" x14ac:dyDescent="0.2">
      <c r="AV2512" s="401"/>
      <c r="AW2512" s="412"/>
      <c r="AX2512" s="230"/>
      <c r="AY2512" s="42"/>
      <c r="AZ2512" s="320"/>
      <c r="BD2512" s="401"/>
      <c r="BE2512" s="42"/>
    </row>
    <row r="2513" spans="48:57" x14ac:dyDescent="0.2">
      <c r="AV2513" s="401"/>
      <c r="AW2513" s="412"/>
      <c r="AX2513" s="230"/>
      <c r="AY2513" s="42"/>
      <c r="AZ2513" s="320"/>
      <c r="BD2513" s="401"/>
      <c r="BE2513" s="42"/>
    </row>
    <row r="2514" spans="48:57" x14ac:dyDescent="0.2">
      <c r="AV2514" s="401"/>
      <c r="AW2514" s="412"/>
      <c r="AX2514" s="230"/>
      <c r="AY2514" s="42"/>
      <c r="AZ2514" s="320"/>
      <c r="BD2514" s="401"/>
      <c r="BE2514" s="42"/>
    </row>
    <row r="2515" spans="48:57" x14ac:dyDescent="0.2">
      <c r="AV2515" s="401"/>
      <c r="AW2515" s="412"/>
      <c r="AX2515" s="230"/>
      <c r="AY2515" s="42"/>
      <c r="AZ2515" s="320"/>
      <c r="BD2515" s="401"/>
      <c r="BE2515" s="42"/>
    </row>
    <row r="2516" spans="48:57" x14ac:dyDescent="0.2">
      <c r="AV2516" s="401"/>
      <c r="AW2516" s="412"/>
      <c r="AX2516" s="230"/>
      <c r="AY2516" s="42"/>
      <c r="AZ2516" s="320"/>
      <c r="BD2516" s="401"/>
      <c r="BE2516" s="42"/>
    </row>
    <row r="2517" spans="48:57" x14ac:dyDescent="0.2">
      <c r="AV2517" s="401"/>
      <c r="AW2517" s="412"/>
      <c r="AX2517" s="230"/>
      <c r="AY2517" s="42"/>
      <c r="AZ2517" s="320"/>
      <c r="BD2517" s="401"/>
      <c r="BE2517" s="42"/>
    </row>
    <row r="2518" spans="48:57" x14ac:dyDescent="0.2">
      <c r="AV2518" s="401"/>
      <c r="AW2518" s="412"/>
      <c r="AX2518" s="230"/>
      <c r="AY2518" s="42"/>
      <c r="AZ2518" s="320"/>
      <c r="BD2518" s="401"/>
      <c r="BE2518" s="42"/>
    </row>
    <row r="2519" spans="48:57" x14ac:dyDescent="0.2">
      <c r="AV2519" s="401"/>
      <c r="AW2519" s="412"/>
      <c r="AX2519" s="230"/>
      <c r="AY2519" s="42"/>
      <c r="AZ2519" s="320"/>
      <c r="BD2519" s="401"/>
      <c r="BE2519" s="42"/>
    </row>
    <row r="2520" spans="48:57" x14ac:dyDescent="0.2">
      <c r="AV2520" s="401"/>
      <c r="AW2520" s="412"/>
      <c r="AX2520" s="230"/>
      <c r="AY2520" s="42"/>
      <c r="AZ2520" s="320"/>
      <c r="BD2520" s="401"/>
      <c r="BE2520" s="42"/>
    </row>
    <row r="2521" spans="48:57" x14ac:dyDescent="0.2">
      <c r="AV2521" s="401"/>
      <c r="AW2521" s="412"/>
      <c r="AX2521" s="230"/>
      <c r="AY2521" s="42"/>
      <c r="AZ2521" s="320"/>
      <c r="BD2521" s="401"/>
      <c r="BE2521" s="42"/>
    </row>
    <row r="2522" spans="48:57" x14ac:dyDescent="0.2">
      <c r="AV2522" s="401"/>
      <c r="AW2522" s="412"/>
      <c r="AX2522" s="230"/>
      <c r="AY2522" s="42"/>
      <c r="AZ2522" s="320"/>
      <c r="BD2522" s="401"/>
      <c r="BE2522" s="42"/>
    </row>
    <row r="2523" spans="48:57" x14ac:dyDescent="0.2">
      <c r="AV2523" s="401"/>
      <c r="AW2523" s="412"/>
      <c r="AX2523" s="230"/>
      <c r="AY2523" s="42"/>
      <c r="AZ2523" s="320"/>
      <c r="BD2523" s="401"/>
      <c r="BE2523" s="42"/>
    </row>
    <row r="2524" spans="48:57" x14ac:dyDescent="0.2">
      <c r="AV2524" s="401"/>
      <c r="AW2524" s="412"/>
      <c r="AX2524" s="230"/>
      <c r="AY2524" s="42"/>
      <c r="AZ2524" s="320"/>
      <c r="BD2524" s="401"/>
      <c r="BE2524" s="42"/>
    </row>
    <row r="2525" spans="48:57" x14ac:dyDescent="0.2">
      <c r="AV2525" s="401"/>
      <c r="AW2525" s="412"/>
      <c r="AX2525" s="230"/>
      <c r="AY2525" s="42"/>
      <c r="AZ2525" s="320"/>
      <c r="BD2525" s="401"/>
      <c r="BE2525" s="42"/>
    </row>
    <row r="2526" spans="48:57" x14ac:dyDescent="0.2">
      <c r="AV2526" s="401"/>
      <c r="AW2526" s="412"/>
      <c r="AX2526" s="230"/>
      <c r="AY2526" s="42"/>
      <c r="AZ2526" s="320"/>
      <c r="BD2526" s="401"/>
      <c r="BE2526" s="42"/>
    </row>
    <row r="2527" spans="48:57" x14ac:dyDescent="0.2">
      <c r="AV2527" s="401"/>
      <c r="AW2527" s="412"/>
      <c r="AX2527" s="230"/>
      <c r="AY2527" s="42"/>
      <c r="AZ2527" s="320"/>
      <c r="BD2527" s="401"/>
      <c r="BE2527" s="42"/>
    </row>
    <row r="2528" spans="48:57" x14ac:dyDescent="0.2">
      <c r="AV2528" s="401"/>
      <c r="AW2528" s="412"/>
      <c r="AX2528" s="230"/>
      <c r="AY2528" s="42"/>
      <c r="AZ2528" s="320"/>
      <c r="BD2528" s="401"/>
      <c r="BE2528" s="42"/>
    </row>
    <row r="2529" spans="48:57" x14ac:dyDescent="0.2">
      <c r="AV2529" s="401"/>
      <c r="AW2529" s="412"/>
      <c r="AX2529" s="230"/>
      <c r="AY2529" s="42"/>
      <c r="AZ2529" s="320"/>
      <c r="BD2529" s="401"/>
      <c r="BE2529" s="42"/>
    </row>
    <row r="2530" spans="48:57" x14ac:dyDescent="0.2">
      <c r="AV2530" s="401"/>
      <c r="AW2530" s="412"/>
      <c r="AX2530" s="230"/>
      <c r="AY2530" s="42"/>
      <c r="AZ2530" s="320"/>
      <c r="BD2530" s="401"/>
      <c r="BE2530" s="42"/>
    </row>
    <row r="2531" spans="48:57" x14ac:dyDescent="0.2">
      <c r="AV2531" s="401"/>
      <c r="AW2531" s="412"/>
      <c r="AX2531" s="230"/>
      <c r="AY2531" s="42"/>
      <c r="AZ2531" s="320"/>
      <c r="BD2531" s="401"/>
      <c r="BE2531" s="42"/>
    </row>
    <row r="2532" spans="48:57" x14ac:dyDescent="0.2">
      <c r="AV2532" s="401"/>
      <c r="AW2532" s="412"/>
      <c r="AX2532" s="230"/>
      <c r="AY2532" s="42"/>
      <c r="AZ2532" s="320"/>
      <c r="BD2532" s="401"/>
      <c r="BE2532" s="42"/>
    </row>
    <row r="2533" spans="48:57" x14ac:dyDescent="0.2">
      <c r="AV2533" s="401"/>
      <c r="AW2533" s="412"/>
      <c r="AX2533" s="230"/>
      <c r="AY2533" s="42"/>
      <c r="AZ2533" s="320"/>
      <c r="BD2533" s="401"/>
      <c r="BE2533" s="42"/>
    </row>
    <row r="2534" spans="48:57" x14ac:dyDescent="0.2">
      <c r="AV2534" s="401"/>
      <c r="AW2534" s="412"/>
      <c r="AX2534" s="230"/>
      <c r="AY2534" s="42"/>
      <c r="AZ2534" s="320"/>
      <c r="BD2534" s="401"/>
      <c r="BE2534" s="42"/>
    </row>
    <row r="2535" spans="48:57" x14ac:dyDescent="0.2">
      <c r="AV2535" s="401"/>
      <c r="AW2535" s="412"/>
      <c r="AX2535" s="230"/>
      <c r="AY2535" s="42"/>
      <c r="AZ2535" s="320"/>
      <c r="BD2535" s="401"/>
      <c r="BE2535" s="42"/>
    </row>
    <row r="2536" spans="48:57" x14ac:dyDescent="0.2">
      <c r="AV2536" s="401"/>
      <c r="AW2536" s="412"/>
      <c r="AX2536" s="230"/>
      <c r="AY2536" s="42"/>
      <c r="AZ2536" s="320"/>
      <c r="BD2536" s="401"/>
      <c r="BE2536" s="42"/>
    </row>
    <row r="2537" spans="48:57" x14ac:dyDescent="0.2">
      <c r="AV2537" s="401"/>
      <c r="AW2537" s="412"/>
      <c r="AX2537" s="230"/>
      <c r="AY2537" s="42"/>
      <c r="AZ2537" s="320"/>
      <c r="BD2537" s="401"/>
      <c r="BE2537" s="42"/>
    </row>
    <row r="2538" spans="48:57" x14ac:dyDescent="0.2">
      <c r="AV2538" s="401"/>
      <c r="AW2538" s="412"/>
      <c r="AX2538" s="230"/>
      <c r="AY2538" s="42"/>
      <c r="AZ2538" s="320"/>
      <c r="BD2538" s="401"/>
      <c r="BE2538" s="42"/>
    </row>
    <row r="2539" spans="48:57" x14ac:dyDescent="0.2">
      <c r="AV2539" s="401"/>
      <c r="AW2539" s="412"/>
      <c r="AX2539" s="230"/>
      <c r="AY2539" s="42"/>
      <c r="AZ2539" s="320"/>
      <c r="BD2539" s="401"/>
      <c r="BE2539" s="42"/>
    </row>
    <row r="2540" spans="48:57" x14ac:dyDescent="0.2">
      <c r="AV2540" s="401"/>
      <c r="AW2540" s="412"/>
      <c r="AX2540" s="230"/>
      <c r="AY2540" s="42"/>
      <c r="AZ2540" s="320"/>
      <c r="BD2540" s="401"/>
      <c r="BE2540" s="42"/>
    </row>
    <row r="2541" spans="48:57" x14ac:dyDescent="0.2">
      <c r="AV2541" s="401"/>
      <c r="AW2541" s="412"/>
      <c r="AX2541" s="230"/>
      <c r="AY2541" s="42"/>
      <c r="AZ2541" s="320"/>
      <c r="BD2541" s="401"/>
      <c r="BE2541" s="42"/>
    </row>
    <row r="2542" spans="48:57" x14ac:dyDescent="0.2">
      <c r="AV2542" s="401"/>
      <c r="AW2542" s="412"/>
      <c r="AX2542" s="230"/>
      <c r="AY2542" s="42"/>
      <c r="AZ2542" s="320"/>
      <c r="BD2542" s="401"/>
      <c r="BE2542" s="42"/>
    </row>
    <row r="2543" spans="48:57" x14ac:dyDescent="0.2">
      <c r="AV2543" s="401"/>
      <c r="AW2543" s="412"/>
      <c r="AX2543" s="230"/>
      <c r="AY2543" s="42"/>
      <c r="AZ2543" s="320"/>
      <c r="BD2543" s="401"/>
      <c r="BE2543" s="42"/>
    </row>
    <row r="2544" spans="48:57" x14ac:dyDescent="0.2">
      <c r="AV2544" s="401"/>
      <c r="AW2544" s="412"/>
      <c r="AX2544" s="230"/>
      <c r="AY2544" s="42"/>
      <c r="AZ2544" s="320"/>
      <c r="BD2544" s="401"/>
      <c r="BE2544" s="42"/>
    </row>
    <row r="2545" spans="48:57" x14ac:dyDescent="0.2">
      <c r="AV2545" s="401"/>
      <c r="AW2545" s="412"/>
      <c r="AX2545" s="230"/>
      <c r="AY2545" s="42"/>
      <c r="AZ2545" s="320"/>
      <c r="BD2545" s="401"/>
      <c r="BE2545" s="42"/>
    </row>
    <row r="2546" spans="48:57" x14ac:dyDescent="0.2">
      <c r="AV2546" s="401"/>
      <c r="AW2546" s="412"/>
      <c r="AX2546" s="230"/>
      <c r="AY2546" s="42"/>
      <c r="AZ2546" s="320"/>
      <c r="BD2546" s="401"/>
      <c r="BE2546" s="42"/>
    </row>
    <row r="2547" spans="48:57" x14ac:dyDescent="0.2">
      <c r="AV2547" s="401"/>
      <c r="AW2547" s="412"/>
      <c r="AX2547" s="230"/>
      <c r="AY2547" s="42"/>
      <c r="AZ2547" s="320"/>
      <c r="BD2547" s="401"/>
      <c r="BE2547" s="42"/>
    </row>
    <row r="2548" spans="48:57" x14ac:dyDescent="0.2">
      <c r="AV2548" s="401"/>
      <c r="AW2548" s="412"/>
      <c r="AX2548" s="230"/>
      <c r="AY2548" s="42"/>
      <c r="AZ2548" s="320"/>
      <c r="BD2548" s="401"/>
      <c r="BE2548" s="42"/>
    </row>
    <row r="2549" spans="48:57" x14ac:dyDescent="0.2">
      <c r="AV2549" s="401"/>
      <c r="AW2549" s="412"/>
      <c r="AX2549" s="230"/>
      <c r="AY2549" s="42"/>
      <c r="AZ2549" s="320"/>
      <c r="BD2549" s="401"/>
      <c r="BE2549" s="42"/>
    </row>
    <row r="2550" spans="48:57" x14ac:dyDescent="0.2">
      <c r="AV2550" s="401"/>
      <c r="AW2550" s="412"/>
      <c r="AX2550" s="230"/>
      <c r="AY2550" s="42"/>
      <c r="AZ2550" s="320"/>
      <c r="BD2550" s="401"/>
      <c r="BE2550" s="42"/>
    </row>
    <row r="2551" spans="48:57" x14ac:dyDescent="0.2">
      <c r="AV2551" s="401"/>
      <c r="AW2551" s="412"/>
      <c r="AX2551" s="230"/>
      <c r="AY2551" s="42"/>
      <c r="AZ2551" s="320"/>
      <c r="BD2551" s="401"/>
      <c r="BE2551" s="42"/>
    </row>
    <row r="2552" spans="48:57" x14ac:dyDescent="0.2">
      <c r="AV2552" s="401"/>
      <c r="AW2552" s="412"/>
      <c r="AX2552" s="230"/>
      <c r="AY2552" s="42"/>
      <c r="AZ2552" s="320"/>
      <c r="BD2552" s="401"/>
      <c r="BE2552" s="42"/>
    </row>
    <row r="2553" spans="48:57" x14ac:dyDescent="0.2">
      <c r="AV2553" s="401"/>
      <c r="AW2553" s="412"/>
      <c r="AX2553" s="230"/>
      <c r="AY2553" s="42"/>
      <c r="AZ2553" s="320"/>
      <c r="BD2553" s="401"/>
      <c r="BE2553" s="42"/>
    </row>
    <row r="2554" spans="48:57" x14ac:dyDescent="0.2">
      <c r="AV2554" s="401"/>
      <c r="AW2554" s="412"/>
      <c r="AX2554" s="230"/>
      <c r="AY2554" s="42"/>
      <c r="AZ2554" s="320"/>
      <c r="BD2554" s="401"/>
      <c r="BE2554" s="42"/>
    </row>
    <row r="2555" spans="48:57" x14ac:dyDescent="0.2">
      <c r="AV2555" s="401"/>
      <c r="AW2555" s="412"/>
      <c r="AX2555" s="230"/>
      <c r="AY2555" s="42"/>
      <c r="AZ2555" s="320"/>
      <c r="BD2555" s="401"/>
      <c r="BE2555" s="42"/>
    </row>
    <row r="2556" spans="48:57" x14ac:dyDescent="0.2">
      <c r="AV2556" s="401"/>
      <c r="AW2556" s="412"/>
      <c r="AX2556" s="230"/>
      <c r="AY2556" s="42"/>
      <c r="AZ2556" s="320"/>
      <c r="BD2556" s="401"/>
      <c r="BE2556" s="42"/>
    </row>
    <row r="2557" spans="48:57" x14ac:dyDescent="0.2">
      <c r="AV2557" s="401"/>
      <c r="AW2557" s="412"/>
      <c r="AX2557" s="230"/>
      <c r="AY2557" s="42"/>
      <c r="AZ2557" s="320"/>
      <c r="BD2557" s="401"/>
      <c r="BE2557" s="42"/>
    </row>
    <row r="2558" spans="48:57" x14ac:dyDescent="0.2">
      <c r="AV2558" s="401"/>
      <c r="AW2558" s="412"/>
      <c r="AX2558" s="230"/>
      <c r="AY2558" s="42"/>
      <c r="AZ2558" s="320"/>
      <c r="BD2558" s="401"/>
      <c r="BE2558" s="42"/>
    </row>
    <row r="2559" spans="48:57" x14ac:dyDescent="0.2">
      <c r="AV2559" s="401"/>
      <c r="AW2559" s="412"/>
      <c r="AX2559" s="230"/>
      <c r="AY2559" s="42"/>
      <c r="AZ2559" s="320"/>
      <c r="BD2559" s="401"/>
      <c r="BE2559" s="42"/>
    </row>
    <row r="2560" spans="48:57" x14ac:dyDescent="0.2">
      <c r="AV2560" s="401"/>
      <c r="AW2560" s="412"/>
      <c r="AX2560" s="230"/>
      <c r="AY2560" s="42"/>
      <c r="AZ2560" s="320"/>
      <c r="BD2560" s="401"/>
      <c r="BE2560" s="42"/>
    </row>
    <row r="2561" spans="48:57" x14ac:dyDescent="0.2">
      <c r="AV2561" s="401"/>
      <c r="AW2561" s="412"/>
      <c r="AX2561" s="230"/>
      <c r="AY2561" s="42"/>
      <c r="AZ2561" s="320"/>
      <c r="BD2561" s="401"/>
      <c r="BE2561" s="42"/>
    </row>
    <row r="2562" spans="48:57" x14ac:dyDescent="0.2">
      <c r="AV2562" s="401"/>
      <c r="AW2562" s="412"/>
      <c r="AX2562" s="230"/>
      <c r="AY2562" s="42"/>
      <c r="AZ2562" s="320"/>
      <c r="BD2562" s="401"/>
      <c r="BE2562" s="42"/>
    </row>
    <row r="2563" spans="48:57" x14ac:dyDescent="0.2">
      <c r="AV2563" s="401"/>
      <c r="AW2563" s="412"/>
      <c r="AX2563" s="230"/>
      <c r="AY2563" s="42"/>
      <c r="AZ2563" s="320"/>
      <c r="BD2563" s="401"/>
      <c r="BE2563" s="42"/>
    </row>
    <row r="2564" spans="48:57" x14ac:dyDescent="0.2">
      <c r="AV2564" s="401"/>
      <c r="AW2564" s="412"/>
      <c r="AX2564" s="230"/>
      <c r="AY2564" s="42"/>
      <c r="AZ2564" s="320"/>
      <c r="BD2564" s="401"/>
      <c r="BE2564" s="42"/>
    </row>
    <row r="2565" spans="48:57" x14ac:dyDescent="0.2">
      <c r="AV2565" s="401"/>
      <c r="AW2565" s="412"/>
      <c r="AX2565" s="230"/>
      <c r="AY2565" s="42"/>
      <c r="AZ2565" s="320"/>
      <c r="BD2565" s="401"/>
      <c r="BE2565" s="42"/>
    </row>
    <row r="2566" spans="48:57" x14ac:dyDescent="0.2">
      <c r="AV2566" s="401"/>
      <c r="AW2566" s="412"/>
      <c r="AX2566" s="230"/>
      <c r="AY2566" s="42"/>
      <c r="AZ2566" s="320"/>
      <c r="BD2566" s="401"/>
      <c r="BE2566" s="42"/>
    </row>
    <row r="2567" spans="48:57" x14ac:dyDescent="0.2">
      <c r="AV2567" s="401"/>
      <c r="AW2567" s="412"/>
      <c r="AX2567" s="230"/>
      <c r="AY2567" s="42"/>
      <c r="AZ2567" s="320"/>
      <c r="BD2567" s="401"/>
      <c r="BE2567" s="42"/>
    </row>
    <row r="2568" spans="48:57" x14ac:dyDescent="0.2">
      <c r="AV2568" s="401"/>
      <c r="AW2568" s="412"/>
      <c r="AX2568" s="230"/>
      <c r="AY2568" s="42"/>
      <c r="AZ2568" s="320"/>
      <c r="BD2568" s="401"/>
      <c r="BE2568" s="42"/>
    </row>
    <row r="2569" spans="48:57" x14ac:dyDescent="0.2">
      <c r="AV2569" s="401"/>
      <c r="AW2569" s="412"/>
      <c r="AX2569" s="230"/>
      <c r="AY2569" s="42"/>
      <c r="AZ2569" s="320"/>
      <c r="BD2569" s="401"/>
      <c r="BE2569" s="42"/>
    </row>
    <row r="2570" spans="48:57" x14ac:dyDescent="0.2">
      <c r="AV2570" s="401"/>
      <c r="AW2570" s="412"/>
      <c r="AX2570" s="230"/>
      <c r="AY2570" s="42"/>
      <c r="AZ2570" s="320"/>
      <c r="BD2570" s="401"/>
      <c r="BE2570" s="42"/>
    </row>
    <row r="2571" spans="48:57" x14ac:dyDescent="0.2">
      <c r="AV2571" s="401"/>
      <c r="AW2571" s="412"/>
      <c r="AX2571" s="230"/>
      <c r="AY2571" s="42"/>
      <c r="AZ2571" s="320"/>
      <c r="BD2571" s="401"/>
      <c r="BE2571" s="42"/>
    </row>
    <row r="2572" spans="48:57" x14ac:dyDescent="0.2">
      <c r="AV2572" s="401"/>
      <c r="AW2572" s="412"/>
      <c r="AX2572" s="230"/>
      <c r="AY2572" s="42"/>
      <c r="AZ2572" s="320"/>
      <c r="BD2572" s="401"/>
      <c r="BE2572" s="42"/>
    </row>
    <row r="2573" spans="48:57" x14ac:dyDescent="0.2">
      <c r="AV2573" s="401"/>
      <c r="AW2573" s="412"/>
      <c r="AX2573" s="230"/>
      <c r="AY2573" s="42"/>
      <c r="AZ2573" s="320"/>
      <c r="BD2573" s="401"/>
      <c r="BE2573" s="42"/>
    </row>
    <row r="2574" spans="48:57" x14ac:dyDescent="0.2">
      <c r="AV2574" s="401"/>
      <c r="AW2574" s="412"/>
      <c r="AX2574" s="230"/>
      <c r="AY2574" s="42"/>
      <c r="AZ2574" s="320"/>
      <c r="BD2574" s="401"/>
      <c r="BE2574" s="42"/>
    </row>
    <row r="2575" spans="48:57" x14ac:dyDescent="0.2">
      <c r="AV2575" s="401"/>
      <c r="AW2575" s="412"/>
      <c r="AX2575" s="230"/>
      <c r="AY2575" s="42"/>
      <c r="AZ2575" s="320"/>
      <c r="BD2575" s="401"/>
      <c r="BE2575" s="42"/>
    </row>
    <row r="2576" spans="48:57" x14ac:dyDescent="0.2">
      <c r="AV2576" s="401"/>
      <c r="AW2576" s="412"/>
      <c r="AX2576" s="230"/>
      <c r="AY2576" s="42"/>
      <c r="AZ2576" s="320"/>
      <c r="BD2576" s="401"/>
      <c r="BE2576" s="42"/>
    </row>
    <row r="2577" spans="48:57" x14ac:dyDescent="0.2">
      <c r="AV2577" s="401"/>
      <c r="AW2577" s="412"/>
      <c r="AX2577" s="230"/>
      <c r="AY2577" s="42"/>
      <c r="AZ2577" s="320"/>
      <c r="BD2577" s="401"/>
      <c r="BE2577" s="42"/>
    </row>
    <row r="2578" spans="48:57" x14ac:dyDescent="0.2">
      <c r="AV2578" s="401"/>
      <c r="AW2578" s="412"/>
      <c r="AX2578" s="230"/>
      <c r="AY2578" s="42"/>
      <c r="AZ2578" s="320"/>
      <c r="BD2578" s="401"/>
      <c r="BE2578" s="42"/>
    </row>
    <row r="2579" spans="48:57" x14ac:dyDescent="0.2">
      <c r="AV2579" s="401"/>
      <c r="AW2579" s="412"/>
      <c r="AX2579" s="230"/>
      <c r="AY2579" s="42"/>
      <c r="AZ2579" s="320"/>
      <c r="BD2579" s="401"/>
      <c r="BE2579" s="42"/>
    </row>
    <row r="2580" spans="48:57" x14ac:dyDescent="0.2">
      <c r="AV2580" s="401"/>
      <c r="AW2580" s="412"/>
      <c r="AX2580" s="230"/>
      <c r="AY2580" s="42"/>
      <c r="AZ2580" s="320"/>
      <c r="BD2580" s="401"/>
      <c r="BE2580" s="42"/>
    </row>
    <row r="2581" spans="48:57" x14ac:dyDescent="0.2">
      <c r="AV2581" s="401"/>
      <c r="AW2581" s="412"/>
      <c r="AX2581" s="230"/>
      <c r="AY2581" s="42"/>
      <c r="AZ2581" s="320"/>
      <c r="BD2581" s="401"/>
      <c r="BE2581" s="42"/>
    </row>
    <row r="2582" spans="48:57" x14ac:dyDescent="0.2">
      <c r="AV2582" s="401"/>
      <c r="AW2582" s="412"/>
      <c r="AX2582" s="230"/>
      <c r="AY2582" s="42"/>
      <c r="AZ2582" s="320"/>
      <c r="BD2582" s="401"/>
      <c r="BE2582" s="42"/>
    </row>
    <row r="2583" spans="48:57" x14ac:dyDescent="0.2">
      <c r="AV2583" s="401"/>
      <c r="AW2583" s="412"/>
      <c r="AX2583" s="230"/>
      <c r="AY2583" s="42"/>
      <c r="AZ2583" s="320"/>
      <c r="BD2583" s="401"/>
      <c r="BE2583" s="42"/>
    </row>
    <row r="2584" spans="48:57" x14ac:dyDescent="0.2">
      <c r="AV2584" s="401"/>
      <c r="AW2584" s="412"/>
      <c r="AX2584" s="230"/>
      <c r="AY2584" s="42"/>
      <c r="AZ2584" s="320"/>
      <c r="BD2584" s="401"/>
      <c r="BE2584" s="42"/>
    </row>
    <row r="2585" spans="48:57" x14ac:dyDescent="0.2">
      <c r="AV2585" s="401"/>
      <c r="AW2585" s="412"/>
      <c r="AX2585" s="230"/>
      <c r="AY2585" s="42"/>
      <c r="AZ2585" s="320"/>
      <c r="BD2585" s="401"/>
      <c r="BE2585" s="42"/>
    </row>
    <row r="2586" spans="48:57" x14ac:dyDescent="0.2">
      <c r="AV2586" s="401"/>
      <c r="AW2586" s="412"/>
      <c r="AX2586" s="230"/>
      <c r="AY2586" s="42"/>
      <c r="AZ2586" s="320"/>
      <c r="BD2586" s="401"/>
      <c r="BE2586" s="42"/>
    </row>
    <row r="2587" spans="48:57" x14ac:dyDescent="0.2">
      <c r="AV2587" s="401"/>
      <c r="AW2587" s="412"/>
      <c r="AX2587" s="230"/>
      <c r="AY2587" s="42"/>
      <c r="AZ2587" s="320"/>
      <c r="BD2587" s="401"/>
      <c r="BE2587" s="42"/>
    </row>
    <row r="2588" spans="48:57" x14ac:dyDescent="0.2">
      <c r="AV2588" s="401"/>
      <c r="AW2588" s="412"/>
      <c r="AX2588" s="230"/>
      <c r="AY2588" s="42"/>
      <c r="AZ2588" s="320"/>
      <c r="BD2588" s="401"/>
      <c r="BE2588" s="42"/>
    </row>
    <row r="2589" spans="48:57" x14ac:dyDescent="0.2">
      <c r="AV2589" s="401"/>
      <c r="AW2589" s="412"/>
      <c r="AX2589" s="230"/>
      <c r="AY2589" s="42"/>
      <c r="AZ2589" s="320"/>
      <c r="BD2589" s="401"/>
      <c r="BE2589" s="42"/>
    </row>
    <row r="2590" spans="48:57" x14ac:dyDescent="0.2">
      <c r="AV2590" s="401"/>
      <c r="AW2590" s="412"/>
      <c r="AX2590" s="230"/>
      <c r="AY2590" s="42"/>
      <c r="AZ2590" s="320"/>
      <c r="BD2590" s="401"/>
      <c r="BE2590" s="42"/>
    </row>
    <row r="2591" spans="48:57" x14ac:dyDescent="0.2">
      <c r="AV2591" s="401"/>
      <c r="AW2591" s="412"/>
      <c r="AX2591" s="230"/>
      <c r="AY2591" s="42"/>
      <c r="AZ2591" s="320"/>
      <c r="BD2591" s="401"/>
      <c r="BE2591" s="42"/>
    </row>
    <row r="2592" spans="48:57" x14ac:dyDescent="0.2">
      <c r="AV2592" s="401"/>
      <c r="AW2592" s="412"/>
      <c r="AX2592" s="230"/>
      <c r="AY2592" s="42"/>
      <c r="AZ2592" s="320"/>
      <c r="BD2592" s="401"/>
      <c r="BE2592" s="42"/>
    </row>
    <row r="2593" spans="48:57" x14ac:dyDescent="0.2">
      <c r="AV2593" s="401"/>
      <c r="AW2593" s="412"/>
      <c r="AX2593" s="230"/>
      <c r="AY2593" s="42"/>
      <c r="AZ2593" s="320"/>
      <c r="BD2593" s="401"/>
      <c r="BE2593" s="42"/>
    </row>
    <row r="2594" spans="48:57" x14ac:dyDescent="0.2">
      <c r="AV2594" s="401"/>
      <c r="AW2594" s="412"/>
      <c r="AX2594" s="230"/>
      <c r="AY2594" s="42"/>
      <c r="AZ2594" s="320"/>
      <c r="BD2594" s="401"/>
      <c r="BE2594" s="42"/>
    </row>
    <row r="2595" spans="48:57" x14ac:dyDescent="0.2">
      <c r="AV2595" s="401"/>
      <c r="AW2595" s="412"/>
      <c r="AX2595" s="230"/>
      <c r="AY2595" s="42"/>
      <c r="AZ2595" s="320"/>
      <c r="BD2595" s="401"/>
      <c r="BE2595" s="42"/>
    </row>
    <row r="2596" spans="48:57" x14ac:dyDescent="0.2">
      <c r="AV2596" s="401"/>
      <c r="AW2596" s="412"/>
      <c r="AX2596" s="230"/>
      <c r="AY2596" s="42"/>
      <c r="AZ2596" s="320"/>
      <c r="BD2596" s="401"/>
      <c r="BE2596" s="42"/>
    </row>
    <row r="2597" spans="48:57" x14ac:dyDescent="0.2">
      <c r="AV2597" s="401"/>
      <c r="AW2597" s="412"/>
      <c r="AX2597" s="230"/>
      <c r="AY2597" s="42"/>
      <c r="AZ2597" s="320"/>
      <c r="BD2597" s="401"/>
      <c r="BE2597" s="42"/>
    </row>
    <row r="2598" spans="48:57" x14ac:dyDescent="0.2">
      <c r="AV2598" s="401"/>
      <c r="AW2598" s="412"/>
      <c r="AX2598" s="230"/>
      <c r="AY2598" s="42"/>
      <c r="AZ2598" s="320"/>
      <c r="BD2598" s="401"/>
      <c r="BE2598" s="42"/>
    </row>
    <row r="2599" spans="48:57" x14ac:dyDescent="0.2">
      <c r="AV2599" s="401"/>
      <c r="AW2599" s="412"/>
      <c r="AX2599" s="230"/>
      <c r="AY2599" s="42"/>
      <c r="AZ2599" s="320"/>
      <c r="BD2599" s="401"/>
      <c r="BE2599" s="42"/>
    </row>
    <row r="2600" spans="48:57" x14ac:dyDescent="0.2">
      <c r="AV2600" s="401"/>
      <c r="AW2600" s="412"/>
      <c r="AX2600" s="230"/>
      <c r="AY2600" s="42"/>
      <c r="AZ2600" s="320"/>
      <c r="BD2600" s="401"/>
      <c r="BE2600" s="42"/>
    </row>
    <row r="2601" spans="48:57" x14ac:dyDescent="0.2">
      <c r="AV2601" s="401"/>
      <c r="AW2601" s="412"/>
      <c r="AX2601" s="230"/>
      <c r="AY2601" s="42"/>
      <c r="AZ2601" s="320"/>
      <c r="BD2601" s="401"/>
      <c r="BE2601" s="42"/>
    </row>
    <row r="2602" spans="48:57" x14ac:dyDescent="0.2">
      <c r="AV2602" s="401"/>
      <c r="AW2602" s="412"/>
      <c r="AX2602" s="230"/>
      <c r="AY2602" s="42"/>
      <c r="AZ2602" s="320"/>
      <c r="BD2602" s="401"/>
      <c r="BE2602" s="42"/>
    </row>
    <row r="2603" spans="48:57" x14ac:dyDescent="0.2">
      <c r="AV2603" s="401"/>
      <c r="AW2603" s="412"/>
      <c r="AX2603" s="230"/>
      <c r="AY2603" s="42"/>
      <c r="AZ2603" s="320"/>
      <c r="BD2603" s="401"/>
      <c r="BE2603" s="42"/>
    </row>
    <row r="2604" spans="48:57" x14ac:dyDescent="0.2">
      <c r="AV2604" s="401"/>
      <c r="AW2604" s="412"/>
      <c r="AX2604" s="230"/>
      <c r="AY2604" s="42"/>
      <c r="AZ2604" s="320"/>
      <c r="BD2604" s="401"/>
      <c r="BE2604" s="42"/>
    </row>
    <row r="2605" spans="48:57" x14ac:dyDescent="0.2">
      <c r="AV2605" s="401"/>
      <c r="AW2605" s="412"/>
      <c r="AX2605" s="230"/>
      <c r="AY2605" s="42"/>
      <c r="AZ2605" s="320"/>
      <c r="BD2605" s="401"/>
      <c r="BE2605" s="42"/>
    </row>
    <row r="2606" spans="48:57" x14ac:dyDescent="0.2">
      <c r="AV2606" s="401"/>
      <c r="AW2606" s="412"/>
      <c r="AX2606" s="230"/>
      <c r="AY2606" s="42"/>
      <c r="AZ2606" s="320"/>
      <c r="BD2606" s="401"/>
      <c r="BE2606" s="42"/>
    </row>
    <row r="2607" spans="48:57" x14ac:dyDescent="0.2">
      <c r="AV2607" s="401"/>
      <c r="AW2607" s="412"/>
      <c r="AX2607" s="230"/>
      <c r="AY2607" s="42"/>
      <c r="AZ2607" s="320"/>
      <c r="BD2607" s="401"/>
      <c r="BE2607" s="42"/>
    </row>
    <row r="2608" spans="48:57" x14ac:dyDescent="0.2">
      <c r="AV2608" s="401"/>
      <c r="AW2608" s="412"/>
      <c r="AX2608" s="230"/>
      <c r="AY2608" s="42"/>
      <c r="AZ2608" s="320"/>
      <c r="BD2608" s="401"/>
      <c r="BE2608" s="42"/>
    </row>
    <row r="2609" spans="48:57" x14ac:dyDescent="0.2">
      <c r="AV2609" s="401"/>
      <c r="AW2609" s="412"/>
      <c r="AX2609" s="230"/>
      <c r="AY2609" s="42"/>
      <c r="AZ2609" s="320"/>
      <c r="BD2609" s="401"/>
      <c r="BE2609" s="42"/>
    </row>
    <row r="2610" spans="48:57" x14ac:dyDescent="0.2">
      <c r="AV2610" s="401"/>
      <c r="AW2610" s="412"/>
      <c r="AX2610" s="230"/>
      <c r="AY2610" s="42"/>
      <c r="AZ2610" s="320"/>
      <c r="BD2610" s="401"/>
      <c r="BE2610" s="42"/>
    </row>
    <row r="2611" spans="48:57" x14ac:dyDescent="0.2">
      <c r="AV2611" s="401"/>
      <c r="AW2611" s="412"/>
      <c r="AX2611" s="230"/>
      <c r="AY2611" s="42"/>
      <c r="AZ2611" s="320"/>
      <c r="BD2611" s="401"/>
      <c r="BE2611" s="42"/>
    </row>
    <row r="2612" spans="48:57" x14ac:dyDescent="0.2">
      <c r="AV2612" s="401"/>
      <c r="AW2612" s="412"/>
      <c r="AX2612" s="230"/>
      <c r="AY2612" s="42"/>
      <c r="AZ2612" s="320"/>
      <c r="BD2612" s="401"/>
      <c r="BE2612" s="42"/>
    </row>
    <row r="2613" spans="48:57" x14ac:dyDescent="0.2">
      <c r="AV2613" s="401"/>
      <c r="AW2613" s="412"/>
      <c r="AX2613" s="230"/>
      <c r="AY2613" s="42"/>
      <c r="AZ2613" s="320"/>
      <c r="BD2613" s="401"/>
      <c r="BE2613" s="42"/>
    </row>
    <row r="2614" spans="48:57" x14ac:dyDescent="0.2">
      <c r="AV2614" s="401"/>
      <c r="AW2614" s="412"/>
      <c r="AX2614" s="230"/>
      <c r="AY2614" s="42"/>
      <c r="AZ2614" s="320"/>
      <c r="BD2614" s="401"/>
      <c r="BE2614" s="42"/>
    </row>
    <row r="2615" spans="48:57" x14ac:dyDescent="0.2">
      <c r="AV2615" s="401"/>
      <c r="AW2615" s="412"/>
      <c r="AX2615" s="230"/>
      <c r="AY2615" s="42"/>
      <c r="AZ2615" s="320"/>
      <c r="BD2615" s="401"/>
      <c r="BE2615" s="42"/>
    </row>
    <row r="2616" spans="48:57" x14ac:dyDescent="0.2">
      <c r="AV2616" s="401"/>
      <c r="AW2616" s="412"/>
      <c r="AX2616" s="230"/>
      <c r="AY2616" s="42"/>
      <c r="AZ2616" s="320"/>
      <c r="BD2616" s="401"/>
      <c r="BE2616" s="42"/>
    </row>
    <row r="2617" spans="48:57" x14ac:dyDescent="0.2">
      <c r="AV2617" s="401"/>
      <c r="AW2617" s="412"/>
      <c r="AX2617" s="230"/>
      <c r="AY2617" s="42"/>
      <c r="AZ2617" s="320"/>
      <c r="BD2617" s="401"/>
      <c r="BE2617" s="42"/>
    </row>
    <row r="2618" spans="48:57" x14ac:dyDescent="0.2">
      <c r="AV2618" s="401"/>
      <c r="AW2618" s="412"/>
      <c r="AX2618" s="230"/>
      <c r="AY2618" s="42"/>
      <c r="AZ2618" s="320"/>
      <c r="BD2618" s="401"/>
      <c r="BE2618" s="42"/>
    </row>
    <row r="2619" spans="48:57" x14ac:dyDescent="0.2">
      <c r="AV2619" s="401"/>
      <c r="AW2619" s="412"/>
      <c r="AX2619" s="230"/>
      <c r="AY2619" s="42"/>
      <c r="AZ2619" s="320"/>
      <c r="BD2619" s="401"/>
      <c r="BE2619" s="42"/>
    </row>
    <row r="2620" spans="48:57" x14ac:dyDescent="0.2">
      <c r="AV2620" s="401"/>
      <c r="AW2620" s="412"/>
      <c r="AX2620" s="230"/>
      <c r="AY2620" s="42"/>
      <c r="AZ2620" s="320"/>
      <c r="BD2620" s="401"/>
      <c r="BE2620" s="42"/>
    </row>
    <row r="2621" spans="48:57" x14ac:dyDescent="0.2">
      <c r="AV2621" s="401"/>
      <c r="AW2621" s="412"/>
      <c r="AX2621" s="230"/>
      <c r="AY2621" s="42"/>
      <c r="AZ2621" s="320"/>
      <c r="BD2621" s="401"/>
      <c r="BE2621" s="42"/>
    </row>
    <row r="2622" spans="48:57" x14ac:dyDescent="0.2">
      <c r="AV2622" s="401"/>
      <c r="AW2622" s="412"/>
      <c r="AX2622" s="230"/>
      <c r="AY2622" s="42"/>
      <c r="AZ2622" s="320"/>
      <c r="BD2622" s="401"/>
      <c r="BE2622" s="42"/>
    </row>
    <row r="2623" spans="48:57" x14ac:dyDescent="0.2">
      <c r="AV2623" s="401"/>
      <c r="AW2623" s="412"/>
      <c r="AX2623" s="230"/>
      <c r="AY2623" s="42"/>
      <c r="AZ2623" s="320"/>
      <c r="BD2623" s="401"/>
      <c r="BE2623" s="42"/>
    </row>
    <row r="2624" spans="48:57" x14ac:dyDescent="0.2">
      <c r="AV2624" s="401"/>
      <c r="AW2624" s="412"/>
      <c r="AX2624" s="230"/>
      <c r="AY2624" s="42"/>
      <c r="AZ2624" s="320"/>
      <c r="BD2624" s="401"/>
      <c r="BE2624" s="42"/>
    </row>
    <row r="2625" spans="48:57" x14ac:dyDescent="0.2">
      <c r="AV2625" s="401"/>
      <c r="AW2625" s="412"/>
      <c r="AX2625" s="230"/>
      <c r="AY2625" s="42"/>
      <c r="AZ2625" s="320"/>
      <c r="BD2625" s="401"/>
      <c r="BE2625" s="42"/>
    </row>
    <row r="2626" spans="48:57" x14ac:dyDescent="0.2">
      <c r="AV2626" s="401"/>
      <c r="AW2626" s="412"/>
      <c r="AX2626" s="230"/>
      <c r="AY2626" s="42"/>
      <c r="AZ2626" s="320"/>
      <c r="BD2626" s="401"/>
      <c r="BE2626" s="42"/>
    </row>
    <row r="2627" spans="48:57" x14ac:dyDescent="0.2">
      <c r="AV2627" s="401"/>
      <c r="AW2627" s="412"/>
      <c r="AX2627" s="230"/>
      <c r="AY2627" s="42"/>
      <c r="AZ2627" s="320"/>
      <c r="BD2627" s="401"/>
      <c r="BE2627" s="42"/>
    </row>
    <row r="2628" spans="48:57" x14ac:dyDescent="0.2">
      <c r="AV2628" s="401"/>
      <c r="AW2628" s="412"/>
      <c r="AX2628" s="230"/>
      <c r="AY2628" s="42"/>
      <c r="AZ2628" s="320"/>
      <c r="BD2628" s="401"/>
      <c r="BE2628" s="42"/>
    </row>
    <row r="2629" spans="48:57" x14ac:dyDescent="0.2">
      <c r="AV2629" s="401"/>
      <c r="AW2629" s="412"/>
      <c r="AX2629" s="230"/>
      <c r="AY2629" s="42"/>
      <c r="AZ2629" s="320"/>
      <c r="BD2629" s="401"/>
      <c r="BE2629" s="42"/>
    </row>
    <row r="2630" spans="48:57" x14ac:dyDescent="0.2">
      <c r="AV2630" s="401"/>
      <c r="AW2630" s="412"/>
      <c r="AX2630" s="230"/>
      <c r="AY2630" s="42"/>
      <c r="AZ2630" s="320"/>
      <c r="BD2630" s="401"/>
      <c r="BE2630" s="42"/>
    </row>
    <row r="2631" spans="48:57" x14ac:dyDescent="0.2">
      <c r="AV2631" s="401"/>
      <c r="AW2631" s="412"/>
      <c r="AX2631" s="230"/>
      <c r="AY2631" s="42"/>
      <c r="AZ2631" s="320"/>
      <c r="BD2631" s="401"/>
      <c r="BE2631" s="42"/>
    </row>
    <row r="2632" spans="48:57" x14ac:dyDescent="0.2">
      <c r="AV2632" s="401"/>
      <c r="AW2632" s="412"/>
      <c r="AX2632" s="230"/>
      <c r="AY2632" s="42"/>
      <c r="AZ2632" s="320"/>
      <c r="BD2632" s="401"/>
      <c r="BE2632" s="42"/>
    </row>
    <row r="2633" spans="48:57" x14ac:dyDescent="0.2">
      <c r="AV2633" s="401"/>
      <c r="AW2633" s="412"/>
      <c r="AX2633" s="230"/>
      <c r="AY2633" s="42"/>
      <c r="AZ2633" s="320"/>
      <c r="BD2633" s="401"/>
      <c r="BE2633" s="42"/>
    </row>
    <row r="2634" spans="48:57" x14ac:dyDescent="0.2">
      <c r="AV2634" s="401"/>
      <c r="AW2634" s="412"/>
      <c r="AX2634" s="230"/>
      <c r="AY2634" s="42"/>
      <c r="AZ2634" s="320"/>
      <c r="BD2634" s="401"/>
      <c r="BE2634" s="42"/>
    </row>
    <row r="2635" spans="48:57" x14ac:dyDescent="0.2">
      <c r="AV2635" s="401"/>
      <c r="AW2635" s="412"/>
      <c r="AX2635" s="230"/>
      <c r="AY2635" s="42"/>
      <c r="AZ2635" s="320"/>
      <c r="BD2635" s="401"/>
      <c r="BE2635" s="42"/>
    </row>
    <row r="2636" spans="48:57" x14ac:dyDescent="0.2">
      <c r="AV2636" s="401"/>
      <c r="AW2636" s="412"/>
      <c r="AX2636" s="230"/>
      <c r="AY2636" s="42"/>
      <c r="AZ2636" s="320"/>
      <c r="BD2636" s="401"/>
      <c r="BE2636" s="42"/>
    </row>
    <row r="2637" spans="48:57" x14ac:dyDescent="0.2">
      <c r="AV2637" s="401"/>
      <c r="AW2637" s="412"/>
      <c r="AX2637" s="230"/>
      <c r="AY2637" s="42"/>
      <c r="AZ2637" s="320"/>
      <c r="BD2637" s="401"/>
      <c r="BE2637" s="42"/>
    </row>
    <row r="2638" spans="48:57" x14ac:dyDescent="0.2">
      <c r="AV2638" s="401"/>
      <c r="AW2638" s="412"/>
      <c r="AX2638" s="230"/>
      <c r="AY2638" s="42"/>
      <c r="AZ2638" s="320"/>
      <c r="BD2638" s="401"/>
      <c r="BE2638" s="42"/>
    </row>
    <row r="2639" spans="48:57" x14ac:dyDescent="0.2">
      <c r="AV2639" s="401"/>
      <c r="AW2639" s="412"/>
      <c r="AX2639" s="230"/>
      <c r="AY2639" s="42"/>
      <c r="AZ2639" s="320"/>
      <c r="BD2639" s="401"/>
      <c r="BE2639" s="42"/>
    </row>
    <row r="2640" spans="48:57" x14ac:dyDescent="0.2">
      <c r="AV2640" s="401"/>
      <c r="AW2640" s="412"/>
      <c r="AX2640" s="230"/>
      <c r="AY2640" s="42"/>
      <c r="AZ2640" s="320"/>
      <c r="BD2640" s="401"/>
      <c r="BE2640" s="42"/>
    </row>
    <row r="2641" spans="48:57" x14ac:dyDescent="0.2">
      <c r="AV2641" s="401"/>
      <c r="AW2641" s="412"/>
      <c r="AX2641" s="230"/>
      <c r="AY2641" s="42"/>
      <c r="AZ2641" s="320"/>
      <c r="BD2641" s="401"/>
      <c r="BE2641" s="42"/>
    </row>
    <row r="2642" spans="48:57" x14ac:dyDescent="0.2">
      <c r="AV2642" s="401"/>
      <c r="AW2642" s="412"/>
      <c r="AX2642" s="230"/>
      <c r="AY2642" s="42"/>
      <c r="AZ2642" s="320"/>
      <c r="BD2642" s="401"/>
      <c r="BE2642" s="42"/>
    </row>
    <row r="2643" spans="48:57" x14ac:dyDescent="0.2">
      <c r="AV2643" s="401"/>
      <c r="AW2643" s="412"/>
      <c r="AX2643" s="230"/>
      <c r="AY2643" s="42"/>
      <c r="AZ2643" s="320"/>
      <c r="BD2643" s="401"/>
      <c r="BE2643" s="42"/>
    </row>
    <row r="2644" spans="48:57" x14ac:dyDescent="0.2">
      <c r="AV2644" s="401"/>
      <c r="AW2644" s="412"/>
      <c r="AX2644" s="230"/>
      <c r="AY2644" s="42"/>
      <c r="AZ2644" s="320"/>
      <c r="BD2644" s="401"/>
      <c r="BE2644" s="42"/>
    </row>
    <row r="2645" spans="48:57" x14ac:dyDescent="0.2">
      <c r="AV2645" s="401"/>
      <c r="AW2645" s="412"/>
      <c r="AX2645" s="230"/>
      <c r="AY2645" s="42"/>
      <c r="AZ2645" s="320"/>
      <c r="BD2645" s="401"/>
      <c r="BE2645" s="42"/>
    </row>
    <row r="2646" spans="48:57" x14ac:dyDescent="0.2">
      <c r="AV2646" s="401"/>
      <c r="AW2646" s="412"/>
      <c r="AX2646" s="230"/>
      <c r="AY2646" s="42"/>
      <c r="AZ2646" s="320"/>
      <c r="BD2646" s="401"/>
      <c r="BE2646" s="42"/>
    </row>
    <row r="2647" spans="48:57" x14ac:dyDescent="0.2">
      <c r="AV2647" s="401"/>
      <c r="AW2647" s="412"/>
      <c r="AX2647" s="230"/>
      <c r="AY2647" s="42"/>
      <c r="AZ2647" s="320"/>
      <c r="BD2647" s="401"/>
      <c r="BE2647" s="42"/>
    </row>
    <row r="2648" spans="48:57" x14ac:dyDescent="0.2">
      <c r="AV2648" s="401"/>
      <c r="AW2648" s="412"/>
      <c r="AX2648" s="230"/>
      <c r="AY2648" s="42"/>
      <c r="AZ2648" s="320"/>
      <c r="BD2648" s="401"/>
      <c r="BE2648" s="42"/>
    </row>
    <row r="2649" spans="48:57" x14ac:dyDescent="0.2">
      <c r="AV2649" s="401"/>
      <c r="AW2649" s="412"/>
      <c r="AX2649" s="230"/>
      <c r="AY2649" s="42"/>
      <c r="AZ2649" s="320"/>
      <c r="BD2649" s="401"/>
      <c r="BE2649" s="42"/>
    </row>
    <row r="2650" spans="48:57" x14ac:dyDescent="0.2">
      <c r="AV2650" s="401"/>
      <c r="AW2650" s="412"/>
      <c r="AX2650" s="230"/>
      <c r="AY2650" s="42"/>
      <c r="AZ2650" s="320"/>
      <c r="BD2650" s="401"/>
      <c r="BE2650" s="42"/>
    </row>
    <row r="2651" spans="48:57" x14ac:dyDescent="0.2">
      <c r="AV2651" s="401"/>
      <c r="AW2651" s="412"/>
      <c r="AX2651" s="230"/>
      <c r="AY2651" s="42"/>
      <c r="AZ2651" s="320"/>
      <c r="BD2651" s="401"/>
      <c r="BE2651" s="42"/>
    </row>
    <row r="2652" spans="48:57" x14ac:dyDescent="0.2">
      <c r="AV2652" s="401"/>
      <c r="AW2652" s="412"/>
      <c r="AX2652" s="230"/>
      <c r="AY2652" s="42"/>
      <c r="AZ2652" s="320"/>
      <c r="BD2652" s="401"/>
      <c r="BE2652" s="42"/>
    </row>
    <row r="2653" spans="48:57" x14ac:dyDescent="0.2">
      <c r="AV2653" s="401"/>
      <c r="AW2653" s="412"/>
      <c r="AX2653" s="230"/>
      <c r="AY2653" s="42"/>
      <c r="AZ2653" s="320"/>
      <c r="BD2653" s="401"/>
      <c r="BE2653" s="42"/>
    </row>
    <row r="2654" spans="48:57" x14ac:dyDescent="0.2">
      <c r="AV2654" s="401"/>
      <c r="AW2654" s="412"/>
      <c r="AX2654" s="230"/>
      <c r="AY2654" s="42"/>
      <c r="AZ2654" s="320"/>
      <c r="BD2654" s="401"/>
      <c r="BE2654" s="42"/>
    </row>
    <row r="2655" spans="48:57" x14ac:dyDescent="0.2">
      <c r="AV2655" s="401"/>
      <c r="AW2655" s="412"/>
      <c r="AX2655" s="230"/>
      <c r="AY2655" s="42"/>
      <c r="AZ2655" s="320"/>
      <c r="BD2655" s="401"/>
      <c r="BE2655" s="42"/>
    </row>
    <row r="2656" spans="48:57" x14ac:dyDescent="0.2">
      <c r="AV2656" s="401"/>
      <c r="AW2656" s="412"/>
      <c r="AX2656" s="230"/>
      <c r="AY2656" s="42"/>
      <c r="AZ2656" s="320"/>
      <c r="BD2656" s="401"/>
      <c r="BE2656" s="42"/>
    </row>
    <row r="2657" spans="48:57" x14ac:dyDescent="0.2">
      <c r="AV2657" s="401"/>
      <c r="AW2657" s="412"/>
      <c r="AX2657" s="230"/>
      <c r="AY2657" s="42"/>
      <c r="AZ2657" s="320"/>
      <c r="BD2657" s="401"/>
      <c r="BE2657" s="42"/>
    </row>
    <row r="2658" spans="48:57" x14ac:dyDescent="0.2">
      <c r="AV2658" s="401"/>
      <c r="AW2658" s="412"/>
      <c r="AX2658" s="230"/>
      <c r="AY2658" s="42"/>
      <c r="AZ2658" s="320"/>
      <c r="BD2658" s="401"/>
      <c r="BE2658" s="42"/>
    </row>
    <row r="2659" spans="48:57" x14ac:dyDescent="0.2">
      <c r="AV2659" s="401"/>
      <c r="AW2659" s="412"/>
      <c r="AX2659" s="230"/>
      <c r="AY2659" s="42"/>
      <c r="AZ2659" s="320"/>
      <c r="BD2659" s="401"/>
      <c r="BE2659" s="42"/>
    </row>
    <row r="2660" spans="48:57" x14ac:dyDescent="0.2">
      <c r="AV2660" s="401"/>
      <c r="AW2660" s="412"/>
      <c r="AX2660" s="230"/>
      <c r="AY2660" s="42"/>
      <c r="AZ2660" s="320"/>
      <c r="BD2660" s="401"/>
      <c r="BE2660" s="42"/>
    </row>
    <row r="2661" spans="48:57" x14ac:dyDescent="0.2">
      <c r="AV2661" s="401"/>
      <c r="AW2661" s="412"/>
      <c r="AX2661" s="230"/>
      <c r="AY2661" s="42"/>
      <c r="AZ2661" s="320"/>
      <c r="BD2661" s="401"/>
      <c r="BE2661" s="42"/>
    </row>
    <row r="2662" spans="48:57" x14ac:dyDescent="0.2">
      <c r="AV2662" s="401"/>
      <c r="AW2662" s="412"/>
      <c r="AX2662" s="230"/>
      <c r="AY2662" s="42"/>
      <c r="AZ2662" s="320"/>
      <c r="BD2662" s="401"/>
      <c r="BE2662" s="42"/>
    </row>
    <row r="2663" spans="48:57" x14ac:dyDescent="0.2">
      <c r="AV2663" s="401"/>
      <c r="AW2663" s="412"/>
      <c r="AX2663" s="230"/>
      <c r="AY2663" s="42"/>
      <c r="AZ2663" s="320"/>
      <c r="BD2663" s="401"/>
      <c r="BE2663" s="42"/>
    </row>
    <row r="2664" spans="48:57" x14ac:dyDescent="0.2">
      <c r="AV2664" s="401"/>
      <c r="AW2664" s="412"/>
      <c r="AX2664" s="230"/>
      <c r="AY2664" s="42"/>
      <c r="AZ2664" s="320"/>
      <c r="BD2664" s="401"/>
      <c r="BE2664" s="42"/>
    </row>
    <row r="2665" spans="48:57" x14ac:dyDescent="0.2">
      <c r="AV2665" s="401"/>
      <c r="AW2665" s="412"/>
      <c r="AX2665" s="230"/>
      <c r="AY2665" s="42"/>
      <c r="AZ2665" s="320"/>
      <c r="BD2665" s="401"/>
      <c r="BE2665" s="42"/>
    </row>
    <row r="2666" spans="48:57" x14ac:dyDescent="0.2">
      <c r="AV2666" s="401"/>
      <c r="AW2666" s="412"/>
      <c r="AX2666" s="230"/>
      <c r="AY2666" s="42"/>
      <c r="AZ2666" s="320"/>
      <c r="BD2666" s="401"/>
      <c r="BE2666" s="42"/>
    </row>
    <row r="2667" spans="48:57" x14ac:dyDescent="0.2">
      <c r="AV2667" s="401"/>
      <c r="AW2667" s="412"/>
      <c r="AX2667" s="230"/>
      <c r="AY2667" s="42"/>
      <c r="AZ2667" s="320"/>
      <c r="BD2667" s="401"/>
      <c r="BE2667" s="42"/>
    </row>
    <row r="2668" spans="48:57" x14ac:dyDescent="0.2">
      <c r="AV2668" s="401"/>
      <c r="AW2668" s="412"/>
      <c r="AX2668" s="230"/>
      <c r="AY2668" s="42"/>
      <c r="AZ2668" s="320"/>
      <c r="BD2668" s="401"/>
      <c r="BE2668" s="42"/>
    </row>
    <row r="2669" spans="48:57" x14ac:dyDescent="0.2">
      <c r="AV2669" s="401"/>
      <c r="AW2669" s="412"/>
      <c r="AX2669" s="230"/>
      <c r="AY2669" s="42"/>
      <c r="AZ2669" s="320"/>
      <c r="BD2669" s="401"/>
      <c r="BE2669" s="42"/>
    </row>
    <row r="2670" spans="48:57" x14ac:dyDescent="0.2">
      <c r="AV2670" s="401"/>
      <c r="AW2670" s="412"/>
      <c r="AX2670" s="230"/>
      <c r="AY2670" s="42"/>
      <c r="AZ2670" s="320"/>
      <c r="BD2670" s="401"/>
      <c r="BE2670" s="42"/>
    </row>
    <row r="2671" spans="48:57" x14ac:dyDescent="0.2">
      <c r="AV2671" s="401"/>
      <c r="AW2671" s="412"/>
      <c r="AX2671" s="230"/>
      <c r="AY2671" s="42"/>
      <c r="AZ2671" s="320"/>
      <c r="BD2671" s="401"/>
      <c r="BE2671" s="42"/>
    </row>
    <row r="2672" spans="48:57" x14ac:dyDescent="0.2">
      <c r="AV2672" s="401"/>
      <c r="AW2672" s="412"/>
      <c r="AX2672" s="230"/>
      <c r="AY2672" s="42"/>
      <c r="AZ2672" s="320"/>
      <c r="BD2672" s="401"/>
      <c r="BE2672" s="42"/>
    </row>
    <row r="2673" spans="48:57" x14ac:dyDescent="0.2">
      <c r="AV2673" s="401"/>
      <c r="AW2673" s="412"/>
      <c r="AX2673" s="230"/>
      <c r="AY2673" s="42"/>
      <c r="AZ2673" s="320"/>
      <c r="BD2673" s="401"/>
      <c r="BE2673" s="42"/>
    </row>
    <row r="2674" spans="48:57" x14ac:dyDescent="0.2">
      <c r="AV2674" s="401"/>
      <c r="AW2674" s="412"/>
      <c r="AX2674" s="230"/>
      <c r="AY2674" s="42"/>
      <c r="AZ2674" s="320"/>
      <c r="BD2674" s="401"/>
      <c r="BE2674" s="42"/>
    </row>
    <row r="2675" spans="48:57" x14ac:dyDescent="0.2">
      <c r="AV2675" s="401"/>
      <c r="AW2675" s="412"/>
      <c r="AX2675" s="230"/>
      <c r="AY2675" s="42"/>
      <c r="AZ2675" s="320"/>
      <c r="BD2675" s="401"/>
      <c r="BE2675" s="42"/>
    </row>
    <row r="2676" spans="48:57" x14ac:dyDescent="0.2">
      <c r="AV2676" s="401"/>
      <c r="AW2676" s="412"/>
      <c r="AX2676" s="230"/>
      <c r="AY2676" s="42"/>
      <c r="AZ2676" s="320"/>
      <c r="BD2676" s="401"/>
      <c r="BE2676" s="42"/>
    </row>
    <row r="2677" spans="48:57" x14ac:dyDescent="0.2">
      <c r="AV2677" s="401"/>
      <c r="AW2677" s="412"/>
      <c r="AX2677" s="230"/>
      <c r="AY2677" s="42"/>
      <c r="AZ2677" s="320"/>
      <c r="BD2677" s="401"/>
      <c r="BE2677" s="42"/>
    </row>
    <row r="2678" spans="48:57" x14ac:dyDescent="0.2">
      <c r="AV2678" s="401"/>
      <c r="AW2678" s="412"/>
      <c r="AX2678" s="230"/>
      <c r="AY2678" s="42"/>
      <c r="AZ2678" s="320"/>
      <c r="BD2678" s="401"/>
      <c r="BE2678" s="42"/>
    </row>
    <row r="2679" spans="48:57" x14ac:dyDescent="0.2">
      <c r="AV2679" s="401"/>
      <c r="AW2679" s="412"/>
      <c r="AX2679" s="230"/>
      <c r="AY2679" s="42"/>
      <c r="AZ2679" s="320"/>
      <c r="BD2679" s="401"/>
      <c r="BE2679" s="42"/>
    </row>
    <row r="2680" spans="48:57" x14ac:dyDescent="0.2">
      <c r="AV2680" s="401"/>
      <c r="AW2680" s="412"/>
      <c r="AX2680" s="230"/>
      <c r="AY2680" s="42"/>
      <c r="AZ2680" s="320"/>
      <c r="BD2680" s="401"/>
      <c r="BE2680" s="42"/>
    </row>
    <row r="2681" spans="48:57" x14ac:dyDescent="0.2">
      <c r="AV2681" s="401"/>
      <c r="AW2681" s="412"/>
      <c r="AX2681" s="230"/>
      <c r="AY2681" s="42"/>
      <c r="AZ2681" s="320"/>
      <c r="BD2681" s="401"/>
      <c r="BE2681" s="42"/>
    </row>
    <row r="2682" spans="48:57" x14ac:dyDescent="0.2">
      <c r="AV2682" s="401"/>
      <c r="AW2682" s="412"/>
      <c r="AX2682" s="230"/>
      <c r="AY2682" s="42"/>
      <c r="AZ2682" s="320"/>
      <c r="BD2682" s="401"/>
      <c r="BE2682" s="42"/>
    </row>
    <row r="2683" spans="48:57" x14ac:dyDescent="0.2">
      <c r="AV2683" s="401"/>
      <c r="AW2683" s="412"/>
      <c r="AX2683" s="230"/>
      <c r="AY2683" s="42"/>
      <c r="AZ2683" s="320"/>
      <c r="BD2683" s="401"/>
      <c r="BE2683" s="42"/>
    </row>
    <row r="2684" spans="48:57" x14ac:dyDescent="0.2">
      <c r="AV2684" s="401"/>
      <c r="AW2684" s="412"/>
      <c r="AX2684" s="230"/>
      <c r="AY2684" s="42"/>
      <c r="AZ2684" s="320"/>
      <c r="BD2684" s="401"/>
      <c r="BE2684" s="42"/>
    </row>
    <row r="2685" spans="48:57" x14ac:dyDescent="0.2">
      <c r="AV2685" s="401"/>
      <c r="AW2685" s="412"/>
      <c r="AX2685" s="230"/>
      <c r="AY2685" s="42"/>
      <c r="AZ2685" s="320"/>
      <c r="BD2685" s="401"/>
      <c r="BE2685" s="42"/>
    </row>
    <row r="2686" spans="48:57" x14ac:dyDescent="0.2">
      <c r="AV2686" s="401"/>
      <c r="AW2686" s="412"/>
      <c r="AX2686" s="230"/>
      <c r="AY2686" s="42"/>
      <c r="AZ2686" s="320"/>
      <c r="BD2686" s="401"/>
      <c r="BE2686" s="42"/>
    </row>
    <row r="2687" spans="48:57" x14ac:dyDescent="0.2">
      <c r="AV2687" s="401"/>
      <c r="AW2687" s="412"/>
      <c r="AX2687" s="230"/>
      <c r="AY2687" s="42"/>
      <c r="AZ2687" s="320"/>
      <c r="BD2687" s="401"/>
      <c r="BE2687" s="42"/>
    </row>
    <row r="2688" spans="48:57" x14ac:dyDescent="0.2">
      <c r="AV2688" s="401"/>
      <c r="AW2688" s="412"/>
      <c r="AX2688" s="230"/>
      <c r="AY2688" s="42"/>
      <c r="AZ2688" s="320"/>
      <c r="BD2688" s="401"/>
      <c r="BE2688" s="42"/>
    </row>
    <row r="2689" spans="48:57" x14ac:dyDescent="0.2">
      <c r="AV2689" s="401"/>
      <c r="AW2689" s="412"/>
      <c r="AX2689" s="230"/>
      <c r="AY2689" s="42"/>
      <c r="AZ2689" s="320"/>
      <c r="BD2689" s="401"/>
      <c r="BE2689" s="42"/>
    </row>
    <row r="2690" spans="48:57" x14ac:dyDescent="0.2">
      <c r="AV2690" s="401"/>
      <c r="AW2690" s="412"/>
      <c r="AX2690" s="230"/>
      <c r="AY2690" s="42"/>
      <c r="AZ2690" s="320"/>
      <c r="BD2690" s="401"/>
      <c r="BE2690" s="42"/>
    </row>
    <row r="2691" spans="48:57" x14ac:dyDescent="0.2">
      <c r="AV2691" s="401"/>
      <c r="AW2691" s="412"/>
      <c r="AX2691" s="230"/>
      <c r="AY2691" s="42"/>
      <c r="AZ2691" s="320"/>
      <c r="BD2691" s="401"/>
      <c r="BE2691" s="42"/>
    </row>
    <row r="2692" spans="48:57" x14ac:dyDescent="0.2">
      <c r="AV2692" s="401"/>
      <c r="AW2692" s="412"/>
      <c r="AX2692" s="230"/>
      <c r="AY2692" s="42"/>
      <c r="AZ2692" s="320"/>
      <c r="BD2692" s="401"/>
      <c r="BE2692" s="42"/>
    </row>
    <row r="2693" spans="48:57" x14ac:dyDescent="0.2">
      <c r="AV2693" s="401"/>
      <c r="AW2693" s="412"/>
      <c r="AX2693" s="230"/>
      <c r="AY2693" s="42"/>
      <c r="AZ2693" s="320"/>
      <c r="BD2693" s="401"/>
      <c r="BE2693" s="42"/>
    </row>
    <row r="2694" spans="48:57" x14ac:dyDescent="0.2">
      <c r="AV2694" s="401"/>
      <c r="AW2694" s="412"/>
      <c r="AX2694" s="230"/>
      <c r="AY2694" s="42"/>
      <c r="AZ2694" s="320"/>
      <c r="BD2694" s="401"/>
      <c r="BE2694" s="42"/>
    </row>
    <row r="2695" spans="48:57" x14ac:dyDescent="0.2">
      <c r="AV2695" s="401"/>
      <c r="AW2695" s="412"/>
      <c r="AX2695" s="230"/>
      <c r="AY2695" s="42"/>
      <c r="AZ2695" s="320"/>
      <c r="BD2695" s="401"/>
      <c r="BE2695" s="42"/>
    </row>
    <row r="2696" spans="48:57" x14ac:dyDescent="0.2">
      <c r="AV2696" s="401"/>
      <c r="AW2696" s="412"/>
      <c r="AX2696" s="230"/>
      <c r="AY2696" s="42"/>
      <c r="AZ2696" s="320"/>
      <c r="BD2696" s="401"/>
      <c r="BE2696" s="42"/>
    </row>
    <row r="2697" spans="48:57" x14ac:dyDescent="0.2">
      <c r="AV2697" s="401"/>
      <c r="AW2697" s="412"/>
      <c r="AX2697" s="230"/>
      <c r="AY2697" s="42"/>
      <c r="AZ2697" s="320"/>
      <c r="BD2697" s="401"/>
      <c r="BE2697" s="42"/>
    </row>
    <row r="2698" spans="48:57" x14ac:dyDescent="0.2">
      <c r="AV2698" s="401"/>
      <c r="AW2698" s="412"/>
      <c r="AX2698" s="230"/>
      <c r="AY2698" s="42"/>
      <c r="AZ2698" s="320"/>
      <c r="BD2698" s="401"/>
      <c r="BE2698" s="42"/>
    </row>
    <row r="2699" spans="48:57" x14ac:dyDescent="0.2">
      <c r="AV2699" s="401"/>
      <c r="AW2699" s="412"/>
      <c r="AX2699" s="230"/>
      <c r="AY2699" s="42"/>
      <c r="AZ2699" s="320"/>
      <c r="BD2699" s="401"/>
      <c r="BE2699" s="42"/>
    </row>
    <row r="2700" spans="48:57" x14ac:dyDescent="0.2">
      <c r="AV2700" s="401"/>
      <c r="AW2700" s="412"/>
      <c r="AX2700" s="230"/>
      <c r="AY2700" s="42"/>
      <c r="AZ2700" s="320"/>
      <c r="BD2700" s="401"/>
      <c r="BE2700" s="42"/>
    </row>
    <row r="2701" spans="48:57" x14ac:dyDescent="0.2">
      <c r="AV2701" s="401"/>
      <c r="AW2701" s="412"/>
      <c r="AX2701" s="230"/>
      <c r="AY2701" s="42"/>
      <c r="AZ2701" s="320"/>
      <c r="BD2701" s="401"/>
      <c r="BE2701" s="42"/>
    </row>
    <row r="2702" spans="48:57" x14ac:dyDescent="0.2">
      <c r="AV2702" s="401"/>
      <c r="AW2702" s="412"/>
      <c r="AX2702" s="230"/>
      <c r="AY2702" s="42"/>
      <c r="AZ2702" s="320"/>
      <c r="BD2702" s="401"/>
      <c r="BE2702" s="42"/>
    </row>
    <row r="2703" spans="48:57" x14ac:dyDescent="0.2">
      <c r="AV2703" s="401"/>
      <c r="AW2703" s="412"/>
      <c r="AX2703" s="230"/>
      <c r="AY2703" s="42"/>
      <c r="AZ2703" s="320"/>
      <c r="BD2703" s="401"/>
      <c r="BE2703" s="42"/>
    </row>
    <row r="2704" spans="48:57" x14ac:dyDescent="0.2">
      <c r="AV2704" s="401"/>
      <c r="AW2704" s="412"/>
      <c r="AX2704" s="230"/>
      <c r="AY2704" s="42"/>
      <c r="AZ2704" s="320"/>
      <c r="BD2704" s="401"/>
      <c r="BE2704" s="42"/>
    </row>
    <row r="2705" spans="48:57" x14ac:dyDescent="0.2">
      <c r="AV2705" s="401"/>
      <c r="AW2705" s="412"/>
      <c r="AX2705" s="230"/>
      <c r="AY2705" s="42"/>
      <c r="AZ2705" s="320"/>
      <c r="BD2705" s="401"/>
      <c r="BE2705" s="42"/>
    </row>
    <row r="2706" spans="48:57" x14ac:dyDescent="0.2">
      <c r="AV2706" s="401"/>
      <c r="AW2706" s="412"/>
      <c r="AX2706" s="230"/>
      <c r="AY2706" s="42"/>
      <c r="AZ2706" s="320"/>
      <c r="BD2706" s="401"/>
      <c r="BE2706" s="42"/>
    </row>
    <row r="2707" spans="48:57" x14ac:dyDescent="0.2">
      <c r="AV2707" s="401"/>
      <c r="AW2707" s="412"/>
      <c r="AX2707" s="230"/>
      <c r="AY2707" s="42"/>
      <c r="AZ2707" s="320"/>
      <c r="BD2707" s="401"/>
      <c r="BE2707" s="42"/>
    </row>
    <row r="2708" spans="48:57" x14ac:dyDescent="0.2">
      <c r="AV2708" s="401"/>
      <c r="AW2708" s="412"/>
      <c r="AX2708" s="230"/>
      <c r="AY2708" s="42"/>
      <c r="AZ2708" s="320"/>
      <c r="BD2708" s="401"/>
      <c r="BE2708" s="42"/>
    </row>
    <row r="2709" spans="48:57" x14ac:dyDescent="0.2">
      <c r="AV2709" s="401"/>
      <c r="AW2709" s="412"/>
      <c r="AX2709" s="230"/>
      <c r="AY2709" s="42"/>
      <c r="AZ2709" s="320"/>
      <c r="BD2709" s="401"/>
      <c r="BE2709" s="42"/>
    </row>
    <row r="2710" spans="48:57" x14ac:dyDescent="0.2">
      <c r="AV2710" s="401"/>
      <c r="AW2710" s="412"/>
      <c r="AX2710" s="230"/>
      <c r="AY2710" s="42"/>
      <c r="AZ2710" s="320"/>
      <c r="BD2710" s="401"/>
      <c r="BE2710" s="42"/>
    </row>
    <row r="2711" spans="48:57" x14ac:dyDescent="0.2">
      <c r="AV2711" s="401"/>
      <c r="AW2711" s="412"/>
      <c r="AX2711" s="230"/>
      <c r="AY2711" s="42"/>
      <c r="AZ2711" s="320"/>
      <c r="BD2711" s="401"/>
      <c r="BE2711" s="42"/>
    </row>
    <row r="2712" spans="48:57" x14ac:dyDescent="0.2">
      <c r="AV2712" s="401"/>
      <c r="AW2712" s="412"/>
      <c r="AX2712" s="230"/>
      <c r="AY2712" s="42"/>
      <c r="AZ2712" s="320"/>
      <c r="BD2712" s="401"/>
      <c r="BE2712" s="42"/>
    </row>
    <row r="2713" spans="48:57" x14ac:dyDescent="0.2">
      <c r="AV2713" s="401"/>
      <c r="AW2713" s="412"/>
      <c r="AX2713" s="230"/>
      <c r="AY2713" s="42"/>
      <c r="AZ2713" s="320"/>
      <c r="BD2713" s="401"/>
      <c r="BE2713" s="42"/>
    </row>
    <row r="2714" spans="48:57" x14ac:dyDescent="0.2">
      <c r="AV2714" s="401"/>
      <c r="AW2714" s="412"/>
      <c r="AX2714" s="230"/>
      <c r="AY2714" s="42"/>
      <c r="AZ2714" s="320"/>
      <c r="BD2714" s="401"/>
      <c r="BE2714" s="42"/>
    </row>
    <row r="2715" spans="48:57" x14ac:dyDescent="0.2">
      <c r="AV2715" s="401"/>
      <c r="AW2715" s="412"/>
      <c r="AX2715" s="230"/>
      <c r="AY2715" s="42"/>
      <c r="AZ2715" s="320"/>
      <c r="BD2715" s="401"/>
      <c r="BE2715" s="42"/>
    </row>
    <row r="2716" spans="48:57" x14ac:dyDescent="0.2">
      <c r="AV2716" s="401"/>
      <c r="AW2716" s="412"/>
      <c r="AX2716" s="230"/>
      <c r="AY2716" s="42"/>
      <c r="AZ2716" s="320"/>
      <c r="BD2716" s="401"/>
      <c r="BE2716" s="42"/>
    </row>
    <row r="2717" spans="48:57" x14ac:dyDescent="0.2">
      <c r="AV2717" s="401"/>
      <c r="AW2717" s="412"/>
      <c r="AX2717" s="230"/>
      <c r="AY2717" s="42"/>
      <c r="AZ2717" s="320"/>
      <c r="BD2717" s="401"/>
      <c r="BE2717" s="42"/>
    </row>
    <row r="2718" spans="48:57" x14ac:dyDescent="0.2">
      <c r="AV2718" s="401"/>
      <c r="AW2718" s="412"/>
      <c r="AX2718" s="230"/>
      <c r="AY2718" s="42"/>
      <c r="AZ2718" s="320"/>
      <c r="BD2718" s="401"/>
      <c r="BE2718" s="42"/>
    </row>
    <row r="2719" spans="48:57" x14ac:dyDescent="0.2">
      <c r="AV2719" s="401"/>
      <c r="AW2719" s="412"/>
      <c r="AX2719" s="230"/>
      <c r="AY2719" s="42"/>
      <c r="AZ2719" s="320"/>
      <c r="BD2719" s="401"/>
      <c r="BE2719" s="42"/>
    </row>
    <row r="2720" spans="48:57" x14ac:dyDescent="0.2">
      <c r="AV2720" s="401"/>
      <c r="AW2720" s="412"/>
      <c r="AX2720" s="230"/>
      <c r="AY2720" s="42"/>
      <c r="AZ2720" s="320"/>
      <c r="BD2720" s="401"/>
      <c r="BE2720" s="42"/>
    </row>
    <row r="2721" spans="48:57" x14ac:dyDescent="0.2">
      <c r="AV2721" s="401"/>
      <c r="AW2721" s="412"/>
      <c r="AX2721" s="230"/>
      <c r="AY2721" s="42"/>
      <c r="AZ2721" s="320"/>
      <c r="BD2721" s="401"/>
      <c r="BE2721" s="42"/>
    </row>
    <row r="2722" spans="48:57" x14ac:dyDescent="0.2">
      <c r="AV2722" s="401"/>
      <c r="AW2722" s="412"/>
      <c r="AX2722" s="230"/>
      <c r="AY2722" s="42"/>
      <c r="AZ2722" s="320"/>
      <c r="BD2722" s="401"/>
      <c r="BE2722" s="42"/>
    </row>
    <row r="2723" spans="48:57" x14ac:dyDescent="0.2">
      <c r="AV2723" s="401"/>
      <c r="AW2723" s="412"/>
      <c r="AX2723" s="230"/>
      <c r="AY2723" s="42"/>
      <c r="AZ2723" s="320"/>
      <c r="BD2723" s="401"/>
      <c r="BE2723" s="42"/>
    </row>
    <row r="2724" spans="48:57" x14ac:dyDescent="0.2">
      <c r="AV2724" s="401"/>
      <c r="AW2724" s="412"/>
      <c r="AX2724" s="230"/>
      <c r="AY2724" s="42"/>
      <c r="AZ2724" s="320"/>
      <c r="BD2724" s="401"/>
      <c r="BE2724" s="42"/>
    </row>
    <row r="2725" spans="48:57" x14ac:dyDescent="0.2">
      <c r="AV2725" s="401"/>
      <c r="AW2725" s="412"/>
      <c r="AX2725" s="230"/>
      <c r="AY2725" s="42"/>
      <c r="AZ2725" s="320"/>
      <c r="BD2725" s="401"/>
      <c r="BE2725" s="42"/>
    </row>
    <row r="2726" spans="48:57" x14ac:dyDescent="0.2">
      <c r="AV2726" s="401"/>
      <c r="AW2726" s="412"/>
      <c r="AX2726" s="230"/>
      <c r="AY2726" s="42"/>
      <c r="AZ2726" s="320"/>
      <c r="BD2726" s="401"/>
      <c r="BE2726" s="42"/>
    </row>
    <row r="2727" spans="48:57" x14ac:dyDescent="0.2">
      <c r="AV2727" s="401"/>
      <c r="AW2727" s="412"/>
      <c r="AX2727" s="230"/>
      <c r="AY2727" s="42"/>
      <c r="AZ2727" s="320"/>
      <c r="BD2727" s="401"/>
      <c r="BE2727" s="42"/>
    </row>
    <row r="2728" spans="48:57" x14ac:dyDescent="0.2">
      <c r="AV2728" s="401"/>
      <c r="AW2728" s="412"/>
      <c r="AX2728" s="230"/>
      <c r="AY2728" s="42"/>
      <c r="AZ2728" s="320"/>
      <c r="BD2728" s="401"/>
      <c r="BE2728" s="42"/>
    </row>
    <row r="2729" spans="48:57" x14ac:dyDescent="0.2">
      <c r="AV2729" s="401"/>
      <c r="AW2729" s="412"/>
      <c r="AX2729" s="230"/>
      <c r="AY2729" s="42"/>
      <c r="AZ2729" s="320"/>
      <c r="BD2729" s="401"/>
      <c r="BE2729" s="42"/>
    </row>
    <row r="2730" spans="48:57" x14ac:dyDescent="0.2">
      <c r="AV2730" s="401"/>
      <c r="AW2730" s="412"/>
      <c r="AX2730" s="230"/>
      <c r="AY2730" s="42"/>
      <c r="AZ2730" s="320"/>
      <c r="BD2730" s="401"/>
      <c r="BE2730" s="42"/>
    </row>
    <row r="2731" spans="48:57" x14ac:dyDescent="0.2">
      <c r="AV2731" s="401"/>
      <c r="AW2731" s="412"/>
      <c r="AX2731" s="230"/>
      <c r="AY2731" s="42"/>
      <c r="AZ2731" s="320"/>
      <c r="BD2731" s="401"/>
      <c r="BE2731" s="42"/>
    </row>
    <row r="2732" spans="48:57" x14ac:dyDescent="0.2">
      <c r="AV2732" s="401"/>
      <c r="AW2732" s="412"/>
      <c r="AX2732" s="230"/>
      <c r="AY2732" s="42"/>
      <c r="AZ2732" s="320"/>
      <c r="BD2732" s="401"/>
      <c r="BE2732" s="42"/>
    </row>
    <row r="2733" spans="48:57" x14ac:dyDescent="0.2">
      <c r="AV2733" s="401"/>
      <c r="AW2733" s="412"/>
      <c r="AX2733" s="230"/>
      <c r="AY2733" s="42"/>
      <c r="AZ2733" s="320"/>
      <c r="BD2733" s="401"/>
      <c r="BE2733" s="42"/>
    </row>
    <row r="2734" spans="48:57" x14ac:dyDescent="0.2">
      <c r="AV2734" s="401"/>
      <c r="AW2734" s="412"/>
      <c r="AX2734" s="230"/>
      <c r="AY2734" s="42"/>
      <c r="AZ2734" s="320"/>
      <c r="BD2734" s="401"/>
      <c r="BE2734" s="42"/>
    </row>
    <row r="2735" spans="48:57" x14ac:dyDescent="0.2">
      <c r="AV2735" s="401"/>
      <c r="AW2735" s="412"/>
      <c r="AX2735" s="230"/>
      <c r="AY2735" s="42"/>
      <c r="AZ2735" s="320"/>
      <c r="BD2735" s="401"/>
      <c r="BE2735" s="42"/>
    </row>
    <row r="2736" spans="48:57" x14ac:dyDescent="0.2">
      <c r="AV2736" s="401"/>
      <c r="AW2736" s="412"/>
      <c r="AX2736" s="230"/>
      <c r="AY2736" s="42"/>
      <c r="AZ2736" s="320"/>
      <c r="BD2736" s="401"/>
      <c r="BE2736" s="42"/>
    </row>
    <row r="2737" spans="48:57" x14ac:dyDescent="0.2">
      <c r="AV2737" s="401"/>
      <c r="AW2737" s="412"/>
      <c r="AX2737" s="230"/>
      <c r="AY2737" s="42"/>
      <c r="AZ2737" s="320"/>
      <c r="BD2737" s="401"/>
      <c r="BE2737" s="42"/>
    </row>
    <row r="2738" spans="48:57" x14ac:dyDescent="0.2">
      <c r="AV2738" s="401"/>
      <c r="AW2738" s="412"/>
      <c r="AX2738" s="230"/>
      <c r="AY2738" s="42"/>
      <c r="AZ2738" s="320"/>
      <c r="BD2738" s="401"/>
      <c r="BE2738" s="42"/>
    </row>
    <row r="2739" spans="48:57" x14ac:dyDescent="0.2">
      <c r="AV2739" s="401"/>
      <c r="AW2739" s="412"/>
      <c r="AX2739" s="230"/>
      <c r="AY2739" s="42"/>
      <c r="AZ2739" s="320"/>
      <c r="BD2739" s="401"/>
      <c r="BE2739" s="42"/>
    </row>
    <row r="2740" spans="48:57" x14ac:dyDescent="0.2">
      <c r="AV2740" s="401"/>
      <c r="AW2740" s="412"/>
      <c r="AX2740" s="230"/>
      <c r="AY2740" s="42"/>
      <c r="AZ2740" s="320"/>
      <c r="BD2740" s="401"/>
      <c r="BE2740" s="42"/>
    </row>
    <row r="2741" spans="48:57" x14ac:dyDescent="0.2">
      <c r="AV2741" s="401"/>
      <c r="AW2741" s="412"/>
      <c r="AX2741" s="230"/>
      <c r="AY2741" s="42"/>
      <c r="AZ2741" s="320"/>
      <c r="BD2741" s="401"/>
      <c r="BE2741" s="42"/>
    </row>
    <row r="2742" spans="48:57" x14ac:dyDescent="0.2">
      <c r="AV2742" s="401"/>
      <c r="AW2742" s="412"/>
      <c r="AX2742" s="230"/>
      <c r="AY2742" s="42"/>
      <c r="AZ2742" s="320"/>
      <c r="BD2742" s="401"/>
      <c r="BE2742" s="42"/>
    </row>
    <row r="2743" spans="48:57" x14ac:dyDescent="0.2">
      <c r="AV2743" s="401"/>
      <c r="AW2743" s="412"/>
      <c r="AX2743" s="230"/>
      <c r="AY2743" s="42"/>
      <c r="AZ2743" s="320"/>
      <c r="BD2743" s="401"/>
      <c r="BE2743" s="42"/>
    </row>
    <row r="2744" spans="48:57" x14ac:dyDescent="0.2">
      <c r="AV2744" s="401"/>
      <c r="AW2744" s="412"/>
      <c r="AX2744" s="230"/>
      <c r="AY2744" s="42"/>
      <c r="AZ2744" s="320"/>
      <c r="BD2744" s="401"/>
      <c r="BE2744" s="42"/>
    </row>
    <row r="2745" spans="48:57" x14ac:dyDescent="0.2">
      <c r="AV2745" s="401"/>
      <c r="AW2745" s="412"/>
      <c r="AX2745" s="230"/>
      <c r="AY2745" s="42"/>
      <c r="AZ2745" s="320"/>
      <c r="BD2745" s="401"/>
      <c r="BE2745" s="42"/>
    </row>
    <row r="2746" spans="48:57" x14ac:dyDescent="0.2">
      <c r="AV2746" s="401"/>
      <c r="AW2746" s="412"/>
      <c r="AX2746" s="230"/>
      <c r="AY2746" s="42"/>
      <c r="AZ2746" s="320"/>
      <c r="BD2746" s="401"/>
      <c r="BE2746" s="42"/>
    </row>
    <row r="2747" spans="48:57" x14ac:dyDescent="0.2">
      <c r="AV2747" s="401"/>
      <c r="AW2747" s="412"/>
      <c r="AX2747" s="230"/>
      <c r="AY2747" s="42"/>
      <c r="AZ2747" s="320"/>
      <c r="BD2747" s="401"/>
      <c r="BE2747" s="42"/>
    </row>
    <row r="2748" spans="48:57" x14ac:dyDescent="0.2">
      <c r="AV2748" s="401"/>
      <c r="AW2748" s="412"/>
      <c r="AX2748" s="230"/>
      <c r="AY2748" s="42"/>
      <c r="AZ2748" s="320"/>
      <c r="BD2748" s="401"/>
      <c r="BE2748" s="42"/>
    </row>
    <row r="2749" spans="48:57" x14ac:dyDescent="0.2">
      <c r="AV2749" s="401"/>
      <c r="AW2749" s="412"/>
      <c r="AX2749" s="230"/>
      <c r="AY2749" s="42"/>
      <c r="AZ2749" s="320"/>
      <c r="BD2749" s="401"/>
      <c r="BE2749" s="42"/>
    </row>
    <row r="2750" spans="48:57" x14ac:dyDescent="0.2">
      <c r="AV2750" s="401"/>
      <c r="AW2750" s="412"/>
      <c r="AX2750" s="230"/>
      <c r="AY2750" s="42"/>
      <c r="AZ2750" s="320"/>
      <c r="BD2750" s="401"/>
      <c r="BE2750" s="42"/>
    </row>
    <row r="2751" spans="48:57" x14ac:dyDescent="0.2">
      <c r="AV2751" s="401"/>
      <c r="AW2751" s="412"/>
      <c r="AX2751" s="230"/>
      <c r="AY2751" s="42"/>
      <c r="AZ2751" s="320"/>
      <c r="BD2751" s="401"/>
      <c r="BE2751" s="42"/>
    </row>
    <row r="2752" spans="48:57" x14ac:dyDescent="0.2">
      <c r="AV2752" s="401"/>
      <c r="AW2752" s="412"/>
      <c r="AX2752" s="230"/>
      <c r="AY2752" s="42"/>
      <c r="AZ2752" s="320"/>
      <c r="BD2752" s="401"/>
      <c r="BE2752" s="42"/>
    </row>
    <row r="2753" spans="48:57" x14ac:dyDescent="0.2">
      <c r="AV2753" s="401"/>
      <c r="AW2753" s="412"/>
      <c r="AX2753" s="230"/>
      <c r="AY2753" s="42"/>
      <c r="AZ2753" s="320"/>
      <c r="BD2753" s="401"/>
      <c r="BE2753" s="42"/>
    </row>
    <row r="2754" spans="48:57" x14ac:dyDescent="0.2">
      <c r="AV2754" s="401"/>
      <c r="AW2754" s="412"/>
      <c r="AX2754" s="230"/>
      <c r="AY2754" s="42"/>
      <c r="AZ2754" s="320"/>
      <c r="BD2754" s="401"/>
      <c r="BE2754" s="42"/>
    </row>
    <row r="2755" spans="48:57" x14ac:dyDescent="0.2">
      <c r="AV2755" s="401"/>
      <c r="AW2755" s="412"/>
      <c r="AX2755" s="230"/>
      <c r="AY2755" s="42"/>
      <c r="AZ2755" s="320"/>
      <c r="BD2755" s="401"/>
      <c r="BE2755" s="42"/>
    </row>
    <row r="2756" spans="48:57" x14ac:dyDescent="0.2">
      <c r="AV2756" s="401"/>
      <c r="AW2756" s="412"/>
      <c r="AX2756" s="230"/>
      <c r="AY2756" s="42"/>
      <c r="AZ2756" s="320"/>
      <c r="BD2756" s="401"/>
      <c r="BE2756" s="42"/>
    </row>
    <row r="2757" spans="48:57" x14ac:dyDescent="0.2">
      <c r="AV2757" s="401"/>
      <c r="AW2757" s="412"/>
      <c r="AX2757" s="230"/>
      <c r="AY2757" s="42"/>
      <c r="AZ2757" s="320"/>
      <c r="BD2757" s="401"/>
      <c r="BE2757" s="42"/>
    </row>
    <row r="2758" spans="48:57" x14ac:dyDescent="0.2">
      <c r="AV2758" s="401"/>
      <c r="AW2758" s="412"/>
      <c r="AX2758" s="230"/>
      <c r="AY2758" s="42"/>
      <c r="AZ2758" s="320"/>
      <c r="BD2758" s="401"/>
      <c r="BE2758" s="42"/>
    </row>
    <row r="2759" spans="48:57" x14ac:dyDescent="0.2">
      <c r="AV2759" s="401"/>
      <c r="AW2759" s="412"/>
      <c r="AX2759" s="230"/>
      <c r="AY2759" s="42"/>
      <c r="AZ2759" s="320"/>
      <c r="BD2759" s="401"/>
      <c r="BE2759" s="42"/>
    </row>
    <row r="2760" spans="48:57" x14ac:dyDescent="0.2">
      <c r="AV2760" s="401"/>
      <c r="AW2760" s="412"/>
      <c r="AX2760" s="230"/>
      <c r="AY2760" s="42"/>
      <c r="AZ2760" s="320"/>
      <c r="BD2760" s="401"/>
      <c r="BE2760" s="42"/>
    </row>
    <row r="2761" spans="48:57" x14ac:dyDescent="0.2">
      <c r="AV2761" s="401"/>
      <c r="AW2761" s="412"/>
      <c r="AX2761" s="230"/>
      <c r="AY2761" s="42"/>
      <c r="AZ2761" s="320"/>
      <c r="BD2761" s="401"/>
      <c r="BE2761" s="42"/>
    </row>
    <row r="2762" spans="48:57" x14ac:dyDescent="0.2">
      <c r="AV2762" s="401"/>
      <c r="AW2762" s="412"/>
      <c r="AX2762" s="230"/>
      <c r="AY2762" s="42"/>
      <c r="AZ2762" s="320"/>
      <c r="BD2762" s="401"/>
      <c r="BE2762" s="42"/>
    </row>
    <row r="2763" spans="48:57" x14ac:dyDescent="0.2">
      <c r="AV2763" s="401"/>
      <c r="AW2763" s="412"/>
      <c r="AX2763" s="230"/>
      <c r="AY2763" s="42"/>
      <c r="AZ2763" s="320"/>
      <c r="BD2763" s="401"/>
      <c r="BE2763" s="42"/>
    </row>
    <row r="2764" spans="48:57" x14ac:dyDescent="0.2">
      <c r="AV2764" s="401"/>
      <c r="AW2764" s="412"/>
      <c r="AX2764" s="230"/>
      <c r="AY2764" s="42"/>
      <c r="AZ2764" s="320"/>
      <c r="BD2764" s="401"/>
      <c r="BE2764" s="42"/>
    </row>
    <row r="2765" spans="48:57" x14ac:dyDescent="0.2">
      <c r="AV2765" s="401"/>
      <c r="AW2765" s="412"/>
      <c r="AX2765" s="230"/>
      <c r="AY2765" s="42"/>
      <c r="AZ2765" s="320"/>
      <c r="BD2765" s="401"/>
      <c r="BE2765" s="42"/>
    </row>
    <row r="2766" spans="48:57" x14ac:dyDescent="0.2">
      <c r="AV2766" s="401"/>
      <c r="AW2766" s="412"/>
      <c r="AX2766" s="230"/>
      <c r="AY2766" s="42"/>
      <c r="AZ2766" s="320"/>
      <c r="BD2766" s="401"/>
      <c r="BE2766" s="42"/>
    </row>
    <row r="2767" spans="48:57" x14ac:dyDescent="0.2">
      <c r="AV2767" s="401"/>
      <c r="AW2767" s="412"/>
      <c r="AX2767" s="230"/>
      <c r="AY2767" s="42"/>
      <c r="AZ2767" s="320"/>
      <c r="BD2767" s="401"/>
      <c r="BE2767" s="42"/>
    </row>
    <row r="2768" spans="48:57" x14ac:dyDescent="0.2">
      <c r="AV2768" s="401"/>
      <c r="AW2768" s="412"/>
      <c r="AX2768" s="230"/>
      <c r="AY2768" s="42"/>
      <c r="AZ2768" s="320"/>
      <c r="BD2768" s="401"/>
      <c r="BE2768" s="42"/>
    </row>
    <row r="2769" spans="48:57" x14ac:dyDescent="0.2">
      <c r="AV2769" s="401"/>
      <c r="AW2769" s="412"/>
      <c r="AX2769" s="230"/>
      <c r="AY2769" s="42"/>
      <c r="AZ2769" s="320"/>
      <c r="BD2769" s="401"/>
      <c r="BE2769" s="42"/>
    </row>
    <row r="2770" spans="48:57" x14ac:dyDescent="0.2">
      <c r="AV2770" s="401"/>
      <c r="AW2770" s="412"/>
      <c r="AX2770" s="230"/>
      <c r="AY2770" s="42"/>
      <c r="AZ2770" s="320"/>
      <c r="BD2770" s="401"/>
      <c r="BE2770" s="42"/>
    </row>
    <row r="2771" spans="48:57" x14ac:dyDescent="0.2">
      <c r="AV2771" s="401"/>
      <c r="AW2771" s="412"/>
      <c r="AX2771" s="230"/>
      <c r="AY2771" s="42"/>
      <c r="AZ2771" s="320"/>
      <c r="BD2771" s="401"/>
      <c r="BE2771" s="42"/>
    </row>
    <row r="2772" spans="48:57" x14ac:dyDescent="0.2">
      <c r="AV2772" s="401"/>
      <c r="AW2772" s="412"/>
      <c r="AX2772" s="230"/>
      <c r="AY2772" s="42"/>
      <c r="AZ2772" s="320"/>
      <c r="BD2772" s="401"/>
      <c r="BE2772" s="42"/>
    </row>
    <row r="2773" spans="48:57" x14ac:dyDescent="0.2">
      <c r="AV2773" s="401"/>
      <c r="AW2773" s="412"/>
      <c r="AX2773" s="230"/>
      <c r="AY2773" s="42"/>
      <c r="AZ2773" s="320"/>
      <c r="BD2773" s="401"/>
      <c r="BE2773" s="42"/>
    </row>
    <row r="2774" spans="48:57" x14ac:dyDescent="0.2">
      <c r="AV2774" s="401"/>
      <c r="AW2774" s="412"/>
      <c r="AX2774" s="230"/>
      <c r="AY2774" s="42"/>
      <c r="AZ2774" s="320"/>
      <c r="BD2774" s="401"/>
      <c r="BE2774" s="42"/>
    </row>
    <row r="2775" spans="48:57" x14ac:dyDescent="0.2">
      <c r="AV2775" s="401"/>
      <c r="AW2775" s="412"/>
      <c r="AX2775" s="230"/>
      <c r="AY2775" s="42"/>
      <c r="AZ2775" s="320"/>
      <c r="BD2775" s="401"/>
      <c r="BE2775" s="42"/>
    </row>
    <row r="2776" spans="48:57" x14ac:dyDescent="0.2">
      <c r="AV2776" s="401"/>
      <c r="AW2776" s="412"/>
      <c r="AX2776" s="230"/>
      <c r="AY2776" s="42"/>
      <c r="AZ2776" s="320"/>
      <c r="BD2776" s="401"/>
      <c r="BE2776" s="42"/>
    </row>
    <row r="2777" spans="48:57" x14ac:dyDescent="0.2">
      <c r="AV2777" s="401"/>
      <c r="AW2777" s="412"/>
      <c r="AX2777" s="230"/>
      <c r="AY2777" s="42"/>
      <c r="AZ2777" s="320"/>
      <c r="BD2777" s="401"/>
      <c r="BE2777" s="42"/>
    </row>
    <row r="2778" spans="48:57" x14ac:dyDescent="0.2">
      <c r="AV2778" s="401"/>
      <c r="AW2778" s="412"/>
      <c r="AX2778" s="230"/>
      <c r="AY2778" s="42"/>
      <c r="AZ2778" s="320"/>
      <c r="BD2778" s="401"/>
      <c r="BE2778" s="42"/>
    </row>
    <row r="2779" spans="48:57" x14ac:dyDescent="0.2">
      <c r="AV2779" s="401"/>
      <c r="AW2779" s="412"/>
      <c r="AX2779" s="230"/>
      <c r="AY2779" s="42"/>
      <c r="AZ2779" s="320"/>
      <c r="BD2779" s="401"/>
      <c r="BE2779" s="42"/>
    </row>
    <row r="2780" spans="48:57" x14ac:dyDescent="0.2">
      <c r="AV2780" s="401"/>
      <c r="AW2780" s="412"/>
      <c r="AX2780" s="230"/>
      <c r="AY2780" s="42"/>
      <c r="AZ2780" s="320"/>
      <c r="BD2780" s="401"/>
      <c r="BE2780" s="42"/>
    </row>
    <row r="2781" spans="48:57" x14ac:dyDescent="0.2">
      <c r="AV2781" s="401"/>
      <c r="AW2781" s="412"/>
      <c r="AX2781" s="230"/>
      <c r="AY2781" s="42"/>
      <c r="AZ2781" s="320"/>
      <c r="BD2781" s="401"/>
      <c r="BE2781" s="42"/>
    </row>
    <row r="2782" spans="48:57" x14ac:dyDescent="0.2">
      <c r="AV2782" s="401"/>
      <c r="AW2782" s="412"/>
      <c r="AX2782" s="230"/>
      <c r="AY2782" s="42"/>
      <c r="AZ2782" s="320"/>
      <c r="BD2782" s="401"/>
      <c r="BE2782" s="42"/>
    </row>
    <row r="2783" spans="48:57" x14ac:dyDescent="0.2">
      <c r="AV2783" s="401"/>
      <c r="AW2783" s="412"/>
      <c r="AX2783" s="230"/>
      <c r="AY2783" s="42"/>
      <c r="AZ2783" s="320"/>
      <c r="BD2783" s="401"/>
      <c r="BE2783" s="42"/>
    </row>
    <row r="2784" spans="48:57" x14ac:dyDescent="0.2">
      <c r="AV2784" s="401"/>
      <c r="AW2784" s="412"/>
      <c r="AX2784" s="230"/>
      <c r="AY2784" s="42"/>
      <c r="AZ2784" s="320"/>
      <c r="BD2784" s="401"/>
      <c r="BE2784" s="42"/>
    </row>
    <row r="2785" spans="48:57" x14ac:dyDescent="0.2">
      <c r="AV2785" s="401"/>
      <c r="AW2785" s="412"/>
      <c r="AX2785" s="230"/>
      <c r="AY2785" s="42"/>
      <c r="AZ2785" s="320"/>
      <c r="BD2785" s="401"/>
      <c r="BE2785" s="42"/>
    </row>
    <row r="2786" spans="48:57" x14ac:dyDescent="0.2">
      <c r="AV2786" s="401"/>
      <c r="AW2786" s="412"/>
      <c r="AX2786" s="230"/>
      <c r="AY2786" s="42"/>
      <c r="AZ2786" s="320"/>
      <c r="BD2786" s="401"/>
      <c r="BE2786" s="42"/>
    </row>
    <row r="2787" spans="48:57" x14ac:dyDescent="0.2">
      <c r="AV2787" s="401"/>
      <c r="AW2787" s="412"/>
      <c r="AX2787" s="230"/>
      <c r="AY2787" s="42"/>
      <c r="AZ2787" s="320"/>
      <c r="BD2787" s="401"/>
      <c r="BE2787" s="42"/>
    </row>
    <row r="2788" spans="48:57" x14ac:dyDescent="0.2">
      <c r="AV2788" s="401"/>
      <c r="AW2788" s="412"/>
      <c r="AX2788" s="230"/>
      <c r="AY2788" s="42"/>
      <c r="AZ2788" s="320"/>
      <c r="BD2788" s="401"/>
      <c r="BE2788" s="42"/>
    </row>
    <row r="2789" spans="48:57" x14ac:dyDescent="0.2">
      <c r="AV2789" s="401"/>
      <c r="AW2789" s="412"/>
      <c r="AX2789" s="230"/>
      <c r="AY2789" s="42"/>
      <c r="AZ2789" s="320"/>
      <c r="BD2789" s="401"/>
      <c r="BE2789" s="42"/>
    </row>
    <row r="2790" spans="48:57" x14ac:dyDescent="0.2">
      <c r="AV2790" s="401"/>
      <c r="AW2790" s="412"/>
      <c r="AX2790" s="230"/>
      <c r="AY2790" s="42"/>
      <c r="AZ2790" s="320"/>
      <c r="BD2790" s="401"/>
      <c r="BE2790" s="42"/>
    </row>
    <row r="2791" spans="48:57" x14ac:dyDescent="0.2">
      <c r="AV2791" s="401"/>
      <c r="AW2791" s="412"/>
      <c r="AX2791" s="230"/>
      <c r="AY2791" s="42"/>
      <c r="AZ2791" s="320"/>
      <c r="BD2791" s="401"/>
      <c r="BE2791" s="42"/>
    </row>
    <row r="2792" spans="48:57" x14ac:dyDescent="0.2">
      <c r="AV2792" s="401"/>
      <c r="AW2792" s="412"/>
      <c r="AX2792" s="230"/>
      <c r="AY2792" s="42"/>
      <c r="AZ2792" s="320"/>
      <c r="BD2792" s="401"/>
      <c r="BE2792" s="42"/>
    </row>
    <row r="2793" spans="48:57" x14ac:dyDescent="0.2">
      <c r="AV2793" s="401"/>
      <c r="AW2793" s="412"/>
      <c r="AX2793" s="230"/>
      <c r="AY2793" s="42"/>
      <c r="AZ2793" s="320"/>
      <c r="BD2793" s="401"/>
      <c r="BE2793" s="42"/>
    </row>
    <row r="2794" spans="48:57" x14ac:dyDescent="0.2">
      <c r="AV2794" s="401"/>
      <c r="AW2794" s="412"/>
      <c r="AX2794" s="230"/>
      <c r="AY2794" s="42"/>
      <c r="AZ2794" s="320"/>
      <c r="BD2794" s="401"/>
      <c r="BE2794" s="42"/>
    </row>
    <row r="2795" spans="48:57" x14ac:dyDescent="0.2">
      <c r="AV2795" s="401"/>
      <c r="AW2795" s="412"/>
      <c r="AX2795" s="230"/>
      <c r="AY2795" s="42"/>
      <c r="AZ2795" s="320"/>
      <c r="BD2795" s="401"/>
      <c r="BE2795" s="42"/>
    </row>
    <row r="2796" spans="48:57" x14ac:dyDescent="0.2">
      <c r="AV2796" s="401"/>
      <c r="AW2796" s="412"/>
      <c r="AX2796" s="230"/>
      <c r="AY2796" s="42"/>
      <c r="AZ2796" s="320"/>
      <c r="BD2796" s="401"/>
      <c r="BE2796" s="42"/>
    </row>
    <row r="2797" spans="48:57" x14ac:dyDescent="0.2">
      <c r="AV2797" s="401"/>
      <c r="AW2797" s="412"/>
      <c r="AX2797" s="230"/>
      <c r="AY2797" s="42"/>
      <c r="AZ2797" s="320"/>
      <c r="BD2797" s="401"/>
      <c r="BE2797" s="42"/>
    </row>
    <row r="2798" spans="48:57" x14ac:dyDescent="0.2">
      <c r="AV2798" s="401"/>
      <c r="AW2798" s="412"/>
      <c r="AX2798" s="230"/>
      <c r="AY2798" s="42"/>
      <c r="AZ2798" s="320"/>
      <c r="BD2798" s="401"/>
      <c r="BE2798" s="42"/>
    </row>
    <row r="2799" spans="48:57" x14ac:dyDescent="0.2">
      <c r="AV2799" s="401"/>
      <c r="AW2799" s="412"/>
      <c r="AX2799" s="230"/>
      <c r="AY2799" s="42"/>
      <c r="AZ2799" s="320"/>
      <c r="BD2799" s="401"/>
      <c r="BE2799" s="42"/>
    </row>
    <row r="2800" spans="48:57" x14ac:dyDescent="0.2">
      <c r="AV2800" s="401"/>
      <c r="AW2800" s="412"/>
      <c r="AX2800" s="230"/>
      <c r="AY2800" s="42"/>
      <c r="AZ2800" s="320"/>
      <c r="BD2800" s="401"/>
      <c r="BE2800" s="42"/>
    </row>
    <row r="2801" spans="48:57" x14ac:dyDescent="0.2">
      <c r="AV2801" s="401"/>
      <c r="AW2801" s="412"/>
      <c r="AX2801" s="230"/>
      <c r="AY2801" s="42"/>
      <c r="AZ2801" s="320"/>
      <c r="BD2801" s="401"/>
      <c r="BE2801" s="42"/>
    </row>
    <row r="2802" spans="48:57" x14ac:dyDescent="0.2">
      <c r="AV2802" s="401"/>
      <c r="AW2802" s="412"/>
      <c r="AX2802" s="230"/>
      <c r="AY2802" s="42"/>
      <c r="AZ2802" s="320"/>
      <c r="BD2802" s="401"/>
      <c r="BE2802" s="42"/>
    </row>
    <row r="2803" spans="48:57" x14ac:dyDescent="0.2">
      <c r="AV2803" s="401"/>
      <c r="AW2803" s="412"/>
      <c r="AX2803" s="230"/>
      <c r="AY2803" s="42"/>
      <c r="AZ2803" s="320"/>
      <c r="BD2803" s="401"/>
      <c r="BE2803" s="42"/>
    </row>
    <row r="2804" spans="48:57" x14ac:dyDescent="0.2">
      <c r="AV2804" s="401"/>
      <c r="AW2804" s="412"/>
      <c r="AX2804" s="230"/>
      <c r="AY2804" s="42"/>
      <c r="AZ2804" s="320"/>
      <c r="BD2804" s="401"/>
      <c r="BE2804" s="42"/>
    </row>
    <row r="2805" spans="48:57" x14ac:dyDescent="0.2">
      <c r="AV2805" s="401"/>
      <c r="AW2805" s="412"/>
      <c r="AX2805" s="230"/>
      <c r="AY2805" s="42"/>
      <c r="AZ2805" s="320"/>
      <c r="BD2805" s="401"/>
      <c r="BE2805" s="42"/>
    </row>
    <row r="2806" spans="48:57" x14ac:dyDescent="0.2">
      <c r="AV2806" s="401"/>
      <c r="AW2806" s="412"/>
      <c r="AX2806" s="230"/>
      <c r="AY2806" s="42"/>
      <c r="AZ2806" s="320"/>
      <c r="BD2806" s="401"/>
      <c r="BE2806" s="42"/>
    </row>
    <row r="2807" spans="48:57" x14ac:dyDescent="0.2">
      <c r="AV2807" s="401"/>
      <c r="AW2807" s="412"/>
      <c r="AX2807" s="230"/>
      <c r="AY2807" s="42"/>
      <c r="AZ2807" s="320"/>
      <c r="BD2807" s="401"/>
      <c r="BE2807" s="42"/>
    </row>
    <row r="2808" spans="48:57" x14ac:dyDescent="0.2">
      <c r="AV2808" s="401"/>
      <c r="AW2808" s="412"/>
      <c r="AX2808" s="230"/>
      <c r="AY2808" s="42"/>
      <c r="AZ2808" s="320"/>
      <c r="BD2808" s="401"/>
      <c r="BE2808" s="42"/>
    </row>
    <row r="2809" spans="48:57" x14ac:dyDescent="0.2">
      <c r="AV2809" s="401"/>
      <c r="AW2809" s="412"/>
      <c r="AX2809" s="230"/>
      <c r="AY2809" s="42"/>
      <c r="AZ2809" s="320"/>
      <c r="BD2809" s="401"/>
      <c r="BE2809" s="42"/>
    </row>
    <row r="2810" spans="48:57" x14ac:dyDescent="0.2">
      <c r="AV2810" s="401"/>
      <c r="AW2810" s="412"/>
      <c r="AX2810" s="230"/>
      <c r="AY2810" s="42"/>
      <c r="AZ2810" s="320"/>
      <c r="BD2810" s="401"/>
      <c r="BE2810" s="42"/>
    </row>
    <row r="2811" spans="48:57" x14ac:dyDescent="0.2">
      <c r="AV2811" s="401"/>
      <c r="AW2811" s="412"/>
      <c r="AX2811" s="230"/>
      <c r="AY2811" s="42"/>
      <c r="AZ2811" s="320"/>
      <c r="BD2811" s="401"/>
      <c r="BE2811" s="42"/>
    </row>
    <row r="2812" spans="48:57" x14ac:dyDescent="0.2">
      <c r="AV2812" s="401"/>
      <c r="AW2812" s="412"/>
      <c r="AX2812" s="230"/>
      <c r="AY2812" s="42"/>
      <c r="AZ2812" s="320"/>
      <c r="BD2812" s="401"/>
      <c r="BE2812" s="42"/>
    </row>
    <row r="2813" spans="48:57" x14ac:dyDescent="0.2">
      <c r="AV2813" s="401"/>
      <c r="AW2813" s="412"/>
      <c r="AX2813" s="230"/>
      <c r="AY2813" s="42"/>
      <c r="AZ2813" s="320"/>
      <c r="BD2813" s="401"/>
      <c r="BE2813" s="42"/>
    </row>
    <row r="2814" spans="48:57" x14ac:dyDescent="0.2">
      <c r="AV2814" s="401"/>
      <c r="AW2814" s="412"/>
      <c r="AX2814" s="230"/>
      <c r="AY2814" s="42"/>
      <c r="AZ2814" s="320"/>
      <c r="BD2814" s="401"/>
      <c r="BE2814" s="42"/>
    </row>
    <row r="2815" spans="48:57" x14ac:dyDescent="0.2">
      <c r="AV2815" s="401"/>
      <c r="AW2815" s="412"/>
      <c r="AX2815" s="230"/>
      <c r="AY2815" s="42"/>
      <c r="AZ2815" s="320"/>
      <c r="BD2815" s="401"/>
      <c r="BE2815" s="42"/>
    </row>
    <row r="2816" spans="48:57" x14ac:dyDescent="0.2">
      <c r="AV2816" s="401"/>
      <c r="AW2816" s="412"/>
      <c r="AX2816" s="230"/>
      <c r="AY2816" s="42"/>
      <c r="AZ2816" s="320"/>
      <c r="BD2816" s="401"/>
      <c r="BE2816" s="42"/>
    </row>
    <row r="2817" spans="48:57" x14ac:dyDescent="0.2">
      <c r="AV2817" s="401"/>
      <c r="AW2817" s="412"/>
      <c r="AX2817" s="230"/>
      <c r="AY2817" s="42"/>
      <c r="AZ2817" s="320"/>
      <c r="BD2817" s="401"/>
      <c r="BE2817" s="42"/>
    </row>
    <row r="2818" spans="48:57" x14ac:dyDescent="0.2">
      <c r="AV2818" s="401"/>
      <c r="AW2818" s="412"/>
      <c r="AX2818" s="230"/>
      <c r="AY2818" s="42"/>
      <c r="AZ2818" s="320"/>
      <c r="BD2818" s="401"/>
      <c r="BE2818" s="42"/>
    </row>
    <row r="2819" spans="48:57" x14ac:dyDescent="0.2">
      <c r="AV2819" s="401"/>
      <c r="AW2819" s="412"/>
      <c r="AX2819" s="230"/>
      <c r="AY2819" s="42"/>
      <c r="AZ2819" s="320"/>
      <c r="BD2819" s="401"/>
      <c r="BE2819" s="42"/>
    </row>
    <row r="2820" spans="48:57" x14ac:dyDescent="0.2">
      <c r="AV2820" s="401"/>
      <c r="AW2820" s="412"/>
      <c r="AX2820" s="230"/>
      <c r="AY2820" s="42"/>
      <c r="AZ2820" s="320"/>
      <c r="BD2820" s="401"/>
      <c r="BE2820" s="42"/>
    </row>
    <row r="2821" spans="48:57" x14ac:dyDescent="0.2">
      <c r="AV2821" s="401"/>
      <c r="AW2821" s="412"/>
      <c r="AX2821" s="230"/>
      <c r="AY2821" s="42"/>
      <c r="AZ2821" s="320"/>
      <c r="BD2821" s="401"/>
      <c r="BE2821" s="42"/>
    </row>
    <row r="2822" spans="48:57" x14ac:dyDescent="0.2">
      <c r="AV2822" s="401"/>
      <c r="AW2822" s="412"/>
      <c r="AX2822" s="230"/>
      <c r="AY2822" s="42"/>
      <c r="AZ2822" s="320"/>
      <c r="BD2822" s="401"/>
      <c r="BE2822" s="42"/>
    </row>
    <row r="2823" spans="48:57" x14ac:dyDescent="0.2">
      <c r="AV2823" s="401"/>
      <c r="AW2823" s="412"/>
      <c r="AX2823" s="230"/>
      <c r="AY2823" s="42"/>
      <c r="AZ2823" s="320"/>
      <c r="BD2823" s="401"/>
      <c r="BE2823" s="42"/>
    </row>
    <row r="2824" spans="48:57" x14ac:dyDescent="0.2">
      <c r="AV2824" s="401"/>
      <c r="AW2824" s="412"/>
      <c r="AX2824" s="230"/>
      <c r="AY2824" s="42"/>
      <c r="AZ2824" s="320"/>
      <c r="BD2824" s="401"/>
      <c r="BE2824" s="42"/>
    </row>
    <row r="2825" spans="48:57" x14ac:dyDescent="0.2">
      <c r="AV2825" s="401"/>
      <c r="AW2825" s="412"/>
      <c r="AX2825" s="230"/>
      <c r="AY2825" s="42"/>
      <c r="AZ2825" s="320"/>
      <c r="BD2825" s="401"/>
      <c r="BE2825" s="42"/>
    </row>
    <row r="2826" spans="48:57" x14ac:dyDescent="0.2">
      <c r="AV2826" s="401"/>
      <c r="AW2826" s="412"/>
      <c r="AX2826" s="230"/>
      <c r="AY2826" s="42"/>
      <c r="AZ2826" s="320"/>
      <c r="BD2826" s="401"/>
      <c r="BE2826" s="42"/>
    </row>
    <row r="2827" spans="48:57" x14ac:dyDescent="0.2">
      <c r="AV2827" s="401"/>
      <c r="AW2827" s="412"/>
      <c r="AX2827" s="230"/>
      <c r="AY2827" s="42"/>
      <c r="AZ2827" s="320"/>
      <c r="BD2827" s="401"/>
      <c r="BE2827" s="42"/>
    </row>
    <row r="2828" spans="48:57" x14ac:dyDescent="0.2">
      <c r="AV2828" s="401"/>
      <c r="AW2828" s="412"/>
      <c r="AX2828" s="230"/>
      <c r="AY2828" s="42"/>
      <c r="AZ2828" s="320"/>
      <c r="BD2828" s="401"/>
      <c r="BE2828" s="42"/>
    </row>
    <row r="2829" spans="48:57" x14ac:dyDescent="0.2">
      <c r="AV2829" s="401"/>
      <c r="AW2829" s="412"/>
      <c r="AX2829" s="230"/>
      <c r="AY2829" s="42"/>
      <c r="AZ2829" s="320"/>
      <c r="BD2829" s="401"/>
      <c r="BE2829" s="42"/>
    </row>
    <row r="2830" spans="48:57" x14ac:dyDescent="0.2">
      <c r="AV2830" s="401"/>
      <c r="AW2830" s="412"/>
      <c r="AX2830" s="230"/>
      <c r="AY2830" s="42"/>
      <c r="AZ2830" s="320"/>
      <c r="BD2830" s="401"/>
      <c r="BE2830" s="42"/>
    </row>
    <row r="2831" spans="48:57" x14ac:dyDescent="0.2">
      <c r="AV2831" s="401"/>
      <c r="AW2831" s="412"/>
      <c r="AX2831" s="230"/>
      <c r="AY2831" s="42"/>
      <c r="AZ2831" s="320"/>
      <c r="BD2831" s="401"/>
      <c r="BE2831" s="42"/>
    </row>
    <row r="2832" spans="48:57" x14ac:dyDescent="0.2">
      <c r="AV2832" s="401"/>
      <c r="AW2832" s="412"/>
      <c r="AX2832" s="230"/>
      <c r="AY2832" s="42"/>
      <c r="AZ2832" s="320"/>
      <c r="BD2832" s="401"/>
      <c r="BE2832" s="42"/>
    </row>
    <row r="2833" spans="48:57" x14ac:dyDescent="0.2">
      <c r="AV2833" s="401"/>
      <c r="AW2833" s="412"/>
      <c r="AX2833" s="230"/>
      <c r="AY2833" s="42"/>
      <c r="AZ2833" s="320"/>
      <c r="BD2833" s="401"/>
      <c r="BE2833" s="42"/>
    </row>
    <row r="2834" spans="48:57" x14ac:dyDescent="0.2">
      <c r="AV2834" s="401"/>
      <c r="AW2834" s="412"/>
      <c r="AX2834" s="230"/>
      <c r="AY2834" s="42"/>
      <c r="AZ2834" s="320"/>
      <c r="BD2834" s="401"/>
      <c r="BE2834" s="42"/>
    </row>
    <row r="2835" spans="48:57" x14ac:dyDescent="0.2">
      <c r="AV2835" s="401"/>
      <c r="AW2835" s="412"/>
      <c r="AX2835" s="230"/>
      <c r="AY2835" s="42"/>
      <c r="AZ2835" s="320"/>
      <c r="BD2835" s="401"/>
      <c r="BE2835" s="42"/>
    </row>
    <row r="2836" spans="48:57" x14ac:dyDescent="0.2">
      <c r="AV2836" s="401"/>
      <c r="AW2836" s="412"/>
      <c r="AX2836" s="230"/>
      <c r="AY2836" s="42"/>
      <c r="AZ2836" s="320"/>
      <c r="BD2836" s="401"/>
      <c r="BE2836" s="42"/>
    </row>
    <row r="2837" spans="48:57" x14ac:dyDescent="0.2">
      <c r="AV2837" s="401"/>
      <c r="AW2837" s="412"/>
      <c r="AX2837" s="230"/>
      <c r="AY2837" s="42"/>
      <c r="AZ2837" s="320"/>
      <c r="BD2837" s="401"/>
      <c r="BE2837" s="42"/>
    </row>
    <row r="2838" spans="48:57" x14ac:dyDescent="0.2">
      <c r="AV2838" s="401"/>
      <c r="AW2838" s="412"/>
      <c r="AX2838" s="230"/>
      <c r="AY2838" s="42"/>
      <c r="AZ2838" s="320"/>
      <c r="BD2838" s="401"/>
      <c r="BE2838" s="42"/>
    </row>
    <row r="2839" spans="48:57" x14ac:dyDescent="0.2">
      <c r="AV2839" s="401"/>
      <c r="AW2839" s="412"/>
      <c r="AX2839" s="230"/>
      <c r="AY2839" s="42"/>
      <c r="AZ2839" s="320"/>
      <c r="BD2839" s="401"/>
      <c r="BE2839" s="42"/>
    </row>
    <row r="2840" spans="48:57" x14ac:dyDescent="0.2">
      <c r="AV2840" s="401"/>
      <c r="AW2840" s="412"/>
      <c r="AX2840" s="230"/>
      <c r="AY2840" s="42"/>
      <c r="AZ2840" s="320"/>
      <c r="BD2840" s="401"/>
      <c r="BE2840" s="42"/>
    </row>
    <row r="2841" spans="48:57" x14ac:dyDescent="0.2">
      <c r="AV2841" s="401"/>
      <c r="AW2841" s="412"/>
      <c r="AX2841" s="230"/>
      <c r="AY2841" s="42"/>
      <c r="AZ2841" s="320"/>
      <c r="BD2841" s="401"/>
      <c r="BE2841" s="42"/>
    </row>
    <row r="2842" spans="48:57" x14ac:dyDescent="0.2">
      <c r="AV2842" s="401"/>
      <c r="AW2842" s="412"/>
      <c r="AX2842" s="230"/>
      <c r="AY2842" s="42"/>
      <c r="AZ2842" s="320"/>
      <c r="BD2842" s="401"/>
      <c r="BE2842" s="42"/>
    </row>
    <row r="2843" spans="48:57" x14ac:dyDescent="0.2">
      <c r="AV2843" s="401"/>
      <c r="AW2843" s="412"/>
      <c r="AX2843" s="230"/>
      <c r="AY2843" s="42"/>
      <c r="AZ2843" s="320"/>
      <c r="BD2843" s="401"/>
      <c r="BE2843" s="42"/>
    </row>
    <row r="2844" spans="48:57" x14ac:dyDescent="0.2">
      <c r="AV2844" s="401"/>
      <c r="AW2844" s="412"/>
      <c r="AX2844" s="230"/>
      <c r="AY2844" s="42"/>
      <c r="AZ2844" s="320"/>
      <c r="BD2844" s="401"/>
      <c r="BE2844" s="42"/>
    </row>
    <row r="2845" spans="48:57" x14ac:dyDescent="0.2">
      <c r="AV2845" s="401"/>
      <c r="AW2845" s="412"/>
      <c r="AX2845" s="230"/>
      <c r="AY2845" s="42"/>
      <c r="AZ2845" s="320"/>
      <c r="BD2845" s="401"/>
      <c r="BE2845" s="42"/>
    </row>
    <row r="2846" spans="48:57" x14ac:dyDescent="0.2">
      <c r="AV2846" s="401"/>
      <c r="AW2846" s="412"/>
      <c r="AX2846" s="230"/>
      <c r="AY2846" s="42"/>
      <c r="AZ2846" s="320"/>
      <c r="BD2846" s="401"/>
      <c r="BE2846" s="42"/>
    </row>
    <row r="2847" spans="48:57" x14ac:dyDescent="0.2">
      <c r="AV2847" s="401"/>
      <c r="AW2847" s="412"/>
      <c r="AX2847" s="230"/>
      <c r="AY2847" s="42"/>
      <c r="AZ2847" s="320"/>
      <c r="BD2847" s="401"/>
      <c r="BE2847" s="42"/>
    </row>
    <row r="2848" spans="48:57" x14ac:dyDescent="0.2">
      <c r="AV2848" s="401"/>
      <c r="AW2848" s="412"/>
      <c r="AX2848" s="230"/>
      <c r="AY2848" s="42"/>
      <c r="AZ2848" s="320"/>
      <c r="BD2848" s="401"/>
      <c r="BE2848" s="42"/>
    </row>
    <row r="2849" spans="48:57" x14ac:dyDescent="0.2">
      <c r="AV2849" s="401"/>
      <c r="AW2849" s="412"/>
      <c r="AX2849" s="230"/>
      <c r="AY2849" s="42"/>
      <c r="AZ2849" s="320"/>
      <c r="BD2849" s="401"/>
      <c r="BE2849" s="42"/>
    </row>
    <row r="2850" spans="48:57" x14ac:dyDescent="0.2">
      <c r="AV2850" s="401"/>
      <c r="AW2850" s="412"/>
      <c r="AX2850" s="230"/>
      <c r="AY2850" s="42"/>
      <c r="AZ2850" s="320"/>
      <c r="BD2850" s="401"/>
      <c r="BE2850" s="42"/>
    </row>
    <row r="2851" spans="48:57" x14ac:dyDescent="0.2">
      <c r="AV2851" s="401"/>
      <c r="AW2851" s="412"/>
      <c r="AX2851" s="230"/>
      <c r="AY2851" s="42"/>
      <c r="AZ2851" s="320"/>
      <c r="BD2851" s="401"/>
      <c r="BE2851" s="42"/>
    </row>
    <row r="2852" spans="48:57" x14ac:dyDescent="0.2">
      <c r="AV2852" s="401"/>
      <c r="AW2852" s="412"/>
      <c r="AX2852" s="230"/>
      <c r="AY2852" s="42"/>
      <c r="AZ2852" s="320"/>
      <c r="BD2852" s="401"/>
      <c r="BE2852" s="42"/>
    </row>
    <row r="2853" spans="48:57" x14ac:dyDescent="0.2">
      <c r="AV2853" s="401"/>
      <c r="AW2853" s="412"/>
      <c r="AX2853" s="230"/>
      <c r="AY2853" s="42"/>
      <c r="AZ2853" s="320"/>
      <c r="BD2853" s="401"/>
      <c r="BE2853" s="42"/>
    </row>
    <row r="2854" spans="48:57" x14ac:dyDescent="0.2">
      <c r="AV2854" s="401"/>
      <c r="AW2854" s="412"/>
      <c r="AX2854" s="230"/>
      <c r="AY2854" s="42"/>
      <c r="AZ2854" s="320"/>
      <c r="BD2854" s="401"/>
      <c r="BE2854" s="42"/>
    </row>
    <row r="2855" spans="48:57" x14ac:dyDescent="0.2">
      <c r="AV2855" s="401"/>
      <c r="AW2855" s="412"/>
      <c r="AX2855" s="230"/>
      <c r="AY2855" s="42"/>
      <c r="AZ2855" s="320"/>
      <c r="BD2855" s="401"/>
      <c r="BE2855" s="42"/>
    </row>
    <row r="2856" spans="48:57" x14ac:dyDescent="0.2">
      <c r="AV2856" s="401"/>
      <c r="AW2856" s="412"/>
      <c r="AX2856" s="230"/>
      <c r="AY2856" s="42"/>
      <c r="AZ2856" s="320"/>
      <c r="BD2856" s="401"/>
      <c r="BE2856" s="42"/>
    </row>
    <row r="2857" spans="48:57" x14ac:dyDescent="0.2">
      <c r="AV2857" s="401"/>
      <c r="AW2857" s="412"/>
      <c r="AX2857" s="230"/>
      <c r="AY2857" s="42"/>
      <c r="AZ2857" s="320"/>
      <c r="BD2857" s="401"/>
      <c r="BE2857" s="42"/>
    </row>
    <row r="2858" spans="48:57" x14ac:dyDescent="0.2">
      <c r="AV2858" s="401"/>
      <c r="AW2858" s="412"/>
      <c r="AX2858" s="230"/>
      <c r="AY2858" s="42"/>
      <c r="AZ2858" s="320"/>
      <c r="BD2858" s="401"/>
      <c r="BE2858" s="42"/>
    </row>
    <row r="2859" spans="48:57" x14ac:dyDescent="0.2">
      <c r="AV2859" s="401"/>
      <c r="AW2859" s="412"/>
      <c r="AX2859" s="230"/>
      <c r="AY2859" s="42"/>
      <c r="AZ2859" s="320"/>
      <c r="BD2859" s="401"/>
      <c r="BE2859" s="42"/>
    </row>
    <row r="2860" spans="48:57" x14ac:dyDescent="0.2">
      <c r="AV2860" s="401"/>
      <c r="AW2860" s="412"/>
      <c r="AX2860" s="230"/>
      <c r="AY2860" s="42"/>
      <c r="AZ2860" s="320"/>
      <c r="BD2860" s="401"/>
      <c r="BE2860" s="42"/>
    </row>
    <row r="2861" spans="48:57" x14ac:dyDescent="0.2">
      <c r="AV2861" s="401"/>
      <c r="AW2861" s="412"/>
      <c r="AX2861" s="230"/>
      <c r="AY2861" s="42"/>
      <c r="AZ2861" s="320"/>
      <c r="BD2861" s="401"/>
      <c r="BE2861" s="42"/>
    </row>
    <row r="2862" spans="48:57" x14ac:dyDescent="0.2">
      <c r="AV2862" s="401"/>
      <c r="AW2862" s="412"/>
      <c r="AX2862" s="230"/>
      <c r="AY2862" s="42"/>
      <c r="AZ2862" s="320"/>
      <c r="BD2862" s="401"/>
      <c r="BE2862" s="42"/>
    </row>
    <row r="2863" spans="48:57" x14ac:dyDescent="0.2">
      <c r="AV2863" s="401"/>
      <c r="AW2863" s="412"/>
      <c r="AX2863" s="230"/>
      <c r="AY2863" s="42"/>
      <c r="AZ2863" s="320"/>
      <c r="BD2863" s="401"/>
      <c r="BE2863" s="42"/>
    </row>
    <row r="2864" spans="48:57" x14ac:dyDescent="0.2">
      <c r="AV2864" s="401"/>
      <c r="AW2864" s="412"/>
      <c r="AX2864" s="230"/>
      <c r="AY2864" s="42"/>
      <c r="AZ2864" s="320"/>
      <c r="BD2864" s="401"/>
      <c r="BE2864" s="42"/>
    </row>
    <row r="2865" spans="48:57" x14ac:dyDescent="0.2">
      <c r="AV2865" s="401"/>
      <c r="AW2865" s="412"/>
      <c r="AX2865" s="230"/>
      <c r="AY2865" s="42"/>
      <c r="AZ2865" s="320"/>
      <c r="BD2865" s="401"/>
      <c r="BE2865" s="42"/>
    </row>
    <row r="2866" spans="48:57" x14ac:dyDescent="0.2">
      <c r="AV2866" s="401"/>
      <c r="AW2866" s="412"/>
      <c r="AX2866" s="230"/>
      <c r="AY2866" s="42"/>
      <c r="AZ2866" s="320"/>
      <c r="BD2866" s="401"/>
      <c r="BE2866" s="42"/>
    </row>
    <row r="2867" spans="48:57" x14ac:dyDescent="0.2">
      <c r="AV2867" s="401"/>
      <c r="AW2867" s="412"/>
      <c r="AX2867" s="230"/>
      <c r="AY2867" s="42"/>
      <c r="AZ2867" s="320"/>
      <c r="BD2867" s="401"/>
      <c r="BE2867" s="42"/>
    </row>
    <row r="2868" spans="48:57" x14ac:dyDescent="0.2">
      <c r="AV2868" s="401"/>
      <c r="AW2868" s="412"/>
      <c r="AX2868" s="230"/>
      <c r="AY2868" s="42"/>
      <c r="AZ2868" s="320"/>
      <c r="BD2868" s="401"/>
      <c r="BE2868" s="42"/>
    </row>
    <row r="2869" spans="48:57" x14ac:dyDescent="0.2">
      <c r="AV2869" s="401"/>
      <c r="AW2869" s="412"/>
      <c r="AX2869" s="230"/>
      <c r="AY2869" s="42"/>
      <c r="AZ2869" s="320"/>
      <c r="BD2869" s="401"/>
      <c r="BE2869" s="42"/>
    </row>
    <row r="2870" spans="48:57" x14ac:dyDescent="0.2">
      <c r="AV2870" s="401"/>
      <c r="AW2870" s="412"/>
      <c r="AX2870" s="230"/>
      <c r="AY2870" s="42"/>
      <c r="AZ2870" s="320"/>
      <c r="BD2870" s="401"/>
      <c r="BE2870" s="42"/>
    </row>
    <row r="2871" spans="48:57" x14ac:dyDescent="0.2">
      <c r="AV2871" s="401"/>
      <c r="AW2871" s="412"/>
      <c r="AX2871" s="230"/>
      <c r="AY2871" s="42"/>
      <c r="AZ2871" s="320"/>
      <c r="BD2871" s="401"/>
      <c r="BE2871" s="42"/>
    </row>
    <row r="2872" spans="48:57" x14ac:dyDescent="0.2">
      <c r="AV2872" s="401"/>
      <c r="AW2872" s="412"/>
      <c r="AX2872" s="230"/>
      <c r="AY2872" s="42"/>
      <c r="AZ2872" s="320"/>
      <c r="BD2872" s="401"/>
      <c r="BE2872" s="42"/>
    </row>
    <row r="2873" spans="48:57" x14ac:dyDescent="0.2">
      <c r="AV2873" s="401"/>
      <c r="AW2873" s="412"/>
      <c r="AX2873" s="230"/>
      <c r="AY2873" s="42"/>
      <c r="AZ2873" s="320"/>
      <c r="BD2873" s="401"/>
      <c r="BE2873" s="42"/>
    </row>
    <row r="2874" spans="48:57" x14ac:dyDescent="0.2">
      <c r="AV2874" s="401"/>
      <c r="AW2874" s="412"/>
      <c r="AX2874" s="230"/>
      <c r="AY2874" s="42"/>
      <c r="AZ2874" s="320"/>
      <c r="BD2874" s="401"/>
      <c r="BE2874" s="42"/>
    </row>
    <row r="2875" spans="48:57" x14ac:dyDescent="0.2">
      <c r="AV2875" s="401"/>
      <c r="AW2875" s="412"/>
      <c r="AX2875" s="230"/>
      <c r="AY2875" s="42"/>
      <c r="AZ2875" s="320"/>
      <c r="BD2875" s="401"/>
      <c r="BE2875" s="42"/>
    </row>
    <row r="2876" spans="48:57" x14ac:dyDescent="0.2">
      <c r="AV2876" s="401"/>
      <c r="AW2876" s="412"/>
      <c r="AX2876" s="230"/>
      <c r="AY2876" s="42"/>
      <c r="AZ2876" s="320"/>
      <c r="BD2876" s="401"/>
      <c r="BE2876" s="42"/>
    </row>
    <row r="2877" spans="48:57" x14ac:dyDescent="0.2">
      <c r="AV2877" s="401"/>
      <c r="AW2877" s="412"/>
      <c r="AX2877" s="230"/>
      <c r="AY2877" s="42"/>
      <c r="AZ2877" s="320"/>
      <c r="BD2877" s="401"/>
      <c r="BE2877" s="42"/>
    </row>
    <row r="2878" spans="48:57" x14ac:dyDescent="0.2">
      <c r="AV2878" s="401"/>
      <c r="AW2878" s="412"/>
      <c r="AX2878" s="230"/>
      <c r="AY2878" s="42"/>
      <c r="AZ2878" s="320"/>
      <c r="BD2878" s="401"/>
      <c r="BE2878" s="42"/>
    </row>
    <row r="2879" spans="48:57" x14ac:dyDescent="0.2">
      <c r="AV2879" s="401"/>
      <c r="AW2879" s="412"/>
      <c r="AX2879" s="230"/>
      <c r="AY2879" s="42"/>
      <c r="AZ2879" s="320"/>
      <c r="BD2879" s="401"/>
      <c r="BE2879" s="42"/>
    </row>
    <row r="2880" spans="48:57" x14ac:dyDescent="0.2">
      <c r="AV2880" s="401"/>
      <c r="AW2880" s="412"/>
      <c r="AX2880" s="230"/>
      <c r="AY2880" s="42"/>
      <c r="AZ2880" s="320"/>
      <c r="BD2880" s="401"/>
      <c r="BE2880" s="42"/>
    </row>
    <row r="2881" spans="48:57" x14ac:dyDescent="0.2">
      <c r="AV2881" s="401"/>
      <c r="AW2881" s="412"/>
      <c r="AX2881" s="230"/>
      <c r="AY2881" s="42"/>
      <c r="AZ2881" s="320"/>
      <c r="BD2881" s="401"/>
      <c r="BE2881" s="42"/>
    </row>
    <row r="2882" spans="48:57" x14ac:dyDescent="0.2">
      <c r="AV2882" s="401"/>
      <c r="AW2882" s="412"/>
      <c r="AX2882" s="230"/>
      <c r="AY2882" s="42"/>
      <c r="AZ2882" s="320"/>
      <c r="BD2882" s="401"/>
      <c r="BE2882" s="42"/>
    </row>
    <row r="2883" spans="48:57" x14ac:dyDescent="0.2">
      <c r="AV2883" s="401"/>
      <c r="AW2883" s="412"/>
      <c r="AX2883" s="230"/>
      <c r="AY2883" s="42"/>
      <c r="AZ2883" s="320"/>
      <c r="BD2883" s="401"/>
      <c r="BE2883" s="42"/>
    </row>
    <row r="2884" spans="48:57" x14ac:dyDescent="0.2">
      <c r="AV2884" s="401"/>
      <c r="AW2884" s="412"/>
      <c r="AX2884" s="230"/>
      <c r="AY2884" s="42"/>
      <c r="AZ2884" s="320"/>
      <c r="BD2884" s="401"/>
      <c r="BE2884" s="42"/>
    </row>
    <row r="2885" spans="48:57" x14ac:dyDescent="0.2">
      <c r="AV2885" s="401"/>
      <c r="AW2885" s="412"/>
      <c r="AX2885" s="230"/>
      <c r="AY2885" s="42"/>
      <c r="AZ2885" s="320"/>
      <c r="BD2885" s="401"/>
      <c r="BE2885" s="42"/>
    </row>
    <row r="2886" spans="48:57" x14ac:dyDescent="0.2">
      <c r="AV2886" s="401"/>
      <c r="AW2886" s="412"/>
      <c r="AX2886" s="230"/>
      <c r="AY2886" s="42"/>
      <c r="AZ2886" s="320"/>
      <c r="BD2886" s="401"/>
      <c r="BE2886" s="42"/>
    </row>
    <row r="2887" spans="48:57" x14ac:dyDescent="0.2">
      <c r="AV2887" s="401"/>
      <c r="AW2887" s="412"/>
      <c r="AX2887" s="230"/>
      <c r="AY2887" s="42"/>
      <c r="AZ2887" s="320"/>
      <c r="BD2887" s="401"/>
      <c r="BE2887" s="42"/>
    </row>
    <row r="2888" spans="48:57" x14ac:dyDescent="0.2">
      <c r="AV2888" s="401"/>
      <c r="AW2888" s="412"/>
      <c r="AX2888" s="230"/>
      <c r="AY2888" s="42"/>
      <c r="AZ2888" s="320"/>
      <c r="BD2888" s="401"/>
      <c r="BE2888" s="42"/>
    </row>
    <row r="2889" spans="48:57" x14ac:dyDescent="0.2">
      <c r="AV2889" s="401"/>
      <c r="AW2889" s="412"/>
      <c r="AX2889" s="230"/>
      <c r="AY2889" s="42"/>
      <c r="AZ2889" s="320"/>
      <c r="BD2889" s="401"/>
      <c r="BE2889" s="42"/>
    </row>
    <row r="2890" spans="48:57" x14ac:dyDescent="0.2">
      <c r="AV2890" s="401"/>
      <c r="AW2890" s="412"/>
      <c r="AX2890" s="230"/>
      <c r="AY2890" s="42"/>
      <c r="AZ2890" s="320"/>
      <c r="BD2890" s="401"/>
      <c r="BE2890" s="42"/>
    </row>
    <row r="2891" spans="48:57" x14ac:dyDescent="0.2">
      <c r="AV2891" s="401"/>
      <c r="AW2891" s="412"/>
      <c r="AX2891" s="230"/>
      <c r="AY2891" s="42"/>
      <c r="AZ2891" s="320"/>
      <c r="BD2891" s="401"/>
      <c r="BE2891" s="42"/>
    </row>
    <row r="2892" spans="48:57" x14ac:dyDescent="0.2">
      <c r="AV2892" s="401"/>
      <c r="AW2892" s="412"/>
      <c r="AX2892" s="230"/>
      <c r="AY2892" s="42"/>
      <c r="AZ2892" s="320"/>
      <c r="BD2892" s="401"/>
      <c r="BE2892" s="42"/>
    </row>
    <row r="2893" spans="48:57" x14ac:dyDescent="0.2">
      <c r="AV2893" s="401"/>
      <c r="AW2893" s="412"/>
      <c r="AX2893" s="230"/>
      <c r="AY2893" s="42"/>
      <c r="AZ2893" s="320"/>
      <c r="BD2893" s="401"/>
      <c r="BE2893" s="42"/>
    </row>
    <row r="2894" spans="48:57" x14ac:dyDescent="0.2">
      <c r="AV2894" s="401"/>
      <c r="AW2894" s="412"/>
      <c r="AX2894" s="230"/>
      <c r="AY2894" s="42"/>
      <c r="AZ2894" s="320"/>
      <c r="BD2894" s="401"/>
      <c r="BE2894" s="42"/>
    </row>
    <row r="2895" spans="48:57" x14ac:dyDescent="0.2">
      <c r="AV2895" s="401"/>
      <c r="AW2895" s="412"/>
      <c r="AX2895" s="230"/>
      <c r="AY2895" s="42"/>
      <c r="AZ2895" s="320"/>
      <c r="BD2895" s="401"/>
      <c r="BE2895" s="42"/>
    </row>
    <row r="2896" spans="48:57" x14ac:dyDescent="0.2">
      <c r="AV2896" s="401"/>
      <c r="AW2896" s="412"/>
      <c r="AX2896" s="230"/>
      <c r="AY2896" s="42"/>
      <c r="AZ2896" s="320"/>
      <c r="BD2896" s="401"/>
      <c r="BE2896" s="42"/>
    </row>
    <row r="2897" spans="48:57" x14ac:dyDescent="0.2">
      <c r="AV2897" s="401"/>
      <c r="AW2897" s="412"/>
      <c r="AX2897" s="230"/>
      <c r="AY2897" s="42"/>
      <c r="AZ2897" s="320"/>
      <c r="BD2897" s="401"/>
      <c r="BE2897" s="42"/>
    </row>
    <row r="2898" spans="48:57" x14ac:dyDescent="0.2">
      <c r="AV2898" s="401"/>
      <c r="AW2898" s="412"/>
      <c r="AX2898" s="230"/>
      <c r="AY2898" s="42"/>
      <c r="AZ2898" s="320"/>
      <c r="BD2898" s="401"/>
      <c r="BE2898" s="42"/>
    </row>
    <row r="2899" spans="48:57" x14ac:dyDescent="0.2">
      <c r="AV2899" s="401"/>
      <c r="AW2899" s="412"/>
      <c r="AX2899" s="230"/>
      <c r="AY2899" s="42"/>
      <c r="AZ2899" s="320"/>
      <c r="BD2899" s="401"/>
      <c r="BE2899" s="42"/>
    </row>
    <row r="2900" spans="48:57" x14ac:dyDescent="0.2">
      <c r="AV2900" s="401"/>
      <c r="AW2900" s="412"/>
      <c r="AX2900" s="230"/>
      <c r="AY2900" s="42"/>
      <c r="AZ2900" s="320"/>
      <c r="BD2900" s="401"/>
      <c r="BE2900" s="42"/>
    </row>
    <row r="2901" spans="48:57" x14ac:dyDescent="0.2">
      <c r="AV2901" s="401"/>
      <c r="AW2901" s="412"/>
      <c r="AX2901" s="230"/>
      <c r="AY2901" s="42"/>
      <c r="AZ2901" s="320"/>
      <c r="BD2901" s="401"/>
      <c r="BE2901" s="42"/>
    </row>
    <row r="2902" spans="48:57" x14ac:dyDescent="0.2">
      <c r="AV2902" s="401"/>
      <c r="AW2902" s="412"/>
      <c r="AX2902" s="230"/>
      <c r="AY2902" s="42"/>
      <c r="AZ2902" s="320"/>
      <c r="BD2902" s="401"/>
      <c r="BE2902" s="42"/>
    </row>
    <row r="2903" spans="48:57" x14ac:dyDescent="0.2">
      <c r="AV2903" s="401"/>
      <c r="AW2903" s="412"/>
      <c r="AX2903" s="230"/>
      <c r="AY2903" s="42"/>
      <c r="AZ2903" s="320"/>
      <c r="BD2903" s="401"/>
      <c r="BE2903" s="42"/>
    </row>
    <row r="2904" spans="48:57" x14ac:dyDescent="0.2">
      <c r="AV2904" s="401"/>
      <c r="AW2904" s="412"/>
      <c r="AX2904" s="230"/>
      <c r="AY2904" s="42"/>
      <c r="AZ2904" s="320"/>
      <c r="BD2904" s="401"/>
      <c r="BE2904" s="42"/>
    </row>
    <row r="2905" spans="48:57" x14ac:dyDescent="0.2">
      <c r="AV2905" s="401"/>
      <c r="AW2905" s="412"/>
      <c r="AX2905" s="230"/>
      <c r="AY2905" s="42"/>
      <c r="AZ2905" s="320"/>
      <c r="BD2905" s="401"/>
      <c r="BE2905" s="42"/>
    </row>
    <row r="2906" spans="48:57" x14ac:dyDescent="0.2">
      <c r="AV2906" s="401"/>
      <c r="AW2906" s="412"/>
      <c r="AX2906" s="230"/>
      <c r="AY2906" s="42"/>
      <c r="AZ2906" s="320"/>
      <c r="BD2906" s="401"/>
      <c r="BE2906" s="42"/>
    </row>
    <row r="2907" spans="48:57" x14ac:dyDescent="0.2">
      <c r="AV2907" s="401"/>
      <c r="AW2907" s="412"/>
      <c r="AX2907" s="230"/>
      <c r="AY2907" s="42"/>
      <c r="AZ2907" s="320"/>
      <c r="BD2907" s="401"/>
      <c r="BE2907" s="42"/>
    </row>
    <row r="2908" spans="48:57" x14ac:dyDescent="0.2">
      <c r="AV2908" s="401"/>
      <c r="AW2908" s="412"/>
      <c r="AX2908" s="230"/>
      <c r="AY2908" s="42"/>
      <c r="AZ2908" s="320"/>
      <c r="BD2908" s="401"/>
      <c r="BE2908" s="42"/>
    </row>
    <row r="2909" spans="48:57" x14ac:dyDescent="0.2">
      <c r="AV2909" s="401"/>
      <c r="AW2909" s="412"/>
      <c r="AX2909" s="230"/>
      <c r="AY2909" s="42"/>
      <c r="AZ2909" s="320"/>
      <c r="BD2909" s="401"/>
      <c r="BE2909" s="42"/>
    </row>
    <row r="2910" spans="48:57" x14ac:dyDescent="0.2">
      <c r="AV2910" s="401"/>
      <c r="AW2910" s="412"/>
      <c r="AX2910" s="230"/>
      <c r="AY2910" s="42"/>
      <c r="AZ2910" s="320"/>
      <c r="BD2910" s="401"/>
      <c r="BE2910" s="42"/>
    </row>
    <row r="2911" spans="48:57" x14ac:dyDescent="0.2">
      <c r="AV2911" s="401"/>
      <c r="AW2911" s="412"/>
      <c r="AX2911" s="230"/>
      <c r="AY2911" s="42"/>
      <c r="AZ2911" s="320"/>
      <c r="BD2911" s="401"/>
      <c r="BE2911" s="42"/>
    </row>
    <row r="2912" spans="48:57" x14ac:dyDescent="0.2">
      <c r="AV2912" s="401"/>
      <c r="AW2912" s="412"/>
      <c r="AX2912" s="230"/>
      <c r="AY2912" s="42"/>
      <c r="AZ2912" s="320"/>
      <c r="BD2912" s="401"/>
      <c r="BE2912" s="42"/>
    </row>
    <row r="2913" spans="48:57" x14ac:dyDescent="0.2">
      <c r="AV2913" s="401"/>
      <c r="AW2913" s="412"/>
      <c r="AX2913" s="230"/>
      <c r="AY2913" s="42"/>
      <c r="AZ2913" s="320"/>
      <c r="BD2913" s="401"/>
      <c r="BE2913" s="42"/>
    </row>
    <row r="2914" spans="48:57" x14ac:dyDescent="0.2">
      <c r="AV2914" s="401"/>
      <c r="AW2914" s="412"/>
      <c r="AX2914" s="230"/>
      <c r="AY2914" s="42"/>
      <c r="AZ2914" s="320"/>
      <c r="BD2914" s="401"/>
      <c r="BE2914" s="42"/>
    </row>
    <row r="2915" spans="48:57" x14ac:dyDescent="0.2">
      <c r="AV2915" s="401"/>
      <c r="AW2915" s="412"/>
      <c r="AX2915" s="230"/>
      <c r="AY2915" s="42"/>
      <c r="AZ2915" s="320"/>
      <c r="BD2915" s="401"/>
      <c r="BE2915" s="42"/>
    </row>
    <row r="2916" spans="48:57" x14ac:dyDescent="0.2">
      <c r="AV2916" s="401"/>
      <c r="AW2916" s="412"/>
      <c r="AX2916" s="230"/>
      <c r="AY2916" s="42"/>
      <c r="AZ2916" s="320"/>
      <c r="BD2916" s="401"/>
      <c r="BE2916" s="42"/>
    </row>
    <row r="2917" spans="48:57" x14ac:dyDescent="0.2">
      <c r="AV2917" s="401"/>
      <c r="AW2917" s="412"/>
      <c r="AX2917" s="230"/>
      <c r="AY2917" s="42"/>
      <c r="AZ2917" s="320"/>
      <c r="BD2917" s="401"/>
      <c r="BE2917" s="42"/>
    </row>
    <row r="2918" spans="48:57" x14ac:dyDescent="0.2">
      <c r="AV2918" s="401"/>
      <c r="AW2918" s="412"/>
      <c r="AX2918" s="230"/>
      <c r="AY2918" s="42"/>
      <c r="AZ2918" s="320"/>
      <c r="BD2918" s="401"/>
      <c r="BE2918" s="42"/>
    </row>
    <row r="2919" spans="48:57" x14ac:dyDescent="0.2">
      <c r="AV2919" s="401"/>
      <c r="AW2919" s="412"/>
      <c r="AX2919" s="230"/>
      <c r="AY2919" s="42"/>
      <c r="AZ2919" s="320"/>
      <c r="BD2919" s="401"/>
      <c r="BE2919" s="42"/>
    </row>
    <row r="2920" spans="48:57" x14ac:dyDescent="0.2">
      <c r="AV2920" s="401"/>
      <c r="AW2920" s="412"/>
      <c r="AX2920" s="230"/>
      <c r="AY2920" s="42"/>
      <c r="AZ2920" s="320"/>
      <c r="BD2920" s="401"/>
      <c r="BE2920" s="42"/>
    </row>
    <row r="2921" spans="48:57" x14ac:dyDescent="0.2">
      <c r="AV2921" s="401"/>
      <c r="AW2921" s="412"/>
      <c r="AX2921" s="230"/>
      <c r="AY2921" s="42"/>
      <c r="AZ2921" s="320"/>
      <c r="BD2921" s="401"/>
      <c r="BE2921" s="42"/>
    </row>
    <row r="2922" spans="48:57" x14ac:dyDescent="0.2">
      <c r="AV2922" s="401"/>
      <c r="AW2922" s="412"/>
      <c r="AX2922" s="230"/>
      <c r="AY2922" s="42"/>
      <c r="AZ2922" s="320"/>
      <c r="BD2922" s="401"/>
      <c r="BE2922" s="42"/>
    </row>
    <row r="2923" spans="48:57" x14ac:dyDescent="0.2">
      <c r="AV2923" s="401"/>
      <c r="AW2923" s="412"/>
      <c r="AX2923" s="230"/>
      <c r="AY2923" s="42"/>
      <c r="AZ2923" s="320"/>
      <c r="BD2923" s="401"/>
      <c r="BE2923" s="42"/>
    </row>
    <row r="2924" spans="48:57" x14ac:dyDescent="0.2">
      <c r="AV2924" s="401"/>
      <c r="AW2924" s="412"/>
      <c r="AX2924" s="230"/>
      <c r="AY2924" s="42"/>
      <c r="AZ2924" s="320"/>
      <c r="BD2924" s="401"/>
      <c r="BE2924" s="42"/>
    </row>
    <row r="2925" spans="48:57" x14ac:dyDescent="0.2">
      <c r="AV2925" s="401"/>
      <c r="AW2925" s="412"/>
      <c r="AX2925" s="230"/>
      <c r="AY2925" s="42"/>
      <c r="AZ2925" s="320"/>
      <c r="BD2925" s="401"/>
      <c r="BE2925" s="42"/>
    </row>
    <row r="2926" spans="48:57" x14ac:dyDescent="0.2">
      <c r="AV2926" s="401"/>
      <c r="AW2926" s="412"/>
      <c r="AX2926" s="230"/>
      <c r="AY2926" s="42"/>
      <c r="AZ2926" s="320"/>
      <c r="BD2926" s="401"/>
      <c r="BE2926" s="42"/>
    </row>
    <row r="2927" spans="48:57" x14ac:dyDescent="0.2">
      <c r="AV2927" s="401"/>
      <c r="AW2927" s="412"/>
      <c r="AX2927" s="230"/>
      <c r="AY2927" s="42"/>
      <c r="AZ2927" s="320"/>
      <c r="BD2927" s="401"/>
      <c r="BE2927" s="42"/>
    </row>
    <row r="2928" spans="48:57" x14ac:dyDescent="0.2">
      <c r="AV2928" s="401"/>
      <c r="AW2928" s="412"/>
      <c r="AX2928" s="230"/>
      <c r="AY2928" s="42"/>
      <c r="AZ2928" s="320"/>
      <c r="BD2928" s="401"/>
      <c r="BE2928" s="42"/>
    </row>
    <row r="2929" spans="48:57" x14ac:dyDescent="0.2">
      <c r="AV2929" s="401"/>
      <c r="AW2929" s="412"/>
      <c r="AX2929" s="230"/>
      <c r="AY2929" s="42"/>
      <c r="AZ2929" s="320"/>
      <c r="BD2929" s="401"/>
      <c r="BE2929" s="42"/>
    </row>
    <row r="2930" spans="48:57" x14ac:dyDescent="0.2">
      <c r="AV2930" s="401"/>
      <c r="AW2930" s="412"/>
      <c r="AX2930" s="230"/>
      <c r="AY2930" s="42"/>
      <c r="AZ2930" s="320"/>
      <c r="BD2930" s="401"/>
      <c r="BE2930" s="42"/>
    </row>
    <row r="2931" spans="48:57" x14ac:dyDescent="0.2">
      <c r="AV2931" s="401"/>
      <c r="AW2931" s="412"/>
      <c r="AX2931" s="230"/>
      <c r="AY2931" s="42"/>
      <c r="AZ2931" s="320"/>
      <c r="BD2931" s="401"/>
      <c r="BE2931" s="42"/>
    </row>
    <row r="2932" spans="48:57" x14ac:dyDescent="0.2">
      <c r="AV2932" s="401"/>
      <c r="AW2932" s="412"/>
      <c r="AX2932" s="230"/>
      <c r="AY2932" s="42"/>
      <c r="AZ2932" s="320"/>
      <c r="BD2932" s="401"/>
      <c r="BE2932" s="42"/>
    </row>
    <row r="2933" spans="48:57" x14ac:dyDescent="0.2">
      <c r="AV2933" s="401"/>
      <c r="AW2933" s="412"/>
      <c r="AX2933" s="230"/>
      <c r="AY2933" s="42"/>
      <c r="AZ2933" s="320"/>
      <c r="BD2933" s="401"/>
      <c r="BE2933" s="42"/>
    </row>
    <row r="2934" spans="48:57" x14ac:dyDescent="0.2">
      <c r="AV2934" s="401"/>
      <c r="AW2934" s="412"/>
      <c r="AX2934" s="230"/>
      <c r="AY2934" s="42"/>
      <c r="AZ2934" s="320"/>
      <c r="BD2934" s="401"/>
      <c r="BE2934" s="42"/>
    </row>
    <row r="2935" spans="48:57" x14ac:dyDescent="0.2">
      <c r="AV2935" s="401"/>
      <c r="AW2935" s="412"/>
      <c r="AX2935" s="230"/>
      <c r="AY2935" s="42"/>
      <c r="AZ2935" s="320"/>
      <c r="BD2935" s="401"/>
      <c r="BE2935" s="42"/>
    </row>
    <row r="2936" spans="48:57" x14ac:dyDescent="0.2">
      <c r="AV2936" s="401"/>
      <c r="AW2936" s="412"/>
      <c r="AX2936" s="230"/>
      <c r="AY2936" s="42"/>
      <c r="AZ2936" s="320"/>
      <c r="BD2936" s="401"/>
      <c r="BE2936" s="42"/>
    </row>
    <row r="2937" spans="48:57" x14ac:dyDescent="0.2">
      <c r="AV2937" s="401"/>
      <c r="AW2937" s="412"/>
      <c r="AX2937" s="230"/>
      <c r="AY2937" s="42"/>
      <c r="AZ2937" s="320"/>
      <c r="BD2937" s="401"/>
      <c r="BE2937" s="42"/>
    </row>
    <row r="2938" spans="48:57" x14ac:dyDescent="0.2">
      <c r="AV2938" s="401"/>
      <c r="AW2938" s="412"/>
      <c r="AX2938" s="230"/>
      <c r="AY2938" s="42"/>
      <c r="AZ2938" s="320"/>
      <c r="BD2938" s="401"/>
      <c r="BE2938" s="42"/>
    </row>
    <row r="2939" spans="48:57" x14ac:dyDescent="0.2">
      <c r="AV2939" s="401"/>
      <c r="AW2939" s="412"/>
      <c r="AX2939" s="230"/>
      <c r="AY2939" s="42"/>
      <c r="AZ2939" s="320"/>
      <c r="BD2939" s="401"/>
      <c r="BE2939" s="42"/>
    </row>
    <row r="2940" spans="48:57" x14ac:dyDescent="0.2">
      <c r="AV2940" s="401"/>
      <c r="AW2940" s="412"/>
      <c r="AX2940" s="230"/>
      <c r="AY2940" s="42"/>
      <c r="AZ2940" s="320"/>
      <c r="BD2940" s="401"/>
      <c r="BE2940" s="42"/>
    </row>
    <row r="2941" spans="48:57" x14ac:dyDescent="0.2">
      <c r="AV2941" s="401"/>
      <c r="AW2941" s="412"/>
      <c r="AX2941" s="230"/>
      <c r="AY2941" s="42"/>
      <c r="AZ2941" s="320"/>
      <c r="BD2941" s="401"/>
      <c r="BE2941" s="42"/>
    </row>
    <row r="2942" spans="48:57" x14ac:dyDescent="0.2">
      <c r="AV2942" s="401"/>
      <c r="AW2942" s="412"/>
      <c r="AX2942" s="230"/>
      <c r="AY2942" s="42"/>
      <c r="AZ2942" s="320"/>
      <c r="BD2942" s="401"/>
      <c r="BE2942" s="42"/>
    </row>
    <row r="2943" spans="48:57" x14ac:dyDescent="0.2">
      <c r="AV2943" s="401"/>
      <c r="AW2943" s="412"/>
      <c r="AX2943" s="230"/>
      <c r="AY2943" s="42"/>
      <c r="AZ2943" s="320"/>
      <c r="BD2943" s="401"/>
      <c r="BE2943" s="42"/>
    </row>
    <row r="2944" spans="48:57" x14ac:dyDescent="0.2">
      <c r="AV2944" s="401"/>
      <c r="AW2944" s="412"/>
      <c r="AX2944" s="230"/>
      <c r="AY2944" s="42"/>
      <c r="AZ2944" s="320"/>
      <c r="BD2944" s="401"/>
      <c r="BE2944" s="42"/>
    </row>
    <row r="2945" spans="48:57" x14ac:dyDescent="0.2">
      <c r="AV2945" s="401"/>
      <c r="AW2945" s="412"/>
      <c r="AX2945" s="230"/>
      <c r="AY2945" s="42"/>
      <c r="AZ2945" s="320"/>
      <c r="BD2945" s="401"/>
      <c r="BE2945" s="42"/>
    </row>
    <row r="2946" spans="48:57" x14ac:dyDescent="0.2">
      <c r="AV2946" s="401"/>
      <c r="AW2946" s="412"/>
      <c r="AX2946" s="230"/>
      <c r="AY2946" s="42"/>
      <c r="AZ2946" s="320"/>
      <c r="BD2946" s="401"/>
      <c r="BE2946" s="42"/>
    </row>
    <row r="2947" spans="48:57" x14ac:dyDescent="0.2">
      <c r="AV2947" s="401"/>
      <c r="AW2947" s="412"/>
      <c r="AX2947" s="230"/>
      <c r="AY2947" s="42"/>
      <c r="AZ2947" s="320"/>
      <c r="BD2947" s="401"/>
      <c r="BE2947" s="42"/>
    </row>
    <row r="2948" spans="48:57" x14ac:dyDescent="0.2">
      <c r="AV2948" s="401"/>
      <c r="AW2948" s="412"/>
      <c r="AX2948" s="230"/>
      <c r="AY2948" s="42"/>
      <c r="AZ2948" s="320"/>
      <c r="BD2948" s="401"/>
      <c r="BE2948" s="42"/>
    </row>
    <row r="2949" spans="48:57" x14ac:dyDescent="0.2">
      <c r="AV2949" s="401"/>
      <c r="AW2949" s="412"/>
      <c r="AX2949" s="230"/>
      <c r="AY2949" s="42"/>
      <c r="AZ2949" s="320"/>
      <c r="BD2949" s="401"/>
      <c r="BE2949" s="42"/>
    </row>
    <row r="2950" spans="48:57" x14ac:dyDescent="0.2">
      <c r="AV2950" s="401"/>
      <c r="AW2950" s="412"/>
      <c r="AX2950" s="230"/>
      <c r="AY2950" s="42"/>
      <c r="AZ2950" s="320"/>
      <c r="BD2950" s="401"/>
      <c r="BE2950" s="42"/>
    </row>
    <row r="2951" spans="48:57" x14ac:dyDescent="0.2">
      <c r="AV2951" s="401"/>
      <c r="AW2951" s="412"/>
      <c r="AX2951" s="230"/>
      <c r="AY2951" s="42"/>
      <c r="AZ2951" s="320"/>
      <c r="BD2951" s="401"/>
      <c r="BE2951" s="42"/>
    </row>
    <row r="2952" spans="48:57" x14ac:dyDescent="0.2">
      <c r="AV2952" s="401"/>
      <c r="AW2952" s="412"/>
      <c r="AX2952" s="230"/>
      <c r="AY2952" s="42"/>
      <c r="AZ2952" s="320"/>
      <c r="BD2952" s="401"/>
      <c r="BE2952" s="42"/>
    </row>
    <row r="2953" spans="48:57" x14ac:dyDescent="0.2">
      <c r="AV2953" s="401"/>
      <c r="AW2953" s="412"/>
      <c r="AX2953" s="230"/>
      <c r="AY2953" s="42"/>
      <c r="AZ2953" s="320"/>
      <c r="BD2953" s="401"/>
      <c r="BE2953" s="42"/>
    </row>
    <row r="2954" spans="48:57" x14ac:dyDescent="0.2">
      <c r="AV2954" s="401"/>
      <c r="AW2954" s="412"/>
      <c r="AX2954" s="230"/>
      <c r="AY2954" s="42"/>
      <c r="AZ2954" s="320"/>
      <c r="BD2954" s="401"/>
      <c r="BE2954" s="42"/>
    </row>
    <row r="2955" spans="48:57" x14ac:dyDescent="0.2">
      <c r="AV2955" s="401"/>
      <c r="AW2955" s="412"/>
      <c r="AX2955" s="230"/>
      <c r="AY2955" s="42"/>
      <c r="AZ2955" s="320"/>
      <c r="BD2955" s="401"/>
      <c r="BE2955" s="42"/>
    </row>
    <row r="2956" spans="48:57" x14ac:dyDescent="0.2">
      <c r="AV2956" s="401"/>
      <c r="AW2956" s="412"/>
      <c r="AX2956" s="230"/>
      <c r="AY2956" s="42"/>
      <c r="AZ2956" s="320"/>
      <c r="BD2956" s="401"/>
      <c r="BE2956" s="42"/>
    </row>
    <row r="2957" spans="48:57" x14ac:dyDescent="0.2">
      <c r="AV2957" s="401"/>
      <c r="AW2957" s="412"/>
      <c r="AX2957" s="230"/>
      <c r="AY2957" s="42"/>
      <c r="AZ2957" s="320"/>
      <c r="BD2957" s="401"/>
      <c r="BE2957" s="42"/>
    </row>
    <row r="2958" spans="48:57" x14ac:dyDescent="0.2">
      <c r="AV2958" s="401"/>
      <c r="AW2958" s="412"/>
      <c r="AX2958" s="230"/>
      <c r="AY2958" s="42"/>
      <c r="AZ2958" s="320"/>
      <c r="BD2958" s="401"/>
      <c r="BE2958" s="42"/>
    </row>
    <row r="2959" spans="48:57" x14ac:dyDescent="0.2">
      <c r="AV2959" s="401"/>
      <c r="AW2959" s="412"/>
      <c r="AX2959" s="230"/>
      <c r="AY2959" s="42"/>
      <c r="AZ2959" s="320"/>
      <c r="BD2959" s="401"/>
      <c r="BE2959" s="42"/>
    </row>
    <row r="2960" spans="48:57" x14ac:dyDescent="0.2">
      <c r="AV2960" s="401"/>
      <c r="AW2960" s="412"/>
      <c r="AX2960" s="230"/>
      <c r="AY2960" s="42"/>
      <c r="AZ2960" s="320"/>
      <c r="BD2960" s="401"/>
      <c r="BE2960" s="42"/>
    </row>
    <row r="2961" spans="48:57" x14ac:dyDescent="0.2">
      <c r="AV2961" s="401"/>
      <c r="AW2961" s="412"/>
      <c r="AX2961" s="230"/>
      <c r="AY2961" s="42"/>
      <c r="AZ2961" s="320"/>
      <c r="BD2961" s="401"/>
      <c r="BE2961" s="42"/>
    </row>
    <row r="2962" spans="48:57" x14ac:dyDescent="0.2">
      <c r="AV2962" s="401"/>
      <c r="AW2962" s="412"/>
      <c r="AX2962" s="230"/>
      <c r="AY2962" s="42"/>
      <c r="AZ2962" s="320"/>
      <c r="BD2962" s="401"/>
      <c r="BE2962" s="42"/>
    </row>
    <row r="2963" spans="48:57" x14ac:dyDescent="0.2">
      <c r="AV2963" s="401"/>
      <c r="AW2963" s="412"/>
      <c r="AX2963" s="230"/>
      <c r="AY2963" s="42"/>
      <c r="AZ2963" s="320"/>
      <c r="BD2963" s="401"/>
      <c r="BE2963" s="42"/>
    </row>
    <row r="2964" spans="48:57" x14ac:dyDescent="0.2">
      <c r="AV2964" s="401"/>
      <c r="AW2964" s="412"/>
      <c r="AX2964" s="230"/>
      <c r="AY2964" s="42"/>
      <c r="AZ2964" s="320"/>
      <c r="BD2964" s="401"/>
      <c r="BE2964" s="42"/>
    </row>
    <row r="2965" spans="48:57" x14ac:dyDescent="0.2">
      <c r="AV2965" s="401"/>
      <c r="AW2965" s="412"/>
      <c r="AX2965" s="230"/>
      <c r="AY2965" s="42"/>
      <c r="AZ2965" s="320"/>
      <c r="BD2965" s="401"/>
      <c r="BE2965" s="42"/>
    </row>
    <row r="2966" spans="48:57" x14ac:dyDescent="0.2">
      <c r="AV2966" s="401"/>
      <c r="AW2966" s="412"/>
      <c r="AX2966" s="230"/>
      <c r="AY2966" s="42"/>
      <c r="AZ2966" s="320"/>
      <c r="BD2966" s="401"/>
      <c r="BE2966" s="42"/>
    </row>
    <row r="2967" spans="48:57" x14ac:dyDescent="0.2">
      <c r="AV2967" s="401"/>
      <c r="AW2967" s="412"/>
      <c r="AX2967" s="230"/>
      <c r="AY2967" s="42"/>
      <c r="AZ2967" s="320"/>
      <c r="BD2967" s="401"/>
      <c r="BE2967" s="42"/>
    </row>
    <row r="2968" spans="48:57" x14ac:dyDescent="0.2">
      <c r="AV2968" s="401"/>
      <c r="AW2968" s="412"/>
      <c r="AX2968" s="230"/>
      <c r="AY2968" s="42"/>
      <c r="AZ2968" s="320"/>
      <c r="BD2968" s="401"/>
      <c r="BE2968" s="42"/>
    </row>
    <row r="2969" spans="48:57" x14ac:dyDescent="0.2">
      <c r="AV2969" s="401"/>
      <c r="AW2969" s="412"/>
      <c r="AX2969" s="230"/>
      <c r="AY2969" s="42"/>
      <c r="AZ2969" s="320"/>
      <c r="BD2969" s="401"/>
      <c r="BE2969" s="42"/>
    </row>
    <row r="2970" spans="48:57" x14ac:dyDescent="0.2">
      <c r="AV2970" s="401"/>
      <c r="AW2970" s="412"/>
      <c r="AX2970" s="230"/>
      <c r="AY2970" s="42"/>
      <c r="AZ2970" s="320"/>
      <c r="BD2970" s="401"/>
      <c r="BE2970" s="42"/>
    </row>
    <row r="2971" spans="48:57" x14ac:dyDescent="0.2">
      <c r="AV2971" s="401"/>
      <c r="AW2971" s="412"/>
      <c r="AX2971" s="230"/>
      <c r="AY2971" s="42"/>
      <c r="AZ2971" s="320"/>
      <c r="BD2971" s="401"/>
      <c r="BE2971" s="42"/>
    </row>
    <row r="2972" spans="48:57" x14ac:dyDescent="0.2">
      <c r="AV2972" s="401"/>
      <c r="AW2972" s="412"/>
      <c r="AX2972" s="230"/>
      <c r="AY2972" s="42"/>
      <c r="AZ2972" s="320"/>
      <c r="BD2972" s="401"/>
      <c r="BE2972" s="42"/>
    </row>
    <row r="2973" spans="48:57" x14ac:dyDescent="0.2">
      <c r="AV2973" s="401"/>
      <c r="AW2973" s="412"/>
      <c r="AX2973" s="230"/>
      <c r="AY2973" s="42"/>
      <c r="AZ2973" s="320"/>
      <c r="BD2973" s="401"/>
      <c r="BE2973" s="42"/>
    </row>
    <row r="2974" spans="48:57" x14ac:dyDescent="0.2">
      <c r="AV2974" s="401"/>
      <c r="AW2974" s="412"/>
      <c r="AX2974" s="230"/>
      <c r="AY2974" s="42"/>
      <c r="AZ2974" s="320"/>
      <c r="BD2974" s="401"/>
      <c r="BE2974" s="42"/>
    </row>
    <row r="2975" spans="48:57" x14ac:dyDescent="0.2">
      <c r="AV2975" s="401"/>
      <c r="AW2975" s="412"/>
      <c r="AX2975" s="230"/>
      <c r="AY2975" s="42"/>
      <c r="AZ2975" s="320"/>
      <c r="BD2975" s="401"/>
      <c r="BE2975" s="42"/>
    </row>
    <row r="2976" spans="48:57" x14ac:dyDescent="0.2">
      <c r="AV2976" s="401"/>
      <c r="AW2976" s="412"/>
      <c r="AX2976" s="230"/>
      <c r="AY2976" s="42"/>
      <c r="AZ2976" s="320"/>
      <c r="BD2976" s="401"/>
      <c r="BE2976" s="42"/>
    </row>
    <row r="2977" spans="48:57" x14ac:dyDescent="0.2">
      <c r="AV2977" s="401"/>
      <c r="AW2977" s="412"/>
      <c r="AX2977" s="230"/>
      <c r="AY2977" s="42"/>
      <c r="AZ2977" s="320"/>
      <c r="BD2977" s="401"/>
      <c r="BE2977" s="42"/>
    </row>
    <row r="2978" spans="48:57" x14ac:dyDescent="0.2">
      <c r="AV2978" s="401"/>
      <c r="AW2978" s="412"/>
      <c r="AX2978" s="230"/>
      <c r="AY2978" s="42"/>
      <c r="AZ2978" s="320"/>
      <c r="BD2978" s="401"/>
      <c r="BE2978" s="42"/>
    </row>
    <row r="2979" spans="48:57" x14ac:dyDescent="0.2">
      <c r="AV2979" s="401"/>
      <c r="AW2979" s="412"/>
      <c r="AX2979" s="230"/>
      <c r="AY2979" s="42"/>
      <c r="AZ2979" s="320"/>
      <c r="BD2979" s="401"/>
      <c r="BE2979" s="42"/>
    </row>
    <row r="2980" spans="48:57" x14ac:dyDescent="0.2">
      <c r="AV2980" s="401"/>
      <c r="AW2980" s="412"/>
      <c r="AX2980" s="230"/>
      <c r="AY2980" s="42"/>
      <c r="AZ2980" s="320"/>
      <c r="BD2980" s="401"/>
      <c r="BE2980" s="42"/>
    </row>
    <row r="2981" spans="48:57" x14ac:dyDescent="0.2">
      <c r="AV2981" s="401"/>
      <c r="AW2981" s="412"/>
      <c r="AX2981" s="230"/>
      <c r="AY2981" s="42"/>
      <c r="AZ2981" s="320"/>
      <c r="BD2981" s="401"/>
      <c r="BE2981" s="42"/>
    </row>
    <row r="2982" spans="48:57" x14ac:dyDescent="0.2">
      <c r="AV2982" s="401"/>
      <c r="AW2982" s="412"/>
      <c r="AX2982" s="230"/>
      <c r="AY2982" s="42"/>
      <c r="AZ2982" s="320"/>
      <c r="BD2982" s="401"/>
      <c r="BE2982" s="42"/>
    </row>
    <row r="2983" spans="48:57" x14ac:dyDescent="0.2">
      <c r="AV2983" s="401"/>
      <c r="AW2983" s="412"/>
      <c r="AX2983" s="230"/>
      <c r="AY2983" s="42"/>
      <c r="AZ2983" s="320"/>
      <c r="BD2983" s="401"/>
      <c r="BE2983" s="42"/>
    </row>
    <row r="2984" spans="48:57" x14ac:dyDescent="0.2">
      <c r="AV2984" s="401"/>
      <c r="AW2984" s="412"/>
      <c r="AX2984" s="230"/>
      <c r="AY2984" s="42"/>
      <c r="AZ2984" s="320"/>
      <c r="BD2984" s="401"/>
      <c r="BE2984" s="42"/>
    </row>
    <row r="2985" spans="48:57" x14ac:dyDescent="0.2">
      <c r="AV2985" s="401"/>
      <c r="AW2985" s="412"/>
      <c r="AX2985" s="230"/>
      <c r="AY2985" s="42"/>
      <c r="AZ2985" s="320"/>
      <c r="BD2985" s="401"/>
      <c r="BE2985" s="42"/>
    </row>
    <row r="2986" spans="48:57" x14ac:dyDescent="0.2">
      <c r="AV2986" s="401"/>
      <c r="AW2986" s="412"/>
      <c r="AX2986" s="230"/>
      <c r="AY2986" s="42"/>
      <c r="AZ2986" s="320"/>
      <c r="BD2986" s="401"/>
      <c r="BE2986" s="42"/>
    </row>
    <row r="2987" spans="48:57" x14ac:dyDescent="0.2">
      <c r="AV2987" s="401"/>
      <c r="AW2987" s="412"/>
      <c r="AX2987" s="230"/>
      <c r="AY2987" s="42"/>
      <c r="AZ2987" s="320"/>
      <c r="BD2987" s="401"/>
      <c r="BE2987" s="42"/>
    </row>
    <row r="2988" spans="48:57" x14ac:dyDescent="0.2">
      <c r="AV2988" s="401"/>
      <c r="AW2988" s="412"/>
      <c r="AX2988" s="230"/>
      <c r="AY2988" s="42"/>
      <c r="AZ2988" s="320"/>
      <c r="BD2988" s="401"/>
      <c r="BE2988" s="42"/>
    </row>
    <row r="2989" spans="48:57" x14ac:dyDescent="0.2">
      <c r="AV2989" s="401"/>
      <c r="AW2989" s="412"/>
      <c r="AX2989" s="230"/>
      <c r="AY2989" s="42"/>
      <c r="AZ2989" s="320"/>
      <c r="BD2989" s="401"/>
      <c r="BE2989" s="42"/>
    </row>
    <row r="2990" spans="48:57" x14ac:dyDescent="0.2">
      <c r="AV2990" s="401"/>
      <c r="AW2990" s="412"/>
      <c r="AX2990" s="230"/>
      <c r="AY2990" s="42"/>
      <c r="AZ2990" s="320"/>
      <c r="BD2990" s="401"/>
      <c r="BE2990" s="42"/>
    </row>
    <row r="2991" spans="48:57" x14ac:dyDescent="0.2">
      <c r="AV2991" s="401"/>
      <c r="AW2991" s="412"/>
      <c r="AX2991" s="230"/>
      <c r="AY2991" s="42"/>
      <c r="AZ2991" s="320"/>
      <c r="BD2991" s="401"/>
      <c r="BE2991" s="42"/>
    </row>
    <row r="2992" spans="48:57" x14ac:dyDescent="0.2">
      <c r="AV2992" s="401"/>
      <c r="AW2992" s="412"/>
      <c r="AX2992" s="230"/>
      <c r="AY2992" s="42"/>
      <c r="AZ2992" s="320"/>
      <c r="BD2992" s="401"/>
      <c r="BE2992" s="42"/>
    </row>
    <row r="2993" spans="48:57" x14ac:dyDescent="0.2">
      <c r="AV2993" s="401"/>
      <c r="AW2993" s="412"/>
      <c r="AX2993" s="230"/>
      <c r="AY2993" s="42"/>
      <c r="AZ2993" s="320"/>
      <c r="BD2993" s="401"/>
      <c r="BE2993" s="42"/>
    </row>
    <row r="2994" spans="48:57" x14ac:dyDescent="0.2">
      <c r="AV2994" s="401"/>
      <c r="AW2994" s="412"/>
      <c r="AX2994" s="230"/>
      <c r="AY2994" s="42"/>
      <c r="AZ2994" s="320"/>
      <c r="BD2994" s="401"/>
      <c r="BE2994" s="42"/>
    </row>
    <row r="2995" spans="48:57" x14ac:dyDescent="0.2">
      <c r="AV2995" s="401"/>
      <c r="AW2995" s="412"/>
      <c r="AX2995" s="230"/>
      <c r="AY2995" s="42"/>
      <c r="AZ2995" s="320"/>
      <c r="BD2995" s="401"/>
      <c r="BE2995" s="42"/>
    </row>
    <row r="2996" spans="48:57" x14ac:dyDescent="0.2">
      <c r="AV2996" s="401"/>
      <c r="AW2996" s="412"/>
      <c r="AX2996" s="230"/>
      <c r="AY2996" s="42"/>
      <c r="AZ2996" s="320"/>
      <c r="BD2996" s="401"/>
      <c r="BE2996" s="42"/>
    </row>
    <row r="2997" spans="48:57" x14ac:dyDescent="0.2">
      <c r="AV2997" s="401"/>
      <c r="AW2997" s="412"/>
      <c r="AX2997" s="230"/>
      <c r="AY2997" s="42"/>
      <c r="AZ2997" s="320"/>
      <c r="BD2997" s="401"/>
      <c r="BE2997" s="42"/>
    </row>
    <row r="2998" spans="48:57" x14ac:dyDescent="0.2">
      <c r="AV2998" s="401"/>
      <c r="AW2998" s="412"/>
      <c r="AX2998" s="230"/>
      <c r="AY2998" s="42"/>
      <c r="AZ2998" s="320"/>
      <c r="BD2998" s="401"/>
      <c r="BE2998" s="42"/>
    </row>
    <row r="2999" spans="48:57" x14ac:dyDescent="0.2">
      <c r="AV2999" s="401"/>
      <c r="AW2999" s="412"/>
      <c r="AX2999" s="230"/>
      <c r="AY2999" s="42"/>
      <c r="AZ2999" s="320"/>
      <c r="BD2999" s="401"/>
      <c r="BE2999" s="42"/>
    </row>
    <row r="3000" spans="48:57" x14ac:dyDescent="0.2">
      <c r="AV3000" s="401"/>
      <c r="AW3000" s="412"/>
      <c r="AX3000" s="230"/>
      <c r="AY3000" s="42"/>
      <c r="AZ3000" s="320"/>
      <c r="BD3000" s="401"/>
      <c r="BE3000" s="42"/>
    </row>
    <row r="3001" spans="48:57" x14ac:dyDescent="0.2">
      <c r="AV3001" s="401"/>
      <c r="AW3001" s="412"/>
      <c r="AX3001" s="230"/>
      <c r="AY3001" s="42"/>
      <c r="AZ3001" s="320"/>
      <c r="BD3001" s="401"/>
      <c r="BE3001" s="42"/>
    </row>
    <row r="3002" spans="48:57" x14ac:dyDescent="0.2">
      <c r="AV3002" s="401"/>
      <c r="AW3002" s="412"/>
      <c r="AX3002" s="230"/>
      <c r="AY3002" s="42"/>
      <c r="AZ3002" s="320"/>
      <c r="BD3002" s="401"/>
      <c r="BE3002" s="42"/>
    </row>
    <row r="3003" spans="48:57" x14ac:dyDescent="0.2">
      <c r="AV3003" s="401"/>
      <c r="AW3003" s="412"/>
      <c r="AX3003" s="230"/>
      <c r="AY3003" s="42"/>
      <c r="AZ3003" s="320"/>
      <c r="BD3003" s="401"/>
      <c r="BE3003" s="42"/>
    </row>
    <row r="3004" spans="48:57" x14ac:dyDescent="0.2">
      <c r="AV3004" s="401"/>
      <c r="AW3004" s="412"/>
      <c r="AX3004" s="230"/>
      <c r="AY3004" s="42"/>
      <c r="AZ3004" s="320"/>
      <c r="BD3004" s="401"/>
      <c r="BE3004" s="42"/>
    </row>
    <row r="3005" spans="48:57" x14ac:dyDescent="0.2">
      <c r="AV3005" s="401"/>
      <c r="AW3005" s="412"/>
      <c r="AX3005" s="230"/>
      <c r="AY3005" s="42"/>
      <c r="AZ3005" s="320"/>
      <c r="BD3005" s="401"/>
      <c r="BE3005" s="42"/>
    </row>
    <row r="3006" spans="48:57" x14ac:dyDescent="0.2">
      <c r="AV3006" s="401"/>
      <c r="AW3006" s="412"/>
      <c r="AX3006" s="230"/>
      <c r="AY3006" s="42"/>
      <c r="AZ3006" s="320"/>
      <c r="BD3006" s="401"/>
      <c r="BE3006" s="42"/>
    </row>
    <row r="3007" spans="48:57" x14ac:dyDescent="0.2">
      <c r="AV3007" s="401"/>
      <c r="AW3007" s="412"/>
      <c r="AX3007" s="230"/>
      <c r="AY3007" s="42"/>
      <c r="AZ3007" s="320"/>
      <c r="BD3007" s="401"/>
      <c r="BE3007" s="42"/>
    </row>
    <row r="3008" spans="48:57" x14ac:dyDescent="0.2">
      <c r="AV3008" s="401"/>
      <c r="AW3008" s="412"/>
      <c r="AX3008" s="230"/>
      <c r="AY3008" s="42"/>
      <c r="AZ3008" s="320"/>
      <c r="BD3008" s="401"/>
      <c r="BE3008" s="42"/>
    </row>
    <row r="3009" spans="48:57" x14ac:dyDescent="0.2">
      <c r="AV3009" s="401"/>
      <c r="AW3009" s="412"/>
      <c r="AX3009" s="230"/>
      <c r="AY3009" s="42"/>
      <c r="AZ3009" s="320"/>
      <c r="BD3009" s="401"/>
      <c r="BE3009" s="42"/>
    </row>
    <row r="3010" spans="48:57" x14ac:dyDescent="0.2">
      <c r="AV3010" s="401"/>
      <c r="AW3010" s="412"/>
      <c r="AX3010" s="230"/>
      <c r="AY3010" s="42"/>
      <c r="AZ3010" s="320"/>
      <c r="BD3010" s="401"/>
      <c r="BE3010" s="42"/>
    </row>
    <row r="3011" spans="48:57" x14ac:dyDescent="0.2">
      <c r="AV3011" s="401"/>
      <c r="AW3011" s="412"/>
      <c r="AX3011" s="230"/>
      <c r="AY3011" s="42"/>
      <c r="AZ3011" s="320"/>
      <c r="BD3011" s="401"/>
      <c r="BE3011" s="42"/>
    </row>
    <row r="3012" spans="48:57" x14ac:dyDescent="0.2">
      <c r="AV3012" s="401"/>
      <c r="AW3012" s="412"/>
      <c r="AX3012" s="230"/>
      <c r="AY3012" s="42"/>
      <c r="AZ3012" s="320"/>
      <c r="BD3012" s="401"/>
      <c r="BE3012" s="42"/>
    </row>
    <row r="3013" spans="48:57" x14ac:dyDescent="0.2">
      <c r="AV3013" s="401"/>
      <c r="AW3013" s="412"/>
      <c r="AX3013" s="230"/>
      <c r="AY3013" s="42"/>
      <c r="AZ3013" s="320"/>
      <c r="BD3013" s="401"/>
      <c r="BE3013" s="42"/>
    </row>
    <row r="3014" spans="48:57" x14ac:dyDescent="0.2">
      <c r="AV3014" s="401"/>
      <c r="AW3014" s="412"/>
      <c r="AX3014" s="230"/>
      <c r="AY3014" s="42"/>
      <c r="AZ3014" s="320"/>
      <c r="BD3014" s="401"/>
      <c r="BE3014" s="42"/>
    </row>
    <row r="3015" spans="48:57" x14ac:dyDescent="0.2">
      <c r="AV3015" s="401"/>
      <c r="AW3015" s="412"/>
      <c r="AX3015" s="230"/>
      <c r="AY3015" s="42"/>
      <c r="AZ3015" s="320"/>
      <c r="BD3015" s="401"/>
      <c r="BE3015" s="42"/>
    </row>
    <row r="3016" spans="48:57" x14ac:dyDescent="0.2">
      <c r="AV3016" s="401"/>
      <c r="AW3016" s="412"/>
      <c r="AX3016" s="230"/>
      <c r="AY3016" s="42"/>
      <c r="AZ3016" s="320"/>
      <c r="BD3016" s="401"/>
      <c r="BE3016" s="42"/>
    </row>
    <row r="3017" spans="48:57" x14ac:dyDescent="0.2">
      <c r="AV3017" s="401"/>
      <c r="AW3017" s="412"/>
      <c r="AX3017" s="230"/>
      <c r="AY3017" s="42"/>
      <c r="AZ3017" s="320"/>
      <c r="BD3017" s="401"/>
      <c r="BE3017" s="42"/>
    </row>
    <row r="3018" spans="48:57" x14ac:dyDescent="0.2">
      <c r="AV3018" s="401"/>
      <c r="AW3018" s="412"/>
      <c r="AX3018" s="230"/>
      <c r="AY3018" s="42"/>
      <c r="AZ3018" s="320"/>
      <c r="BD3018" s="401"/>
      <c r="BE3018" s="42"/>
    </row>
    <row r="3019" spans="48:57" x14ac:dyDescent="0.2">
      <c r="AV3019" s="401"/>
      <c r="AW3019" s="412"/>
      <c r="AX3019" s="230"/>
      <c r="AY3019" s="42"/>
      <c r="AZ3019" s="320"/>
      <c r="BD3019" s="401"/>
      <c r="BE3019" s="42"/>
    </row>
    <row r="3020" spans="48:57" x14ac:dyDescent="0.2">
      <c r="AV3020" s="401"/>
      <c r="AW3020" s="412"/>
      <c r="AX3020" s="230"/>
      <c r="AY3020" s="42"/>
      <c r="AZ3020" s="320"/>
      <c r="BD3020" s="401"/>
      <c r="BE3020" s="42"/>
    </row>
    <row r="3021" spans="48:57" x14ac:dyDescent="0.2">
      <c r="AV3021" s="401"/>
      <c r="AW3021" s="412"/>
      <c r="AX3021" s="230"/>
      <c r="AY3021" s="42"/>
      <c r="AZ3021" s="320"/>
      <c r="BD3021" s="401"/>
      <c r="BE3021" s="42"/>
    </row>
    <row r="3022" spans="48:57" x14ac:dyDescent="0.2">
      <c r="AV3022" s="401"/>
      <c r="AW3022" s="412"/>
      <c r="AX3022" s="230"/>
      <c r="AY3022" s="42"/>
      <c r="AZ3022" s="320"/>
      <c r="BD3022" s="401"/>
      <c r="BE3022" s="42"/>
    </row>
    <row r="3023" spans="48:57" x14ac:dyDescent="0.2">
      <c r="AV3023" s="401"/>
      <c r="AW3023" s="412"/>
      <c r="AX3023" s="230"/>
      <c r="AY3023" s="42"/>
      <c r="AZ3023" s="320"/>
      <c r="BD3023" s="401"/>
      <c r="BE3023" s="42"/>
    </row>
    <row r="3024" spans="48:57" x14ac:dyDescent="0.2">
      <c r="AV3024" s="401"/>
      <c r="AW3024" s="412"/>
      <c r="AX3024" s="230"/>
      <c r="AY3024" s="42"/>
      <c r="AZ3024" s="320"/>
      <c r="BD3024" s="401"/>
      <c r="BE3024" s="42"/>
    </row>
    <row r="3025" spans="48:57" x14ac:dyDescent="0.2">
      <c r="AV3025" s="401"/>
      <c r="AW3025" s="412"/>
      <c r="AX3025" s="230"/>
      <c r="AY3025" s="42"/>
      <c r="AZ3025" s="320"/>
      <c r="BD3025" s="401"/>
      <c r="BE3025" s="42"/>
    </row>
    <row r="3026" spans="48:57" x14ac:dyDescent="0.2">
      <c r="AV3026" s="401"/>
      <c r="AW3026" s="412"/>
      <c r="AX3026" s="230"/>
      <c r="AY3026" s="42"/>
      <c r="AZ3026" s="320"/>
      <c r="BD3026" s="401"/>
      <c r="BE3026" s="42"/>
    </row>
    <row r="3027" spans="48:57" x14ac:dyDescent="0.2">
      <c r="AV3027" s="401"/>
      <c r="AW3027" s="412"/>
      <c r="AX3027" s="230"/>
      <c r="AY3027" s="42"/>
      <c r="AZ3027" s="320"/>
      <c r="BD3027" s="401"/>
      <c r="BE3027" s="42"/>
    </row>
    <row r="3028" spans="48:57" x14ac:dyDescent="0.2">
      <c r="AV3028" s="401"/>
      <c r="AW3028" s="412"/>
      <c r="AX3028" s="230"/>
      <c r="AY3028" s="42"/>
      <c r="AZ3028" s="320"/>
      <c r="BD3028" s="401"/>
      <c r="BE3028" s="42"/>
    </row>
    <row r="3029" spans="48:57" x14ac:dyDescent="0.2">
      <c r="AV3029" s="401"/>
      <c r="AW3029" s="412"/>
      <c r="AX3029" s="230"/>
      <c r="AY3029" s="42"/>
      <c r="AZ3029" s="320"/>
      <c r="BD3029" s="401"/>
      <c r="BE3029" s="42"/>
    </row>
    <row r="3030" spans="48:57" x14ac:dyDescent="0.2">
      <c r="AV3030" s="401"/>
      <c r="AW3030" s="412"/>
      <c r="AX3030" s="230"/>
      <c r="AY3030" s="42"/>
      <c r="AZ3030" s="320"/>
      <c r="BD3030" s="401"/>
      <c r="BE3030" s="42"/>
    </row>
    <row r="3031" spans="48:57" x14ac:dyDescent="0.2">
      <c r="AV3031" s="401"/>
      <c r="AW3031" s="412"/>
      <c r="AX3031" s="230"/>
      <c r="AY3031" s="42"/>
      <c r="AZ3031" s="320"/>
      <c r="BD3031" s="401"/>
      <c r="BE3031" s="42"/>
    </row>
    <row r="3032" spans="48:57" x14ac:dyDescent="0.2">
      <c r="AV3032" s="401"/>
      <c r="AW3032" s="412"/>
      <c r="AX3032" s="230"/>
      <c r="AY3032" s="42"/>
      <c r="AZ3032" s="320"/>
      <c r="BD3032" s="401"/>
      <c r="BE3032" s="42"/>
    </row>
    <row r="3033" spans="48:57" x14ac:dyDescent="0.2">
      <c r="AV3033" s="401"/>
      <c r="AW3033" s="412"/>
      <c r="AX3033" s="230"/>
      <c r="AY3033" s="42"/>
      <c r="AZ3033" s="320"/>
      <c r="BD3033" s="401"/>
      <c r="BE3033" s="42"/>
    </row>
    <row r="3034" spans="48:57" x14ac:dyDescent="0.2">
      <c r="AV3034" s="401"/>
      <c r="AW3034" s="412"/>
      <c r="AX3034" s="230"/>
      <c r="AY3034" s="42"/>
      <c r="AZ3034" s="320"/>
      <c r="BD3034" s="401"/>
      <c r="BE3034" s="42"/>
    </row>
    <row r="3035" spans="48:57" x14ac:dyDescent="0.2">
      <c r="AV3035" s="401"/>
      <c r="AW3035" s="412"/>
      <c r="AX3035" s="230"/>
      <c r="AY3035" s="42"/>
      <c r="AZ3035" s="320"/>
      <c r="BD3035" s="401"/>
      <c r="BE3035" s="42"/>
    </row>
    <row r="3036" spans="48:57" x14ac:dyDescent="0.2">
      <c r="AV3036" s="401"/>
      <c r="AW3036" s="412"/>
      <c r="AX3036" s="230"/>
      <c r="AY3036" s="42"/>
      <c r="AZ3036" s="320"/>
      <c r="BD3036" s="401"/>
      <c r="BE3036" s="42"/>
    </row>
    <row r="3037" spans="48:57" x14ac:dyDescent="0.2">
      <c r="AV3037" s="401"/>
      <c r="AW3037" s="412"/>
      <c r="AX3037" s="230"/>
      <c r="AY3037" s="42"/>
      <c r="AZ3037" s="320"/>
      <c r="BD3037" s="401"/>
      <c r="BE3037" s="42"/>
    </row>
    <row r="3038" spans="48:57" x14ac:dyDescent="0.2">
      <c r="AV3038" s="401"/>
      <c r="AW3038" s="412"/>
      <c r="AX3038" s="230"/>
      <c r="AY3038" s="42"/>
      <c r="AZ3038" s="320"/>
      <c r="BD3038" s="401"/>
      <c r="BE3038" s="42"/>
    </row>
    <row r="3039" spans="48:57" x14ac:dyDescent="0.2">
      <c r="AV3039" s="401"/>
      <c r="AW3039" s="412"/>
      <c r="AX3039" s="230"/>
      <c r="AY3039" s="42"/>
      <c r="AZ3039" s="320"/>
      <c r="BD3039" s="401"/>
      <c r="BE3039" s="42"/>
    </row>
    <row r="3040" spans="48:57" x14ac:dyDescent="0.2">
      <c r="AV3040" s="401"/>
      <c r="AW3040" s="412"/>
      <c r="AX3040" s="230"/>
      <c r="AY3040" s="42"/>
      <c r="AZ3040" s="320"/>
      <c r="BD3040" s="401"/>
      <c r="BE3040" s="42"/>
    </row>
    <row r="3041" spans="48:57" x14ac:dyDescent="0.2">
      <c r="AV3041" s="401"/>
      <c r="AW3041" s="412"/>
      <c r="AX3041" s="230"/>
      <c r="AY3041" s="42"/>
      <c r="AZ3041" s="320"/>
      <c r="BD3041" s="401"/>
      <c r="BE3041" s="42"/>
    </row>
    <row r="3042" spans="48:57" x14ac:dyDescent="0.2">
      <c r="AV3042" s="401"/>
      <c r="AW3042" s="412"/>
      <c r="AX3042" s="230"/>
      <c r="AY3042" s="42"/>
      <c r="AZ3042" s="320"/>
      <c r="BD3042" s="401"/>
      <c r="BE3042" s="42"/>
    </row>
    <row r="3043" spans="48:57" x14ac:dyDescent="0.2">
      <c r="AV3043" s="401"/>
      <c r="AW3043" s="412"/>
      <c r="AX3043" s="230"/>
      <c r="AY3043" s="42"/>
      <c r="AZ3043" s="320"/>
      <c r="BD3043" s="401"/>
      <c r="BE3043" s="42"/>
    </row>
    <row r="3044" spans="48:57" x14ac:dyDescent="0.2">
      <c r="AV3044" s="401"/>
      <c r="AW3044" s="412"/>
      <c r="AX3044" s="230"/>
      <c r="AY3044" s="42"/>
      <c r="AZ3044" s="320"/>
      <c r="BD3044" s="401"/>
      <c r="BE3044" s="42"/>
    </row>
    <row r="3045" spans="48:57" x14ac:dyDescent="0.2">
      <c r="AV3045" s="401"/>
      <c r="AW3045" s="412"/>
      <c r="AX3045" s="230"/>
      <c r="AY3045" s="42"/>
      <c r="AZ3045" s="320"/>
      <c r="BD3045" s="401"/>
      <c r="BE3045" s="42"/>
    </row>
    <row r="3046" spans="48:57" x14ac:dyDescent="0.2">
      <c r="AV3046" s="401"/>
      <c r="AW3046" s="412"/>
      <c r="AX3046" s="230"/>
      <c r="AY3046" s="42"/>
      <c r="AZ3046" s="320"/>
      <c r="BD3046" s="401"/>
      <c r="BE3046" s="42"/>
    </row>
    <row r="3047" spans="48:57" x14ac:dyDescent="0.2">
      <c r="AV3047" s="401"/>
      <c r="AW3047" s="412"/>
      <c r="AX3047" s="230"/>
      <c r="AY3047" s="42"/>
      <c r="AZ3047" s="320"/>
      <c r="BD3047" s="401"/>
      <c r="BE3047" s="42"/>
    </row>
    <row r="3048" spans="48:57" x14ac:dyDescent="0.2">
      <c r="AV3048" s="401"/>
      <c r="AW3048" s="412"/>
      <c r="AX3048" s="230"/>
      <c r="AY3048" s="42"/>
      <c r="AZ3048" s="320"/>
      <c r="BD3048" s="401"/>
      <c r="BE3048" s="42"/>
    </row>
    <row r="3049" spans="48:57" x14ac:dyDescent="0.2">
      <c r="AV3049" s="401"/>
      <c r="AW3049" s="412"/>
      <c r="AX3049" s="230"/>
      <c r="AY3049" s="42"/>
      <c r="AZ3049" s="320"/>
      <c r="BD3049" s="401"/>
      <c r="BE3049" s="42"/>
    </row>
    <row r="3050" spans="48:57" x14ac:dyDescent="0.2">
      <c r="AV3050" s="401"/>
      <c r="AW3050" s="412"/>
      <c r="AX3050" s="230"/>
      <c r="AY3050" s="42"/>
      <c r="AZ3050" s="320"/>
      <c r="BD3050" s="401"/>
      <c r="BE3050" s="42"/>
    </row>
    <row r="3051" spans="48:57" x14ac:dyDescent="0.2">
      <c r="AV3051" s="401"/>
      <c r="AW3051" s="412"/>
      <c r="AX3051" s="230"/>
      <c r="AY3051" s="42"/>
      <c r="AZ3051" s="320"/>
      <c r="BD3051" s="401"/>
      <c r="BE3051" s="42"/>
    </row>
    <row r="3052" spans="48:57" x14ac:dyDescent="0.2">
      <c r="AV3052" s="401"/>
      <c r="AW3052" s="412"/>
      <c r="AX3052" s="230"/>
      <c r="AY3052" s="42"/>
      <c r="AZ3052" s="320"/>
      <c r="BD3052" s="401"/>
      <c r="BE3052" s="42"/>
    </row>
    <row r="3053" spans="48:57" x14ac:dyDescent="0.2">
      <c r="AV3053" s="401"/>
      <c r="AW3053" s="412"/>
      <c r="AX3053" s="230"/>
      <c r="AY3053" s="42"/>
      <c r="AZ3053" s="320"/>
      <c r="BD3053" s="401"/>
      <c r="BE3053" s="42"/>
    </row>
    <row r="3054" spans="48:57" x14ac:dyDescent="0.2">
      <c r="AV3054" s="401"/>
      <c r="AW3054" s="412"/>
      <c r="AX3054" s="230"/>
      <c r="AY3054" s="42"/>
      <c r="AZ3054" s="320"/>
      <c r="BD3054" s="401"/>
      <c r="BE3054" s="42"/>
    </row>
    <row r="3055" spans="48:57" x14ac:dyDescent="0.2">
      <c r="AV3055" s="401"/>
      <c r="AW3055" s="412"/>
      <c r="AX3055" s="230"/>
      <c r="AY3055" s="42"/>
      <c r="AZ3055" s="320"/>
      <c r="BD3055" s="401"/>
      <c r="BE3055" s="42"/>
    </row>
    <row r="3056" spans="48:57" x14ac:dyDescent="0.2">
      <c r="AV3056" s="401"/>
      <c r="AW3056" s="412"/>
      <c r="AX3056" s="230"/>
      <c r="AY3056" s="42"/>
      <c r="AZ3056" s="320"/>
      <c r="BD3056" s="401"/>
      <c r="BE3056" s="42"/>
    </row>
    <row r="3057" spans="48:57" x14ac:dyDescent="0.2">
      <c r="AV3057" s="401"/>
      <c r="AW3057" s="412"/>
      <c r="AX3057" s="230"/>
      <c r="AY3057" s="42"/>
      <c r="AZ3057" s="320"/>
      <c r="BD3057" s="401"/>
      <c r="BE3057" s="42"/>
    </row>
    <row r="3058" spans="48:57" x14ac:dyDescent="0.2">
      <c r="AV3058" s="401"/>
      <c r="AW3058" s="412"/>
      <c r="AX3058" s="230"/>
      <c r="AY3058" s="42"/>
      <c r="AZ3058" s="320"/>
      <c r="BD3058" s="401"/>
      <c r="BE3058" s="42"/>
    </row>
    <row r="3059" spans="48:57" x14ac:dyDescent="0.2">
      <c r="AV3059" s="401"/>
      <c r="AW3059" s="412"/>
      <c r="AX3059" s="230"/>
      <c r="AY3059" s="42"/>
      <c r="AZ3059" s="320"/>
      <c r="BD3059" s="401"/>
      <c r="BE3059" s="42"/>
    </row>
    <row r="3060" spans="48:57" x14ac:dyDescent="0.2">
      <c r="AV3060" s="401"/>
      <c r="AW3060" s="412"/>
      <c r="AX3060" s="230"/>
      <c r="AY3060" s="42"/>
      <c r="AZ3060" s="320"/>
      <c r="BD3060" s="401"/>
      <c r="BE3060" s="42"/>
    </row>
    <row r="3061" spans="48:57" x14ac:dyDescent="0.2">
      <c r="AV3061" s="401"/>
      <c r="AW3061" s="412"/>
      <c r="AX3061" s="230"/>
      <c r="AY3061" s="42"/>
      <c r="AZ3061" s="320"/>
      <c r="BD3061" s="401"/>
      <c r="BE3061" s="42"/>
    </row>
    <row r="3062" spans="48:57" x14ac:dyDescent="0.2">
      <c r="AV3062" s="401"/>
      <c r="AW3062" s="412"/>
      <c r="AX3062" s="230"/>
      <c r="AY3062" s="42"/>
      <c r="AZ3062" s="320"/>
      <c r="BD3062" s="401"/>
      <c r="BE3062" s="42"/>
    </row>
    <row r="3063" spans="48:57" x14ac:dyDescent="0.2">
      <c r="AV3063" s="401"/>
      <c r="AW3063" s="412"/>
      <c r="AX3063" s="230"/>
      <c r="AY3063" s="42"/>
      <c r="AZ3063" s="320"/>
      <c r="BD3063" s="401"/>
      <c r="BE3063" s="42"/>
    </row>
    <row r="3064" spans="48:57" x14ac:dyDescent="0.2">
      <c r="AV3064" s="401"/>
      <c r="AW3064" s="412"/>
      <c r="AX3064" s="230"/>
      <c r="AY3064" s="42"/>
      <c r="AZ3064" s="320"/>
      <c r="BD3064" s="401"/>
      <c r="BE3064" s="42"/>
    </row>
    <row r="3065" spans="48:57" x14ac:dyDescent="0.2">
      <c r="AV3065" s="401"/>
      <c r="AW3065" s="412"/>
      <c r="AX3065" s="230"/>
      <c r="AY3065" s="42"/>
      <c r="AZ3065" s="320"/>
      <c r="BD3065" s="401"/>
      <c r="BE3065" s="42"/>
    </row>
    <row r="3066" spans="48:57" x14ac:dyDescent="0.2">
      <c r="AV3066" s="401"/>
      <c r="AW3066" s="412"/>
      <c r="AX3066" s="230"/>
      <c r="AY3066" s="42"/>
      <c r="AZ3066" s="320"/>
      <c r="BD3066" s="401"/>
      <c r="BE3066" s="42"/>
    </row>
    <row r="3067" spans="48:57" x14ac:dyDescent="0.2">
      <c r="AV3067" s="401"/>
      <c r="AW3067" s="412"/>
      <c r="AX3067" s="230"/>
      <c r="AY3067" s="42"/>
      <c r="AZ3067" s="320"/>
      <c r="BD3067" s="401"/>
      <c r="BE3067" s="42"/>
    </row>
    <row r="3068" spans="48:57" x14ac:dyDescent="0.2">
      <c r="AV3068" s="401"/>
      <c r="AW3068" s="412"/>
      <c r="AX3068" s="230"/>
      <c r="AY3068" s="42"/>
      <c r="AZ3068" s="320"/>
      <c r="BD3068" s="401"/>
      <c r="BE3068" s="42"/>
    </row>
    <row r="3069" spans="48:57" x14ac:dyDescent="0.2">
      <c r="AV3069" s="401"/>
      <c r="AW3069" s="412"/>
      <c r="AX3069" s="230"/>
      <c r="AY3069" s="42"/>
      <c r="AZ3069" s="320"/>
      <c r="BD3069" s="401"/>
      <c r="BE3069" s="42"/>
    </row>
    <row r="3070" spans="48:57" x14ac:dyDescent="0.2">
      <c r="AV3070" s="401"/>
      <c r="AW3070" s="412"/>
      <c r="AX3070" s="230"/>
      <c r="AY3070" s="42"/>
      <c r="AZ3070" s="320"/>
      <c r="BD3070" s="401"/>
      <c r="BE3070" s="42"/>
    </row>
    <row r="3071" spans="48:57" x14ac:dyDescent="0.2">
      <c r="AV3071" s="401"/>
      <c r="AW3071" s="412"/>
      <c r="AX3071" s="230"/>
      <c r="AY3071" s="42"/>
      <c r="AZ3071" s="320"/>
      <c r="BD3071" s="401"/>
      <c r="BE3071" s="42"/>
    </row>
    <row r="3072" spans="48:57" x14ac:dyDescent="0.2">
      <c r="AV3072" s="401"/>
      <c r="AW3072" s="412"/>
      <c r="AX3072" s="230"/>
      <c r="AY3072" s="42"/>
      <c r="AZ3072" s="320"/>
      <c r="BD3072" s="401"/>
      <c r="BE3072" s="42"/>
    </row>
    <row r="3073" spans="48:57" x14ac:dyDescent="0.2">
      <c r="AV3073" s="401"/>
      <c r="AW3073" s="412"/>
      <c r="AX3073" s="230"/>
      <c r="AY3073" s="42"/>
      <c r="AZ3073" s="320"/>
      <c r="BD3073" s="401"/>
      <c r="BE3073" s="42"/>
    </row>
    <row r="3074" spans="48:57" x14ac:dyDescent="0.2">
      <c r="AV3074" s="401"/>
      <c r="AW3074" s="412"/>
      <c r="AX3074" s="230"/>
      <c r="AY3074" s="42"/>
      <c r="AZ3074" s="320"/>
      <c r="BD3074" s="401"/>
      <c r="BE3074" s="42"/>
    </row>
    <row r="3075" spans="48:57" x14ac:dyDescent="0.2">
      <c r="AV3075" s="401"/>
      <c r="AW3075" s="412"/>
      <c r="AX3075" s="230"/>
      <c r="AY3075" s="42"/>
      <c r="AZ3075" s="320"/>
      <c r="BD3075" s="401"/>
      <c r="BE3075" s="42"/>
    </row>
    <row r="3076" spans="48:57" x14ac:dyDescent="0.2">
      <c r="AV3076" s="401"/>
      <c r="AW3076" s="412"/>
      <c r="AX3076" s="230"/>
      <c r="AY3076" s="42"/>
      <c r="AZ3076" s="320"/>
      <c r="BD3076" s="401"/>
      <c r="BE3076" s="42"/>
    </row>
    <row r="3077" spans="48:57" x14ac:dyDescent="0.2">
      <c r="AV3077" s="401"/>
      <c r="AW3077" s="412"/>
      <c r="AX3077" s="230"/>
      <c r="AY3077" s="42"/>
      <c r="AZ3077" s="320"/>
      <c r="BD3077" s="401"/>
      <c r="BE3077" s="42"/>
    </row>
    <row r="3078" spans="48:57" x14ac:dyDescent="0.2">
      <c r="AV3078" s="401"/>
      <c r="AW3078" s="412"/>
      <c r="AX3078" s="230"/>
      <c r="AY3078" s="42"/>
      <c r="AZ3078" s="320"/>
      <c r="BD3078" s="401"/>
      <c r="BE3078" s="42"/>
    </row>
    <row r="3079" spans="48:57" x14ac:dyDescent="0.2">
      <c r="AV3079" s="401"/>
      <c r="AW3079" s="412"/>
      <c r="AX3079" s="230"/>
      <c r="AY3079" s="42"/>
      <c r="AZ3079" s="320"/>
      <c r="BD3079" s="401"/>
      <c r="BE3079" s="42"/>
    </row>
    <row r="3080" spans="48:57" x14ac:dyDescent="0.2">
      <c r="AV3080" s="401"/>
      <c r="AW3080" s="412"/>
      <c r="AX3080" s="230"/>
      <c r="AY3080" s="42"/>
      <c r="AZ3080" s="320"/>
      <c r="BD3080" s="401"/>
      <c r="BE3080" s="42"/>
    </row>
    <row r="3081" spans="48:57" x14ac:dyDescent="0.2">
      <c r="AV3081" s="401"/>
      <c r="AW3081" s="412"/>
      <c r="AX3081" s="230"/>
      <c r="AY3081" s="42"/>
      <c r="AZ3081" s="320"/>
      <c r="BD3081" s="401"/>
      <c r="BE3081" s="42"/>
    </row>
    <row r="3082" spans="48:57" x14ac:dyDescent="0.2">
      <c r="AV3082" s="401"/>
      <c r="AW3082" s="412"/>
      <c r="AX3082" s="230"/>
      <c r="AY3082" s="42"/>
      <c r="AZ3082" s="320"/>
      <c r="BD3082" s="401"/>
      <c r="BE3082" s="42"/>
    </row>
    <row r="3083" spans="48:57" x14ac:dyDescent="0.2">
      <c r="AV3083" s="401"/>
      <c r="AW3083" s="412"/>
      <c r="AX3083" s="230"/>
      <c r="AY3083" s="42"/>
      <c r="AZ3083" s="320"/>
      <c r="BD3083" s="401"/>
      <c r="BE3083" s="42"/>
    </row>
    <row r="3084" spans="48:57" x14ac:dyDescent="0.2">
      <c r="AV3084" s="401"/>
      <c r="AW3084" s="412"/>
      <c r="AX3084" s="230"/>
      <c r="AY3084" s="42"/>
      <c r="AZ3084" s="320"/>
      <c r="BD3084" s="401"/>
      <c r="BE3084" s="42"/>
    </row>
    <row r="3085" spans="48:57" x14ac:dyDescent="0.2">
      <c r="AV3085" s="401"/>
      <c r="AW3085" s="412"/>
      <c r="AX3085" s="230"/>
      <c r="AY3085" s="42"/>
      <c r="AZ3085" s="320"/>
      <c r="BD3085" s="401"/>
      <c r="BE3085" s="42"/>
    </row>
    <row r="3086" spans="48:57" x14ac:dyDescent="0.2">
      <c r="AV3086" s="401"/>
      <c r="AW3086" s="412"/>
      <c r="AX3086" s="230"/>
      <c r="AY3086" s="42"/>
      <c r="AZ3086" s="320"/>
      <c r="BD3086" s="401"/>
      <c r="BE3086" s="42"/>
    </row>
    <row r="3087" spans="48:57" x14ac:dyDescent="0.2">
      <c r="AV3087" s="401"/>
      <c r="AW3087" s="412"/>
      <c r="AX3087" s="230"/>
      <c r="AY3087" s="42"/>
      <c r="AZ3087" s="320"/>
      <c r="BD3087" s="401"/>
      <c r="BE3087" s="42"/>
    </row>
    <row r="3088" spans="48:57" x14ac:dyDescent="0.2">
      <c r="AV3088" s="401"/>
      <c r="AW3088" s="412"/>
      <c r="AX3088" s="230"/>
      <c r="AY3088" s="42"/>
      <c r="AZ3088" s="320"/>
      <c r="BD3088" s="401"/>
      <c r="BE3088" s="42"/>
    </row>
    <row r="3089" spans="48:57" x14ac:dyDescent="0.2">
      <c r="AV3089" s="401"/>
      <c r="AW3089" s="412"/>
      <c r="AX3089" s="230"/>
      <c r="AY3089" s="42"/>
      <c r="AZ3089" s="320"/>
      <c r="BD3089" s="401"/>
      <c r="BE3089" s="42"/>
    </row>
    <row r="3090" spans="48:57" x14ac:dyDescent="0.2">
      <c r="AV3090" s="401"/>
      <c r="AW3090" s="412"/>
      <c r="AX3090" s="230"/>
      <c r="AY3090" s="42"/>
      <c r="AZ3090" s="320"/>
      <c r="BD3090" s="401"/>
      <c r="BE3090" s="42"/>
    </row>
    <row r="3091" spans="48:57" x14ac:dyDescent="0.2">
      <c r="AV3091" s="401"/>
      <c r="AW3091" s="412"/>
      <c r="AX3091" s="230"/>
      <c r="AY3091" s="42"/>
      <c r="AZ3091" s="320"/>
      <c r="BD3091" s="401"/>
      <c r="BE3091" s="42"/>
    </row>
    <row r="3092" spans="48:57" x14ac:dyDescent="0.2">
      <c r="AV3092" s="401"/>
      <c r="AW3092" s="412"/>
      <c r="AX3092" s="230"/>
      <c r="AY3092" s="42"/>
      <c r="AZ3092" s="320"/>
      <c r="BD3092" s="401"/>
      <c r="BE3092" s="42"/>
    </row>
    <row r="3093" spans="48:57" x14ac:dyDescent="0.2">
      <c r="AV3093" s="401"/>
      <c r="AW3093" s="412"/>
      <c r="AX3093" s="230"/>
      <c r="AY3093" s="42"/>
      <c r="AZ3093" s="320"/>
      <c r="BD3093" s="401"/>
      <c r="BE3093" s="42"/>
    </row>
    <row r="3094" spans="48:57" x14ac:dyDescent="0.2">
      <c r="AV3094" s="401"/>
      <c r="AW3094" s="412"/>
      <c r="AX3094" s="230"/>
      <c r="AY3094" s="42"/>
      <c r="AZ3094" s="320"/>
      <c r="BD3094" s="401"/>
      <c r="BE3094" s="42"/>
    </row>
    <row r="3095" spans="48:57" x14ac:dyDescent="0.2">
      <c r="AV3095" s="401"/>
      <c r="AW3095" s="412"/>
      <c r="AX3095" s="230"/>
      <c r="AY3095" s="42"/>
      <c r="AZ3095" s="320"/>
      <c r="BD3095" s="401"/>
      <c r="BE3095" s="42"/>
    </row>
    <row r="3096" spans="48:57" x14ac:dyDescent="0.2">
      <c r="AV3096" s="401"/>
      <c r="AW3096" s="412"/>
      <c r="AX3096" s="230"/>
      <c r="AY3096" s="42"/>
      <c r="AZ3096" s="320"/>
      <c r="BD3096" s="401"/>
      <c r="BE3096" s="42"/>
    </row>
    <row r="3097" spans="48:57" x14ac:dyDescent="0.2">
      <c r="AV3097" s="401"/>
      <c r="AW3097" s="412"/>
      <c r="AX3097" s="230"/>
      <c r="AY3097" s="42"/>
      <c r="AZ3097" s="320"/>
      <c r="BD3097" s="401"/>
      <c r="BE3097" s="42"/>
    </row>
    <row r="3098" spans="48:57" x14ac:dyDescent="0.2">
      <c r="AV3098" s="401"/>
      <c r="AW3098" s="412"/>
      <c r="AX3098" s="230"/>
      <c r="AY3098" s="42"/>
      <c r="AZ3098" s="320"/>
      <c r="BD3098" s="401"/>
      <c r="BE3098" s="42"/>
    </row>
    <row r="3099" spans="48:57" x14ac:dyDescent="0.2">
      <c r="AV3099" s="401"/>
      <c r="AW3099" s="412"/>
      <c r="AX3099" s="230"/>
      <c r="AY3099" s="42"/>
      <c r="AZ3099" s="320"/>
      <c r="BD3099" s="401"/>
      <c r="BE3099" s="42"/>
    </row>
    <row r="3100" spans="48:57" x14ac:dyDescent="0.2">
      <c r="AV3100" s="401"/>
      <c r="AW3100" s="412"/>
      <c r="AX3100" s="230"/>
      <c r="AY3100" s="42"/>
      <c r="AZ3100" s="320"/>
      <c r="BD3100" s="401"/>
      <c r="BE3100" s="42"/>
    </row>
    <row r="3101" spans="48:57" x14ac:dyDescent="0.2">
      <c r="AV3101" s="401"/>
      <c r="AW3101" s="412"/>
      <c r="AX3101" s="230"/>
      <c r="AY3101" s="42"/>
      <c r="AZ3101" s="320"/>
      <c r="BD3101" s="401"/>
      <c r="BE3101" s="42"/>
    </row>
    <row r="3102" spans="48:57" x14ac:dyDescent="0.2">
      <c r="AV3102" s="401"/>
      <c r="AW3102" s="412"/>
      <c r="AX3102" s="230"/>
      <c r="AY3102" s="42"/>
      <c r="AZ3102" s="320"/>
      <c r="BD3102" s="401"/>
      <c r="BE3102" s="42"/>
    </row>
    <row r="3103" spans="48:57" x14ac:dyDescent="0.2">
      <c r="AV3103" s="401"/>
      <c r="AW3103" s="412"/>
      <c r="AX3103" s="230"/>
      <c r="AY3103" s="42"/>
      <c r="AZ3103" s="320"/>
      <c r="BD3103" s="401"/>
      <c r="BE3103" s="42"/>
    </row>
    <row r="3104" spans="48:57" x14ac:dyDescent="0.2">
      <c r="AV3104" s="401"/>
      <c r="AW3104" s="412"/>
      <c r="AX3104" s="230"/>
      <c r="AY3104" s="42"/>
      <c r="AZ3104" s="320"/>
      <c r="BD3104" s="401"/>
      <c r="BE3104" s="42"/>
    </row>
    <row r="3105" spans="48:57" x14ac:dyDescent="0.2">
      <c r="AV3105" s="401"/>
      <c r="AW3105" s="412"/>
      <c r="AX3105" s="230"/>
      <c r="AY3105" s="42"/>
      <c r="AZ3105" s="320"/>
      <c r="BD3105" s="401"/>
      <c r="BE3105" s="42"/>
    </row>
    <row r="3106" spans="48:57" x14ac:dyDescent="0.2">
      <c r="AV3106" s="401"/>
      <c r="AW3106" s="412"/>
      <c r="AX3106" s="230"/>
      <c r="AY3106" s="42"/>
      <c r="AZ3106" s="320"/>
      <c r="BD3106" s="401"/>
      <c r="BE3106" s="42"/>
    </row>
    <row r="3107" spans="48:57" x14ac:dyDescent="0.2">
      <c r="AV3107" s="401"/>
      <c r="AW3107" s="412"/>
      <c r="AX3107" s="230"/>
      <c r="AY3107" s="42"/>
      <c r="AZ3107" s="320"/>
      <c r="BD3107" s="401"/>
      <c r="BE3107" s="42"/>
    </row>
    <row r="3108" spans="48:57" x14ac:dyDescent="0.2">
      <c r="AV3108" s="401"/>
      <c r="AW3108" s="412"/>
      <c r="AX3108" s="230"/>
      <c r="AY3108" s="42"/>
      <c r="AZ3108" s="320"/>
      <c r="BD3108" s="401"/>
      <c r="BE3108" s="42"/>
    </row>
    <row r="3109" spans="48:57" x14ac:dyDescent="0.2">
      <c r="AV3109" s="401"/>
      <c r="AW3109" s="412"/>
      <c r="AX3109" s="230"/>
      <c r="AY3109" s="42"/>
      <c r="AZ3109" s="320"/>
      <c r="BD3109" s="401"/>
      <c r="BE3109" s="42"/>
    </row>
    <row r="3110" spans="48:57" x14ac:dyDescent="0.2">
      <c r="AV3110" s="401"/>
      <c r="AW3110" s="412"/>
      <c r="AX3110" s="230"/>
      <c r="AY3110" s="42"/>
      <c r="AZ3110" s="320"/>
      <c r="BD3110" s="401"/>
      <c r="BE3110" s="42"/>
    </row>
    <row r="3111" spans="48:57" x14ac:dyDescent="0.2">
      <c r="AV3111" s="401"/>
      <c r="AW3111" s="412"/>
      <c r="AX3111" s="230"/>
      <c r="AY3111" s="42"/>
      <c r="AZ3111" s="320"/>
      <c r="BD3111" s="401"/>
      <c r="BE3111" s="42"/>
    </row>
    <row r="3112" spans="48:57" x14ac:dyDescent="0.2">
      <c r="AV3112" s="401"/>
      <c r="AW3112" s="412"/>
      <c r="AX3112" s="230"/>
      <c r="AY3112" s="42"/>
      <c r="AZ3112" s="320"/>
      <c r="BD3112" s="401"/>
      <c r="BE3112" s="42"/>
    </row>
    <row r="3113" spans="48:57" x14ac:dyDescent="0.2">
      <c r="AV3113" s="401"/>
      <c r="AW3113" s="412"/>
      <c r="AX3113" s="230"/>
      <c r="AY3113" s="42"/>
      <c r="AZ3113" s="320"/>
      <c r="BD3113" s="401"/>
      <c r="BE3113" s="42"/>
    </row>
    <row r="3114" spans="48:57" x14ac:dyDescent="0.2">
      <c r="AV3114" s="401"/>
      <c r="AW3114" s="412"/>
      <c r="AX3114" s="230"/>
      <c r="AY3114" s="42"/>
      <c r="AZ3114" s="320"/>
      <c r="BD3114" s="401"/>
      <c r="BE3114" s="42"/>
    </row>
    <row r="3115" spans="48:57" x14ac:dyDescent="0.2">
      <c r="AV3115" s="401"/>
      <c r="AW3115" s="412"/>
      <c r="AX3115" s="230"/>
      <c r="AY3115" s="42"/>
      <c r="AZ3115" s="320"/>
      <c r="BD3115" s="401"/>
      <c r="BE3115" s="42"/>
    </row>
    <row r="3116" spans="48:57" x14ac:dyDescent="0.2">
      <c r="AV3116" s="401"/>
      <c r="AW3116" s="412"/>
      <c r="AX3116" s="230"/>
      <c r="AY3116" s="42"/>
      <c r="AZ3116" s="320"/>
      <c r="BD3116" s="401"/>
      <c r="BE3116" s="42"/>
    </row>
    <row r="3117" spans="48:57" x14ac:dyDescent="0.2">
      <c r="AV3117" s="401"/>
      <c r="AW3117" s="412"/>
      <c r="AX3117" s="230"/>
      <c r="AY3117" s="42"/>
      <c r="AZ3117" s="320"/>
      <c r="BD3117" s="401"/>
      <c r="BE3117" s="42"/>
    </row>
    <row r="3118" spans="48:57" x14ac:dyDescent="0.2">
      <c r="AV3118" s="401"/>
      <c r="AW3118" s="412"/>
      <c r="AX3118" s="230"/>
      <c r="AY3118" s="42"/>
      <c r="AZ3118" s="320"/>
      <c r="BD3118" s="401"/>
      <c r="BE3118" s="42"/>
    </row>
    <row r="3119" spans="48:57" x14ac:dyDescent="0.2">
      <c r="AV3119" s="401"/>
      <c r="AW3119" s="412"/>
      <c r="AX3119" s="230"/>
      <c r="AY3119" s="42"/>
      <c r="AZ3119" s="320"/>
      <c r="BD3119" s="401"/>
      <c r="BE3119" s="42"/>
    </row>
    <row r="3120" spans="48:57" x14ac:dyDescent="0.2">
      <c r="AV3120" s="401"/>
      <c r="AW3120" s="412"/>
      <c r="AX3120" s="230"/>
      <c r="AY3120" s="42"/>
      <c r="AZ3120" s="320"/>
      <c r="BD3120" s="401"/>
      <c r="BE3120" s="42"/>
    </row>
    <row r="3121" spans="48:57" x14ac:dyDescent="0.2">
      <c r="AV3121" s="401"/>
      <c r="AW3121" s="412"/>
      <c r="AX3121" s="230"/>
      <c r="AY3121" s="42"/>
      <c r="AZ3121" s="320"/>
      <c r="BD3121" s="401"/>
      <c r="BE3121" s="42"/>
    </row>
    <row r="3122" spans="48:57" x14ac:dyDescent="0.2">
      <c r="AV3122" s="401"/>
      <c r="AW3122" s="412"/>
      <c r="AX3122" s="230"/>
      <c r="AY3122" s="42"/>
      <c r="AZ3122" s="320"/>
      <c r="BD3122" s="401"/>
      <c r="BE3122" s="42"/>
    </row>
    <row r="3123" spans="48:57" x14ac:dyDescent="0.2">
      <c r="AV3123" s="401"/>
      <c r="AW3123" s="412"/>
      <c r="AX3123" s="230"/>
      <c r="AY3123" s="42"/>
      <c r="AZ3123" s="320"/>
      <c r="BD3123" s="401"/>
      <c r="BE3123" s="42"/>
    </row>
    <row r="3124" spans="48:57" x14ac:dyDescent="0.2">
      <c r="AV3124" s="401"/>
      <c r="AW3124" s="412"/>
      <c r="AX3124" s="230"/>
      <c r="AY3124" s="42"/>
      <c r="AZ3124" s="320"/>
      <c r="BD3124" s="401"/>
      <c r="BE3124" s="42"/>
    </row>
    <row r="3125" spans="48:57" x14ac:dyDescent="0.2">
      <c r="AV3125" s="401"/>
      <c r="AW3125" s="412"/>
      <c r="AX3125" s="230"/>
      <c r="AY3125" s="42"/>
      <c r="AZ3125" s="320"/>
      <c r="BD3125" s="401"/>
      <c r="BE3125" s="42"/>
    </row>
    <row r="3126" spans="48:57" x14ac:dyDescent="0.2">
      <c r="AV3126" s="401"/>
      <c r="AW3126" s="412"/>
      <c r="AX3126" s="230"/>
      <c r="AY3126" s="42"/>
      <c r="AZ3126" s="320"/>
      <c r="BD3126" s="401"/>
      <c r="BE3126" s="42"/>
    </row>
    <row r="3127" spans="48:57" x14ac:dyDescent="0.2">
      <c r="AV3127" s="401"/>
      <c r="AW3127" s="412"/>
      <c r="AX3127" s="230"/>
      <c r="AY3127" s="42"/>
      <c r="AZ3127" s="320"/>
      <c r="BD3127" s="401"/>
      <c r="BE3127" s="42"/>
    </row>
    <row r="3128" spans="48:57" x14ac:dyDescent="0.2">
      <c r="AV3128" s="401"/>
      <c r="AW3128" s="412"/>
      <c r="AX3128" s="230"/>
      <c r="AY3128" s="42"/>
      <c r="AZ3128" s="320"/>
      <c r="BD3128" s="401"/>
      <c r="BE3128" s="42"/>
    </row>
    <row r="3129" spans="48:57" x14ac:dyDescent="0.2">
      <c r="AV3129" s="401"/>
      <c r="AW3129" s="412"/>
      <c r="AX3129" s="230"/>
      <c r="AY3129" s="42"/>
      <c r="AZ3129" s="320"/>
      <c r="BD3129" s="401"/>
      <c r="BE3129" s="42"/>
    </row>
    <row r="3130" spans="48:57" x14ac:dyDescent="0.2">
      <c r="AV3130" s="401"/>
      <c r="AW3130" s="412"/>
      <c r="AX3130" s="230"/>
      <c r="AY3130" s="42"/>
      <c r="AZ3130" s="320"/>
      <c r="BD3130" s="401"/>
      <c r="BE3130" s="42"/>
    </row>
    <row r="3131" spans="48:57" x14ac:dyDescent="0.2">
      <c r="AV3131" s="401"/>
      <c r="AW3131" s="412"/>
      <c r="AX3131" s="230"/>
      <c r="AY3131" s="42"/>
      <c r="AZ3131" s="320"/>
      <c r="BD3131" s="401"/>
      <c r="BE3131" s="42"/>
    </row>
    <row r="3132" spans="48:57" x14ac:dyDescent="0.2">
      <c r="AV3132" s="401"/>
      <c r="AW3132" s="412"/>
      <c r="AX3132" s="230"/>
      <c r="AY3132" s="42"/>
      <c r="AZ3132" s="320"/>
      <c r="BD3132" s="401"/>
      <c r="BE3132" s="42"/>
    </row>
    <row r="3133" spans="48:57" x14ac:dyDescent="0.2">
      <c r="AV3133" s="401"/>
      <c r="AW3133" s="412"/>
      <c r="AX3133" s="230"/>
      <c r="AY3133" s="42"/>
      <c r="AZ3133" s="320"/>
      <c r="BD3133" s="401"/>
      <c r="BE3133" s="42"/>
    </row>
    <row r="3134" spans="48:57" x14ac:dyDescent="0.2">
      <c r="AV3134" s="401"/>
      <c r="AW3134" s="412"/>
      <c r="AX3134" s="230"/>
      <c r="AY3134" s="42"/>
      <c r="AZ3134" s="320"/>
      <c r="BD3134" s="401"/>
      <c r="BE3134" s="42"/>
    </row>
    <row r="3135" spans="48:57" x14ac:dyDescent="0.2">
      <c r="AV3135" s="401"/>
      <c r="AW3135" s="412"/>
      <c r="AX3135" s="230"/>
      <c r="AY3135" s="42"/>
      <c r="AZ3135" s="320"/>
      <c r="BD3135" s="401"/>
      <c r="BE3135" s="42"/>
    </row>
    <row r="3136" spans="48:57" x14ac:dyDescent="0.2">
      <c r="AV3136" s="401"/>
      <c r="AW3136" s="412"/>
      <c r="AX3136" s="230"/>
      <c r="AY3136" s="42"/>
      <c r="AZ3136" s="320"/>
      <c r="BD3136" s="401"/>
      <c r="BE3136" s="42"/>
    </row>
    <row r="3137" spans="48:57" x14ac:dyDescent="0.2">
      <c r="AV3137" s="401"/>
      <c r="AW3137" s="412"/>
      <c r="AX3137" s="230"/>
      <c r="AY3137" s="42"/>
      <c r="AZ3137" s="320"/>
      <c r="BD3137" s="401"/>
      <c r="BE3137" s="42"/>
    </row>
    <row r="3138" spans="48:57" x14ac:dyDescent="0.2">
      <c r="AV3138" s="401"/>
      <c r="AW3138" s="412"/>
      <c r="AX3138" s="230"/>
      <c r="AY3138" s="42"/>
      <c r="AZ3138" s="320"/>
      <c r="BD3138" s="401"/>
      <c r="BE3138" s="42"/>
    </row>
    <row r="3139" spans="48:57" x14ac:dyDescent="0.2">
      <c r="AV3139" s="401"/>
      <c r="AW3139" s="412"/>
      <c r="AX3139" s="230"/>
      <c r="AY3139" s="42"/>
      <c r="AZ3139" s="320"/>
      <c r="BD3139" s="401"/>
      <c r="BE3139" s="42"/>
    </row>
    <row r="3140" spans="48:57" x14ac:dyDescent="0.2">
      <c r="AV3140" s="401"/>
      <c r="AW3140" s="412"/>
      <c r="AX3140" s="230"/>
      <c r="AY3140" s="42"/>
      <c r="AZ3140" s="320"/>
      <c r="BD3140" s="401"/>
      <c r="BE3140" s="42"/>
    </row>
    <row r="3141" spans="48:57" x14ac:dyDescent="0.2">
      <c r="AV3141" s="401"/>
      <c r="AW3141" s="412"/>
      <c r="AX3141" s="230"/>
      <c r="AY3141" s="42"/>
      <c r="AZ3141" s="320"/>
      <c r="BD3141" s="401"/>
      <c r="BE3141" s="42"/>
    </row>
    <row r="3142" spans="48:57" x14ac:dyDescent="0.2">
      <c r="AV3142" s="401"/>
      <c r="AW3142" s="412"/>
      <c r="AX3142" s="230"/>
      <c r="AY3142" s="42"/>
      <c r="AZ3142" s="320"/>
      <c r="BD3142" s="401"/>
      <c r="BE3142" s="42"/>
    </row>
    <row r="3143" spans="48:57" x14ac:dyDescent="0.2">
      <c r="AV3143" s="401"/>
      <c r="AW3143" s="412"/>
      <c r="AX3143" s="230"/>
      <c r="AY3143" s="42"/>
      <c r="AZ3143" s="320"/>
      <c r="BD3143" s="401"/>
      <c r="BE3143" s="42"/>
    </row>
    <row r="3144" spans="48:57" x14ac:dyDescent="0.2">
      <c r="AV3144" s="401"/>
      <c r="AW3144" s="412"/>
      <c r="AX3144" s="230"/>
      <c r="AY3144" s="42"/>
      <c r="AZ3144" s="320"/>
      <c r="BD3144" s="401"/>
      <c r="BE3144" s="42"/>
    </row>
    <row r="3145" spans="48:57" x14ac:dyDescent="0.2">
      <c r="AV3145" s="401"/>
      <c r="AW3145" s="412"/>
      <c r="AX3145" s="230"/>
      <c r="AY3145" s="42"/>
      <c r="AZ3145" s="320"/>
      <c r="BD3145" s="401"/>
      <c r="BE3145" s="42"/>
    </row>
    <row r="3146" spans="48:57" x14ac:dyDescent="0.2">
      <c r="AV3146" s="401"/>
      <c r="AW3146" s="412"/>
      <c r="AX3146" s="230"/>
      <c r="AY3146" s="42"/>
      <c r="AZ3146" s="320"/>
      <c r="BD3146" s="401"/>
      <c r="BE3146" s="42"/>
    </row>
    <row r="3147" spans="48:57" x14ac:dyDescent="0.2">
      <c r="AV3147" s="401"/>
      <c r="AW3147" s="412"/>
      <c r="AX3147" s="230"/>
      <c r="AY3147" s="42"/>
      <c r="AZ3147" s="320"/>
      <c r="BD3147" s="401"/>
      <c r="BE3147" s="42"/>
    </row>
    <row r="3148" spans="48:57" x14ac:dyDescent="0.2">
      <c r="AV3148" s="401"/>
      <c r="AW3148" s="412"/>
      <c r="AX3148" s="230"/>
      <c r="AY3148" s="42"/>
      <c r="AZ3148" s="320"/>
      <c r="BD3148" s="401"/>
      <c r="BE3148" s="42"/>
    </row>
    <row r="3149" spans="48:57" x14ac:dyDescent="0.2">
      <c r="AV3149" s="401"/>
      <c r="AW3149" s="412"/>
      <c r="AX3149" s="230"/>
      <c r="AY3149" s="42"/>
      <c r="AZ3149" s="320"/>
      <c r="BD3149" s="401"/>
      <c r="BE3149" s="42"/>
    </row>
    <row r="3150" spans="48:57" x14ac:dyDescent="0.2">
      <c r="AV3150" s="401"/>
      <c r="AW3150" s="412"/>
      <c r="AX3150" s="230"/>
      <c r="AY3150" s="42"/>
      <c r="AZ3150" s="320"/>
      <c r="BD3150" s="401"/>
      <c r="BE3150" s="42"/>
    </row>
    <row r="3151" spans="48:57" x14ac:dyDescent="0.2">
      <c r="AV3151" s="401"/>
      <c r="AW3151" s="412"/>
      <c r="AX3151" s="230"/>
      <c r="AY3151" s="42"/>
      <c r="AZ3151" s="320"/>
      <c r="BD3151" s="401"/>
      <c r="BE3151" s="42"/>
    </row>
    <row r="3152" spans="48:57" x14ac:dyDescent="0.2">
      <c r="AV3152" s="401"/>
      <c r="AW3152" s="412"/>
      <c r="AX3152" s="230"/>
      <c r="AY3152" s="42"/>
      <c r="AZ3152" s="320"/>
      <c r="BD3152" s="401"/>
      <c r="BE3152" s="42"/>
    </row>
    <row r="3153" spans="48:57" x14ac:dyDescent="0.2">
      <c r="AV3153" s="401"/>
      <c r="AW3153" s="412"/>
      <c r="AX3153" s="230"/>
      <c r="AY3153" s="42"/>
      <c r="AZ3153" s="320"/>
      <c r="BD3153" s="401"/>
      <c r="BE3153" s="42"/>
    </row>
    <row r="3154" spans="48:57" x14ac:dyDescent="0.2">
      <c r="AV3154" s="401"/>
      <c r="AW3154" s="412"/>
      <c r="AX3154" s="230"/>
      <c r="AY3154" s="42"/>
      <c r="AZ3154" s="320"/>
      <c r="BD3154" s="401"/>
      <c r="BE3154" s="42"/>
    </row>
    <row r="3155" spans="48:57" x14ac:dyDescent="0.2">
      <c r="AV3155" s="401"/>
      <c r="AW3155" s="412"/>
      <c r="AX3155" s="230"/>
      <c r="AY3155" s="42"/>
      <c r="AZ3155" s="320"/>
      <c r="BD3155" s="401"/>
      <c r="BE3155" s="42"/>
    </row>
    <row r="3156" spans="48:57" x14ac:dyDescent="0.2">
      <c r="AV3156" s="401"/>
      <c r="AW3156" s="412"/>
      <c r="AX3156" s="230"/>
      <c r="AY3156" s="42"/>
      <c r="AZ3156" s="320"/>
      <c r="BD3156" s="401"/>
      <c r="BE3156" s="42"/>
    </row>
    <row r="3157" spans="48:57" x14ac:dyDescent="0.2">
      <c r="AV3157" s="401"/>
      <c r="AW3157" s="412"/>
      <c r="AX3157" s="230"/>
      <c r="AY3157" s="42"/>
      <c r="AZ3157" s="320"/>
      <c r="BD3157" s="401"/>
      <c r="BE3157" s="42"/>
    </row>
    <row r="3158" spans="48:57" x14ac:dyDescent="0.2">
      <c r="AV3158" s="401"/>
      <c r="AW3158" s="412"/>
      <c r="AX3158" s="230"/>
      <c r="AY3158" s="42"/>
      <c r="AZ3158" s="320"/>
      <c r="BD3158" s="401"/>
      <c r="BE3158" s="42"/>
    </row>
    <row r="3159" spans="48:57" x14ac:dyDescent="0.2">
      <c r="AV3159" s="401"/>
      <c r="AW3159" s="412"/>
      <c r="AX3159" s="230"/>
      <c r="AY3159" s="42"/>
      <c r="AZ3159" s="320"/>
      <c r="BD3159" s="401"/>
      <c r="BE3159" s="42"/>
    </row>
    <row r="3160" spans="48:57" x14ac:dyDescent="0.2">
      <c r="AV3160" s="401"/>
      <c r="AW3160" s="412"/>
      <c r="AX3160" s="230"/>
      <c r="AY3160" s="42"/>
      <c r="AZ3160" s="320"/>
      <c r="BD3160" s="401"/>
      <c r="BE3160" s="42"/>
    </row>
    <row r="3161" spans="48:57" x14ac:dyDescent="0.2">
      <c r="AV3161" s="401"/>
      <c r="AW3161" s="412"/>
      <c r="AX3161" s="230"/>
      <c r="AY3161" s="42"/>
      <c r="AZ3161" s="320"/>
      <c r="BD3161" s="401"/>
      <c r="BE3161" s="42"/>
    </row>
    <row r="3162" spans="48:57" x14ac:dyDescent="0.2">
      <c r="AV3162" s="401"/>
      <c r="AW3162" s="412"/>
      <c r="AX3162" s="230"/>
      <c r="AY3162" s="42"/>
      <c r="AZ3162" s="320"/>
      <c r="BD3162" s="401"/>
      <c r="BE3162" s="42"/>
    </row>
    <row r="3163" spans="48:57" x14ac:dyDescent="0.2">
      <c r="AV3163" s="401"/>
      <c r="AW3163" s="412"/>
      <c r="AX3163" s="230"/>
      <c r="AY3163" s="42"/>
      <c r="AZ3163" s="320"/>
      <c r="BD3163" s="401"/>
      <c r="BE3163" s="42"/>
    </row>
    <row r="3164" spans="48:57" x14ac:dyDescent="0.2">
      <c r="AV3164" s="401"/>
      <c r="AW3164" s="412"/>
      <c r="AX3164" s="230"/>
      <c r="AY3164" s="42"/>
      <c r="AZ3164" s="320"/>
      <c r="BD3164" s="401"/>
      <c r="BE3164" s="42"/>
    </row>
    <row r="3165" spans="48:57" x14ac:dyDescent="0.2">
      <c r="AV3165" s="401"/>
      <c r="AW3165" s="412"/>
      <c r="AX3165" s="230"/>
      <c r="AY3165" s="42"/>
      <c r="AZ3165" s="320"/>
      <c r="BD3165" s="401"/>
      <c r="BE3165" s="42"/>
    </row>
    <row r="3166" spans="48:57" x14ac:dyDescent="0.2">
      <c r="AV3166" s="401"/>
      <c r="AW3166" s="412"/>
      <c r="AX3166" s="230"/>
      <c r="AY3166" s="42"/>
      <c r="AZ3166" s="320"/>
      <c r="BD3166" s="401"/>
      <c r="BE3166" s="42"/>
    </row>
    <row r="3167" spans="48:57" x14ac:dyDescent="0.2">
      <c r="AV3167" s="401"/>
      <c r="AW3167" s="412"/>
      <c r="AX3167" s="230"/>
      <c r="AY3167" s="42"/>
      <c r="AZ3167" s="320"/>
      <c r="BD3167" s="401"/>
      <c r="BE3167" s="42"/>
    </row>
    <row r="3168" spans="48:57" x14ac:dyDescent="0.2">
      <c r="AV3168" s="401"/>
      <c r="AW3168" s="412"/>
      <c r="AX3168" s="230"/>
      <c r="AY3168" s="42"/>
      <c r="AZ3168" s="320"/>
      <c r="BD3168" s="401"/>
      <c r="BE3168" s="42"/>
    </row>
    <row r="3169" spans="48:57" x14ac:dyDescent="0.2">
      <c r="AV3169" s="401"/>
      <c r="AW3169" s="412"/>
      <c r="AX3169" s="230"/>
      <c r="AY3169" s="42"/>
      <c r="AZ3169" s="320"/>
      <c r="BD3169" s="401"/>
      <c r="BE3169" s="42"/>
    </row>
    <row r="3170" spans="48:57" x14ac:dyDescent="0.2">
      <c r="AV3170" s="401"/>
      <c r="AW3170" s="412"/>
      <c r="AX3170" s="230"/>
      <c r="AY3170" s="42"/>
      <c r="AZ3170" s="320"/>
      <c r="BD3170" s="401"/>
      <c r="BE3170" s="42"/>
    </row>
    <row r="3171" spans="48:57" x14ac:dyDescent="0.2">
      <c r="AV3171" s="401"/>
      <c r="AW3171" s="412"/>
      <c r="AX3171" s="230"/>
      <c r="AY3171" s="42"/>
      <c r="AZ3171" s="320"/>
      <c r="BD3171" s="401"/>
      <c r="BE3171" s="42"/>
    </row>
    <row r="3172" spans="48:57" x14ac:dyDescent="0.2">
      <c r="AV3172" s="401"/>
      <c r="AW3172" s="412"/>
      <c r="AX3172" s="230"/>
      <c r="AY3172" s="42"/>
      <c r="AZ3172" s="320"/>
      <c r="BD3172" s="401"/>
      <c r="BE3172" s="42"/>
    </row>
    <row r="3173" spans="48:57" x14ac:dyDescent="0.2">
      <c r="AV3173" s="401"/>
      <c r="AW3173" s="412"/>
      <c r="AX3173" s="230"/>
      <c r="AY3173" s="42"/>
      <c r="AZ3173" s="320"/>
      <c r="BD3173" s="401"/>
      <c r="BE3173" s="42"/>
    </row>
    <row r="3174" spans="48:57" x14ac:dyDescent="0.2">
      <c r="AV3174" s="401"/>
      <c r="AW3174" s="412"/>
      <c r="AX3174" s="230"/>
      <c r="AY3174" s="42"/>
      <c r="AZ3174" s="320"/>
      <c r="BD3174" s="401"/>
      <c r="BE3174" s="42"/>
    </row>
    <row r="3175" spans="48:57" x14ac:dyDescent="0.2">
      <c r="AV3175" s="401"/>
      <c r="AW3175" s="412"/>
      <c r="AX3175" s="230"/>
      <c r="AY3175" s="42"/>
      <c r="AZ3175" s="320"/>
      <c r="BD3175" s="401"/>
      <c r="BE3175" s="42"/>
    </row>
    <row r="3176" spans="48:57" x14ac:dyDescent="0.2">
      <c r="AV3176" s="401"/>
      <c r="AW3176" s="412"/>
      <c r="AX3176" s="230"/>
      <c r="AY3176" s="42"/>
      <c r="AZ3176" s="320"/>
      <c r="BD3176" s="401"/>
      <c r="BE3176" s="42"/>
    </row>
    <row r="3177" spans="48:57" x14ac:dyDescent="0.2">
      <c r="AV3177" s="401"/>
      <c r="AW3177" s="412"/>
      <c r="AX3177" s="230"/>
      <c r="AY3177" s="42"/>
      <c r="AZ3177" s="320"/>
      <c r="BD3177" s="401"/>
      <c r="BE3177" s="42"/>
    </row>
    <row r="3178" spans="48:57" x14ac:dyDescent="0.2">
      <c r="AV3178" s="401"/>
      <c r="AW3178" s="412"/>
      <c r="AX3178" s="230"/>
      <c r="AY3178" s="42"/>
      <c r="AZ3178" s="320"/>
      <c r="BD3178" s="401"/>
      <c r="BE3178" s="42"/>
    </row>
    <row r="3179" spans="48:57" x14ac:dyDescent="0.2">
      <c r="AV3179" s="401"/>
      <c r="AW3179" s="412"/>
      <c r="AX3179" s="230"/>
      <c r="AY3179" s="42"/>
      <c r="AZ3179" s="320"/>
      <c r="BD3179" s="401"/>
      <c r="BE3179" s="42"/>
    </row>
    <row r="3180" spans="48:57" x14ac:dyDescent="0.2">
      <c r="AV3180" s="401"/>
      <c r="AW3180" s="412"/>
      <c r="AX3180" s="230"/>
      <c r="AY3180" s="42"/>
      <c r="AZ3180" s="320"/>
      <c r="BD3180" s="401"/>
      <c r="BE3180" s="42"/>
    </row>
    <row r="3181" spans="48:57" x14ac:dyDescent="0.2">
      <c r="AV3181" s="401"/>
      <c r="AW3181" s="412"/>
      <c r="AX3181" s="230"/>
      <c r="AY3181" s="42"/>
      <c r="AZ3181" s="320"/>
      <c r="BD3181" s="401"/>
      <c r="BE3181" s="42"/>
    </row>
    <row r="3182" spans="48:57" x14ac:dyDescent="0.2">
      <c r="AV3182" s="401"/>
      <c r="AW3182" s="412"/>
      <c r="AX3182" s="230"/>
      <c r="AY3182" s="42"/>
      <c r="AZ3182" s="320"/>
      <c r="BD3182" s="401"/>
      <c r="BE3182" s="42"/>
    </row>
    <row r="3183" spans="48:57" x14ac:dyDescent="0.2">
      <c r="AV3183" s="401"/>
      <c r="AW3183" s="412"/>
      <c r="AX3183" s="230"/>
      <c r="AY3183" s="42"/>
      <c r="AZ3183" s="320"/>
      <c r="BD3183" s="401"/>
      <c r="BE3183" s="42"/>
    </row>
    <row r="3184" spans="48:57" x14ac:dyDescent="0.2">
      <c r="AV3184" s="401"/>
      <c r="AW3184" s="412"/>
      <c r="AX3184" s="230"/>
      <c r="AY3184" s="42"/>
      <c r="AZ3184" s="320"/>
      <c r="BD3184" s="401"/>
      <c r="BE3184" s="42"/>
    </row>
    <row r="3185" spans="48:57" x14ac:dyDescent="0.2">
      <c r="AV3185" s="401"/>
      <c r="AW3185" s="412"/>
      <c r="AX3185" s="230"/>
      <c r="AY3185" s="42"/>
      <c r="AZ3185" s="320"/>
      <c r="BD3185" s="401"/>
      <c r="BE3185" s="42"/>
    </row>
    <row r="3186" spans="48:57" x14ac:dyDescent="0.2">
      <c r="AV3186" s="401"/>
      <c r="AW3186" s="412"/>
      <c r="AX3186" s="230"/>
      <c r="AY3186" s="42"/>
      <c r="AZ3186" s="320"/>
      <c r="BD3186" s="401"/>
      <c r="BE3186" s="42"/>
    </row>
    <row r="3187" spans="48:57" x14ac:dyDescent="0.2">
      <c r="AV3187" s="401"/>
      <c r="AW3187" s="412"/>
      <c r="AX3187" s="230"/>
      <c r="AY3187" s="42"/>
      <c r="AZ3187" s="320"/>
      <c r="BD3187" s="401"/>
      <c r="BE3187" s="42"/>
    </row>
    <row r="3188" spans="48:57" x14ac:dyDescent="0.2">
      <c r="AV3188" s="401"/>
      <c r="AW3188" s="412"/>
      <c r="AX3188" s="230"/>
      <c r="AY3188" s="42"/>
      <c r="AZ3188" s="320"/>
      <c r="BD3188" s="401"/>
      <c r="BE3188" s="42"/>
    </row>
    <row r="3189" spans="48:57" x14ac:dyDescent="0.2">
      <c r="AV3189" s="401"/>
      <c r="AW3189" s="412"/>
      <c r="AX3189" s="230"/>
      <c r="AY3189" s="42"/>
      <c r="AZ3189" s="320"/>
      <c r="BD3189" s="401"/>
      <c r="BE3189" s="42"/>
    </row>
    <row r="3190" spans="48:57" x14ac:dyDescent="0.2">
      <c r="AV3190" s="401"/>
      <c r="AW3190" s="412"/>
      <c r="AX3190" s="230"/>
      <c r="AY3190" s="42"/>
      <c r="AZ3190" s="320"/>
      <c r="BD3190" s="401"/>
      <c r="BE3190" s="42"/>
    </row>
    <row r="3191" spans="48:57" x14ac:dyDescent="0.2">
      <c r="AV3191" s="401"/>
      <c r="AW3191" s="412"/>
      <c r="AX3191" s="230"/>
      <c r="AY3191" s="42"/>
      <c r="AZ3191" s="320"/>
      <c r="BD3191" s="401"/>
      <c r="BE3191" s="42"/>
    </row>
    <row r="3192" spans="48:57" x14ac:dyDescent="0.2">
      <c r="AV3192" s="401"/>
      <c r="AW3192" s="412"/>
      <c r="AX3192" s="230"/>
      <c r="AY3192" s="42"/>
      <c r="AZ3192" s="320"/>
      <c r="BD3192" s="401"/>
      <c r="BE3192" s="42"/>
    </row>
    <row r="3193" spans="48:57" x14ac:dyDescent="0.2">
      <c r="AV3193" s="401"/>
      <c r="AW3193" s="412"/>
      <c r="AX3193" s="230"/>
      <c r="AY3193" s="42"/>
      <c r="AZ3193" s="320"/>
      <c r="BD3193" s="401"/>
      <c r="BE3193" s="42"/>
    </row>
    <row r="3194" spans="48:57" x14ac:dyDescent="0.2">
      <c r="AV3194" s="401"/>
      <c r="AW3194" s="412"/>
      <c r="AX3194" s="230"/>
      <c r="AY3194" s="42"/>
      <c r="AZ3194" s="320"/>
      <c r="BD3194" s="401"/>
      <c r="BE3194" s="42"/>
    </row>
    <row r="3195" spans="48:57" x14ac:dyDescent="0.2">
      <c r="AV3195" s="401"/>
      <c r="AW3195" s="412"/>
      <c r="AX3195" s="230"/>
      <c r="AY3195" s="42"/>
      <c r="AZ3195" s="320"/>
      <c r="BD3195" s="401"/>
      <c r="BE3195" s="42"/>
    </row>
    <row r="3196" spans="48:57" x14ac:dyDescent="0.2">
      <c r="AV3196" s="401"/>
      <c r="AW3196" s="412"/>
      <c r="AX3196" s="230"/>
      <c r="AY3196" s="42"/>
      <c r="AZ3196" s="320"/>
      <c r="BD3196" s="401"/>
      <c r="BE3196" s="42"/>
    </row>
    <row r="3197" spans="48:57" x14ac:dyDescent="0.2">
      <c r="AV3197" s="401"/>
      <c r="AW3197" s="412"/>
      <c r="AX3197" s="230"/>
      <c r="AY3197" s="42"/>
      <c r="AZ3197" s="320"/>
      <c r="BD3197" s="401"/>
      <c r="BE3197" s="42"/>
    </row>
    <row r="3198" spans="48:57" x14ac:dyDescent="0.2">
      <c r="AV3198" s="401"/>
      <c r="AW3198" s="412"/>
      <c r="AX3198" s="230"/>
      <c r="AY3198" s="42"/>
      <c r="AZ3198" s="320"/>
      <c r="BD3198" s="401"/>
      <c r="BE3198" s="42"/>
    </row>
    <row r="3199" spans="48:57" x14ac:dyDescent="0.2">
      <c r="AV3199" s="401"/>
      <c r="AW3199" s="412"/>
      <c r="AX3199" s="230"/>
      <c r="AY3199" s="42"/>
      <c r="AZ3199" s="320"/>
      <c r="BD3199" s="401"/>
      <c r="BE3199" s="42"/>
    </row>
    <row r="3200" spans="48:57" x14ac:dyDescent="0.2">
      <c r="AV3200" s="401"/>
      <c r="AW3200" s="412"/>
      <c r="AX3200" s="230"/>
      <c r="AY3200" s="42"/>
      <c r="AZ3200" s="320"/>
      <c r="BD3200" s="401"/>
      <c r="BE3200" s="42"/>
    </row>
    <row r="3201" spans="48:57" x14ac:dyDescent="0.2">
      <c r="AV3201" s="401"/>
      <c r="AW3201" s="412"/>
      <c r="AX3201" s="230"/>
      <c r="AY3201" s="42"/>
      <c r="AZ3201" s="320"/>
      <c r="BD3201" s="401"/>
      <c r="BE3201" s="42"/>
    </row>
    <row r="3202" spans="48:57" x14ac:dyDescent="0.2">
      <c r="AV3202" s="401"/>
      <c r="AW3202" s="412"/>
      <c r="AX3202" s="230"/>
      <c r="AY3202" s="42"/>
      <c r="AZ3202" s="320"/>
      <c r="BD3202" s="401"/>
      <c r="BE3202" s="42"/>
    </row>
    <row r="3203" spans="48:57" x14ac:dyDescent="0.2">
      <c r="AV3203" s="401"/>
      <c r="AW3203" s="412"/>
      <c r="AX3203" s="230"/>
      <c r="AY3203" s="42"/>
      <c r="AZ3203" s="320"/>
      <c r="BD3203" s="401"/>
      <c r="BE3203" s="42"/>
    </row>
    <row r="3204" spans="48:57" x14ac:dyDescent="0.2">
      <c r="AV3204" s="401"/>
      <c r="AW3204" s="412"/>
      <c r="AX3204" s="230"/>
      <c r="AY3204" s="42"/>
      <c r="AZ3204" s="320"/>
      <c r="BD3204" s="401"/>
      <c r="BE3204" s="42"/>
    </row>
    <row r="3205" spans="48:57" x14ac:dyDescent="0.2">
      <c r="AV3205" s="401"/>
      <c r="AW3205" s="412"/>
      <c r="AX3205" s="230"/>
      <c r="AY3205" s="42"/>
      <c r="AZ3205" s="320"/>
      <c r="BD3205" s="401"/>
      <c r="BE3205" s="42"/>
    </row>
    <row r="3206" spans="48:57" x14ac:dyDescent="0.2">
      <c r="AV3206" s="401"/>
      <c r="AW3206" s="412"/>
      <c r="AX3206" s="230"/>
      <c r="AY3206" s="42"/>
      <c r="AZ3206" s="320"/>
      <c r="BD3206" s="401"/>
      <c r="BE3206" s="42"/>
    </row>
    <row r="3207" spans="48:57" x14ac:dyDescent="0.2">
      <c r="AV3207" s="401"/>
      <c r="AW3207" s="412"/>
      <c r="AX3207" s="230"/>
      <c r="AY3207" s="42"/>
      <c r="AZ3207" s="320"/>
      <c r="BD3207" s="401"/>
      <c r="BE3207" s="42"/>
    </row>
    <row r="3208" spans="48:57" x14ac:dyDescent="0.2">
      <c r="AV3208" s="401"/>
      <c r="AW3208" s="412"/>
      <c r="AX3208" s="230"/>
      <c r="AY3208" s="42"/>
      <c r="AZ3208" s="320"/>
      <c r="BD3208" s="401"/>
      <c r="BE3208" s="42"/>
    </row>
    <row r="3209" spans="48:57" x14ac:dyDescent="0.2">
      <c r="AV3209" s="401"/>
      <c r="AW3209" s="412"/>
      <c r="AX3209" s="230"/>
      <c r="AY3209" s="42"/>
      <c r="AZ3209" s="320"/>
      <c r="BD3209" s="401"/>
      <c r="BE3209" s="42"/>
    </row>
    <row r="3210" spans="48:57" x14ac:dyDescent="0.2">
      <c r="AV3210" s="401"/>
      <c r="AW3210" s="412"/>
      <c r="AX3210" s="230"/>
      <c r="AY3210" s="42"/>
      <c r="AZ3210" s="320"/>
      <c r="BD3210" s="401"/>
      <c r="BE3210" s="42"/>
    </row>
    <row r="3211" spans="48:57" x14ac:dyDescent="0.2">
      <c r="AV3211" s="401"/>
      <c r="AW3211" s="412"/>
      <c r="AX3211" s="230"/>
      <c r="AY3211" s="42"/>
      <c r="AZ3211" s="320"/>
      <c r="BD3211" s="401"/>
      <c r="BE3211" s="42"/>
    </row>
    <row r="3212" spans="48:57" x14ac:dyDescent="0.2">
      <c r="AV3212" s="401"/>
      <c r="AW3212" s="412"/>
      <c r="AX3212" s="230"/>
      <c r="AY3212" s="42"/>
      <c r="AZ3212" s="320"/>
      <c r="BD3212" s="401"/>
      <c r="BE3212" s="42"/>
    </row>
    <row r="3213" spans="48:57" x14ac:dyDescent="0.2">
      <c r="AV3213" s="401"/>
      <c r="AW3213" s="412"/>
      <c r="AX3213" s="230"/>
      <c r="AY3213" s="42"/>
      <c r="AZ3213" s="320"/>
      <c r="BD3213" s="401"/>
      <c r="BE3213" s="42"/>
    </row>
    <row r="3214" spans="48:57" x14ac:dyDescent="0.2">
      <c r="AV3214" s="401"/>
      <c r="AW3214" s="412"/>
      <c r="AX3214" s="230"/>
      <c r="AY3214" s="42"/>
      <c r="AZ3214" s="320"/>
      <c r="BD3214" s="401"/>
      <c r="BE3214" s="42"/>
    </row>
    <row r="3215" spans="48:57" x14ac:dyDescent="0.2">
      <c r="AV3215" s="401"/>
      <c r="AW3215" s="412"/>
      <c r="AX3215" s="230"/>
      <c r="AY3215" s="42"/>
      <c r="AZ3215" s="320"/>
      <c r="BD3215" s="401"/>
      <c r="BE3215" s="42"/>
    </row>
    <row r="3216" spans="48:57" x14ac:dyDescent="0.2">
      <c r="AV3216" s="401"/>
      <c r="AW3216" s="412"/>
      <c r="AX3216" s="230"/>
      <c r="AY3216" s="42"/>
      <c r="AZ3216" s="320"/>
      <c r="BD3216" s="401"/>
      <c r="BE3216" s="42"/>
    </row>
    <row r="3217" spans="48:57" x14ac:dyDescent="0.2">
      <c r="AV3217" s="401"/>
      <c r="AW3217" s="412"/>
      <c r="AX3217" s="230"/>
      <c r="AY3217" s="42"/>
      <c r="AZ3217" s="320"/>
      <c r="BD3217" s="401"/>
      <c r="BE3217" s="42"/>
    </row>
    <row r="3218" spans="48:57" x14ac:dyDescent="0.2">
      <c r="AV3218" s="401"/>
      <c r="AW3218" s="412"/>
      <c r="AX3218" s="230"/>
      <c r="AY3218" s="42"/>
      <c r="AZ3218" s="320"/>
      <c r="BD3218" s="401"/>
      <c r="BE3218" s="42"/>
    </row>
    <row r="3219" spans="48:57" x14ac:dyDescent="0.2">
      <c r="AV3219" s="401"/>
      <c r="AW3219" s="412"/>
      <c r="AX3219" s="230"/>
      <c r="AY3219" s="42"/>
      <c r="AZ3219" s="320"/>
      <c r="BD3219" s="401"/>
      <c r="BE3219" s="42"/>
    </row>
    <row r="3220" spans="48:57" x14ac:dyDescent="0.2">
      <c r="AV3220" s="401"/>
      <c r="AW3220" s="412"/>
      <c r="AX3220" s="230"/>
      <c r="AY3220" s="42"/>
      <c r="AZ3220" s="320"/>
      <c r="BD3220" s="401"/>
      <c r="BE3220" s="42"/>
    </row>
    <row r="3221" spans="48:57" x14ac:dyDescent="0.2">
      <c r="AV3221" s="401"/>
      <c r="AW3221" s="412"/>
      <c r="AX3221" s="230"/>
      <c r="AY3221" s="42"/>
      <c r="AZ3221" s="320"/>
      <c r="BD3221" s="401"/>
      <c r="BE3221" s="42"/>
    </row>
    <row r="3222" spans="48:57" x14ac:dyDescent="0.2">
      <c r="AV3222" s="401"/>
      <c r="AW3222" s="412"/>
      <c r="AX3222" s="230"/>
      <c r="AY3222" s="42"/>
      <c r="AZ3222" s="320"/>
      <c r="BD3222" s="401"/>
      <c r="BE3222" s="42"/>
    </row>
    <row r="3223" spans="48:57" x14ac:dyDescent="0.2">
      <c r="AV3223" s="401"/>
      <c r="AW3223" s="412"/>
      <c r="AX3223" s="230"/>
      <c r="AY3223" s="42"/>
      <c r="AZ3223" s="320"/>
      <c r="BD3223" s="401"/>
      <c r="BE3223" s="42"/>
    </row>
    <row r="3224" spans="48:57" x14ac:dyDescent="0.2">
      <c r="AV3224" s="401"/>
      <c r="AW3224" s="412"/>
      <c r="AX3224" s="230"/>
      <c r="AY3224" s="42"/>
      <c r="AZ3224" s="320"/>
      <c r="BD3224" s="401"/>
      <c r="BE3224" s="42"/>
    </row>
    <row r="3225" spans="48:57" x14ac:dyDescent="0.2">
      <c r="AV3225" s="401"/>
      <c r="AW3225" s="412"/>
      <c r="AX3225" s="230"/>
      <c r="AY3225" s="42"/>
      <c r="AZ3225" s="320"/>
      <c r="BD3225" s="401"/>
      <c r="BE3225" s="42"/>
    </row>
    <row r="3226" spans="48:57" x14ac:dyDescent="0.2">
      <c r="AV3226" s="401"/>
      <c r="AW3226" s="412"/>
      <c r="AX3226" s="230"/>
      <c r="AY3226" s="42"/>
      <c r="AZ3226" s="320"/>
      <c r="BD3226" s="401"/>
      <c r="BE3226" s="42"/>
    </row>
    <row r="3227" spans="48:57" x14ac:dyDescent="0.2">
      <c r="AV3227" s="401"/>
      <c r="AW3227" s="412"/>
      <c r="AX3227" s="230"/>
      <c r="AY3227" s="42"/>
      <c r="AZ3227" s="320"/>
      <c r="BD3227" s="401"/>
      <c r="BE3227" s="42"/>
    </row>
    <row r="3228" spans="48:57" x14ac:dyDescent="0.2">
      <c r="AV3228" s="401"/>
      <c r="AW3228" s="412"/>
      <c r="AX3228" s="230"/>
      <c r="AY3228" s="42"/>
      <c r="AZ3228" s="320"/>
      <c r="BD3228" s="401"/>
      <c r="BE3228" s="42"/>
    </row>
    <row r="3229" spans="48:57" x14ac:dyDescent="0.2">
      <c r="AV3229" s="401"/>
      <c r="AW3229" s="412"/>
      <c r="AX3229" s="230"/>
      <c r="AY3229" s="42"/>
      <c r="AZ3229" s="320"/>
      <c r="BD3229" s="401"/>
      <c r="BE3229" s="42"/>
    </row>
    <row r="3230" spans="48:57" x14ac:dyDescent="0.2">
      <c r="AV3230" s="401"/>
      <c r="AW3230" s="412"/>
      <c r="AX3230" s="230"/>
      <c r="AY3230" s="42"/>
      <c r="AZ3230" s="320"/>
      <c r="BD3230" s="401"/>
      <c r="BE3230" s="42"/>
    </row>
    <row r="3231" spans="48:57" x14ac:dyDescent="0.2">
      <c r="AV3231" s="401"/>
      <c r="AW3231" s="412"/>
      <c r="AX3231" s="230"/>
      <c r="AY3231" s="42"/>
      <c r="AZ3231" s="320"/>
      <c r="BD3231" s="401"/>
      <c r="BE3231" s="42"/>
    </row>
    <row r="3232" spans="48:57" x14ac:dyDescent="0.2">
      <c r="AV3232" s="401"/>
      <c r="AW3232" s="412"/>
      <c r="AX3232" s="230"/>
      <c r="AY3232" s="42"/>
      <c r="AZ3232" s="320"/>
      <c r="BD3232" s="401"/>
      <c r="BE3232" s="42"/>
    </row>
    <row r="3233" spans="48:57" x14ac:dyDescent="0.2">
      <c r="AV3233" s="401"/>
      <c r="AW3233" s="412"/>
      <c r="AX3233" s="230"/>
      <c r="AY3233" s="42"/>
      <c r="AZ3233" s="320"/>
      <c r="BD3233" s="401"/>
      <c r="BE3233" s="42"/>
    </row>
    <row r="3234" spans="48:57" x14ac:dyDescent="0.2">
      <c r="AV3234" s="401"/>
      <c r="AW3234" s="412"/>
      <c r="AX3234" s="230"/>
      <c r="AY3234" s="42"/>
      <c r="AZ3234" s="320"/>
      <c r="BD3234" s="401"/>
      <c r="BE3234" s="42"/>
    </row>
    <row r="3235" spans="48:57" x14ac:dyDescent="0.2">
      <c r="AV3235" s="401"/>
      <c r="AW3235" s="412"/>
      <c r="AX3235" s="230"/>
      <c r="AY3235" s="42"/>
      <c r="AZ3235" s="320"/>
      <c r="BD3235" s="401"/>
      <c r="BE3235" s="42"/>
    </row>
    <row r="3236" spans="48:57" x14ac:dyDescent="0.2">
      <c r="AV3236" s="401"/>
      <c r="AW3236" s="412"/>
      <c r="AX3236" s="230"/>
      <c r="AY3236" s="42"/>
      <c r="AZ3236" s="320"/>
      <c r="BD3236" s="401"/>
      <c r="BE3236" s="42"/>
    </row>
    <row r="3237" spans="48:57" x14ac:dyDescent="0.2">
      <c r="AV3237" s="401"/>
      <c r="AW3237" s="412"/>
      <c r="AX3237" s="230"/>
      <c r="AY3237" s="42"/>
      <c r="AZ3237" s="320"/>
      <c r="BD3237" s="401"/>
      <c r="BE3237" s="42"/>
    </row>
    <row r="3238" spans="48:57" x14ac:dyDescent="0.2">
      <c r="AV3238" s="401"/>
      <c r="AW3238" s="412"/>
      <c r="AX3238" s="230"/>
      <c r="AY3238" s="42"/>
      <c r="AZ3238" s="320"/>
      <c r="BD3238" s="401"/>
      <c r="BE3238" s="42"/>
    </row>
    <row r="3239" spans="48:57" x14ac:dyDescent="0.2">
      <c r="AV3239" s="401"/>
      <c r="AW3239" s="412"/>
      <c r="AX3239" s="230"/>
      <c r="AY3239" s="42"/>
      <c r="AZ3239" s="320"/>
      <c r="BD3239" s="401"/>
      <c r="BE3239" s="42"/>
    </row>
    <row r="3240" spans="48:57" x14ac:dyDescent="0.2">
      <c r="AV3240" s="401"/>
      <c r="AW3240" s="412"/>
      <c r="AX3240" s="230"/>
      <c r="AY3240" s="42"/>
      <c r="AZ3240" s="320"/>
      <c r="BD3240" s="401"/>
      <c r="BE3240" s="42"/>
    </row>
    <row r="3241" spans="48:57" x14ac:dyDescent="0.2">
      <c r="AV3241" s="401"/>
      <c r="AW3241" s="412"/>
      <c r="AX3241" s="230"/>
      <c r="AY3241" s="42"/>
      <c r="AZ3241" s="320"/>
      <c r="BD3241" s="401"/>
      <c r="BE3241" s="42"/>
    </row>
    <row r="3242" spans="48:57" x14ac:dyDescent="0.2">
      <c r="AV3242" s="401"/>
      <c r="AW3242" s="412"/>
      <c r="AX3242" s="230"/>
      <c r="AY3242" s="42"/>
      <c r="AZ3242" s="320"/>
      <c r="BD3242" s="401"/>
      <c r="BE3242" s="42"/>
    </row>
    <row r="3243" spans="48:57" x14ac:dyDescent="0.2">
      <c r="AV3243" s="401"/>
      <c r="AW3243" s="412"/>
      <c r="AX3243" s="230"/>
      <c r="AY3243" s="42"/>
      <c r="AZ3243" s="320"/>
      <c r="BD3243" s="401"/>
      <c r="BE3243" s="42"/>
    </row>
    <row r="3244" spans="48:57" x14ac:dyDescent="0.2">
      <c r="AV3244" s="401"/>
      <c r="AW3244" s="412"/>
      <c r="AX3244" s="230"/>
      <c r="AY3244" s="42"/>
      <c r="AZ3244" s="320"/>
      <c r="BD3244" s="401"/>
      <c r="BE3244" s="42"/>
    </row>
    <row r="3245" spans="48:57" x14ac:dyDescent="0.2">
      <c r="AV3245" s="401"/>
      <c r="AW3245" s="412"/>
      <c r="AX3245" s="230"/>
      <c r="AY3245" s="42"/>
      <c r="AZ3245" s="320"/>
      <c r="BD3245" s="401"/>
      <c r="BE3245" s="42"/>
    </row>
    <row r="3246" spans="48:57" x14ac:dyDescent="0.2">
      <c r="AV3246" s="401"/>
      <c r="AW3246" s="412"/>
      <c r="AX3246" s="230"/>
      <c r="AY3246" s="42"/>
      <c r="AZ3246" s="320"/>
      <c r="BD3246" s="401"/>
      <c r="BE3246" s="42"/>
    </row>
    <row r="3247" spans="48:57" x14ac:dyDescent="0.2">
      <c r="AV3247" s="401"/>
      <c r="AW3247" s="412"/>
      <c r="AX3247" s="230"/>
      <c r="AY3247" s="42"/>
      <c r="AZ3247" s="320"/>
      <c r="BD3247" s="401"/>
      <c r="BE3247" s="42"/>
    </row>
    <row r="3248" spans="48:57" x14ac:dyDescent="0.2">
      <c r="AV3248" s="401"/>
      <c r="AW3248" s="412"/>
      <c r="AX3248" s="230"/>
      <c r="AY3248" s="42"/>
      <c r="AZ3248" s="320"/>
      <c r="BD3248" s="401"/>
      <c r="BE3248" s="42"/>
    </row>
    <row r="3249" spans="48:57" x14ac:dyDescent="0.2">
      <c r="AV3249" s="401"/>
      <c r="AW3249" s="412"/>
      <c r="AX3249" s="230"/>
      <c r="AY3249" s="42"/>
      <c r="AZ3249" s="320"/>
      <c r="BD3249" s="401"/>
      <c r="BE3249" s="42"/>
    </row>
    <row r="3250" spans="48:57" x14ac:dyDescent="0.2">
      <c r="AV3250" s="401"/>
      <c r="AW3250" s="412"/>
      <c r="AX3250" s="230"/>
      <c r="AY3250" s="42"/>
      <c r="AZ3250" s="320"/>
      <c r="BD3250" s="401"/>
      <c r="BE3250" s="42"/>
    </row>
    <row r="3251" spans="48:57" x14ac:dyDescent="0.2">
      <c r="AV3251" s="401"/>
      <c r="AW3251" s="412"/>
      <c r="AX3251" s="230"/>
      <c r="AY3251" s="42"/>
      <c r="AZ3251" s="320"/>
      <c r="BD3251" s="401"/>
      <c r="BE3251" s="42"/>
    </row>
    <row r="3252" spans="48:57" x14ac:dyDescent="0.2">
      <c r="AV3252" s="401"/>
      <c r="AW3252" s="412"/>
      <c r="AX3252" s="230"/>
      <c r="AY3252" s="42"/>
      <c r="AZ3252" s="320"/>
      <c r="BD3252" s="401"/>
      <c r="BE3252" s="42"/>
    </row>
    <row r="3253" spans="48:57" x14ac:dyDescent="0.2">
      <c r="AV3253" s="401"/>
      <c r="AW3253" s="412"/>
      <c r="AX3253" s="230"/>
      <c r="AY3253" s="42"/>
      <c r="AZ3253" s="320"/>
      <c r="BD3253" s="401"/>
      <c r="BE3253" s="42"/>
    </row>
    <row r="3254" spans="48:57" x14ac:dyDescent="0.2">
      <c r="AV3254" s="401"/>
      <c r="AW3254" s="412"/>
      <c r="AX3254" s="230"/>
      <c r="AY3254" s="42"/>
      <c r="AZ3254" s="320"/>
      <c r="BD3254" s="401"/>
      <c r="BE3254" s="42"/>
    </row>
    <row r="3255" spans="48:57" x14ac:dyDescent="0.2">
      <c r="AV3255" s="401"/>
      <c r="AW3255" s="412"/>
      <c r="AX3255" s="230"/>
      <c r="AY3255" s="42"/>
      <c r="AZ3255" s="320"/>
      <c r="BD3255" s="401"/>
      <c r="BE3255" s="42"/>
    </row>
    <row r="3256" spans="48:57" x14ac:dyDescent="0.2">
      <c r="AV3256" s="401"/>
      <c r="AW3256" s="412"/>
      <c r="AX3256" s="230"/>
      <c r="AY3256" s="42"/>
      <c r="AZ3256" s="320"/>
      <c r="BD3256" s="401"/>
      <c r="BE3256" s="42"/>
    </row>
    <row r="3257" spans="48:57" x14ac:dyDescent="0.2">
      <c r="AV3257" s="401"/>
      <c r="AW3257" s="412"/>
      <c r="AX3257" s="230"/>
      <c r="AY3257" s="42"/>
      <c r="AZ3257" s="320"/>
      <c r="BD3257" s="401"/>
      <c r="BE3257" s="42"/>
    </row>
    <row r="3258" spans="48:57" x14ac:dyDescent="0.2">
      <c r="AV3258" s="401"/>
      <c r="AW3258" s="412"/>
      <c r="AX3258" s="230"/>
      <c r="AY3258" s="42"/>
      <c r="AZ3258" s="320"/>
      <c r="BD3258" s="401"/>
      <c r="BE3258" s="42"/>
    </row>
    <row r="3259" spans="48:57" x14ac:dyDescent="0.2">
      <c r="AV3259" s="401"/>
      <c r="AW3259" s="412"/>
      <c r="AX3259" s="230"/>
      <c r="AY3259" s="42"/>
      <c r="AZ3259" s="320"/>
      <c r="BD3259" s="401"/>
      <c r="BE3259" s="42"/>
    </row>
    <row r="3260" spans="48:57" x14ac:dyDescent="0.2">
      <c r="AV3260" s="401"/>
      <c r="AW3260" s="412"/>
      <c r="AX3260" s="230"/>
      <c r="AY3260" s="42"/>
      <c r="AZ3260" s="320"/>
      <c r="BD3260" s="401"/>
      <c r="BE3260" s="42"/>
    </row>
    <row r="3261" spans="48:57" x14ac:dyDescent="0.2">
      <c r="AV3261" s="401"/>
      <c r="AW3261" s="412"/>
      <c r="AX3261" s="230"/>
      <c r="AY3261" s="42"/>
      <c r="AZ3261" s="320"/>
      <c r="BD3261" s="401"/>
      <c r="BE3261" s="42"/>
    </row>
    <row r="3262" spans="48:57" x14ac:dyDescent="0.2">
      <c r="AV3262" s="401"/>
      <c r="AW3262" s="412"/>
      <c r="AX3262" s="230"/>
      <c r="AY3262" s="42"/>
      <c r="AZ3262" s="320"/>
      <c r="BD3262" s="401"/>
      <c r="BE3262" s="42"/>
    </row>
    <row r="3263" spans="48:57" x14ac:dyDescent="0.2">
      <c r="AV3263" s="401"/>
      <c r="AW3263" s="412"/>
      <c r="AX3263" s="230"/>
      <c r="AY3263" s="42"/>
      <c r="AZ3263" s="320"/>
      <c r="BD3263" s="401"/>
      <c r="BE3263" s="42"/>
    </row>
    <row r="3264" spans="48:57" x14ac:dyDescent="0.2">
      <c r="AV3264" s="401"/>
      <c r="AW3264" s="412"/>
      <c r="AX3264" s="230"/>
      <c r="AY3264" s="42"/>
      <c r="AZ3264" s="320"/>
      <c r="BD3264" s="401"/>
      <c r="BE3264" s="42"/>
    </row>
    <row r="3265" spans="48:57" x14ac:dyDescent="0.2">
      <c r="AV3265" s="401"/>
      <c r="AW3265" s="412"/>
      <c r="AX3265" s="230"/>
      <c r="AY3265" s="42"/>
      <c r="AZ3265" s="320"/>
      <c r="BD3265" s="401"/>
      <c r="BE3265" s="42"/>
    </row>
    <row r="3266" spans="48:57" x14ac:dyDescent="0.2">
      <c r="AV3266" s="401"/>
      <c r="AW3266" s="412"/>
      <c r="AX3266" s="230"/>
      <c r="AY3266" s="42"/>
      <c r="AZ3266" s="320"/>
      <c r="BD3266" s="401"/>
      <c r="BE3266" s="42"/>
    </row>
    <row r="3267" spans="48:57" x14ac:dyDescent="0.2">
      <c r="AV3267" s="401"/>
      <c r="AW3267" s="412"/>
      <c r="AX3267" s="230"/>
      <c r="AY3267" s="42"/>
      <c r="AZ3267" s="320"/>
      <c r="BD3267" s="401"/>
      <c r="BE3267" s="42"/>
    </row>
    <row r="3268" spans="48:57" x14ac:dyDescent="0.2">
      <c r="AV3268" s="401"/>
      <c r="AW3268" s="412"/>
      <c r="AX3268" s="230"/>
      <c r="AY3268" s="42"/>
      <c r="AZ3268" s="320"/>
      <c r="BD3268" s="401"/>
      <c r="BE3268" s="42"/>
    </row>
    <row r="3269" spans="48:57" x14ac:dyDescent="0.2">
      <c r="AV3269" s="401"/>
      <c r="AW3269" s="412"/>
      <c r="AX3269" s="230"/>
      <c r="AY3269" s="42"/>
      <c r="AZ3269" s="320"/>
      <c r="BD3269" s="401"/>
      <c r="BE3269" s="42"/>
    </row>
    <row r="3270" spans="48:57" x14ac:dyDescent="0.2">
      <c r="AV3270" s="401"/>
      <c r="AW3270" s="412"/>
      <c r="AX3270" s="230"/>
      <c r="AY3270" s="42"/>
      <c r="AZ3270" s="320"/>
      <c r="BD3270" s="401"/>
      <c r="BE3270" s="42"/>
    </row>
    <row r="3271" spans="48:57" x14ac:dyDescent="0.2">
      <c r="AV3271" s="401"/>
      <c r="AW3271" s="412"/>
      <c r="AX3271" s="230"/>
      <c r="AY3271" s="42"/>
      <c r="AZ3271" s="320"/>
      <c r="BD3271" s="401"/>
      <c r="BE3271" s="42"/>
    </row>
    <row r="3272" spans="48:57" x14ac:dyDescent="0.2">
      <c r="AV3272" s="401"/>
      <c r="AW3272" s="412"/>
      <c r="AX3272" s="230"/>
      <c r="AY3272" s="42"/>
      <c r="AZ3272" s="320"/>
      <c r="BD3272" s="401"/>
      <c r="BE3272" s="42"/>
    </row>
    <row r="3273" spans="48:57" x14ac:dyDescent="0.2">
      <c r="AV3273" s="401"/>
      <c r="AW3273" s="412"/>
      <c r="AX3273" s="230"/>
      <c r="AY3273" s="42"/>
      <c r="AZ3273" s="320"/>
      <c r="BD3273" s="401"/>
      <c r="BE3273" s="42"/>
    </row>
    <row r="3274" spans="48:57" x14ac:dyDescent="0.2">
      <c r="AV3274" s="401"/>
      <c r="AW3274" s="412"/>
      <c r="AX3274" s="230"/>
      <c r="AY3274" s="42"/>
      <c r="AZ3274" s="320"/>
      <c r="BD3274" s="401"/>
      <c r="BE3274" s="42"/>
    </row>
    <row r="3275" spans="48:57" x14ac:dyDescent="0.2">
      <c r="AV3275" s="401"/>
      <c r="AW3275" s="412"/>
      <c r="AX3275" s="230"/>
      <c r="AY3275" s="42"/>
      <c r="AZ3275" s="320"/>
      <c r="BD3275" s="401"/>
      <c r="BE3275" s="42"/>
    </row>
    <row r="3276" spans="48:57" x14ac:dyDescent="0.2">
      <c r="AV3276" s="401"/>
      <c r="AW3276" s="412"/>
      <c r="AX3276" s="230"/>
      <c r="AY3276" s="42"/>
      <c r="AZ3276" s="320"/>
      <c r="BD3276" s="401"/>
      <c r="BE3276" s="42"/>
    </row>
    <row r="3277" spans="48:57" x14ac:dyDescent="0.2">
      <c r="AV3277" s="401"/>
      <c r="AW3277" s="412"/>
      <c r="AX3277" s="230"/>
      <c r="AY3277" s="42"/>
      <c r="AZ3277" s="320"/>
      <c r="BD3277" s="401"/>
      <c r="BE3277" s="42"/>
    </row>
    <row r="3278" spans="48:57" x14ac:dyDescent="0.2">
      <c r="AV3278" s="401"/>
      <c r="AW3278" s="412"/>
      <c r="AX3278" s="230"/>
      <c r="AY3278" s="42"/>
      <c r="AZ3278" s="320"/>
      <c r="BD3278" s="401"/>
      <c r="BE3278" s="42"/>
    </row>
    <row r="3279" spans="48:57" x14ac:dyDescent="0.2">
      <c r="AV3279" s="401"/>
      <c r="AW3279" s="412"/>
      <c r="AX3279" s="230"/>
      <c r="AY3279" s="42"/>
      <c r="AZ3279" s="320"/>
      <c r="BD3279" s="401"/>
      <c r="BE3279" s="42"/>
    </row>
    <row r="3280" spans="48:57" x14ac:dyDescent="0.2">
      <c r="AV3280" s="401"/>
      <c r="AW3280" s="412"/>
      <c r="AX3280" s="230"/>
      <c r="AY3280" s="42"/>
      <c r="AZ3280" s="320"/>
      <c r="BD3280" s="401"/>
      <c r="BE3280" s="42"/>
    </row>
    <row r="3281" spans="48:57" x14ac:dyDescent="0.2">
      <c r="AV3281" s="401"/>
      <c r="AW3281" s="412"/>
      <c r="AX3281" s="230"/>
      <c r="AY3281" s="42"/>
      <c r="AZ3281" s="320"/>
      <c r="BD3281" s="401"/>
      <c r="BE3281" s="42"/>
    </row>
    <row r="3282" spans="48:57" x14ac:dyDescent="0.2">
      <c r="AV3282" s="401"/>
      <c r="AW3282" s="412"/>
      <c r="AX3282" s="230"/>
      <c r="AY3282" s="42"/>
      <c r="AZ3282" s="320"/>
      <c r="BD3282" s="401"/>
      <c r="BE3282" s="42"/>
    </row>
    <row r="3283" spans="48:57" x14ac:dyDescent="0.2">
      <c r="AV3283" s="401"/>
      <c r="AW3283" s="412"/>
      <c r="AX3283" s="230"/>
      <c r="AY3283" s="42"/>
      <c r="AZ3283" s="320"/>
      <c r="BD3283" s="401"/>
      <c r="BE3283" s="42"/>
    </row>
    <row r="3284" spans="48:57" x14ac:dyDescent="0.2">
      <c r="AV3284" s="401"/>
      <c r="AW3284" s="412"/>
      <c r="AX3284" s="230"/>
      <c r="AY3284" s="42"/>
      <c r="AZ3284" s="320"/>
      <c r="BD3284" s="401"/>
      <c r="BE3284" s="42"/>
    </row>
    <row r="3285" spans="48:57" x14ac:dyDescent="0.2">
      <c r="AV3285" s="401"/>
      <c r="AW3285" s="412"/>
      <c r="AX3285" s="230"/>
      <c r="AY3285" s="42"/>
      <c r="AZ3285" s="320"/>
      <c r="BD3285" s="401"/>
      <c r="BE3285" s="42"/>
    </row>
    <row r="3286" spans="48:57" x14ac:dyDescent="0.2">
      <c r="AV3286" s="401"/>
      <c r="AW3286" s="412"/>
      <c r="AX3286" s="230"/>
      <c r="AY3286" s="42"/>
      <c r="AZ3286" s="320"/>
      <c r="BD3286" s="401"/>
      <c r="BE3286" s="42"/>
    </row>
    <row r="3287" spans="48:57" x14ac:dyDescent="0.2">
      <c r="AV3287" s="401"/>
      <c r="AW3287" s="412"/>
      <c r="AX3287" s="230"/>
      <c r="AY3287" s="42"/>
      <c r="AZ3287" s="320"/>
      <c r="BD3287" s="401"/>
      <c r="BE3287" s="42"/>
    </row>
    <row r="3288" spans="48:57" x14ac:dyDescent="0.2">
      <c r="AV3288" s="401"/>
      <c r="AW3288" s="412"/>
      <c r="AX3288" s="230"/>
      <c r="AY3288" s="42"/>
      <c r="AZ3288" s="320"/>
      <c r="BD3288" s="401"/>
      <c r="BE3288" s="42"/>
    </row>
    <row r="3289" spans="48:57" x14ac:dyDescent="0.2">
      <c r="AV3289" s="401"/>
      <c r="AW3289" s="412"/>
      <c r="AX3289" s="230"/>
      <c r="AY3289" s="42"/>
      <c r="AZ3289" s="320"/>
      <c r="BD3289" s="401"/>
      <c r="BE3289" s="42"/>
    </row>
    <row r="3290" spans="48:57" x14ac:dyDescent="0.2">
      <c r="AV3290" s="401"/>
      <c r="AW3290" s="412"/>
      <c r="AX3290" s="230"/>
      <c r="AY3290" s="42"/>
      <c r="AZ3290" s="320"/>
      <c r="BD3290" s="401"/>
      <c r="BE3290" s="42"/>
    </row>
    <row r="3291" spans="48:57" x14ac:dyDescent="0.2">
      <c r="AV3291" s="401"/>
      <c r="AW3291" s="412"/>
      <c r="AX3291" s="230"/>
      <c r="AY3291" s="42"/>
      <c r="AZ3291" s="320"/>
      <c r="BD3291" s="401"/>
      <c r="BE3291" s="42"/>
    </row>
    <row r="3292" spans="48:57" x14ac:dyDescent="0.2">
      <c r="AV3292" s="401"/>
      <c r="AW3292" s="412"/>
      <c r="AX3292" s="230"/>
      <c r="AY3292" s="42"/>
      <c r="AZ3292" s="320"/>
      <c r="BD3292" s="401"/>
      <c r="BE3292" s="42"/>
    </row>
    <row r="3293" spans="48:57" x14ac:dyDescent="0.2">
      <c r="AV3293" s="401"/>
      <c r="AW3293" s="412"/>
      <c r="AX3293" s="230"/>
      <c r="AY3293" s="42"/>
      <c r="AZ3293" s="320"/>
      <c r="BD3293" s="401"/>
      <c r="BE3293" s="42"/>
    </row>
    <row r="3294" spans="48:57" x14ac:dyDescent="0.2">
      <c r="AV3294" s="401"/>
      <c r="AW3294" s="412"/>
      <c r="AX3294" s="230"/>
      <c r="AY3294" s="42"/>
      <c r="AZ3294" s="320"/>
      <c r="BD3294" s="401"/>
      <c r="BE3294" s="42"/>
    </row>
    <row r="3295" spans="48:57" x14ac:dyDescent="0.2">
      <c r="AV3295" s="401"/>
      <c r="AW3295" s="412"/>
      <c r="AX3295" s="230"/>
      <c r="AY3295" s="42"/>
      <c r="AZ3295" s="320"/>
      <c r="BD3295" s="401"/>
      <c r="BE3295" s="42"/>
    </row>
    <row r="3296" spans="48:57" x14ac:dyDescent="0.2">
      <c r="AV3296" s="401"/>
      <c r="AW3296" s="412"/>
      <c r="AX3296" s="230"/>
      <c r="AY3296" s="42"/>
      <c r="AZ3296" s="320"/>
      <c r="BD3296" s="401"/>
      <c r="BE3296" s="42"/>
    </row>
    <row r="3297" spans="48:57" x14ac:dyDescent="0.2">
      <c r="AV3297" s="401"/>
      <c r="AW3297" s="412"/>
      <c r="AX3297" s="230"/>
      <c r="AY3297" s="42"/>
      <c r="AZ3297" s="320"/>
      <c r="BD3297" s="401"/>
      <c r="BE3297" s="42"/>
    </row>
    <row r="3298" spans="48:57" x14ac:dyDescent="0.2">
      <c r="AV3298" s="401"/>
      <c r="AW3298" s="412"/>
      <c r="AX3298" s="230"/>
      <c r="AY3298" s="42"/>
      <c r="AZ3298" s="320"/>
      <c r="BD3298" s="401"/>
      <c r="BE3298" s="42"/>
    </row>
    <row r="3299" spans="48:57" x14ac:dyDescent="0.2">
      <c r="AV3299" s="401"/>
      <c r="AW3299" s="412"/>
      <c r="AX3299" s="230"/>
      <c r="AY3299" s="42"/>
      <c r="AZ3299" s="320"/>
      <c r="BD3299" s="401"/>
      <c r="BE3299" s="42"/>
    </row>
    <row r="3300" spans="48:57" x14ac:dyDescent="0.2">
      <c r="AV3300" s="401"/>
      <c r="AW3300" s="412"/>
      <c r="AX3300" s="230"/>
      <c r="AY3300" s="42"/>
      <c r="AZ3300" s="320"/>
      <c r="BD3300" s="401"/>
      <c r="BE3300" s="42"/>
    </row>
    <row r="3301" spans="48:57" x14ac:dyDescent="0.2">
      <c r="AV3301" s="401"/>
      <c r="AW3301" s="412"/>
      <c r="AX3301" s="230"/>
      <c r="AY3301" s="42"/>
      <c r="AZ3301" s="320"/>
      <c r="BD3301" s="401"/>
      <c r="BE3301" s="42"/>
    </row>
    <row r="3302" spans="48:57" x14ac:dyDescent="0.2">
      <c r="AV3302" s="401"/>
      <c r="AW3302" s="412"/>
      <c r="AX3302" s="230"/>
      <c r="AY3302" s="42"/>
      <c r="AZ3302" s="320"/>
      <c r="BD3302" s="401"/>
      <c r="BE3302" s="42"/>
    </row>
    <row r="3303" spans="48:57" x14ac:dyDescent="0.2">
      <c r="AV3303" s="401"/>
      <c r="AW3303" s="412"/>
      <c r="AX3303" s="230"/>
      <c r="AY3303" s="42"/>
      <c r="AZ3303" s="320"/>
      <c r="BD3303" s="401"/>
      <c r="BE3303" s="42"/>
    </row>
    <row r="3304" spans="48:57" x14ac:dyDescent="0.2">
      <c r="AV3304" s="401"/>
      <c r="AW3304" s="412"/>
      <c r="AX3304" s="230"/>
      <c r="AY3304" s="42"/>
      <c r="AZ3304" s="320"/>
      <c r="BD3304" s="401"/>
      <c r="BE3304" s="42"/>
    </row>
    <row r="3305" spans="48:57" x14ac:dyDescent="0.2">
      <c r="AV3305" s="401"/>
      <c r="AW3305" s="412"/>
      <c r="AX3305" s="230"/>
      <c r="AY3305" s="42"/>
      <c r="AZ3305" s="320"/>
      <c r="BD3305" s="401"/>
      <c r="BE3305" s="42"/>
    </row>
    <row r="3306" spans="48:57" x14ac:dyDescent="0.2">
      <c r="AV3306" s="401"/>
      <c r="AW3306" s="412"/>
      <c r="AX3306" s="230"/>
      <c r="AY3306" s="42"/>
      <c r="AZ3306" s="320"/>
      <c r="BD3306" s="401"/>
      <c r="BE3306" s="42"/>
    </row>
    <row r="3307" spans="48:57" x14ac:dyDescent="0.2">
      <c r="AV3307" s="401"/>
      <c r="AW3307" s="412"/>
      <c r="AX3307" s="230"/>
      <c r="AY3307" s="42"/>
      <c r="AZ3307" s="320"/>
      <c r="BD3307" s="401"/>
      <c r="BE3307" s="42"/>
    </row>
    <row r="3308" spans="48:57" x14ac:dyDescent="0.2">
      <c r="AV3308" s="401"/>
      <c r="AW3308" s="412"/>
      <c r="AX3308" s="230"/>
      <c r="AY3308" s="42"/>
      <c r="AZ3308" s="320"/>
      <c r="BD3308" s="401"/>
      <c r="BE3308" s="42"/>
    </row>
    <row r="3309" spans="48:57" x14ac:dyDescent="0.2">
      <c r="AV3309" s="401"/>
      <c r="AW3309" s="412"/>
      <c r="AX3309" s="230"/>
      <c r="AY3309" s="42"/>
      <c r="AZ3309" s="320"/>
      <c r="BD3309" s="401"/>
      <c r="BE3309" s="42"/>
    </row>
    <row r="3310" spans="48:57" x14ac:dyDescent="0.2">
      <c r="AV3310" s="401"/>
      <c r="AW3310" s="412"/>
      <c r="AX3310" s="230"/>
      <c r="AY3310" s="42"/>
      <c r="AZ3310" s="320"/>
      <c r="BD3310" s="401"/>
      <c r="BE3310" s="42"/>
    </row>
    <row r="3311" spans="48:57" x14ac:dyDescent="0.2">
      <c r="AV3311" s="401"/>
      <c r="AW3311" s="412"/>
      <c r="AX3311" s="230"/>
      <c r="AY3311" s="42"/>
      <c r="AZ3311" s="320"/>
      <c r="BD3311" s="401"/>
      <c r="BE3311" s="42"/>
    </row>
    <row r="3312" spans="48:57" x14ac:dyDescent="0.2">
      <c r="AV3312" s="401"/>
      <c r="AW3312" s="412"/>
      <c r="AX3312" s="230"/>
      <c r="AY3312" s="42"/>
      <c r="AZ3312" s="320"/>
      <c r="BD3312" s="401"/>
      <c r="BE3312" s="42"/>
    </row>
    <row r="3313" spans="48:57" x14ac:dyDescent="0.2">
      <c r="AV3313" s="401"/>
      <c r="AW3313" s="412"/>
      <c r="AX3313" s="230"/>
      <c r="AY3313" s="42"/>
      <c r="AZ3313" s="320"/>
      <c r="BD3313" s="401"/>
      <c r="BE3313" s="42"/>
    </row>
    <row r="3314" spans="48:57" x14ac:dyDescent="0.2">
      <c r="AV3314" s="401"/>
      <c r="AW3314" s="412"/>
      <c r="AX3314" s="230"/>
      <c r="AY3314" s="42"/>
      <c r="AZ3314" s="320"/>
      <c r="BD3314" s="401"/>
      <c r="BE3314" s="42"/>
    </row>
    <row r="3315" spans="48:57" x14ac:dyDescent="0.2">
      <c r="AV3315" s="401"/>
      <c r="AW3315" s="412"/>
      <c r="AX3315" s="230"/>
      <c r="AY3315" s="42"/>
      <c r="AZ3315" s="320"/>
      <c r="BD3315" s="401"/>
      <c r="BE3315" s="42"/>
    </row>
    <row r="3316" spans="48:57" x14ac:dyDescent="0.2">
      <c r="AV3316" s="401"/>
      <c r="AW3316" s="412"/>
      <c r="AX3316" s="230"/>
      <c r="AY3316" s="42"/>
      <c r="AZ3316" s="320"/>
      <c r="BD3316" s="401"/>
      <c r="BE3316" s="42"/>
    </row>
    <row r="3317" spans="48:57" x14ac:dyDescent="0.2">
      <c r="AV3317" s="401"/>
      <c r="AW3317" s="412"/>
      <c r="AX3317" s="230"/>
      <c r="AY3317" s="42"/>
      <c r="AZ3317" s="320"/>
      <c r="BD3317" s="401"/>
      <c r="BE3317" s="42"/>
    </row>
    <row r="3318" spans="48:57" x14ac:dyDescent="0.2">
      <c r="AV3318" s="401"/>
      <c r="AW3318" s="412"/>
      <c r="AX3318" s="230"/>
      <c r="AY3318" s="42"/>
      <c r="AZ3318" s="320"/>
      <c r="BD3318" s="401"/>
      <c r="BE3318" s="42"/>
    </row>
    <row r="3319" spans="48:57" x14ac:dyDescent="0.2">
      <c r="AV3319" s="401"/>
      <c r="AW3319" s="412"/>
      <c r="AX3319" s="230"/>
      <c r="AY3319" s="42"/>
      <c r="AZ3319" s="320"/>
      <c r="BD3319" s="401"/>
      <c r="BE3319" s="42"/>
    </row>
    <row r="3320" spans="48:57" x14ac:dyDescent="0.2">
      <c r="AV3320" s="401"/>
      <c r="AW3320" s="412"/>
      <c r="AX3320" s="230"/>
      <c r="AY3320" s="42"/>
      <c r="AZ3320" s="320"/>
      <c r="BD3320" s="401"/>
      <c r="BE3320" s="42"/>
    </row>
    <row r="3321" spans="48:57" x14ac:dyDescent="0.2">
      <c r="AV3321" s="401"/>
      <c r="AW3321" s="412"/>
      <c r="AX3321" s="230"/>
      <c r="AY3321" s="42"/>
      <c r="AZ3321" s="320"/>
      <c r="BD3321" s="401"/>
      <c r="BE3321" s="42"/>
    </row>
    <row r="3322" spans="48:57" x14ac:dyDescent="0.2">
      <c r="AV3322" s="401"/>
      <c r="AW3322" s="412"/>
      <c r="AX3322" s="230"/>
      <c r="AY3322" s="42"/>
      <c r="AZ3322" s="320"/>
      <c r="BD3322" s="401"/>
      <c r="BE3322" s="42"/>
    </row>
    <row r="3323" spans="48:57" x14ac:dyDescent="0.2">
      <c r="AV3323" s="401"/>
      <c r="AW3323" s="412"/>
      <c r="AX3323" s="230"/>
      <c r="AY3323" s="42"/>
      <c r="AZ3323" s="320"/>
      <c r="BD3323" s="401"/>
      <c r="BE3323" s="42"/>
    </row>
    <row r="3324" spans="48:57" x14ac:dyDescent="0.2">
      <c r="AV3324" s="401"/>
      <c r="AW3324" s="412"/>
      <c r="AX3324" s="230"/>
      <c r="AY3324" s="42"/>
      <c r="AZ3324" s="320"/>
      <c r="BD3324" s="401"/>
      <c r="BE3324" s="42"/>
    </row>
    <row r="3325" spans="48:57" x14ac:dyDescent="0.2">
      <c r="AV3325" s="401"/>
      <c r="AW3325" s="412"/>
      <c r="AX3325" s="230"/>
      <c r="AY3325" s="42"/>
      <c r="AZ3325" s="320"/>
      <c r="BD3325" s="401"/>
      <c r="BE3325" s="42"/>
    </row>
    <row r="3326" spans="48:57" x14ac:dyDescent="0.2">
      <c r="AV3326" s="401"/>
      <c r="AW3326" s="412"/>
      <c r="AX3326" s="230"/>
      <c r="AY3326" s="42"/>
      <c r="AZ3326" s="320"/>
      <c r="BD3326" s="401"/>
      <c r="BE3326" s="42"/>
    </row>
    <row r="3327" spans="48:57" x14ac:dyDescent="0.2">
      <c r="AV3327" s="401"/>
      <c r="AW3327" s="412"/>
      <c r="AX3327" s="230"/>
      <c r="AY3327" s="42"/>
      <c r="AZ3327" s="320"/>
      <c r="BD3327" s="401"/>
      <c r="BE3327" s="42"/>
    </row>
    <row r="3328" spans="48:57" x14ac:dyDescent="0.2">
      <c r="AV3328" s="401"/>
      <c r="AW3328" s="412"/>
      <c r="AX3328" s="230"/>
      <c r="AY3328" s="42"/>
      <c r="AZ3328" s="320"/>
      <c r="BD3328" s="401"/>
      <c r="BE3328" s="42"/>
    </row>
    <row r="3329" spans="48:57" x14ac:dyDescent="0.2">
      <c r="AV3329" s="401"/>
      <c r="AW3329" s="412"/>
      <c r="AX3329" s="230"/>
      <c r="AY3329" s="42"/>
      <c r="AZ3329" s="320"/>
      <c r="BD3329" s="401"/>
      <c r="BE3329" s="42"/>
    </row>
    <row r="3330" spans="48:57" x14ac:dyDescent="0.2">
      <c r="AV3330" s="401"/>
      <c r="AW3330" s="412"/>
      <c r="AX3330" s="230"/>
      <c r="AY3330" s="42"/>
      <c r="AZ3330" s="320"/>
      <c r="BD3330" s="401"/>
      <c r="BE3330" s="42"/>
    </row>
    <row r="3331" spans="48:57" x14ac:dyDescent="0.2">
      <c r="AV3331" s="401"/>
      <c r="AW3331" s="412"/>
      <c r="AX3331" s="230"/>
      <c r="AY3331" s="42"/>
      <c r="AZ3331" s="320"/>
      <c r="BD3331" s="401"/>
      <c r="BE3331" s="42"/>
    </row>
    <row r="3332" spans="48:57" x14ac:dyDescent="0.2">
      <c r="AV3332" s="401"/>
      <c r="AW3332" s="412"/>
      <c r="AX3332" s="230"/>
      <c r="AY3332" s="42"/>
      <c r="AZ3332" s="320"/>
      <c r="BD3332" s="401"/>
      <c r="BE3332" s="42"/>
    </row>
    <row r="3333" spans="48:57" x14ac:dyDescent="0.2">
      <c r="AV3333" s="401"/>
      <c r="AW3333" s="412"/>
      <c r="AX3333" s="230"/>
      <c r="AY3333" s="42"/>
      <c r="AZ3333" s="320"/>
      <c r="BD3333" s="401"/>
      <c r="BE3333" s="42"/>
    </row>
    <row r="3334" spans="48:57" x14ac:dyDescent="0.2">
      <c r="AV3334" s="401"/>
      <c r="AW3334" s="412"/>
      <c r="AX3334" s="230"/>
      <c r="AY3334" s="42"/>
      <c r="AZ3334" s="320"/>
      <c r="BD3334" s="401"/>
      <c r="BE3334" s="42"/>
    </row>
    <row r="3335" spans="48:57" x14ac:dyDescent="0.2">
      <c r="AV3335" s="401"/>
      <c r="AW3335" s="412"/>
      <c r="AX3335" s="230"/>
      <c r="AY3335" s="42"/>
      <c r="AZ3335" s="320"/>
      <c r="BD3335" s="401"/>
      <c r="BE3335" s="42"/>
    </row>
    <row r="3336" spans="48:57" x14ac:dyDescent="0.2">
      <c r="AV3336" s="401"/>
      <c r="AW3336" s="412"/>
      <c r="AX3336" s="230"/>
      <c r="AY3336" s="42"/>
      <c r="AZ3336" s="320"/>
      <c r="BD3336" s="401"/>
      <c r="BE3336" s="42"/>
    </row>
    <row r="3337" spans="48:57" x14ac:dyDescent="0.2">
      <c r="AV3337" s="401"/>
      <c r="AW3337" s="412"/>
      <c r="AX3337" s="230"/>
      <c r="AY3337" s="42"/>
      <c r="AZ3337" s="320"/>
      <c r="BD3337" s="401"/>
      <c r="BE3337" s="42"/>
    </row>
    <row r="3338" spans="48:57" x14ac:dyDescent="0.2">
      <c r="AV3338" s="401"/>
      <c r="AW3338" s="412"/>
      <c r="AX3338" s="230"/>
      <c r="AY3338" s="42"/>
      <c r="AZ3338" s="320"/>
      <c r="BD3338" s="401"/>
      <c r="BE3338" s="42"/>
    </row>
    <row r="3339" spans="48:57" x14ac:dyDescent="0.2">
      <c r="AV3339" s="401"/>
      <c r="AW3339" s="412"/>
      <c r="AX3339" s="230"/>
      <c r="AY3339" s="42"/>
      <c r="AZ3339" s="320"/>
      <c r="BD3339" s="401"/>
      <c r="BE3339" s="42"/>
    </row>
    <row r="3340" spans="48:57" x14ac:dyDescent="0.2">
      <c r="AV3340" s="401"/>
      <c r="AW3340" s="412"/>
      <c r="AX3340" s="230"/>
      <c r="AY3340" s="42"/>
      <c r="AZ3340" s="320"/>
      <c r="BD3340" s="401"/>
      <c r="BE3340" s="42"/>
    </row>
    <row r="3341" spans="48:57" x14ac:dyDescent="0.2">
      <c r="AV3341" s="401"/>
      <c r="AW3341" s="412"/>
      <c r="AX3341" s="230"/>
      <c r="AY3341" s="42"/>
      <c r="AZ3341" s="320"/>
      <c r="BD3341" s="401"/>
      <c r="BE3341" s="42"/>
    </row>
    <row r="3342" spans="48:57" x14ac:dyDescent="0.2">
      <c r="AV3342" s="401"/>
      <c r="AW3342" s="412"/>
      <c r="AX3342" s="230"/>
      <c r="AY3342" s="42"/>
      <c r="AZ3342" s="320"/>
      <c r="BD3342" s="401"/>
      <c r="BE3342" s="42"/>
    </row>
    <row r="3343" spans="48:57" x14ac:dyDescent="0.2">
      <c r="AV3343" s="401"/>
      <c r="AW3343" s="412"/>
      <c r="AX3343" s="230"/>
      <c r="AY3343" s="42"/>
      <c r="AZ3343" s="320"/>
      <c r="BD3343" s="401"/>
      <c r="BE3343" s="42"/>
    </row>
    <row r="3344" spans="48:57" x14ac:dyDescent="0.2">
      <c r="AV3344" s="401"/>
      <c r="AW3344" s="412"/>
      <c r="AX3344" s="230"/>
      <c r="AY3344" s="42"/>
      <c r="AZ3344" s="320"/>
      <c r="BD3344" s="401"/>
      <c r="BE3344" s="42"/>
    </row>
    <row r="3345" spans="48:57" x14ac:dyDescent="0.2">
      <c r="AV3345" s="401"/>
      <c r="AW3345" s="412"/>
      <c r="AX3345" s="230"/>
      <c r="AY3345" s="42"/>
      <c r="AZ3345" s="320"/>
      <c r="BD3345" s="401"/>
      <c r="BE3345" s="42"/>
    </row>
    <row r="3346" spans="48:57" x14ac:dyDescent="0.2">
      <c r="AV3346" s="401"/>
      <c r="AW3346" s="412"/>
      <c r="AX3346" s="230"/>
      <c r="AY3346" s="42"/>
      <c r="AZ3346" s="320"/>
      <c r="BD3346" s="401"/>
      <c r="BE3346" s="42"/>
    </row>
    <row r="3347" spans="48:57" x14ac:dyDescent="0.2">
      <c r="AV3347" s="401"/>
      <c r="AW3347" s="412"/>
      <c r="AX3347" s="230"/>
      <c r="AY3347" s="42"/>
      <c r="AZ3347" s="320"/>
      <c r="BD3347" s="401"/>
      <c r="BE3347" s="42"/>
    </row>
    <row r="3348" spans="48:57" x14ac:dyDescent="0.2">
      <c r="AV3348" s="401"/>
      <c r="AW3348" s="412"/>
      <c r="AX3348" s="230"/>
      <c r="AY3348" s="42"/>
      <c r="AZ3348" s="320"/>
      <c r="BD3348" s="401"/>
      <c r="BE3348" s="42"/>
    </row>
    <row r="3349" spans="48:57" x14ac:dyDescent="0.2">
      <c r="AV3349" s="401"/>
      <c r="AW3349" s="412"/>
      <c r="AX3349" s="230"/>
      <c r="AY3349" s="42"/>
      <c r="AZ3349" s="320"/>
      <c r="BD3349" s="401"/>
      <c r="BE3349" s="42"/>
    </row>
    <row r="3350" spans="48:57" x14ac:dyDescent="0.2">
      <c r="AV3350" s="401"/>
      <c r="AW3350" s="412"/>
      <c r="AX3350" s="230"/>
      <c r="AY3350" s="42"/>
      <c r="AZ3350" s="320"/>
      <c r="BD3350" s="401"/>
      <c r="BE3350" s="42"/>
    </row>
    <row r="3351" spans="48:57" x14ac:dyDescent="0.2">
      <c r="AV3351" s="401"/>
      <c r="AW3351" s="412"/>
      <c r="AX3351" s="230"/>
      <c r="AY3351" s="42"/>
      <c r="AZ3351" s="320"/>
      <c r="BD3351" s="401"/>
      <c r="BE3351" s="42"/>
    </row>
    <row r="3352" spans="48:57" x14ac:dyDescent="0.2">
      <c r="AV3352" s="401"/>
      <c r="AW3352" s="412"/>
      <c r="AX3352" s="230"/>
      <c r="AY3352" s="42"/>
      <c r="AZ3352" s="320"/>
      <c r="BD3352" s="401"/>
      <c r="BE3352" s="42"/>
    </row>
    <row r="3353" spans="48:57" x14ac:dyDescent="0.2">
      <c r="AV3353" s="401"/>
      <c r="AW3353" s="412"/>
      <c r="AX3353" s="230"/>
      <c r="AY3353" s="42"/>
      <c r="AZ3353" s="320"/>
      <c r="BD3353" s="401"/>
      <c r="BE3353" s="42"/>
    </row>
    <row r="3354" spans="48:57" x14ac:dyDescent="0.2">
      <c r="AV3354" s="401"/>
      <c r="AW3354" s="412"/>
      <c r="AX3354" s="230"/>
      <c r="AY3354" s="42"/>
      <c r="AZ3354" s="320"/>
      <c r="BD3354" s="401"/>
      <c r="BE3354" s="42"/>
    </row>
    <row r="3355" spans="48:57" x14ac:dyDescent="0.2">
      <c r="AV3355" s="401"/>
      <c r="AW3355" s="412"/>
      <c r="AX3355" s="230"/>
      <c r="AY3355" s="42"/>
      <c r="AZ3355" s="320"/>
      <c r="BD3355" s="401"/>
      <c r="BE3355" s="42"/>
    </row>
    <row r="3356" spans="48:57" x14ac:dyDescent="0.2">
      <c r="AV3356" s="401"/>
      <c r="AW3356" s="412"/>
      <c r="AX3356" s="230"/>
      <c r="AY3356" s="42"/>
      <c r="AZ3356" s="320"/>
      <c r="BD3356" s="401"/>
      <c r="BE3356" s="42"/>
    </row>
    <row r="3357" spans="48:57" x14ac:dyDescent="0.2">
      <c r="AV3357" s="401"/>
      <c r="AW3357" s="412"/>
      <c r="AX3357" s="230"/>
      <c r="AY3357" s="42"/>
      <c r="AZ3357" s="320"/>
      <c r="BD3357" s="401"/>
      <c r="BE3357" s="42"/>
    </row>
    <row r="3358" spans="48:57" x14ac:dyDescent="0.2">
      <c r="AV3358" s="401"/>
      <c r="AW3358" s="412"/>
      <c r="AX3358" s="230"/>
      <c r="AY3358" s="42"/>
      <c r="AZ3358" s="320"/>
      <c r="BD3358" s="401"/>
      <c r="BE3358" s="42"/>
    </row>
    <row r="3359" spans="48:57" x14ac:dyDescent="0.2">
      <c r="AV3359" s="401"/>
      <c r="AW3359" s="412"/>
      <c r="AX3359" s="230"/>
      <c r="AY3359" s="42"/>
      <c r="AZ3359" s="320"/>
      <c r="BD3359" s="401"/>
      <c r="BE3359" s="42"/>
    </row>
    <row r="3360" spans="48:57" x14ac:dyDescent="0.2">
      <c r="AV3360" s="401"/>
      <c r="AW3360" s="412"/>
      <c r="AX3360" s="230"/>
      <c r="AY3360" s="42"/>
      <c r="AZ3360" s="320"/>
      <c r="BD3360" s="401"/>
      <c r="BE3360" s="42"/>
    </row>
    <row r="3361" spans="48:57" x14ac:dyDescent="0.2">
      <c r="AV3361" s="401"/>
      <c r="AW3361" s="412"/>
      <c r="AX3361" s="230"/>
      <c r="AY3361" s="42"/>
      <c r="AZ3361" s="320"/>
      <c r="BD3361" s="401"/>
      <c r="BE3361" s="42"/>
    </row>
    <row r="3362" spans="48:57" x14ac:dyDescent="0.2">
      <c r="AV3362" s="401"/>
      <c r="AW3362" s="412"/>
      <c r="AX3362" s="230"/>
      <c r="AY3362" s="42"/>
      <c r="AZ3362" s="320"/>
      <c r="BD3362" s="401"/>
      <c r="BE3362" s="42"/>
    </row>
    <row r="3363" spans="48:57" x14ac:dyDescent="0.2">
      <c r="AV3363" s="401"/>
      <c r="AW3363" s="412"/>
      <c r="AX3363" s="230"/>
      <c r="AY3363" s="42"/>
      <c r="AZ3363" s="320"/>
      <c r="BD3363" s="401"/>
      <c r="BE3363" s="42"/>
    </row>
    <row r="3364" spans="48:57" x14ac:dyDescent="0.2">
      <c r="AV3364" s="401"/>
      <c r="AW3364" s="412"/>
      <c r="AX3364" s="230"/>
      <c r="AY3364" s="42"/>
      <c r="AZ3364" s="320"/>
      <c r="BD3364" s="401"/>
      <c r="BE3364" s="42"/>
    </row>
    <row r="3365" spans="48:57" x14ac:dyDescent="0.2">
      <c r="AV3365" s="401"/>
      <c r="AW3365" s="412"/>
      <c r="AX3365" s="230"/>
      <c r="AY3365" s="42"/>
      <c r="AZ3365" s="320"/>
      <c r="BD3365" s="401"/>
      <c r="BE3365" s="42"/>
    </row>
    <row r="3366" spans="48:57" x14ac:dyDescent="0.2">
      <c r="AV3366" s="401"/>
      <c r="AW3366" s="412"/>
      <c r="AX3366" s="230"/>
      <c r="AY3366" s="42"/>
      <c r="AZ3366" s="320"/>
      <c r="BD3366" s="401"/>
      <c r="BE3366" s="42"/>
    </row>
    <row r="3367" spans="48:57" x14ac:dyDescent="0.2">
      <c r="AV3367" s="401"/>
      <c r="AW3367" s="412"/>
      <c r="AX3367" s="230"/>
      <c r="AY3367" s="42"/>
      <c r="AZ3367" s="320"/>
      <c r="BD3367" s="401"/>
      <c r="BE3367" s="42"/>
    </row>
    <row r="3368" spans="48:57" x14ac:dyDescent="0.2">
      <c r="AV3368" s="401"/>
      <c r="AW3368" s="412"/>
      <c r="AX3368" s="230"/>
      <c r="AY3368" s="42"/>
      <c r="AZ3368" s="320"/>
      <c r="BD3368" s="401"/>
      <c r="BE3368" s="42"/>
    </row>
    <row r="3369" spans="48:57" x14ac:dyDescent="0.2">
      <c r="AV3369" s="401"/>
      <c r="AW3369" s="412"/>
      <c r="AX3369" s="230"/>
      <c r="AY3369" s="42"/>
      <c r="AZ3369" s="320"/>
      <c r="BD3369" s="401"/>
      <c r="BE3369" s="42"/>
    </row>
    <row r="3370" spans="48:57" x14ac:dyDescent="0.2">
      <c r="AV3370" s="401"/>
      <c r="AW3370" s="412"/>
      <c r="AX3370" s="230"/>
      <c r="AY3370" s="42"/>
      <c r="AZ3370" s="320"/>
      <c r="BD3370" s="401"/>
      <c r="BE3370" s="42"/>
    </row>
    <row r="3371" spans="48:57" x14ac:dyDescent="0.2">
      <c r="AV3371" s="401"/>
      <c r="AW3371" s="412"/>
      <c r="AX3371" s="230"/>
      <c r="AY3371" s="42"/>
      <c r="AZ3371" s="320"/>
      <c r="BD3371" s="401"/>
      <c r="BE3371" s="42"/>
    </row>
    <row r="3372" spans="48:57" x14ac:dyDescent="0.2">
      <c r="AV3372" s="401"/>
      <c r="AW3372" s="412"/>
      <c r="AX3372" s="230"/>
      <c r="AY3372" s="42"/>
      <c r="AZ3372" s="320"/>
      <c r="BD3372" s="401"/>
      <c r="BE3372" s="42"/>
    </row>
    <row r="3373" spans="48:57" x14ac:dyDescent="0.2">
      <c r="AV3373" s="401"/>
      <c r="AW3373" s="412"/>
      <c r="AX3373" s="230"/>
      <c r="AY3373" s="42"/>
      <c r="AZ3373" s="320"/>
      <c r="BD3373" s="401"/>
      <c r="BE3373" s="42"/>
    </row>
    <row r="3374" spans="48:57" x14ac:dyDescent="0.2">
      <c r="AV3374" s="401"/>
      <c r="AW3374" s="412"/>
      <c r="AX3374" s="230"/>
      <c r="AY3374" s="42"/>
      <c r="AZ3374" s="320"/>
      <c r="BD3374" s="401"/>
      <c r="BE3374" s="42"/>
    </row>
    <row r="3375" spans="48:57" x14ac:dyDescent="0.2">
      <c r="AV3375" s="401"/>
      <c r="AW3375" s="412"/>
      <c r="AX3375" s="230"/>
      <c r="AY3375" s="42"/>
      <c r="AZ3375" s="320"/>
      <c r="BD3375" s="401"/>
      <c r="BE3375" s="42"/>
    </row>
    <row r="3376" spans="48:57" x14ac:dyDescent="0.2">
      <c r="AV3376" s="401"/>
      <c r="AW3376" s="412"/>
      <c r="AX3376" s="230"/>
      <c r="AY3376" s="42"/>
      <c r="AZ3376" s="320"/>
      <c r="BD3376" s="401"/>
      <c r="BE3376" s="42"/>
    </row>
    <row r="3377" spans="48:57" x14ac:dyDescent="0.2">
      <c r="AV3377" s="401"/>
      <c r="AW3377" s="412"/>
      <c r="AX3377" s="230"/>
      <c r="AY3377" s="42"/>
      <c r="AZ3377" s="320"/>
      <c r="BD3377" s="401"/>
      <c r="BE3377" s="42"/>
    </row>
    <row r="3378" spans="48:57" x14ac:dyDescent="0.2">
      <c r="AV3378" s="401"/>
      <c r="AW3378" s="412"/>
      <c r="AX3378" s="230"/>
      <c r="AY3378" s="42"/>
      <c r="AZ3378" s="320"/>
      <c r="BD3378" s="401"/>
      <c r="BE3378" s="42"/>
    </row>
    <row r="3379" spans="48:57" x14ac:dyDescent="0.2">
      <c r="AV3379" s="401"/>
      <c r="AW3379" s="412"/>
      <c r="AX3379" s="230"/>
      <c r="AY3379" s="42"/>
      <c r="AZ3379" s="320"/>
      <c r="BD3379" s="401"/>
      <c r="BE3379" s="42"/>
    </row>
    <row r="3380" spans="48:57" x14ac:dyDescent="0.2">
      <c r="AV3380" s="401"/>
      <c r="AW3380" s="412"/>
      <c r="AX3380" s="230"/>
      <c r="AY3380" s="42"/>
      <c r="AZ3380" s="320"/>
      <c r="BD3380" s="401"/>
      <c r="BE3380" s="42"/>
    </row>
    <row r="3381" spans="48:57" x14ac:dyDescent="0.2">
      <c r="AV3381" s="401"/>
      <c r="AW3381" s="412"/>
      <c r="AX3381" s="230"/>
      <c r="AY3381" s="42"/>
      <c r="AZ3381" s="320"/>
      <c r="BD3381" s="401"/>
      <c r="BE3381" s="42"/>
    </row>
    <row r="3382" spans="48:57" x14ac:dyDescent="0.2">
      <c r="AV3382" s="401"/>
      <c r="AW3382" s="412"/>
      <c r="AX3382" s="230"/>
      <c r="AY3382" s="42"/>
      <c r="AZ3382" s="320"/>
      <c r="BD3382" s="401"/>
      <c r="BE3382" s="42"/>
    </row>
    <row r="3383" spans="48:57" x14ac:dyDescent="0.2">
      <c r="AV3383" s="401"/>
      <c r="AW3383" s="412"/>
      <c r="AX3383" s="230"/>
      <c r="AY3383" s="42"/>
      <c r="AZ3383" s="320"/>
      <c r="BD3383" s="401"/>
      <c r="BE3383" s="42"/>
    </row>
    <row r="3384" spans="48:57" x14ac:dyDescent="0.2">
      <c r="AV3384" s="401"/>
      <c r="AW3384" s="412"/>
      <c r="AX3384" s="230"/>
      <c r="AY3384" s="42"/>
      <c r="AZ3384" s="320"/>
      <c r="BD3384" s="401"/>
      <c r="BE3384" s="42"/>
    </row>
    <row r="3385" spans="48:57" x14ac:dyDescent="0.2">
      <c r="AV3385" s="401"/>
      <c r="AW3385" s="412"/>
      <c r="AX3385" s="230"/>
      <c r="AY3385" s="42"/>
      <c r="AZ3385" s="320"/>
      <c r="BD3385" s="401"/>
      <c r="BE3385" s="42"/>
    </row>
    <row r="3386" spans="48:57" x14ac:dyDescent="0.2">
      <c r="AV3386" s="401"/>
      <c r="AW3386" s="412"/>
      <c r="AX3386" s="230"/>
      <c r="AY3386" s="42"/>
      <c r="AZ3386" s="320"/>
      <c r="BD3386" s="401"/>
      <c r="BE3386" s="42"/>
    </row>
    <row r="3387" spans="48:57" x14ac:dyDescent="0.2">
      <c r="AV3387" s="401"/>
      <c r="AW3387" s="412"/>
      <c r="AX3387" s="230"/>
      <c r="AY3387" s="42"/>
      <c r="AZ3387" s="320"/>
      <c r="BD3387" s="401"/>
      <c r="BE3387" s="42"/>
    </row>
    <row r="3388" spans="48:57" x14ac:dyDescent="0.2">
      <c r="AV3388" s="401"/>
      <c r="AW3388" s="412"/>
      <c r="AX3388" s="230"/>
      <c r="AY3388" s="42"/>
      <c r="AZ3388" s="320"/>
      <c r="BD3388" s="401"/>
      <c r="BE3388" s="42"/>
    </row>
    <row r="3389" spans="48:57" x14ac:dyDescent="0.2">
      <c r="AV3389" s="401"/>
      <c r="AW3389" s="412"/>
      <c r="AX3389" s="230"/>
      <c r="AY3389" s="42"/>
      <c r="AZ3389" s="320"/>
      <c r="BD3389" s="401"/>
      <c r="BE3389" s="42"/>
    </row>
    <row r="3390" spans="48:57" x14ac:dyDescent="0.2">
      <c r="AV3390" s="401"/>
      <c r="AW3390" s="412"/>
      <c r="AX3390" s="230"/>
      <c r="AY3390" s="42"/>
      <c r="AZ3390" s="320"/>
      <c r="BD3390" s="401"/>
      <c r="BE3390" s="42"/>
    </row>
    <row r="3391" spans="48:57" x14ac:dyDescent="0.2">
      <c r="AV3391" s="401"/>
      <c r="AW3391" s="412"/>
      <c r="AX3391" s="230"/>
      <c r="AY3391" s="42"/>
      <c r="AZ3391" s="320"/>
      <c r="BD3391" s="401"/>
      <c r="BE3391" s="42"/>
    </row>
    <row r="3392" spans="48:57" x14ac:dyDescent="0.2">
      <c r="AV3392" s="401"/>
      <c r="AW3392" s="412"/>
      <c r="AX3392" s="230"/>
      <c r="AY3392" s="42"/>
      <c r="AZ3392" s="320"/>
      <c r="BD3392" s="401"/>
      <c r="BE3392" s="42"/>
    </row>
    <row r="3393" spans="48:57" x14ac:dyDescent="0.2">
      <c r="AV3393" s="401"/>
      <c r="AW3393" s="412"/>
      <c r="AX3393" s="230"/>
      <c r="AY3393" s="42"/>
      <c r="AZ3393" s="320"/>
      <c r="BD3393" s="401"/>
      <c r="BE3393" s="42"/>
    </row>
    <row r="3394" spans="48:57" x14ac:dyDescent="0.2">
      <c r="AV3394" s="401"/>
      <c r="AW3394" s="412"/>
      <c r="AX3394" s="230"/>
      <c r="AY3394" s="42"/>
      <c r="AZ3394" s="320"/>
      <c r="BD3394" s="401"/>
      <c r="BE3394" s="42"/>
    </row>
    <row r="3395" spans="48:57" x14ac:dyDescent="0.2">
      <c r="AV3395" s="401"/>
      <c r="AW3395" s="412"/>
      <c r="AX3395" s="230"/>
      <c r="AY3395" s="42"/>
      <c r="AZ3395" s="320"/>
      <c r="BD3395" s="401"/>
      <c r="BE3395" s="42"/>
    </row>
    <row r="3396" spans="48:57" x14ac:dyDescent="0.2">
      <c r="AV3396" s="401"/>
      <c r="AW3396" s="412"/>
      <c r="AX3396" s="230"/>
      <c r="AY3396" s="42"/>
      <c r="AZ3396" s="320"/>
      <c r="BD3396" s="401"/>
      <c r="BE3396" s="42"/>
    </row>
    <row r="3397" spans="48:57" x14ac:dyDescent="0.2">
      <c r="AV3397" s="401"/>
      <c r="AW3397" s="412"/>
      <c r="AX3397" s="230"/>
      <c r="AY3397" s="42"/>
      <c r="AZ3397" s="320"/>
      <c r="BD3397" s="401"/>
      <c r="BE3397" s="42"/>
    </row>
    <row r="3398" spans="48:57" x14ac:dyDescent="0.2">
      <c r="AV3398" s="401"/>
      <c r="AW3398" s="412"/>
      <c r="AX3398" s="230"/>
      <c r="AY3398" s="42"/>
      <c r="AZ3398" s="320"/>
      <c r="BD3398" s="401"/>
      <c r="BE3398" s="42"/>
    </row>
    <row r="3399" spans="48:57" x14ac:dyDescent="0.2">
      <c r="AV3399" s="401"/>
      <c r="AW3399" s="412"/>
      <c r="AX3399" s="230"/>
      <c r="AY3399" s="42"/>
      <c r="AZ3399" s="320"/>
      <c r="BD3399" s="401"/>
      <c r="BE3399" s="42"/>
    </row>
    <row r="3400" spans="48:57" x14ac:dyDescent="0.2">
      <c r="AV3400" s="401"/>
      <c r="AW3400" s="412"/>
      <c r="AX3400" s="230"/>
      <c r="AY3400" s="42"/>
      <c r="AZ3400" s="320"/>
      <c r="BD3400" s="401"/>
      <c r="BE3400" s="42"/>
    </row>
    <row r="3401" spans="48:57" x14ac:dyDescent="0.2">
      <c r="AV3401" s="401"/>
      <c r="AW3401" s="412"/>
      <c r="AX3401" s="230"/>
      <c r="AY3401" s="42"/>
      <c r="AZ3401" s="320"/>
      <c r="BD3401" s="401"/>
      <c r="BE3401" s="42"/>
    </row>
    <row r="3402" spans="48:57" x14ac:dyDescent="0.2">
      <c r="AV3402" s="401"/>
      <c r="AW3402" s="412"/>
      <c r="AX3402" s="230"/>
      <c r="AY3402" s="42"/>
      <c r="AZ3402" s="320"/>
      <c r="BD3402" s="401"/>
      <c r="BE3402" s="42"/>
    </row>
    <row r="3403" spans="48:57" x14ac:dyDescent="0.2">
      <c r="AV3403" s="401"/>
      <c r="AW3403" s="412"/>
      <c r="AX3403" s="230"/>
      <c r="AY3403" s="42"/>
      <c r="AZ3403" s="320"/>
      <c r="BD3403" s="401"/>
      <c r="BE3403" s="42"/>
    </row>
    <row r="3404" spans="48:57" x14ac:dyDescent="0.2">
      <c r="AV3404" s="401"/>
      <c r="AW3404" s="412"/>
      <c r="AX3404" s="230"/>
      <c r="AY3404" s="42"/>
      <c r="AZ3404" s="320"/>
      <c r="BD3404" s="401"/>
      <c r="BE3404" s="42"/>
    </row>
    <row r="3405" spans="48:57" x14ac:dyDescent="0.2">
      <c r="AV3405" s="401"/>
      <c r="AW3405" s="412"/>
      <c r="AX3405" s="230"/>
      <c r="AY3405" s="42"/>
      <c r="AZ3405" s="320"/>
      <c r="BD3405" s="401"/>
      <c r="BE3405" s="42"/>
    </row>
    <row r="3406" spans="48:57" x14ac:dyDescent="0.2">
      <c r="AV3406" s="401"/>
      <c r="AW3406" s="412"/>
      <c r="AX3406" s="230"/>
      <c r="AY3406" s="42"/>
      <c r="AZ3406" s="320"/>
      <c r="BD3406" s="401"/>
      <c r="BE3406" s="42"/>
    </row>
    <row r="3407" spans="48:57" x14ac:dyDescent="0.2">
      <c r="AV3407" s="401"/>
      <c r="AW3407" s="412"/>
      <c r="AX3407" s="230"/>
      <c r="AY3407" s="42"/>
      <c r="AZ3407" s="320"/>
      <c r="BD3407" s="401"/>
      <c r="BE3407" s="42"/>
    </row>
    <row r="3408" spans="48:57" x14ac:dyDescent="0.2">
      <c r="AV3408" s="401"/>
      <c r="AW3408" s="412"/>
      <c r="AX3408" s="230"/>
      <c r="AY3408" s="42"/>
      <c r="AZ3408" s="320"/>
      <c r="BD3408" s="401"/>
      <c r="BE3408" s="42"/>
    </row>
    <row r="3409" spans="48:57" x14ac:dyDescent="0.2">
      <c r="AV3409" s="401"/>
      <c r="AW3409" s="412"/>
      <c r="AX3409" s="230"/>
      <c r="AY3409" s="42"/>
      <c r="AZ3409" s="320"/>
      <c r="BD3409" s="401"/>
      <c r="BE3409" s="42"/>
    </row>
    <row r="3410" spans="48:57" x14ac:dyDescent="0.2">
      <c r="AV3410" s="401"/>
      <c r="AW3410" s="412"/>
      <c r="AX3410" s="230"/>
      <c r="AY3410" s="42"/>
      <c r="AZ3410" s="320"/>
      <c r="BD3410" s="401"/>
      <c r="BE3410" s="42"/>
    </row>
    <row r="3411" spans="48:57" x14ac:dyDescent="0.2">
      <c r="AV3411" s="401"/>
      <c r="AW3411" s="412"/>
      <c r="AX3411" s="230"/>
      <c r="AY3411" s="42"/>
      <c r="AZ3411" s="320"/>
      <c r="BD3411" s="401"/>
      <c r="BE3411" s="42"/>
    </row>
    <row r="3412" spans="48:57" x14ac:dyDescent="0.2">
      <c r="AV3412" s="401"/>
      <c r="AW3412" s="412"/>
      <c r="AX3412" s="230"/>
      <c r="AY3412" s="42"/>
      <c r="AZ3412" s="320"/>
      <c r="BD3412" s="401"/>
      <c r="BE3412" s="42"/>
    </row>
    <row r="3413" spans="48:57" x14ac:dyDescent="0.2">
      <c r="AV3413" s="401"/>
      <c r="AW3413" s="412"/>
      <c r="AX3413" s="230"/>
      <c r="AY3413" s="42"/>
      <c r="AZ3413" s="320"/>
      <c r="BD3413" s="401"/>
      <c r="BE3413" s="42"/>
    </row>
    <row r="3414" spans="48:57" x14ac:dyDescent="0.2">
      <c r="AV3414" s="401"/>
      <c r="AW3414" s="412"/>
      <c r="AX3414" s="230"/>
      <c r="AY3414" s="42"/>
      <c r="AZ3414" s="320"/>
      <c r="BD3414" s="401"/>
      <c r="BE3414" s="42"/>
    </row>
    <row r="3415" spans="48:57" x14ac:dyDescent="0.2">
      <c r="AV3415" s="401"/>
      <c r="AW3415" s="412"/>
      <c r="AX3415" s="230"/>
      <c r="AY3415" s="42"/>
      <c r="AZ3415" s="320"/>
      <c r="BD3415" s="401"/>
      <c r="BE3415" s="42"/>
    </row>
    <row r="3416" spans="48:57" x14ac:dyDescent="0.2">
      <c r="AV3416" s="401"/>
      <c r="AW3416" s="412"/>
      <c r="AX3416" s="230"/>
      <c r="AY3416" s="42"/>
      <c r="AZ3416" s="320"/>
      <c r="BD3416" s="401"/>
      <c r="BE3416" s="42"/>
    </row>
    <row r="3417" spans="48:57" x14ac:dyDescent="0.2">
      <c r="AV3417" s="401"/>
      <c r="AW3417" s="412"/>
      <c r="AX3417" s="230"/>
      <c r="AY3417" s="42"/>
      <c r="AZ3417" s="320"/>
      <c r="BD3417" s="401"/>
      <c r="BE3417" s="42"/>
    </row>
    <row r="3418" spans="48:57" x14ac:dyDescent="0.2">
      <c r="AV3418" s="401"/>
      <c r="AW3418" s="412"/>
      <c r="AX3418" s="230"/>
      <c r="AY3418" s="42"/>
      <c r="AZ3418" s="320"/>
      <c r="BD3418" s="401"/>
      <c r="BE3418" s="42"/>
    </row>
    <row r="3419" spans="48:57" x14ac:dyDescent="0.2">
      <c r="AV3419" s="401"/>
      <c r="AW3419" s="412"/>
      <c r="AX3419" s="230"/>
      <c r="AY3419" s="42"/>
      <c r="AZ3419" s="320"/>
      <c r="BD3419" s="401"/>
      <c r="BE3419" s="42"/>
    </row>
    <row r="3420" spans="48:57" x14ac:dyDescent="0.2">
      <c r="AV3420" s="401"/>
      <c r="AW3420" s="412"/>
      <c r="AX3420" s="230"/>
      <c r="AY3420" s="42"/>
      <c r="AZ3420" s="320"/>
      <c r="BD3420" s="401"/>
      <c r="BE3420" s="42"/>
    </row>
    <row r="3421" spans="48:57" x14ac:dyDescent="0.2">
      <c r="AV3421" s="401"/>
      <c r="AW3421" s="412"/>
      <c r="AX3421" s="230"/>
      <c r="AY3421" s="42"/>
      <c r="AZ3421" s="320"/>
      <c r="BD3421" s="401"/>
      <c r="BE3421" s="42"/>
    </row>
    <row r="3422" spans="48:57" x14ac:dyDescent="0.2">
      <c r="AV3422" s="401"/>
      <c r="AW3422" s="412"/>
      <c r="AX3422" s="230"/>
      <c r="AY3422" s="42"/>
      <c r="AZ3422" s="320"/>
      <c r="BD3422" s="401"/>
      <c r="BE3422" s="42"/>
    </row>
    <row r="3423" spans="48:57" x14ac:dyDescent="0.2">
      <c r="AV3423" s="401"/>
      <c r="AW3423" s="412"/>
      <c r="AX3423" s="230"/>
      <c r="AY3423" s="42"/>
      <c r="AZ3423" s="320"/>
      <c r="BD3423" s="401"/>
      <c r="BE3423" s="42"/>
    </row>
    <row r="3424" spans="48:57" x14ac:dyDescent="0.2">
      <c r="AV3424" s="401"/>
      <c r="AW3424" s="412"/>
      <c r="AX3424" s="230"/>
      <c r="AY3424" s="42"/>
      <c r="AZ3424" s="320"/>
      <c r="BD3424" s="401"/>
      <c r="BE3424" s="42"/>
    </row>
    <row r="3425" spans="48:57" x14ac:dyDescent="0.2">
      <c r="AV3425" s="401"/>
      <c r="AW3425" s="412"/>
      <c r="AX3425" s="230"/>
      <c r="AY3425" s="42"/>
      <c r="AZ3425" s="320"/>
      <c r="BD3425" s="401"/>
      <c r="BE3425" s="42"/>
    </row>
    <row r="3426" spans="48:57" x14ac:dyDescent="0.2">
      <c r="AV3426" s="401"/>
      <c r="AW3426" s="412"/>
      <c r="AX3426" s="230"/>
      <c r="AY3426" s="42"/>
      <c r="AZ3426" s="320"/>
      <c r="BD3426" s="401"/>
      <c r="BE3426" s="42"/>
    </row>
    <row r="3427" spans="48:57" x14ac:dyDescent="0.2">
      <c r="AV3427" s="401"/>
      <c r="AW3427" s="412"/>
      <c r="AX3427" s="230"/>
      <c r="AY3427" s="42"/>
      <c r="AZ3427" s="320"/>
      <c r="BD3427" s="401"/>
      <c r="BE3427" s="42"/>
    </row>
    <row r="3428" spans="48:57" x14ac:dyDescent="0.2">
      <c r="AV3428" s="401"/>
      <c r="AW3428" s="412"/>
      <c r="AX3428" s="230"/>
      <c r="AY3428" s="42"/>
      <c r="AZ3428" s="320"/>
      <c r="BD3428" s="401"/>
      <c r="BE3428" s="42"/>
    </row>
    <row r="3429" spans="48:57" x14ac:dyDescent="0.2">
      <c r="AV3429" s="401"/>
      <c r="AW3429" s="412"/>
      <c r="AX3429" s="230"/>
      <c r="AY3429" s="42"/>
      <c r="AZ3429" s="320"/>
      <c r="BD3429" s="401"/>
      <c r="BE3429" s="42"/>
    </row>
    <row r="3430" spans="48:57" x14ac:dyDescent="0.2">
      <c r="AV3430" s="401"/>
      <c r="AW3430" s="412"/>
      <c r="AX3430" s="230"/>
      <c r="AY3430" s="42"/>
      <c r="AZ3430" s="320"/>
      <c r="BD3430" s="401"/>
      <c r="BE3430" s="42"/>
    </row>
    <row r="3431" spans="48:57" x14ac:dyDescent="0.2">
      <c r="AV3431" s="401"/>
      <c r="AW3431" s="412"/>
      <c r="AX3431" s="230"/>
      <c r="AY3431" s="42"/>
      <c r="AZ3431" s="320"/>
      <c r="BD3431" s="401"/>
      <c r="BE3431" s="42"/>
    </row>
    <row r="3432" spans="48:57" x14ac:dyDescent="0.2">
      <c r="AV3432" s="401"/>
      <c r="AW3432" s="412"/>
      <c r="AX3432" s="230"/>
      <c r="AY3432" s="42"/>
      <c r="AZ3432" s="320"/>
      <c r="BD3432" s="401"/>
      <c r="BE3432" s="42"/>
    </row>
    <row r="3433" spans="48:57" x14ac:dyDescent="0.2">
      <c r="AV3433" s="401"/>
      <c r="AW3433" s="412"/>
      <c r="AX3433" s="230"/>
      <c r="AY3433" s="42"/>
      <c r="AZ3433" s="320"/>
      <c r="BD3433" s="401"/>
      <c r="BE3433" s="42"/>
    </row>
    <row r="3434" spans="48:57" x14ac:dyDescent="0.2">
      <c r="AV3434" s="401"/>
      <c r="AW3434" s="412"/>
      <c r="AX3434" s="230"/>
      <c r="AY3434" s="42"/>
      <c r="AZ3434" s="320"/>
      <c r="BD3434" s="401"/>
      <c r="BE3434" s="42"/>
    </row>
    <row r="3435" spans="48:57" x14ac:dyDescent="0.2">
      <c r="AV3435" s="401"/>
      <c r="AW3435" s="412"/>
      <c r="AX3435" s="230"/>
      <c r="AY3435" s="42"/>
      <c r="AZ3435" s="320"/>
      <c r="BD3435" s="401"/>
      <c r="BE3435" s="42"/>
    </row>
    <row r="3436" spans="48:57" x14ac:dyDescent="0.2">
      <c r="AV3436" s="401"/>
      <c r="AW3436" s="412"/>
      <c r="AX3436" s="230"/>
      <c r="AY3436" s="42"/>
      <c r="AZ3436" s="320"/>
      <c r="BD3436" s="401"/>
      <c r="BE3436" s="42"/>
    </row>
    <row r="3437" spans="48:57" x14ac:dyDescent="0.2">
      <c r="AV3437" s="401"/>
      <c r="AW3437" s="412"/>
      <c r="AX3437" s="230"/>
      <c r="AY3437" s="42"/>
      <c r="AZ3437" s="320"/>
      <c r="BD3437" s="401"/>
      <c r="BE3437" s="42"/>
    </row>
    <row r="3438" spans="48:57" x14ac:dyDescent="0.2">
      <c r="AV3438" s="401"/>
      <c r="AW3438" s="412"/>
      <c r="AX3438" s="230"/>
      <c r="AY3438" s="42"/>
      <c r="AZ3438" s="320"/>
      <c r="BD3438" s="401"/>
      <c r="BE3438" s="42"/>
    </row>
    <row r="3439" spans="48:57" x14ac:dyDescent="0.2">
      <c r="AV3439" s="401"/>
      <c r="AW3439" s="412"/>
      <c r="AX3439" s="230"/>
      <c r="AY3439" s="42"/>
      <c r="AZ3439" s="320"/>
      <c r="BD3439" s="401"/>
      <c r="BE3439" s="42"/>
    </row>
    <row r="3440" spans="48:57" x14ac:dyDescent="0.2">
      <c r="AV3440" s="401"/>
      <c r="AW3440" s="412"/>
      <c r="AX3440" s="230"/>
      <c r="AY3440" s="42"/>
      <c r="AZ3440" s="320"/>
      <c r="BD3440" s="401"/>
      <c r="BE3440" s="42"/>
    </row>
    <row r="3441" spans="48:57" x14ac:dyDescent="0.2">
      <c r="AV3441" s="401"/>
      <c r="AW3441" s="412"/>
      <c r="AX3441" s="230"/>
      <c r="AY3441" s="42"/>
      <c r="AZ3441" s="320"/>
      <c r="BD3441" s="401"/>
      <c r="BE3441" s="42"/>
    </row>
    <row r="3442" spans="48:57" x14ac:dyDescent="0.2">
      <c r="AV3442" s="401"/>
      <c r="AW3442" s="412"/>
      <c r="AX3442" s="230"/>
      <c r="AY3442" s="42"/>
      <c r="AZ3442" s="320"/>
      <c r="BD3442" s="401"/>
      <c r="BE3442" s="42"/>
    </row>
    <row r="3443" spans="48:57" x14ac:dyDescent="0.2">
      <c r="AV3443" s="401"/>
      <c r="AW3443" s="412"/>
      <c r="AX3443" s="230"/>
      <c r="AY3443" s="42"/>
      <c r="AZ3443" s="320"/>
      <c r="BD3443" s="401"/>
      <c r="BE3443" s="42"/>
    </row>
    <row r="3444" spans="48:57" x14ac:dyDescent="0.2">
      <c r="AV3444" s="401"/>
      <c r="AW3444" s="412"/>
      <c r="AX3444" s="230"/>
      <c r="AY3444" s="42"/>
      <c r="AZ3444" s="320"/>
      <c r="BD3444" s="401"/>
      <c r="BE3444" s="42"/>
    </row>
    <row r="3445" spans="48:57" x14ac:dyDescent="0.2">
      <c r="AV3445" s="401"/>
      <c r="AW3445" s="412"/>
      <c r="AX3445" s="230"/>
      <c r="AY3445" s="42"/>
      <c r="AZ3445" s="320"/>
      <c r="BD3445" s="401"/>
      <c r="BE3445" s="42"/>
    </row>
    <row r="3446" spans="48:57" x14ac:dyDescent="0.2">
      <c r="AV3446" s="401"/>
      <c r="AW3446" s="412"/>
      <c r="AX3446" s="230"/>
      <c r="AY3446" s="42"/>
      <c r="AZ3446" s="320"/>
      <c r="BD3446" s="401"/>
      <c r="BE3446" s="42"/>
    </row>
    <row r="3447" spans="48:57" x14ac:dyDescent="0.2">
      <c r="AV3447" s="401"/>
      <c r="AW3447" s="412"/>
      <c r="AX3447" s="230"/>
      <c r="AY3447" s="42"/>
      <c r="AZ3447" s="320"/>
      <c r="BD3447" s="401"/>
      <c r="BE3447" s="42"/>
    </row>
    <row r="3448" spans="48:57" x14ac:dyDescent="0.2">
      <c r="AV3448" s="401"/>
      <c r="AW3448" s="412"/>
      <c r="AX3448" s="230"/>
      <c r="AY3448" s="42"/>
      <c r="AZ3448" s="320"/>
      <c r="BD3448" s="401"/>
      <c r="BE3448" s="42"/>
    </row>
    <row r="3449" spans="48:57" x14ac:dyDescent="0.2">
      <c r="AV3449" s="401"/>
      <c r="AW3449" s="412"/>
      <c r="AX3449" s="230"/>
      <c r="AY3449" s="42"/>
      <c r="AZ3449" s="320"/>
      <c r="BD3449" s="401"/>
      <c r="BE3449" s="42"/>
    </row>
    <row r="3450" spans="48:57" x14ac:dyDescent="0.2">
      <c r="AV3450" s="401"/>
      <c r="AW3450" s="412"/>
      <c r="AX3450" s="230"/>
      <c r="AY3450" s="42"/>
      <c r="AZ3450" s="320"/>
      <c r="BD3450" s="401"/>
      <c r="BE3450" s="42"/>
    </row>
    <row r="3451" spans="48:57" x14ac:dyDescent="0.2">
      <c r="AV3451" s="401"/>
      <c r="AW3451" s="412"/>
      <c r="AX3451" s="230"/>
      <c r="AY3451" s="42"/>
      <c r="AZ3451" s="320"/>
      <c r="BD3451" s="401"/>
      <c r="BE3451" s="42"/>
    </row>
    <row r="3452" spans="48:57" x14ac:dyDescent="0.2">
      <c r="AV3452" s="401"/>
      <c r="AW3452" s="412"/>
      <c r="AX3452" s="230"/>
      <c r="AY3452" s="42"/>
      <c r="AZ3452" s="320"/>
      <c r="BD3452" s="401"/>
      <c r="BE3452" s="42"/>
    </row>
    <row r="3453" spans="48:57" x14ac:dyDescent="0.2">
      <c r="AV3453" s="401"/>
      <c r="AW3453" s="412"/>
      <c r="AX3453" s="230"/>
      <c r="AY3453" s="42"/>
      <c r="AZ3453" s="320"/>
      <c r="BD3453" s="401"/>
      <c r="BE3453" s="42"/>
    </row>
    <row r="3454" spans="48:57" x14ac:dyDescent="0.2">
      <c r="AV3454" s="401"/>
      <c r="AW3454" s="412"/>
      <c r="AX3454" s="230"/>
      <c r="AY3454" s="42"/>
      <c r="AZ3454" s="320"/>
      <c r="BD3454" s="401"/>
      <c r="BE3454" s="42"/>
    </row>
    <row r="3455" spans="48:57" x14ac:dyDescent="0.2">
      <c r="AV3455" s="401"/>
      <c r="AW3455" s="412"/>
      <c r="AX3455" s="230"/>
      <c r="AY3455" s="42"/>
      <c r="AZ3455" s="320"/>
      <c r="BD3455" s="401"/>
      <c r="BE3455" s="42"/>
    </row>
    <row r="3456" spans="48:57" x14ac:dyDescent="0.2">
      <c r="AV3456" s="401"/>
      <c r="AW3456" s="412"/>
      <c r="AX3456" s="230"/>
      <c r="AY3456" s="42"/>
      <c r="AZ3456" s="320"/>
      <c r="BD3456" s="401"/>
      <c r="BE3456" s="42"/>
    </row>
    <row r="3457" spans="48:57" x14ac:dyDescent="0.2">
      <c r="AV3457" s="401"/>
      <c r="AW3457" s="412"/>
      <c r="AX3457" s="230"/>
      <c r="AY3457" s="42"/>
      <c r="AZ3457" s="320"/>
      <c r="BD3457" s="401"/>
      <c r="BE3457" s="42"/>
    </row>
    <row r="3458" spans="48:57" x14ac:dyDescent="0.2">
      <c r="AV3458" s="401"/>
      <c r="AW3458" s="412"/>
      <c r="AX3458" s="230"/>
      <c r="AY3458" s="42"/>
      <c r="AZ3458" s="320"/>
      <c r="BD3458" s="401"/>
      <c r="BE3458" s="42"/>
    </row>
    <row r="3459" spans="48:57" x14ac:dyDescent="0.2">
      <c r="AV3459" s="401"/>
      <c r="AW3459" s="412"/>
      <c r="AX3459" s="230"/>
      <c r="AY3459" s="42"/>
      <c r="AZ3459" s="320"/>
      <c r="BD3459" s="401"/>
      <c r="BE3459" s="42"/>
    </row>
    <row r="3460" spans="48:57" x14ac:dyDescent="0.2">
      <c r="AV3460" s="401"/>
      <c r="AW3460" s="412"/>
      <c r="AX3460" s="230"/>
      <c r="AY3460" s="42"/>
      <c r="AZ3460" s="320"/>
      <c r="BD3460" s="401"/>
      <c r="BE3460" s="42"/>
    </row>
    <row r="3461" spans="48:57" x14ac:dyDescent="0.2">
      <c r="AV3461" s="401"/>
      <c r="AW3461" s="412"/>
      <c r="AX3461" s="230"/>
      <c r="AY3461" s="42"/>
      <c r="AZ3461" s="320"/>
      <c r="BD3461" s="401"/>
      <c r="BE3461" s="42"/>
    </row>
    <row r="3462" spans="48:57" x14ac:dyDescent="0.2">
      <c r="AV3462" s="401"/>
      <c r="AW3462" s="412"/>
      <c r="AX3462" s="230"/>
      <c r="AY3462" s="42"/>
      <c r="AZ3462" s="320"/>
      <c r="BD3462" s="401"/>
      <c r="BE3462" s="42"/>
    </row>
    <row r="3463" spans="48:57" x14ac:dyDescent="0.2">
      <c r="AV3463" s="401"/>
      <c r="AW3463" s="412"/>
      <c r="AX3463" s="230"/>
      <c r="AY3463" s="42"/>
      <c r="AZ3463" s="320"/>
      <c r="BD3463" s="401"/>
      <c r="BE3463" s="42"/>
    </row>
    <row r="3464" spans="48:57" x14ac:dyDescent="0.2">
      <c r="AV3464" s="401"/>
      <c r="AW3464" s="412"/>
      <c r="AX3464" s="230"/>
      <c r="AY3464" s="42"/>
      <c r="AZ3464" s="320"/>
      <c r="BD3464" s="401"/>
      <c r="BE3464" s="42"/>
    </row>
    <row r="3465" spans="48:57" x14ac:dyDescent="0.2">
      <c r="AV3465" s="401"/>
      <c r="AW3465" s="412"/>
      <c r="AX3465" s="230"/>
      <c r="AY3465" s="42"/>
      <c r="AZ3465" s="320"/>
      <c r="BD3465" s="401"/>
      <c r="BE3465" s="42"/>
    </row>
    <row r="3466" spans="48:57" x14ac:dyDescent="0.2">
      <c r="AV3466" s="401"/>
      <c r="AW3466" s="412"/>
      <c r="AX3466" s="230"/>
      <c r="AY3466" s="42"/>
      <c r="AZ3466" s="320"/>
      <c r="BD3466" s="401"/>
      <c r="BE3466" s="42"/>
    </row>
    <row r="3467" spans="48:57" x14ac:dyDescent="0.2">
      <c r="AV3467" s="401"/>
      <c r="AW3467" s="412"/>
      <c r="AX3467" s="230"/>
      <c r="AY3467" s="42"/>
      <c r="AZ3467" s="320"/>
      <c r="BD3467" s="401"/>
      <c r="BE3467" s="42"/>
    </row>
    <row r="3468" spans="48:57" x14ac:dyDescent="0.2">
      <c r="AV3468" s="401"/>
      <c r="AW3468" s="412"/>
      <c r="AX3468" s="230"/>
      <c r="AY3468" s="42"/>
      <c r="AZ3468" s="320"/>
      <c r="BD3468" s="401"/>
      <c r="BE3468" s="42"/>
    </row>
    <row r="3469" spans="48:57" x14ac:dyDescent="0.2">
      <c r="AV3469" s="401"/>
      <c r="AW3469" s="412"/>
      <c r="AX3469" s="230"/>
      <c r="AY3469" s="42"/>
      <c r="AZ3469" s="320"/>
      <c r="BD3469" s="401"/>
      <c r="BE3469" s="42"/>
    </row>
    <row r="3470" spans="48:57" x14ac:dyDescent="0.2">
      <c r="AV3470" s="401"/>
      <c r="AW3470" s="412"/>
      <c r="AX3470" s="230"/>
      <c r="AY3470" s="42"/>
      <c r="AZ3470" s="320"/>
      <c r="BD3470" s="401"/>
      <c r="BE3470" s="42"/>
    </row>
    <row r="3471" spans="48:57" x14ac:dyDescent="0.2">
      <c r="AV3471" s="401"/>
      <c r="AW3471" s="412"/>
      <c r="AX3471" s="230"/>
      <c r="AY3471" s="42"/>
      <c r="AZ3471" s="320"/>
      <c r="BD3471" s="401"/>
      <c r="BE3471" s="42"/>
    </row>
    <row r="3472" spans="48:57" x14ac:dyDescent="0.2">
      <c r="AV3472" s="401"/>
      <c r="AW3472" s="412"/>
      <c r="AX3472" s="230"/>
      <c r="AY3472" s="42"/>
      <c r="AZ3472" s="320"/>
      <c r="BD3472" s="401"/>
      <c r="BE3472" s="42"/>
    </row>
    <row r="3473" spans="48:57" x14ac:dyDescent="0.2">
      <c r="AV3473" s="401"/>
      <c r="AW3473" s="412"/>
      <c r="AX3473" s="230"/>
      <c r="AY3473" s="42"/>
      <c r="AZ3473" s="320"/>
      <c r="BD3473" s="401"/>
      <c r="BE3473" s="42"/>
    </row>
    <row r="3474" spans="48:57" x14ac:dyDescent="0.2">
      <c r="AV3474" s="401"/>
      <c r="AW3474" s="412"/>
      <c r="AX3474" s="230"/>
      <c r="AY3474" s="42"/>
      <c r="AZ3474" s="320"/>
      <c r="BD3474" s="401"/>
      <c r="BE3474" s="42"/>
    </row>
    <row r="3475" spans="48:57" x14ac:dyDescent="0.2">
      <c r="AV3475" s="401"/>
      <c r="AW3475" s="412"/>
      <c r="AX3475" s="230"/>
      <c r="AY3475" s="42"/>
      <c r="AZ3475" s="320"/>
      <c r="BD3475" s="401"/>
      <c r="BE3475" s="42"/>
    </row>
    <row r="3476" spans="48:57" x14ac:dyDescent="0.2">
      <c r="AV3476" s="401"/>
      <c r="AW3476" s="412"/>
      <c r="AX3476" s="230"/>
      <c r="AY3476" s="42"/>
      <c r="AZ3476" s="320"/>
      <c r="BD3476" s="401"/>
      <c r="BE3476" s="42"/>
    </row>
    <row r="3477" spans="48:57" x14ac:dyDescent="0.2">
      <c r="AV3477" s="401"/>
      <c r="AW3477" s="412"/>
      <c r="AX3477" s="230"/>
      <c r="AY3477" s="42"/>
      <c r="AZ3477" s="320"/>
      <c r="BD3477" s="401"/>
      <c r="BE3477" s="42"/>
    </row>
    <row r="3478" spans="48:57" x14ac:dyDescent="0.2">
      <c r="AV3478" s="401"/>
      <c r="AW3478" s="412"/>
      <c r="AX3478" s="230"/>
      <c r="AY3478" s="42"/>
      <c r="AZ3478" s="320"/>
      <c r="BD3478" s="401"/>
      <c r="BE3478" s="42"/>
    </row>
    <row r="3479" spans="48:57" x14ac:dyDescent="0.2">
      <c r="AV3479" s="401"/>
      <c r="AW3479" s="412"/>
      <c r="AX3479" s="230"/>
      <c r="AY3479" s="42"/>
      <c r="AZ3479" s="320"/>
      <c r="BD3479" s="401"/>
      <c r="BE3479" s="42"/>
    </row>
    <row r="3480" spans="48:57" x14ac:dyDescent="0.2">
      <c r="AV3480" s="401"/>
      <c r="AW3480" s="412"/>
      <c r="AX3480" s="230"/>
      <c r="AY3480" s="42"/>
      <c r="AZ3480" s="320"/>
      <c r="BD3480" s="401"/>
      <c r="BE3480" s="42"/>
    </row>
    <row r="3481" spans="48:57" x14ac:dyDescent="0.2">
      <c r="AV3481" s="401"/>
      <c r="AW3481" s="412"/>
      <c r="AX3481" s="230"/>
      <c r="AY3481" s="42"/>
      <c r="AZ3481" s="320"/>
      <c r="BD3481" s="401"/>
      <c r="BE3481" s="42"/>
    </row>
    <row r="3482" spans="48:57" x14ac:dyDescent="0.2">
      <c r="AV3482" s="401"/>
      <c r="AW3482" s="412"/>
      <c r="AX3482" s="230"/>
      <c r="AY3482" s="42"/>
      <c r="AZ3482" s="320"/>
      <c r="BD3482" s="401"/>
      <c r="BE3482" s="42"/>
    </row>
    <row r="3483" spans="48:57" x14ac:dyDescent="0.2">
      <c r="AV3483" s="401"/>
      <c r="AW3483" s="412"/>
      <c r="AX3483" s="230"/>
      <c r="AY3483" s="42"/>
      <c r="AZ3483" s="320"/>
      <c r="BD3483" s="401"/>
      <c r="BE3483" s="42"/>
    </row>
    <row r="3484" spans="48:57" x14ac:dyDescent="0.2">
      <c r="AV3484" s="401"/>
      <c r="AW3484" s="412"/>
      <c r="AX3484" s="230"/>
      <c r="AY3484" s="42"/>
      <c r="AZ3484" s="320"/>
      <c r="BD3484" s="401"/>
      <c r="BE3484" s="42"/>
    </row>
    <row r="3485" spans="48:57" x14ac:dyDescent="0.2">
      <c r="AV3485" s="401"/>
      <c r="AW3485" s="412"/>
      <c r="AX3485" s="230"/>
      <c r="AY3485" s="42"/>
      <c r="AZ3485" s="320"/>
      <c r="BD3485" s="401"/>
      <c r="BE3485" s="42"/>
    </row>
    <row r="3486" spans="48:57" x14ac:dyDescent="0.2">
      <c r="AV3486" s="401"/>
      <c r="AW3486" s="412"/>
      <c r="AX3486" s="230"/>
      <c r="AY3486" s="42"/>
      <c r="AZ3486" s="320"/>
      <c r="BD3486" s="401"/>
      <c r="BE3486" s="42"/>
    </row>
    <row r="3487" spans="48:57" x14ac:dyDescent="0.2">
      <c r="AV3487" s="401"/>
      <c r="AW3487" s="412"/>
      <c r="AX3487" s="230"/>
      <c r="AY3487" s="42"/>
      <c r="AZ3487" s="320"/>
      <c r="BD3487" s="401"/>
      <c r="BE3487" s="42"/>
    </row>
    <row r="3488" spans="48:57" x14ac:dyDescent="0.2">
      <c r="AV3488" s="401"/>
      <c r="AW3488" s="412"/>
      <c r="AX3488" s="230"/>
      <c r="AY3488" s="42"/>
      <c r="AZ3488" s="320"/>
      <c r="BD3488" s="401"/>
      <c r="BE3488" s="42"/>
    </row>
    <row r="3489" spans="48:57" x14ac:dyDescent="0.2">
      <c r="AV3489" s="401"/>
      <c r="AW3489" s="412"/>
      <c r="AX3489" s="230"/>
      <c r="AY3489" s="42"/>
      <c r="AZ3489" s="320"/>
      <c r="BD3489" s="401"/>
      <c r="BE3489" s="42"/>
    </row>
    <row r="3490" spans="48:57" x14ac:dyDescent="0.2">
      <c r="AV3490" s="401"/>
      <c r="AW3490" s="412"/>
      <c r="AX3490" s="230"/>
      <c r="AY3490" s="42"/>
      <c r="AZ3490" s="320"/>
      <c r="BD3490" s="401"/>
      <c r="BE3490" s="42"/>
    </row>
    <row r="3491" spans="48:57" x14ac:dyDescent="0.2">
      <c r="AV3491" s="401"/>
      <c r="AW3491" s="412"/>
      <c r="AX3491" s="230"/>
      <c r="AY3491" s="42"/>
      <c r="AZ3491" s="320"/>
      <c r="BD3491" s="401"/>
      <c r="BE3491" s="42"/>
    </row>
    <row r="3492" spans="48:57" x14ac:dyDescent="0.2">
      <c r="AV3492" s="401"/>
      <c r="AW3492" s="412"/>
      <c r="AX3492" s="230"/>
      <c r="AY3492" s="42"/>
      <c r="AZ3492" s="320"/>
      <c r="BD3492" s="401"/>
      <c r="BE3492" s="42"/>
    </row>
    <row r="3493" spans="48:57" x14ac:dyDescent="0.2">
      <c r="AV3493" s="401"/>
      <c r="AW3493" s="412"/>
      <c r="AX3493" s="230"/>
      <c r="AY3493" s="42"/>
      <c r="AZ3493" s="320"/>
      <c r="BD3493" s="401"/>
      <c r="BE3493" s="42"/>
    </row>
    <row r="3494" spans="48:57" x14ac:dyDescent="0.2">
      <c r="AV3494" s="401"/>
      <c r="AW3494" s="412"/>
      <c r="AX3494" s="230"/>
      <c r="AY3494" s="42"/>
      <c r="AZ3494" s="320"/>
      <c r="BD3494" s="401"/>
      <c r="BE3494" s="42"/>
    </row>
    <row r="3495" spans="48:57" x14ac:dyDescent="0.2">
      <c r="AV3495" s="401"/>
      <c r="AW3495" s="412"/>
      <c r="AX3495" s="230"/>
      <c r="AY3495" s="42"/>
      <c r="AZ3495" s="320"/>
      <c r="BD3495" s="401"/>
      <c r="BE3495" s="42"/>
    </row>
    <row r="3496" spans="48:57" x14ac:dyDescent="0.2">
      <c r="AV3496" s="401"/>
      <c r="AW3496" s="412"/>
      <c r="AX3496" s="230"/>
      <c r="AY3496" s="42"/>
      <c r="AZ3496" s="320"/>
      <c r="BD3496" s="401"/>
      <c r="BE3496" s="42"/>
    </row>
    <row r="3497" spans="48:57" x14ac:dyDescent="0.2">
      <c r="AV3497" s="401"/>
      <c r="AW3497" s="412"/>
      <c r="AX3497" s="230"/>
      <c r="AY3497" s="42"/>
      <c r="AZ3497" s="320"/>
      <c r="BD3497" s="401"/>
      <c r="BE3497" s="42"/>
    </row>
    <row r="3498" spans="48:57" x14ac:dyDescent="0.2">
      <c r="AV3498" s="401"/>
      <c r="AW3498" s="412"/>
      <c r="AX3498" s="230"/>
      <c r="AY3498" s="42"/>
      <c r="AZ3498" s="320"/>
      <c r="BD3498" s="401"/>
      <c r="BE3498" s="42"/>
    </row>
    <row r="3499" spans="48:57" x14ac:dyDescent="0.2">
      <c r="AV3499" s="401"/>
      <c r="AW3499" s="412"/>
      <c r="AX3499" s="230"/>
      <c r="AY3499" s="42"/>
      <c r="AZ3499" s="320"/>
      <c r="BD3499" s="401"/>
      <c r="BE3499" s="42"/>
    </row>
    <row r="3500" spans="48:57" x14ac:dyDescent="0.2">
      <c r="AV3500" s="401"/>
      <c r="AW3500" s="412"/>
      <c r="AX3500" s="230"/>
      <c r="AY3500" s="42"/>
      <c r="AZ3500" s="320"/>
      <c r="BD3500" s="401"/>
      <c r="BE3500" s="42"/>
    </row>
    <row r="3501" spans="48:57" x14ac:dyDescent="0.2">
      <c r="AV3501" s="401"/>
      <c r="AW3501" s="412"/>
      <c r="AX3501" s="230"/>
      <c r="AY3501" s="42"/>
      <c r="AZ3501" s="320"/>
      <c r="BD3501" s="401"/>
      <c r="BE3501" s="42"/>
    </row>
    <row r="3502" spans="48:57" x14ac:dyDescent="0.2">
      <c r="AV3502" s="401"/>
      <c r="AW3502" s="412"/>
      <c r="AX3502" s="230"/>
      <c r="AY3502" s="42"/>
      <c r="AZ3502" s="320"/>
      <c r="BD3502" s="401"/>
      <c r="BE3502" s="42"/>
    </row>
    <row r="3503" spans="48:57" x14ac:dyDescent="0.2">
      <c r="AV3503" s="401"/>
      <c r="AW3503" s="412"/>
      <c r="AX3503" s="230"/>
      <c r="AY3503" s="42"/>
      <c r="AZ3503" s="320"/>
      <c r="BD3503" s="401"/>
      <c r="BE3503" s="42"/>
    </row>
    <row r="3504" spans="48:57" x14ac:dyDescent="0.2">
      <c r="AV3504" s="401"/>
      <c r="AW3504" s="412"/>
      <c r="AX3504" s="230"/>
      <c r="AY3504" s="42"/>
      <c r="AZ3504" s="320"/>
      <c r="BD3504" s="401"/>
      <c r="BE3504" s="42"/>
    </row>
    <row r="3505" spans="48:57" x14ac:dyDescent="0.2">
      <c r="AV3505" s="401"/>
      <c r="AW3505" s="412"/>
      <c r="AX3505" s="230"/>
      <c r="AY3505" s="42"/>
      <c r="AZ3505" s="320"/>
      <c r="BD3505" s="401"/>
      <c r="BE3505" s="42"/>
    </row>
    <row r="3506" spans="48:57" x14ac:dyDescent="0.2">
      <c r="AV3506" s="401"/>
      <c r="AW3506" s="412"/>
      <c r="AX3506" s="230"/>
      <c r="AY3506" s="42"/>
      <c r="AZ3506" s="320"/>
      <c r="BD3506" s="401"/>
      <c r="BE3506" s="42"/>
    </row>
    <row r="3507" spans="48:57" x14ac:dyDescent="0.2">
      <c r="AV3507" s="401"/>
      <c r="AW3507" s="412"/>
      <c r="AX3507" s="230"/>
      <c r="AY3507" s="42"/>
      <c r="AZ3507" s="320"/>
      <c r="BD3507" s="401"/>
      <c r="BE3507" s="42"/>
    </row>
    <row r="3508" spans="48:57" x14ac:dyDescent="0.2">
      <c r="AV3508" s="401"/>
      <c r="AW3508" s="412"/>
      <c r="AX3508" s="230"/>
      <c r="AY3508" s="42"/>
      <c r="AZ3508" s="320"/>
      <c r="BD3508" s="401"/>
      <c r="BE3508" s="42"/>
    </row>
    <row r="3509" spans="48:57" x14ac:dyDescent="0.2">
      <c r="AV3509" s="401"/>
      <c r="AW3509" s="412"/>
      <c r="AX3509" s="230"/>
      <c r="AY3509" s="42"/>
      <c r="AZ3509" s="320"/>
      <c r="BD3509" s="401"/>
      <c r="BE3509" s="42"/>
    </row>
    <row r="3510" spans="48:57" x14ac:dyDescent="0.2">
      <c r="AV3510" s="401"/>
      <c r="AW3510" s="412"/>
      <c r="AX3510" s="230"/>
      <c r="AY3510" s="42"/>
      <c r="AZ3510" s="320"/>
      <c r="BD3510" s="401"/>
      <c r="BE3510" s="42"/>
    </row>
    <row r="3511" spans="48:57" x14ac:dyDescent="0.2">
      <c r="AV3511" s="401"/>
      <c r="AW3511" s="412"/>
      <c r="AX3511" s="230"/>
      <c r="AY3511" s="42"/>
      <c r="AZ3511" s="320"/>
      <c r="BD3511" s="401"/>
      <c r="BE3511" s="42"/>
    </row>
    <row r="3512" spans="48:57" x14ac:dyDescent="0.2">
      <c r="AV3512" s="401"/>
      <c r="AW3512" s="412"/>
      <c r="AX3512" s="230"/>
      <c r="AY3512" s="42"/>
      <c r="AZ3512" s="320"/>
      <c r="BD3512" s="401"/>
      <c r="BE3512" s="42"/>
    </row>
    <row r="3513" spans="48:57" x14ac:dyDescent="0.2">
      <c r="AV3513" s="401"/>
      <c r="AW3513" s="412"/>
      <c r="AX3513" s="230"/>
      <c r="AY3513" s="42"/>
      <c r="AZ3513" s="320"/>
      <c r="BD3513" s="401"/>
      <c r="BE3513" s="42"/>
    </row>
    <row r="3514" spans="48:57" x14ac:dyDescent="0.2">
      <c r="AV3514" s="401"/>
      <c r="AW3514" s="412"/>
      <c r="AX3514" s="230"/>
      <c r="AY3514" s="42"/>
      <c r="AZ3514" s="320"/>
      <c r="BD3514" s="401"/>
      <c r="BE3514" s="42"/>
    </row>
    <row r="3515" spans="48:57" x14ac:dyDescent="0.2">
      <c r="AV3515" s="401"/>
      <c r="AW3515" s="412"/>
      <c r="AX3515" s="230"/>
      <c r="AY3515" s="42"/>
      <c r="AZ3515" s="320"/>
      <c r="BD3515" s="401"/>
      <c r="BE3515" s="42"/>
    </row>
    <row r="3516" spans="48:57" x14ac:dyDescent="0.2">
      <c r="AV3516" s="401"/>
      <c r="AW3516" s="412"/>
      <c r="AX3516" s="230"/>
      <c r="AY3516" s="42"/>
      <c r="AZ3516" s="320"/>
      <c r="BD3516" s="401"/>
      <c r="BE3516" s="42"/>
    </row>
    <row r="3517" spans="48:57" x14ac:dyDescent="0.2">
      <c r="AV3517" s="401"/>
      <c r="AW3517" s="412"/>
      <c r="AX3517" s="230"/>
      <c r="AY3517" s="42"/>
      <c r="AZ3517" s="320"/>
      <c r="BD3517" s="401"/>
      <c r="BE3517" s="42"/>
    </row>
    <row r="3518" spans="48:57" x14ac:dyDescent="0.2">
      <c r="AV3518" s="401"/>
      <c r="AW3518" s="412"/>
      <c r="AX3518" s="230"/>
      <c r="AY3518" s="42"/>
      <c r="AZ3518" s="320"/>
      <c r="BD3518" s="401"/>
      <c r="BE3518" s="42"/>
    </row>
    <row r="3519" spans="48:57" x14ac:dyDescent="0.2">
      <c r="AV3519" s="401"/>
      <c r="AW3519" s="412"/>
      <c r="AX3519" s="230"/>
      <c r="AY3519" s="42"/>
      <c r="AZ3519" s="320"/>
      <c r="BD3519" s="401"/>
      <c r="BE3519" s="42"/>
    </row>
    <row r="3520" spans="48:57" x14ac:dyDescent="0.2">
      <c r="AV3520" s="401"/>
      <c r="AW3520" s="412"/>
      <c r="AX3520" s="230"/>
      <c r="AY3520" s="42"/>
      <c r="AZ3520" s="320"/>
      <c r="BD3520" s="401"/>
      <c r="BE3520" s="42"/>
    </row>
    <row r="3521" spans="48:57" x14ac:dyDescent="0.2">
      <c r="AV3521" s="401"/>
      <c r="AW3521" s="412"/>
      <c r="AX3521" s="230"/>
      <c r="AY3521" s="42"/>
      <c r="AZ3521" s="320"/>
      <c r="BD3521" s="401"/>
      <c r="BE3521" s="42"/>
    </row>
    <row r="3522" spans="48:57" x14ac:dyDescent="0.2">
      <c r="AV3522" s="401"/>
      <c r="AW3522" s="412"/>
      <c r="AX3522" s="230"/>
      <c r="AY3522" s="42"/>
      <c r="AZ3522" s="320"/>
      <c r="BD3522" s="401"/>
      <c r="BE3522" s="42"/>
    </row>
    <row r="3523" spans="48:57" x14ac:dyDescent="0.2">
      <c r="AV3523" s="401"/>
      <c r="AW3523" s="412"/>
      <c r="AX3523" s="230"/>
      <c r="AY3523" s="42"/>
      <c r="AZ3523" s="320"/>
      <c r="BD3523" s="401"/>
      <c r="BE3523" s="42"/>
    </row>
    <row r="3524" spans="48:57" x14ac:dyDescent="0.2">
      <c r="AV3524" s="401"/>
      <c r="AW3524" s="412"/>
      <c r="AX3524" s="230"/>
      <c r="AY3524" s="42"/>
      <c r="AZ3524" s="320"/>
      <c r="BD3524" s="401"/>
      <c r="BE3524" s="42"/>
    </row>
    <row r="3525" spans="48:57" x14ac:dyDescent="0.2">
      <c r="AV3525" s="401"/>
      <c r="AW3525" s="412"/>
      <c r="AX3525" s="230"/>
      <c r="AY3525" s="42"/>
      <c r="AZ3525" s="320"/>
      <c r="BD3525" s="401"/>
      <c r="BE3525" s="42"/>
    </row>
    <row r="3526" spans="48:57" x14ac:dyDescent="0.2">
      <c r="AV3526" s="401"/>
      <c r="AW3526" s="412"/>
      <c r="AX3526" s="230"/>
      <c r="AY3526" s="42"/>
      <c r="AZ3526" s="320"/>
      <c r="BD3526" s="401"/>
      <c r="BE3526" s="42"/>
    </row>
    <row r="3527" spans="48:57" x14ac:dyDescent="0.2">
      <c r="AV3527" s="401"/>
      <c r="AW3527" s="412"/>
      <c r="AX3527" s="230"/>
      <c r="AY3527" s="42"/>
      <c r="AZ3527" s="320"/>
      <c r="BD3527" s="401"/>
      <c r="BE3527" s="42"/>
    </row>
    <row r="3528" spans="48:57" x14ac:dyDescent="0.2">
      <c r="AV3528" s="401"/>
      <c r="AW3528" s="412"/>
      <c r="AX3528" s="230"/>
      <c r="AY3528" s="42"/>
      <c r="AZ3528" s="320"/>
      <c r="BD3528" s="401"/>
      <c r="BE3528" s="42"/>
    </row>
    <row r="3529" spans="48:57" x14ac:dyDescent="0.2">
      <c r="AV3529" s="401"/>
      <c r="AW3529" s="412"/>
      <c r="AX3529" s="230"/>
      <c r="AY3529" s="42"/>
      <c r="AZ3529" s="320"/>
      <c r="BD3529" s="401"/>
      <c r="BE3529" s="42"/>
    </row>
    <row r="3530" spans="48:57" x14ac:dyDescent="0.2">
      <c r="AV3530" s="401"/>
      <c r="AW3530" s="412"/>
      <c r="AX3530" s="230"/>
      <c r="AY3530" s="42"/>
      <c r="AZ3530" s="320"/>
      <c r="BD3530" s="401"/>
      <c r="BE3530" s="42"/>
    </row>
    <row r="3531" spans="48:57" x14ac:dyDescent="0.2">
      <c r="AV3531" s="401"/>
      <c r="AW3531" s="412"/>
      <c r="AX3531" s="230"/>
      <c r="AY3531" s="42"/>
      <c r="AZ3531" s="320"/>
      <c r="BD3531" s="401"/>
      <c r="BE3531" s="42"/>
    </row>
    <row r="3532" spans="48:57" x14ac:dyDescent="0.2">
      <c r="AV3532" s="401"/>
      <c r="AW3532" s="412"/>
      <c r="AX3532" s="230"/>
      <c r="AY3532" s="42"/>
      <c r="AZ3532" s="320"/>
      <c r="BD3532" s="401"/>
      <c r="BE3532" s="42"/>
    </row>
    <row r="3533" spans="48:57" x14ac:dyDescent="0.2">
      <c r="AV3533" s="401"/>
      <c r="AW3533" s="412"/>
      <c r="AX3533" s="230"/>
      <c r="AY3533" s="42"/>
      <c r="AZ3533" s="320"/>
      <c r="BD3533" s="401"/>
      <c r="BE3533" s="42"/>
    </row>
    <row r="3534" spans="48:57" x14ac:dyDescent="0.2">
      <c r="AV3534" s="401"/>
      <c r="AW3534" s="412"/>
      <c r="AX3534" s="230"/>
      <c r="AY3534" s="42"/>
      <c r="AZ3534" s="320"/>
      <c r="BD3534" s="401"/>
      <c r="BE3534" s="42"/>
    </row>
    <row r="3535" spans="48:57" x14ac:dyDescent="0.2">
      <c r="AV3535" s="401"/>
      <c r="AW3535" s="412"/>
      <c r="AX3535" s="230"/>
      <c r="AY3535" s="42"/>
      <c r="AZ3535" s="320"/>
      <c r="BD3535" s="401"/>
      <c r="BE3535" s="42"/>
    </row>
    <row r="3536" spans="48:57" x14ac:dyDescent="0.2">
      <c r="AV3536" s="401"/>
      <c r="AW3536" s="412"/>
      <c r="AX3536" s="230"/>
      <c r="AY3536" s="42"/>
      <c r="AZ3536" s="320"/>
      <c r="BD3536" s="401"/>
      <c r="BE3536" s="42"/>
    </row>
    <row r="3537" spans="48:57" x14ac:dyDescent="0.2">
      <c r="AV3537" s="401"/>
      <c r="AW3537" s="412"/>
      <c r="AX3537" s="230"/>
      <c r="AY3537" s="42"/>
      <c r="AZ3537" s="320"/>
      <c r="BD3537" s="401"/>
      <c r="BE3537" s="42"/>
    </row>
    <row r="3538" spans="48:57" x14ac:dyDescent="0.2">
      <c r="AV3538" s="401"/>
      <c r="AW3538" s="412"/>
      <c r="AX3538" s="230"/>
      <c r="AY3538" s="42"/>
      <c r="AZ3538" s="320"/>
      <c r="BD3538" s="401"/>
      <c r="BE3538" s="42"/>
    </row>
    <row r="3539" spans="48:57" x14ac:dyDescent="0.2">
      <c r="AV3539" s="401"/>
      <c r="AW3539" s="412"/>
      <c r="AX3539" s="230"/>
      <c r="AY3539" s="42"/>
      <c r="AZ3539" s="320"/>
      <c r="BD3539" s="401"/>
      <c r="BE3539" s="42"/>
    </row>
    <row r="3540" spans="48:57" x14ac:dyDescent="0.2">
      <c r="AV3540" s="401"/>
      <c r="AW3540" s="412"/>
      <c r="AX3540" s="230"/>
      <c r="AY3540" s="42"/>
      <c r="AZ3540" s="320"/>
      <c r="BD3540" s="401"/>
      <c r="BE3540" s="42"/>
    </row>
    <row r="3541" spans="48:57" x14ac:dyDescent="0.2">
      <c r="AV3541" s="401"/>
      <c r="AW3541" s="412"/>
      <c r="AX3541" s="230"/>
      <c r="AY3541" s="42"/>
      <c r="AZ3541" s="320"/>
      <c r="BD3541" s="401"/>
      <c r="BE3541" s="42"/>
    </row>
    <row r="3542" spans="48:57" x14ac:dyDescent="0.2">
      <c r="AV3542" s="401"/>
      <c r="AW3542" s="412"/>
      <c r="AX3542" s="230"/>
      <c r="AY3542" s="42"/>
      <c r="AZ3542" s="320"/>
      <c r="BD3542" s="401"/>
      <c r="BE3542" s="42"/>
    </row>
    <row r="3543" spans="48:57" x14ac:dyDescent="0.2">
      <c r="AV3543" s="401"/>
      <c r="AW3543" s="412"/>
      <c r="AX3543" s="230"/>
      <c r="AY3543" s="42"/>
      <c r="AZ3543" s="320"/>
      <c r="BD3543" s="401"/>
      <c r="BE3543" s="42"/>
    </row>
    <row r="3544" spans="48:57" x14ac:dyDescent="0.2">
      <c r="AV3544" s="401"/>
      <c r="AW3544" s="412"/>
      <c r="AX3544" s="230"/>
      <c r="AY3544" s="42"/>
      <c r="AZ3544" s="320"/>
      <c r="BD3544" s="401"/>
      <c r="BE3544" s="42"/>
    </row>
    <row r="3545" spans="48:57" x14ac:dyDescent="0.2">
      <c r="AV3545" s="401"/>
      <c r="AW3545" s="412"/>
      <c r="AX3545" s="230"/>
      <c r="AY3545" s="42"/>
      <c r="AZ3545" s="320"/>
      <c r="BD3545" s="401"/>
      <c r="BE3545" s="42"/>
    </row>
    <row r="3546" spans="48:57" x14ac:dyDescent="0.2">
      <c r="AV3546" s="401"/>
      <c r="AW3546" s="412"/>
      <c r="AX3546" s="230"/>
      <c r="AY3546" s="42"/>
      <c r="AZ3546" s="320"/>
      <c r="BD3546" s="401"/>
      <c r="BE3546" s="42"/>
    </row>
    <row r="3547" spans="48:57" x14ac:dyDescent="0.2">
      <c r="AV3547" s="401"/>
      <c r="AW3547" s="412"/>
      <c r="AX3547" s="230"/>
      <c r="AY3547" s="42"/>
      <c r="AZ3547" s="320"/>
      <c r="BD3547" s="401"/>
      <c r="BE3547" s="42"/>
    </row>
    <row r="3548" spans="48:57" x14ac:dyDescent="0.2">
      <c r="AV3548" s="401"/>
      <c r="AW3548" s="412"/>
      <c r="AX3548" s="230"/>
      <c r="AY3548" s="42"/>
      <c r="AZ3548" s="320"/>
      <c r="BD3548" s="401"/>
      <c r="BE3548" s="42"/>
    </row>
    <row r="3549" spans="48:57" x14ac:dyDescent="0.2">
      <c r="AV3549" s="401"/>
      <c r="AW3549" s="412"/>
      <c r="AX3549" s="230"/>
      <c r="AY3549" s="42"/>
      <c r="AZ3549" s="320"/>
      <c r="BD3549" s="401"/>
      <c r="BE3549" s="42"/>
    </row>
    <row r="3550" spans="48:57" x14ac:dyDescent="0.2">
      <c r="AV3550" s="401"/>
      <c r="AW3550" s="412"/>
      <c r="AX3550" s="230"/>
      <c r="AY3550" s="42"/>
      <c r="AZ3550" s="320"/>
      <c r="BD3550" s="401"/>
      <c r="BE3550" s="42"/>
    </row>
    <row r="3551" spans="48:57" x14ac:dyDescent="0.2">
      <c r="AV3551" s="401"/>
      <c r="AW3551" s="412"/>
      <c r="AX3551" s="230"/>
      <c r="AY3551" s="42"/>
      <c r="AZ3551" s="320"/>
      <c r="BD3551" s="401"/>
      <c r="BE3551" s="42"/>
    </row>
    <row r="3552" spans="48:57" x14ac:dyDescent="0.2">
      <c r="AV3552" s="401"/>
      <c r="AW3552" s="412"/>
      <c r="AX3552" s="230"/>
      <c r="AY3552" s="42"/>
      <c r="AZ3552" s="320"/>
      <c r="BD3552" s="401"/>
      <c r="BE3552" s="42"/>
    </row>
    <row r="3553" spans="48:57" x14ac:dyDescent="0.2">
      <c r="AV3553" s="401"/>
      <c r="AW3553" s="412"/>
      <c r="AX3553" s="230"/>
      <c r="AY3553" s="42"/>
      <c r="AZ3553" s="320"/>
      <c r="BD3553" s="401"/>
      <c r="BE3553" s="42"/>
    </row>
    <row r="3554" spans="48:57" x14ac:dyDescent="0.2">
      <c r="AV3554" s="401"/>
      <c r="AW3554" s="412"/>
      <c r="AX3554" s="230"/>
      <c r="AY3554" s="42"/>
      <c r="AZ3554" s="320"/>
      <c r="BD3554" s="401"/>
      <c r="BE3554" s="42"/>
    </row>
    <row r="3555" spans="48:57" x14ac:dyDescent="0.2">
      <c r="AV3555" s="401"/>
      <c r="AW3555" s="412"/>
      <c r="AX3555" s="230"/>
      <c r="AY3555" s="42"/>
      <c r="AZ3555" s="320"/>
      <c r="BD3555" s="401"/>
      <c r="BE3555" s="42"/>
    </row>
    <row r="3556" spans="48:57" x14ac:dyDescent="0.2">
      <c r="AV3556" s="401"/>
      <c r="AW3556" s="412"/>
      <c r="AX3556" s="230"/>
      <c r="AY3556" s="42"/>
      <c r="AZ3556" s="320"/>
      <c r="BD3556" s="401"/>
      <c r="BE3556" s="42"/>
    </row>
    <row r="3557" spans="48:57" x14ac:dyDescent="0.2">
      <c r="AV3557" s="401"/>
      <c r="AW3557" s="412"/>
      <c r="AX3557" s="230"/>
      <c r="AY3557" s="42"/>
      <c r="AZ3557" s="320"/>
      <c r="BD3557" s="401"/>
      <c r="BE3557" s="42"/>
    </row>
    <row r="3558" spans="48:57" x14ac:dyDescent="0.2">
      <c r="AV3558" s="401"/>
      <c r="AW3558" s="412"/>
      <c r="AX3558" s="230"/>
      <c r="AY3558" s="42"/>
      <c r="AZ3558" s="320"/>
      <c r="BD3558" s="401"/>
      <c r="BE3558" s="42"/>
    </row>
    <row r="3559" spans="48:57" x14ac:dyDescent="0.2">
      <c r="AV3559" s="401"/>
      <c r="AW3559" s="412"/>
      <c r="AX3559" s="230"/>
      <c r="AY3559" s="42"/>
      <c r="AZ3559" s="320"/>
      <c r="BD3559" s="401"/>
      <c r="BE3559" s="42"/>
    </row>
    <row r="3560" spans="48:57" x14ac:dyDescent="0.2">
      <c r="AV3560" s="401"/>
      <c r="AW3560" s="412"/>
      <c r="AX3560" s="230"/>
      <c r="AY3560" s="42"/>
      <c r="AZ3560" s="320"/>
      <c r="BD3560" s="401"/>
      <c r="BE3560" s="42"/>
    </row>
    <row r="3561" spans="48:57" x14ac:dyDescent="0.2">
      <c r="AV3561" s="401"/>
      <c r="AW3561" s="412"/>
      <c r="AX3561" s="230"/>
      <c r="AY3561" s="42"/>
      <c r="AZ3561" s="320"/>
      <c r="BD3561" s="401"/>
      <c r="BE3561" s="42"/>
    </row>
    <row r="3562" spans="48:57" x14ac:dyDescent="0.2">
      <c r="AV3562" s="401"/>
      <c r="AW3562" s="412"/>
      <c r="AX3562" s="230"/>
      <c r="AY3562" s="42"/>
      <c r="AZ3562" s="320"/>
      <c r="BD3562" s="401"/>
      <c r="BE3562" s="42"/>
    </row>
    <row r="3563" spans="48:57" x14ac:dyDescent="0.2">
      <c r="AV3563" s="401"/>
      <c r="AW3563" s="412"/>
      <c r="AX3563" s="230"/>
      <c r="AY3563" s="42"/>
      <c r="AZ3563" s="320"/>
      <c r="BD3563" s="401"/>
      <c r="BE3563" s="42"/>
    </row>
    <row r="3564" spans="48:57" x14ac:dyDescent="0.2">
      <c r="AV3564" s="401"/>
      <c r="AW3564" s="412"/>
      <c r="AX3564" s="230"/>
      <c r="AY3564" s="42"/>
      <c r="AZ3564" s="320"/>
      <c r="BD3564" s="401"/>
      <c r="BE3564" s="42"/>
    </row>
    <row r="3565" spans="48:57" x14ac:dyDescent="0.2">
      <c r="AV3565" s="401"/>
      <c r="AW3565" s="412"/>
      <c r="AX3565" s="230"/>
      <c r="AY3565" s="42"/>
      <c r="AZ3565" s="320"/>
      <c r="BD3565" s="401"/>
      <c r="BE3565" s="42"/>
    </row>
    <row r="3566" spans="48:57" x14ac:dyDescent="0.2">
      <c r="AV3566" s="401"/>
      <c r="AW3566" s="412"/>
      <c r="AX3566" s="230"/>
      <c r="AY3566" s="42"/>
      <c r="AZ3566" s="320"/>
      <c r="BD3566" s="401"/>
      <c r="BE3566" s="42"/>
    </row>
    <row r="3567" spans="48:57" x14ac:dyDescent="0.2">
      <c r="AV3567" s="401"/>
      <c r="AW3567" s="412"/>
      <c r="AX3567" s="230"/>
      <c r="AY3567" s="42"/>
      <c r="AZ3567" s="320"/>
      <c r="BD3567" s="401"/>
      <c r="BE3567" s="42"/>
    </row>
    <row r="3568" spans="48:57" x14ac:dyDescent="0.2">
      <c r="AV3568" s="401"/>
      <c r="AW3568" s="412"/>
      <c r="AX3568" s="230"/>
      <c r="AY3568" s="42"/>
      <c r="AZ3568" s="320"/>
      <c r="BD3568" s="401"/>
      <c r="BE3568" s="42"/>
    </row>
    <row r="3569" spans="48:57" x14ac:dyDescent="0.2">
      <c r="AV3569" s="401"/>
      <c r="AW3569" s="412"/>
      <c r="AX3569" s="230"/>
      <c r="AY3569" s="42"/>
      <c r="AZ3569" s="320"/>
      <c r="BD3569" s="401"/>
      <c r="BE3569" s="42"/>
    </row>
    <row r="3570" spans="48:57" x14ac:dyDescent="0.2">
      <c r="AV3570" s="401"/>
      <c r="AW3570" s="412"/>
      <c r="AX3570" s="230"/>
      <c r="AY3570" s="42"/>
      <c r="AZ3570" s="320"/>
      <c r="BD3570" s="401"/>
      <c r="BE3570" s="42"/>
    </row>
    <row r="3571" spans="48:57" x14ac:dyDescent="0.2">
      <c r="AV3571" s="401"/>
      <c r="AW3571" s="412"/>
      <c r="AX3571" s="230"/>
      <c r="AY3571" s="42"/>
      <c r="AZ3571" s="320"/>
      <c r="BD3571" s="401"/>
      <c r="BE3571" s="42"/>
    </row>
    <row r="3572" spans="48:57" x14ac:dyDescent="0.2">
      <c r="AV3572" s="401"/>
      <c r="AW3572" s="412"/>
      <c r="AX3572" s="230"/>
      <c r="AY3572" s="42"/>
      <c r="AZ3572" s="320"/>
      <c r="BD3572" s="401"/>
      <c r="BE3572" s="42"/>
    </row>
    <row r="3573" spans="48:57" x14ac:dyDescent="0.2">
      <c r="AV3573" s="401"/>
      <c r="AW3573" s="412"/>
      <c r="AX3573" s="230"/>
      <c r="AY3573" s="42"/>
      <c r="AZ3573" s="320"/>
      <c r="BD3573" s="401"/>
      <c r="BE3573" s="42"/>
    </row>
    <row r="3574" spans="48:57" x14ac:dyDescent="0.2">
      <c r="AV3574" s="401"/>
      <c r="AW3574" s="412"/>
      <c r="AX3574" s="230"/>
      <c r="AY3574" s="42"/>
      <c r="AZ3574" s="320"/>
      <c r="BD3574" s="401"/>
      <c r="BE3574" s="42"/>
    </row>
    <row r="3575" spans="48:57" x14ac:dyDescent="0.2">
      <c r="AV3575" s="401"/>
      <c r="AW3575" s="412"/>
      <c r="AX3575" s="230"/>
      <c r="AY3575" s="42"/>
      <c r="AZ3575" s="320"/>
      <c r="BD3575" s="401"/>
      <c r="BE3575" s="42"/>
    </row>
    <row r="3576" spans="48:57" x14ac:dyDescent="0.2">
      <c r="AV3576" s="401"/>
      <c r="AW3576" s="412"/>
      <c r="AX3576" s="230"/>
      <c r="AY3576" s="42"/>
      <c r="AZ3576" s="320"/>
      <c r="BD3576" s="401"/>
      <c r="BE3576" s="42"/>
    </row>
    <row r="3577" spans="48:57" x14ac:dyDescent="0.2">
      <c r="AV3577" s="401"/>
      <c r="AW3577" s="412"/>
      <c r="AX3577" s="230"/>
      <c r="AY3577" s="42"/>
      <c r="AZ3577" s="320"/>
      <c r="BD3577" s="401"/>
      <c r="BE3577" s="42"/>
    </row>
    <row r="3578" spans="48:57" x14ac:dyDescent="0.2">
      <c r="AV3578" s="401"/>
      <c r="AW3578" s="412"/>
      <c r="AX3578" s="230"/>
      <c r="AY3578" s="42"/>
      <c r="AZ3578" s="320"/>
      <c r="BD3578" s="401"/>
      <c r="BE3578" s="42"/>
    </row>
    <row r="3579" spans="48:57" x14ac:dyDescent="0.2">
      <c r="AV3579" s="401"/>
      <c r="AW3579" s="412"/>
      <c r="AX3579" s="230"/>
      <c r="AY3579" s="42"/>
      <c r="AZ3579" s="320"/>
      <c r="BD3579" s="401"/>
      <c r="BE3579" s="42"/>
    </row>
    <row r="3580" spans="48:57" x14ac:dyDescent="0.2">
      <c r="AV3580" s="401"/>
      <c r="AW3580" s="412"/>
      <c r="AX3580" s="230"/>
      <c r="AY3580" s="42"/>
      <c r="AZ3580" s="320"/>
      <c r="BD3580" s="401"/>
      <c r="BE3580" s="42"/>
    </row>
    <row r="3581" spans="48:57" x14ac:dyDescent="0.2">
      <c r="AV3581" s="401"/>
      <c r="AW3581" s="412"/>
      <c r="AX3581" s="230"/>
      <c r="AY3581" s="42"/>
      <c r="AZ3581" s="320"/>
      <c r="BD3581" s="401"/>
      <c r="BE3581" s="42"/>
    </row>
    <row r="3582" spans="48:57" x14ac:dyDescent="0.2">
      <c r="AV3582" s="401"/>
      <c r="AW3582" s="412"/>
      <c r="AX3582" s="230"/>
      <c r="AY3582" s="42"/>
      <c r="AZ3582" s="320"/>
      <c r="BD3582" s="401"/>
      <c r="BE3582" s="42"/>
    </row>
    <row r="3583" spans="48:57" x14ac:dyDescent="0.2">
      <c r="AV3583" s="401"/>
      <c r="AW3583" s="412"/>
      <c r="AX3583" s="230"/>
      <c r="AY3583" s="42"/>
      <c r="AZ3583" s="320"/>
      <c r="BD3583" s="401"/>
      <c r="BE3583" s="42"/>
    </row>
    <row r="3584" spans="48:57" x14ac:dyDescent="0.2">
      <c r="AV3584" s="401"/>
      <c r="AW3584" s="412"/>
      <c r="AX3584" s="230"/>
      <c r="AY3584" s="42"/>
      <c r="AZ3584" s="320"/>
      <c r="BD3584" s="401"/>
      <c r="BE3584" s="42"/>
    </row>
    <row r="3585" spans="48:57" x14ac:dyDescent="0.2">
      <c r="AV3585" s="401"/>
      <c r="AW3585" s="412"/>
      <c r="AX3585" s="230"/>
      <c r="AY3585" s="42"/>
      <c r="AZ3585" s="320"/>
      <c r="BD3585" s="401"/>
      <c r="BE3585" s="42"/>
    </row>
    <row r="3586" spans="48:57" x14ac:dyDescent="0.2">
      <c r="AV3586" s="401"/>
      <c r="AW3586" s="412"/>
      <c r="AX3586" s="230"/>
      <c r="AY3586" s="42"/>
      <c r="AZ3586" s="320"/>
      <c r="BD3586" s="401"/>
      <c r="BE3586" s="42"/>
    </row>
    <row r="3587" spans="48:57" x14ac:dyDescent="0.2">
      <c r="AV3587" s="401"/>
      <c r="AW3587" s="412"/>
      <c r="AX3587" s="230"/>
      <c r="AY3587" s="42"/>
      <c r="AZ3587" s="320"/>
      <c r="BD3587" s="401"/>
      <c r="BE3587" s="42"/>
    </row>
    <row r="3588" spans="48:57" x14ac:dyDescent="0.2">
      <c r="AV3588" s="401"/>
      <c r="AW3588" s="412"/>
      <c r="AX3588" s="230"/>
      <c r="AY3588" s="42"/>
      <c r="AZ3588" s="320"/>
      <c r="BD3588" s="401"/>
      <c r="BE3588" s="42"/>
    </row>
    <row r="3589" spans="48:57" x14ac:dyDescent="0.2">
      <c r="AV3589" s="401"/>
      <c r="AW3589" s="412"/>
      <c r="AX3589" s="230"/>
      <c r="AY3589" s="42"/>
      <c r="AZ3589" s="320"/>
      <c r="BD3589" s="401"/>
      <c r="BE3589" s="42"/>
    </row>
    <row r="3590" spans="48:57" x14ac:dyDescent="0.2">
      <c r="AV3590" s="401"/>
      <c r="AW3590" s="412"/>
      <c r="AX3590" s="230"/>
      <c r="AY3590" s="42"/>
      <c r="AZ3590" s="320"/>
      <c r="BD3590" s="401"/>
      <c r="BE3590" s="42"/>
    </row>
    <row r="3591" spans="48:57" x14ac:dyDescent="0.2">
      <c r="AV3591" s="401"/>
      <c r="AW3591" s="412"/>
      <c r="AX3591" s="230"/>
      <c r="AY3591" s="42"/>
      <c r="AZ3591" s="320"/>
      <c r="BD3591" s="401"/>
      <c r="BE3591" s="42"/>
    </row>
    <row r="3592" spans="48:57" x14ac:dyDescent="0.2">
      <c r="AV3592" s="401"/>
      <c r="AW3592" s="412"/>
      <c r="AX3592" s="230"/>
      <c r="AY3592" s="42"/>
      <c r="AZ3592" s="320"/>
      <c r="BD3592" s="401"/>
      <c r="BE3592" s="42"/>
    </row>
    <row r="3593" spans="48:57" x14ac:dyDescent="0.2">
      <c r="AV3593" s="401"/>
      <c r="AW3593" s="412"/>
      <c r="AX3593" s="230"/>
      <c r="AY3593" s="42"/>
      <c r="AZ3593" s="320"/>
      <c r="BD3593" s="401"/>
      <c r="BE3593" s="42"/>
    </row>
    <row r="3594" spans="48:57" x14ac:dyDescent="0.2">
      <c r="AV3594" s="401"/>
      <c r="AW3594" s="412"/>
      <c r="AX3594" s="230"/>
      <c r="AY3594" s="42"/>
      <c r="AZ3594" s="320"/>
      <c r="BD3594" s="401"/>
      <c r="BE3594" s="42"/>
    </row>
    <row r="3595" spans="48:57" x14ac:dyDescent="0.2">
      <c r="AV3595" s="401"/>
      <c r="AW3595" s="412"/>
      <c r="AX3595" s="230"/>
      <c r="AY3595" s="42"/>
      <c r="AZ3595" s="320"/>
      <c r="BD3595" s="401"/>
      <c r="BE3595" s="42"/>
    </row>
    <row r="3596" spans="48:57" x14ac:dyDescent="0.2">
      <c r="AV3596" s="401"/>
      <c r="AW3596" s="412"/>
      <c r="AX3596" s="230"/>
      <c r="AY3596" s="42"/>
      <c r="AZ3596" s="320"/>
      <c r="BD3596" s="401"/>
      <c r="BE3596" s="42"/>
    </row>
    <row r="3597" spans="48:57" x14ac:dyDescent="0.2">
      <c r="AV3597" s="401"/>
      <c r="AW3597" s="412"/>
      <c r="AX3597" s="230"/>
      <c r="AY3597" s="42"/>
      <c r="AZ3597" s="320"/>
      <c r="BD3597" s="401"/>
      <c r="BE3597" s="42"/>
    </row>
    <row r="3598" spans="48:57" x14ac:dyDescent="0.2">
      <c r="AV3598" s="401"/>
      <c r="AW3598" s="412"/>
      <c r="AX3598" s="230"/>
      <c r="AY3598" s="42"/>
      <c r="AZ3598" s="320"/>
      <c r="BD3598" s="401"/>
      <c r="BE3598" s="42"/>
    </row>
    <row r="3599" spans="48:57" x14ac:dyDescent="0.2">
      <c r="AV3599" s="401"/>
      <c r="AW3599" s="412"/>
      <c r="AX3599" s="230"/>
      <c r="AY3599" s="42"/>
      <c r="AZ3599" s="320"/>
      <c r="BD3599" s="401"/>
      <c r="BE3599" s="42"/>
    </row>
    <row r="3600" spans="48:57" x14ac:dyDescent="0.2">
      <c r="AV3600" s="401"/>
      <c r="AW3600" s="412"/>
      <c r="AX3600" s="230"/>
      <c r="AY3600" s="42"/>
      <c r="AZ3600" s="320"/>
      <c r="BD3600" s="401"/>
      <c r="BE3600" s="42"/>
    </row>
    <row r="3601" spans="48:57" x14ac:dyDescent="0.2">
      <c r="AV3601" s="401"/>
      <c r="AW3601" s="412"/>
      <c r="AX3601" s="230"/>
      <c r="AY3601" s="42"/>
      <c r="AZ3601" s="320"/>
      <c r="BD3601" s="401"/>
      <c r="BE3601" s="42"/>
    </row>
    <row r="3602" spans="48:57" x14ac:dyDescent="0.2">
      <c r="AV3602" s="401"/>
      <c r="AW3602" s="412"/>
      <c r="AX3602" s="230"/>
      <c r="AY3602" s="42"/>
      <c r="AZ3602" s="320"/>
      <c r="BD3602" s="401"/>
      <c r="BE3602" s="42"/>
    </row>
    <row r="3603" spans="48:57" x14ac:dyDescent="0.2">
      <c r="AV3603" s="401"/>
      <c r="AW3603" s="412"/>
      <c r="AX3603" s="230"/>
      <c r="AY3603" s="42"/>
      <c r="AZ3603" s="320"/>
      <c r="BD3603" s="401"/>
      <c r="BE3603" s="42"/>
    </row>
    <row r="3604" spans="48:57" x14ac:dyDescent="0.2">
      <c r="AV3604" s="401"/>
      <c r="AW3604" s="412"/>
      <c r="AX3604" s="230"/>
      <c r="AY3604" s="42"/>
      <c r="AZ3604" s="320"/>
      <c r="BD3604" s="401"/>
      <c r="BE3604" s="42"/>
    </row>
    <row r="3605" spans="48:57" x14ac:dyDescent="0.2">
      <c r="AV3605" s="401"/>
      <c r="AW3605" s="412"/>
      <c r="AX3605" s="230"/>
      <c r="AY3605" s="42"/>
      <c r="AZ3605" s="320"/>
      <c r="BD3605" s="401"/>
      <c r="BE3605" s="42"/>
    </row>
    <row r="3606" spans="48:57" x14ac:dyDescent="0.2">
      <c r="AV3606" s="401"/>
      <c r="AW3606" s="412"/>
      <c r="AX3606" s="230"/>
      <c r="AY3606" s="42"/>
      <c r="AZ3606" s="320"/>
      <c r="BD3606" s="401"/>
      <c r="BE3606" s="42"/>
    </row>
    <row r="3607" spans="48:57" x14ac:dyDescent="0.2">
      <c r="AV3607" s="401"/>
      <c r="AW3607" s="412"/>
      <c r="AX3607" s="230"/>
      <c r="AY3607" s="42"/>
      <c r="AZ3607" s="320"/>
      <c r="BD3607" s="401"/>
      <c r="BE3607" s="42"/>
    </row>
    <row r="3608" spans="48:57" x14ac:dyDescent="0.2">
      <c r="AV3608" s="401"/>
      <c r="AW3608" s="412"/>
      <c r="AX3608" s="230"/>
      <c r="AY3608" s="42"/>
      <c r="AZ3608" s="320"/>
      <c r="BD3608" s="401"/>
      <c r="BE3608" s="42"/>
    </row>
    <row r="3609" spans="48:57" x14ac:dyDescent="0.2">
      <c r="AV3609" s="401"/>
      <c r="AW3609" s="412"/>
      <c r="AX3609" s="230"/>
      <c r="AY3609" s="42"/>
      <c r="AZ3609" s="320"/>
      <c r="BD3609" s="401"/>
      <c r="BE3609" s="42"/>
    </row>
    <row r="3610" spans="48:57" x14ac:dyDescent="0.2">
      <c r="AV3610" s="401"/>
      <c r="AW3610" s="412"/>
      <c r="AX3610" s="230"/>
      <c r="AY3610" s="42"/>
      <c r="AZ3610" s="320"/>
      <c r="BD3610" s="401"/>
      <c r="BE3610" s="42"/>
    </row>
    <row r="3611" spans="48:57" x14ac:dyDescent="0.2">
      <c r="AV3611" s="401"/>
      <c r="AW3611" s="412"/>
      <c r="AX3611" s="230"/>
      <c r="AY3611" s="42"/>
      <c r="AZ3611" s="320"/>
      <c r="BD3611" s="401"/>
      <c r="BE3611" s="42"/>
    </row>
    <row r="3612" spans="48:57" x14ac:dyDescent="0.2">
      <c r="AV3612" s="401"/>
      <c r="AW3612" s="412"/>
      <c r="AX3612" s="230"/>
      <c r="AY3612" s="42"/>
      <c r="AZ3612" s="320"/>
      <c r="BD3612" s="401"/>
      <c r="BE3612" s="42"/>
    </row>
    <row r="3613" spans="48:57" x14ac:dyDescent="0.2">
      <c r="AV3613" s="401"/>
      <c r="AW3613" s="412"/>
      <c r="AX3613" s="230"/>
      <c r="AY3613" s="42"/>
      <c r="AZ3613" s="320"/>
      <c r="BD3613" s="401"/>
      <c r="BE3613" s="42"/>
    </row>
    <row r="3614" spans="48:57" x14ac:dyDescent="0.2">
      <c r="AV3614" s="401"/>
      <c r="AW3614" s="412"/>
      <c r="AX3614" s="230"/>
      <c r="AY3614" s="42"/>
      <c r="AZ3614" s="320"/>
      <c r="BD3614" s="401"/>
      <c r="BE3614" s="42"/>
    </row>
    <row r="3615" spans="48:57" x14ac:dyDescent="0.2">
      <c r="AV3615" s="401"/>
      <c r="AW3615" s="412"/>
      <c r="AX3615" s="230"/>
      <c r="AY3615" s="42"/>
      <c r="AZ3615" s="320"/>
      <c r="BD3615" s="401"/>
      <c r="BE3615" s="42"/>
    </row>
    <row r="3616" spans="48:57" x14ac:dyDescent="0.2">
      <c r="AV3616" s="401"/>
      <c r="AW3616" s="412"/>
      <c r="AX3616" s="230"/>
      <c r="AY3616" s="42"/>
      <c r="AZ3616" s="320"/>
      <c r="BD3616" s="401"/>
      <c r="BE3616" s="42"/>
    </row>
    <row r="3617" spans="48:57" x14ac:dyDescent="0.2">
      <c r="AV3617" s="401"/>
      <c r="AW3617" s="412"/>
      <c r="AX3617" s="230"/>
      <c r="AY3617" s="42"/>
      <c r="AZ3617" s="320"/>
      <c r="BD3617" s="401"/>
      <c r="BE3617" s="42"/>
    </row>
    <row r="3618" spans="48:57" x14ac:dyDescent="0.2">
      <c r="AV3618" s="401"/>
      <c r="AW3618" s="412"/>
      <c r="AX3618" s="230"/>
      <c r="AY3618" s="42"/>
      <c r="AZ3618" s="320"/>
      <c r="BD3618" s="401"/>
      <c r="BE3618" s="42"/>
    </row>
    <row r="3619" spans="48:57" x14ac:dyDescent="0.2">
      <c r="AV3619" s="401"/>
      <c r="AW3619" s="412"/>
      <c r="AX3619" s="230"/>
      <c r="AY3619" s="42"/>
      <c r="AZ3619" s="320"/>
      <c r="BD3619" s="401"/>
      <c r="BE3619" s="42"/>
    </row>
    <row r="3620" spans="48:57" x14ac:dyDescent="0.2">
      <c r="AV3620" s="401"/>
      <c r="AW3620" s="412"/>
      <c r="AX3620" s="230"/>
      <c r="AY3620" s="42"/>
      <c r="AZ3620" s="320"/>
      <c r="BD3620" s="401"/>
      <c r="BE3620" s="42"/>
    </row>
    <row r="3621" spans="48:57" x14ac:dyDescent="0.2">
      <c r="AV3621" s="401"/>
      <c r="AW3621" s="412"/>
      <c r="AX3621" s="230"/>
      <c r="AY3621" s="42"/>
      <c r="AZ3621" s="320"/>
      <c r="BD3621" s="401"/>
      <c r="BE3621" s="42"/>
    </row>
    <row r="3622" spans="48:57" x14ac:dyDescent="0.2">
      <c r="AV3622" s="401"/>
      <c r="AW3622" s="412"/>
      <c r="AX3622" s="230"/>
      <c r="AY3622" s="42"/>
      <c r="AZ3622" s="320"/>
      <c r="BD3622" s="401"/>
      <c r="BE3622" s="42"/>
    </row>
    <row r="3623" spans="48:57" x14ac:dyDescent="0.2">
      <c r="AV3623" s="401"/>
      <c r="AW3623" s="412"/>
      <c r="AX3623" s="230"/>
      <c r="AY3623" s="42"/>
      <c r="AZ3623" s="320"/>
      <c r="BD3623" s="401"/>
      <c r="BE3623" s="42"/>
    </row>
    <row r="3624" spans="48:57" x14ac:dyDescent="0.2">
      <c r="AV3624" s="401"/>
      <c r="AW3624" s="412"/>
      <c r="AX3624" s="230"/>
      <c r="AY3624" s="42"/>
      <c r="AZ3624" s="320"/>
      <c r="BD3624" s="401"/>
      <c r="BE3624" s="42"/>
    </row>
    <row r="3625" spans="48:57" x14ac:dyDescent="0.2">
      <c r="AV3625" s="401"/>
      <c r="AW3625" s="412"/>
      <c r="AX3625" s="230"/>
      <c r="AY3625" s="42"/>
      <c r="AZ3625" s="320"/>
      <c r="BD3625" s="401"/>
      <c r="BE3625" s="42"/>
    </row>
    <row r="3626" spans="48:57" x14ac:dyDescent="0.2">
      <c r="AV3626" s="401"/>
      <c r="AW3626" s="412"/>
      <c r="AX3626" s="230"/>
      <c r="AY3626" s="42"/>
      <c r="AZ3626" s="320"/>
      <c r="BD3626" s="401"/>
      <c r="BE3626" s="42"/>
    </row>
    <row r="3627" spans="48:57" x14ac:dyDescent="0.2">
      <c r="AV3627" s="401"/>
      <c r="AW3627" s="412"/>
      <c r="AX3627" s="230"/>
      <c r="AY3627" s="42"/>
      <c r="AZ3627" s="320"/>
      <c r="BD3627" s="401"/>
      <c r="BE3627" s="42"/>
    </row>
    <row r="3628" spans="48:57" x14ac:dyDescent="0.2">
      <c r="AV3628" s="401"/>
      <c r="AW3628" s="412"/>
      <c r="AX3628" s="230"/>
      <c r="AY3628" s="42"/>
      <c r="AZ3628" s="320"/>
      <c r="BD3628" s="401"/>
      <c r="BE3628" s="42"/>
    </row>
    <row r="3629" spans="48:57" x14ac:dyDescent="0.2">
      <c r="AV3629" s="401"/>
      <c r="AW3629" s="412"/>
      <c r="AX3629" s="230"/>
      <c r="AY3629" s="42"/>
      <c r="AZ3629" s="320"/>
      <c r="BD3629" s="401"/>
      <c r="BE3629" s="42"/>
    </row>
    <row r="3630" spans="48:57" x14ac:dyDescent="0.2">
      <c r="AV3630" s="401"/>
      <c r="AW3630" s="412"/>
      <c r="AX3630" s="230"/>
      <c r="AY3630" s="42"/>
      <c r="AZ3630" s="320"/>
      <c r="BD3630" s="401"/>
      <c r="BE3630" s="42"/>
    </row>
    <row r="3631" spans="48:57" x14ac:dyDescent="0.2">
      <c r="AV3631" s="401"/>
      <c r="AW3631" s="412"/>
      <c r="AX3631" s="230"/>
      <c r="AY3631" s="42"/>
      <c r="AZ3631" s="320"/>
      <c r="BD3631" s="401"/>
      <c r="BE3631" s="42"/>
    </row>
    <row r="3632" spans="48:57" x14ac:dyDescent="0.2">
      <c r="AV3632" s="401"/>
      <c r="AW3632" s="412"/>
      <c r="AX3632" s="230"/>
      <c r="AY3632" s="42"/>
      <c r="AZ3632" s="320"/>
      <c r="BD3632" s="401"/>
      <c r="BE3632" s="42"/>
    </row>
    <row r="3633" spans="48:57" x14ac:dyDescent="0.2">
      <c r="AV3633" s="401"/>
      <c r="AW3633" s="412"/>
      <c r="AX3633" s="230"/>
      <c r="AY3633" s="42"/>
      <c r="AZ3633" s="320"/>
      <c r="BD3633" s="401"/>
      <c r="BE3633" s="42"/>
    </row>
    <row r="3634" spans="48:57" x14ac:dyDescent="0.2">
      <c r="AV3634" s="401"/>
      <c r="AW3634" s="412"/>
      <c r="AX3634" s="230"/>
      <c r="AY3634" s="42"/>
      <c r="AZ3634" s="320"/>
      <c r="BD3634" s="401"/>
      <c r="BE3634" s="42"/>
    </row>
    <row r="3635" spans="48:57" x14ac:dyDescent="0.2">
      <c r="AV3635" s="401"/>
      <c r="AW3635" s="412"/>
      <c r="AX3635" s="230"/>
      <c r="AY3635" s="42"/>
      <c r="AZ3635" s="320"/>
      <c r="BD3635" s="401"/>
      <c r="BE3635" s="42"/>
    </row>
    <row r="3636" spans="48:57" x14ac:dyDescent="0.2">
      <c r="AV3636" s="401"/>
      <c r="AW3636" s="412"/>
      <c r="AX3636" s="230"/>
      <c r="AY3636" s="42"/>
      <c r="AZ3636" s="320"/>
      <c r="BD3636" s="401"/>
      <c r="BE3636" s="42"/>
    </row>
    <row r="3637" spans="48:57" x14ac:dyDescent="0.2">
      <c r="AV3637" s="401"/>
      <c r="AW3637" s="412"/>
      <c r="AX3637" s="230"/>
      <c r="AY3637" s="42"/>
      <c r="AZ3637" s="320"/>
      <c r="BD3637" s="401"/>
      <c r="BE3637" s="42"/>
    </row>
    <row r="3638" spans="48:57" x14ac:dyDescent="0.2">
      <c r="AV3638" s="401"/>
      <c r="AW3638" s="412"/>
      <c r="AX3638" s="230"/>
      <c r="AY3638" s="42"/>
      <c r="AZ3638" s="320"/>
      <c r="BD3638" s="401"/>
      <c r="BE3638" s="42"/>
    </row>
    <row r="3639" spans="48:57" x14ac:dyDescent="0.2">
      <c r="AV3639" s="401"/>
      <c r="AW3639" s="412"/>
      <c r="AX3639" s="230"/>
      <c r="AY3639" s="42"/>
      <c r="AZ3639" s="320"/>
      <c r="BD3639" s="401"/>
      <c r="BE3639" s="42"/>
    </row>
    <row r="3640" spans="48:57" x14ac:dyDescent="0.2">
      <c r="AV3640" s="401"/>
      <c r="AW3640" s="412"/>
      <c r="AX3640" s="230"/>
      <c r="AY3640" s="42"/>
      <c r="AZ3640" s="320"/>
      <c r="BD3640" s="401"/>
      <c r="BE3640" s="42"/>
    </row>
    <row r="3641" spans="48:57" x14ac:dyDescent="0.2">
      <c r="AV3641" s="401"/>
      <c r="AW3641" s="412"/>
      <c r="AX3641" s="230"/>
      <c r="AY3641" s="42"/>
      <c r="AZ3641" s="320"/>
      <c r="BD3641" s="401"/>
      <c r="BE3641" s="42"/>
    </row>
    <row r="3642" spans="48:57" x14ac:dyDescent="0.2">
      <c r="AV3642" s="401"/>
      <c r="AW3642" s="412"/>
      <c r="AX3642" s="230"/>
      <c r="AY3642" s="42"/>
      <c r="AZ3642" s="320"/>
      <c r="BD3642" s="401"/>
      <c r="BE3642" s="42"/>
    </row>
    <row r="3643" spans="48:57" x14ac:dyDescent="0.2">
      <c r="AV3643" s="401"/>
      <c r="AW3643" s="412"/>
      <c r="AX3643" s="230"/>
      <c r="AY3643" s="42"/>
      <c r="AZ3643" s="320"/>
      <c r="BD3643" s="401"/>
      <c r="BE3643" s="42"/>
    </row>
    <row r="3644" spans="48:57" x14ac:dyDescent="0.2">
      <c r="AV3644" s="401"/>
      <c r="AW3644" s="412"/>
      <c r="AX3644" s="230"/>
      <c r="AY3644" s="42"/>
      <c r="AZ3644" s="320"/>
      <c r="BD3644" s="401"/>
      <c r="BE3644" s="42"/>
    </row>
    <row r="3645" spans="48:57" x14ac:dyDescent="0.2">
      <c r="AV3645" s="401"/>
      <c r="AW3645" s="412"/>
      <c r="AX3645" s="230"/>
      <c r="AY3645" s="42"/>
      <c r="AZ3645" s="320"/>
      <c r="BD3645" s="401"/>
      <c r="BE3645" s="42"/>
    </row>
    <row r="3646" spans="48:57" x14ac:dyDescent="0.2">
      <c r="AV3646" s="401"/>
      <c r="AW3646" s="412"/>
      <c r="AX3646" s="230"/>
      <c r="AY3646" s="42"/>
      <c r="AZ3646" s="320"/>
      <c r="BD3646" s="401"/>
      <c r="BE3646" s="42"/>
    </row>
    <row r="3647" spans="48:57" x14ac:dyDescent="0.2">
      <c r="AV3647" s="401"/>
      <c r="AW3647" s="412"/>
      <c r="AX3647" s="230"/>
      <c r="AY3647" s="42"/>
      <c r="AZ3647" s="320"/>
      <c r="BD3647" s="401"/>
      <c r="BE3647" s="42"/>
    </row>
    <row r="3648" spans="48:57" x14ac:dyDescent="0.2">
      <c r="AV3648" s="401"/>
      <c r="AW3648" s="412"/>
      <c r="AX3648" s="230"/>
      <c r="AY3648" s="42"/>
      <c r="AZ3648" s="320"/>
      <c r="BD3648" s="401"/>
      <c r="BE3648" s="42"/>
    </row>
    <row r="3649" spans="48:57" x14ac:dyDescent="0.2">
      <c r="AV3649" s="401"/>
      <c r="AW3649" s="412"/>
      <c r="AX3649" s="230"/>
      <c r="AY3649" s="42"/>
      <c r="AZ3649" s="320"/>
      <c r="BD3649" s="401"/>
      <c r="BE3649" s="42"/>
    </row>
    <row r="3650" spans="48:57" x14ac:dyDescent="0.2">
      <c r="AV3650" s="401"/>
      <c r="AW3650" s="412"/>
      <c r="AX3650" s="230"/>
      <c r="AY3650" s="42"/>
      <c r="AZ3650" s="320"/>
      <c r="BD3650" s="401"/>
      <c r="BE3650" s="42"/>
    </row>
    <row r="3651" spans="48:57" x14ac:dyDescent="0.2">
      <c r="AV3651" s="401"/>
      <c r="AW3651" s="412"/>
      <c r="AX3651" s="230"/>
      <c r="AY3651" s="42"/>
      <c r="AZ3651" s="320"/>
      <c r="BD3651" s="401"/>
      <c r="BE3651" s="42"/>
    </row>
    <row r="3652" spans="48:57" x14ac:dyDescent="0.2">
      <c r="AV3652" s="401"/>
      <c r="AW3652" s="412"/>
      <c r="AX3652" s="230"/>
      <c r="AY3652" s="42"/>
      <c r="AZ3652" s="320"/>
      <c r="BD3652" s="401"/>
      <c r="BE3652" s="42"/>
    </row>
    <row r="3653" spans="48:57" x14ac:dyDescent="0.2">
      <c r="AV3653" s="401"/>
      <c r="AW3653" s="412"/>
      <c r="AX3653" s="230"/>
      <c r="AY3653" s="42"/>
      <c r="AZ3653" s="320"/>
      <c r="BD3653" s="401"/>
      <c r="BE3653" s="42"/>
    </row>
    <row r="3654" spans="48:57" x14ac:dyDescent="0.2">
      <c r="AV3654" s="401"/>
      <c r="AW3654" s="412"/>
      <c r="AX3654" s="230"/>
      <c r="AY3654" s="42"/>
      <c r="AZ3654" s="320"/>
      <c r="BD3654" s="401"/>
      <c r="BE3654" s="42"/>
    </row>
    <row r="3655" spans="48:57" x14ac:dyDescent="0.2">
      <c r="AV3655" s="401"/>
      <c r="AW3655" s="412"/>
      <c r="AX3655" s="230"/>
      <c r="AY3655" s="42"/>
      <c r="AZ3655" s="320"/>
      <c r="BD3655" s="401"/>
      <c r="BE3655" s="42"/>
    </row>
    <row r="3656" spans="48:57" x14ac:dyDescent="0.2">
      <c r="AV3656" s="401"/>
      <c r="AW3656" s="412"/>
      <c r="AX3656" s="230"/>
      <c r="AY3656" s="42"/>
      <c r="AZ3656" s="320"/>
      <c r="BD3656" s="401"/>
      <c r="BE3656" s="42"/>
    </row>
    <row r="3657" spans="48:57" x14ac:dyDescent="0.2">
      <c r="AV3657" s="401"/>
      <c r="AW3657" s="412"/>
      <c r="AX3657" s="230"/>
      <c r="AY3657" s="42"/>
      <c r="AZ3657" s="320"/>
      <c r="BD3657" s="401"/>
      <c r="BE3657" s="42"/>
    </row>
    <row r="3658" spans="48:57" x14ac:dyDescent="0.2">
      <c r="AV3658" s="401"/>
      <c r="AW3658" s="412"/>
      <c r="AX3658" s="230"/>
      <c r="AY3658" s="42"/>
      <c r="AZ3658" s="320"/>
      <c r="BD3658" s="401"/>
      <c r="BE3658" s="42"/>
    </row>
    <row r="3659" spans="48:57" x14ac:dyDescent="0.2">
      <c r="AV3659" s="401"/>
      <c r="AW3659" s="412"/>
      <c r="AX3659" s="230"/>
      <c r="AY3659" s="42"/>
      <c r="AZ3659" s="320"/>
      <c r="BD3659" s="401"/>
      <c r="BE3659" s="42"/>
    </row>
    <row r="3660" spans="48:57" x14ac:dyDescent="0.2">
      <c r="AV3660" s="401"/>
      <c r="AW3660" s="412"/>
      <c r="AX3660" s="230"/>
      <c r="AY3660" s="42"/>
      <c r="AZ3660" s="320"/>
      <c r="BD3660" s="401"/>
      <c r="BE3660" s="42"/>
    </row>
    <row r="3661" spans="48:57" x14ac:dyDescent="0.2">
      <c r="AV3661" s="401"/>
      <c r="AW3661" s="412"/>
      <c r="AX3661" s="230"/>
      <c r="AY3661" s="42"/>
      <c r="AZ3661" s="320"/>
      <c r="BD3661" s="401"/>
      <c r="BE3661" s="42"/>
    </row>
    <row r="3662" spans="48:57" x14ac:dyDescent="0.2">
      <c r="AV3662" s="401"/>
      <c r="AW3662" s="412"/>
      <c r="AX3662" s="230"/>
      <c r="AY3662" s="42"/>
      <c r="AZ3662" s="320"/>
      <c r="BD3662" s="401"/>
      <c r="BE3662" s="42"/>
    </row>
    <row r="3663" spans="48:57" x14ac:dyDescent="0.2">
      <c r="AV3663" s="401"/>
      <c r="AW3663" s="412"/>
      <c r="AX3663" s="230"/>
      <c r="AY3663" s="42"/>
      <c r="AZ3663" s="320"/>
      <c r="BD3663" s="401"/>
      <c r="BE3663" s="42"/>
    </row>
    <row r="3664" spans="48:57" x14ac:dyDescent="0.2">
      <c r="AV3664" s="401"/>
      <c r="AW3664" s="412"/>
      <c r="AX3664" s="230"/>
      <c r="AY3664" s="42"/>
      <c r="AZ3664" s="320"/>
      <c r="BD3664" s="401"/>
      <c r="BE3664" s="42"/>
    </row>
    <row r="3665" spans="48:57" x14ac:dyDescent="0.2">
      <c r="AV3665" s="401"/>
      <c r="AW3665" s="412"/>
      <c r="AX3665" s="230"/>
      <c r="AY3665" s="42"/>
      <c r="AZ3665" s="320"/>
      <c r="BD3665" s="401"/>
      <c r="BE3665" s="42"/>
    </row>
    <row r="3666" spans="48:57" x14ac:dyDescent="0.2">
      <c r="AV3666" s="401"/>
      <c r="AW3666" s="412"/>
      <c r="AX3666" s="230"/>
      <c r="AY3666" s="42"/>
      <c r="AZ3666" s="320"/>
      <c r="BD3666" s="401"/>
      <c r="BE3666" s="42"/>
    </row>
    <row r="3667" spans="48:57" x14ac:dyDescent="0.2">
      <c r="AV3667" s="401"/>
      <c r="AW3667" s="412"/>
      <c r="AX3667" s="230"/>
      <c r="AY3667" s="42"/>
      <c r="AZ3667" s="320"/>
      <c r="BD3667" s="401"/>
      <c r="BE3667" s="42"/>
    </row>
    <row r="3668" spans="48:57" x14ac:dyDescent="0.2">
      <c r="AV3668" s="401"/>
      <c r="AW3668" s="412"/>
      <c r="AX3668" s="230"/>
      <c r="AY3668" s="42"/>
      <c r="AZ3668" s="320"/>
      <c r="BD3668" s="401"/>
      <c r="BE3668" s="42"/>
    </row>
    <row r="3669" spans="48:57" x14ac:dyDescent="0.2">
      <c r="AV3669" s="401"/>
      <c r="AW3669" s="412"/>
      <c r="AX3669" s="230"/>
      <c r="AY3669" s="42"/>
      <c r="AZ3669" s="320"/>
      <c r="BD3669" s="401"/>
      <c r="BE3669" s="42"/>
    </row>
    <row r="3670" spans="48:57" x14ac:dyDescent="0.2">
      <c r="AV3670" s="401"/>
      <c r="AW3670" s="412"/>
      <c r="AX3670" s="230"/>
      <c r="AY3670" s="42"/>
      <c r="AZ3670" s="320"/>
      <c r="BD3670" s="401"/>
      <c r="BE3670" s="42"/>
    </row>
    <row r="3671" spans="48:57" x14ac:dyDescent="0.2">
      <c r="AV3671" s="401"/>
      <c r="AW3671" s="412"/>
      <c r="AX3671" s="230"/>
      <c r="AY3671" s="42"/>
      <c r="AZ3671" s="320"/>
      <c r="BD3671" s="401"/>
      <c r="BE3671" s="42"/>
    </row>
    <row r="3672" spans="48:57" x14ac:dyDescent="0.2">
      <c r="AV3672" s="401"/>
      <c r="AW3672" s="412"/>
      <c r="AX3672" s="230"/>
      <c r="AY3672" s="42"/>
      <c r="AZ3672" s="320"/>
      <c r="BD3672" s="401"/>
      <c r="BE3672" s="42"/>
    </row>
    <row r="3673" spans="48:57" x14ac:dyDescent="0.2">
      <c r="AV3673" s="401"/>
      <c r="AW3673" s="412"/>
      <c r="AX3673" s="230"/>
      <c r="AY3673" s="42"/>
      <c r="AZ3673" s="320"/>
      <c r="BD3673" s="401"/>
      <c r="BE3673" s="42"/>
    </row>
    <row r="3674" spans="48:57" x14ac:dyDescent="0.2">
      <c r="AV3674" s="401"/>
      <c r="AW3674" s="412"/>
      <c r="AX3674" s="230"/>
      <c r="AY3674" s="42"/>
      <c r="AZ3674" s="320"/>
      <c r="BD3674" s="401"/>
      <c r="BE3674" s="42"/>
    </row>
    <row r="3675" spans="48:57" x14ac:dyDescent="0.2">
      <c r="AV3675" s="401"/>
      <c r="AW3675" s="412"/>
      <c r="AX3675" s="230"/>
      <c r="AY3675" s="42"/>
      <c r="AZ3675" s="320"/>
      <c r="BD3675" s="401"/>
      <c r="BE3675" s="42"/>
    </row>
    <row r="3676" spans="48:57" x14ac:dyDescent="0.2">
      <c r="AV3676" s="401"/>
      <c r="AW3676" s="412"/>
      <c r="AX3676" s="230"/>
      <c r="AY3676" s="42"/>
      <c r="AZ3676" s="320"/>
      <c r="BD3676" s="401"/>
      <c r="BE3676" s="42"/>
    </row>
    <row r="3677" spans="48:57" x14ac:dyDescent="0.2">
      <c r="AV3677" s="401"/>
      <c r="AW3677" s="412"/>
      <c r="AX3677" s="230"/>
      <c r="AY3677" s="42"/>
      <c r="AZ3677" s="320"/>
      <c r="BD3677" s="401"/>
      <c r="BE3677" s="42"/>
    </row>
    <row r="3678" spans="48:57" x14ac:dyDescent="0.2">
      <c r="AV3678" s="401"/>
      <c r="AW3678" s="412"/>
      <c r="AX3678" s="230"/>
      <c r="AY3678" s="42"/>
      <c r="AZ3678" s="320"/>
      <c r="BD3678" s="401"/>
      <c r="BE3678" s="42"/>
    </row>
    <row r="3679" spans="48:57" x14ac:dyDescent="0.2">
      <c r="AV3679" s="401"/>
      <c r="AW3679" s="412"/>
      <c r="AX3679" s="230"/>
      <c r="AY3679" s="42"/>
      <c r="AZ3679" s="320"/>
      <c r="BD3679" s="401"/>
      <c r="BE3679" s="42"/>
    </row>
    <row r="3680" spans="48:57" x14ac:dyDescent="0.2">
      <c r="AV3680" s="401"/>
      <c r="AW3680" s="412"/>
      <c r="AX3680" s="230"/>
      <c r="AY3680" s="42"/>
      <c r="AZ3680" s="320"/>
      <c r="BD3680" s="401"/>
      <c r="BE3680" s="42"/>
    </row>
    <row r="3681" spans="48:57" x14ac:dyDescent="0.2">
      <c r="AV3681" s="401"/>
      <c r="AW3681" s="412"/>
      <c r="AX3681" s="230"/>
      <c r="AY3681" s="42"/>
      <c r="AZ3681" s="320"/>
      <c r="BD3681" s="401"/>
      <c r="BE3681" s="42"/>
    </row>
    <row r="3682" spans="48:57" x14ac:dyDescent="0.2">
      <c r="AV3682" s="401"/>
      <c r="AW3682" s="412"/>
      <c r="AX3682" s="230"/>
      <c r="AY3682" s="42"/>
      <c r="AZ3682" s="320"/>
      <c r="BD3682" s="401"/>
      <c r="BE3682" s="42"/>
    </row>
    <row r="3683" spans="48:57" x14ac:dyDescent="0.2">
      <c r="AV3683" s="401"/>
      <c r="AW3683" s="412"/>
      <c r="AX3683" s="230"/>
      <c r="AY3683" s="42"/>
      <c r="AZ3683" s="320"/>
      <c r="BD3683" s="401"/>
      <c r="BE3683" s="42"/>
    </row>
    <row r="3684" spans="48:57" x14ac:dyDescent="0.2">
      <c r="AV3684" s="401"/>
      <c r="AW3684" s="412"/>
      <c r="AX3684" s="230"/>
      <c r="AY3684" s="42"/>
      <c r="AZ3684" s="320"/>
      <c r="BD3684" s="401"/>
      <c r="BE3684" s="42"/>
    </row>
    <row r="3685" spans="48:57" x14ac:dyDescent="0.2">
      <c r="AV3685" s="401"/>
      <c r="AW3685" s="412"/>
      <c r="AX3685" s="230"/>
      <c r="AY3685" s="42"/>
      <c r="AZ3685" s="320"/>
      <c r="BD3685" s="401"/>
      <c r="BE3685" s="42"/>
    </row>
    <row r="3686" spans="48:57" x14ac:dyDescent="0.2">
      <c r="AV3686" s="401"/>
      <c r="AW3686" s="412"/>
      <c r="AX3686" s="230"/>
      <c r="AY3686" s="42"/>
      <c r="AZ3686" s="320"/>
      <c r="BD3686" s="401"/>
      <c r="BE3686" s="42"/>
    </row>
    <row r="3687" spans="48:57" x14ac:dyDescent="0.2">
      <c r="AV3687" s="401"/>
      <c r="AW3687" s="412"/>
      <c r="AX3687" s="230"/>
      <c r="AY3687" s="42"/>
      <c r="AZ3687" s="320"/>
      <c r="BD3687" s="401"/>
      <c r="BE3687" s="42"/>
    </row>
    <row r="3688" spans="48:57" x14ac:dyDescent="0.2">
      <c r="AV3688" s="401"/>
      <c r="AW3688" s="412"/>
      <c r="AX3688" s="230"/>
      <c r="AY3688" s="42"/>
      <c r="AZ3688" s="320"/>
      <c r="BD3688" s="401"/>
      <c r="BE3688" s="42"/>
    </row>
    <row r="3689" spans="48:57" x14ac:dyDescent="0.2">
      <c r="AV3689" s="401"/>
      <c r="AW3689" s="412"/>
      <c r="AX3689" s="230"/>
      <c r="AY3689" s="42"/>
      <c r="AZ3689" s="320"/>
      <c r="BD3689" s="401"/>
      <c r="BE3689" s="42"/>
    </row>
    <row r="3690" spans="48:57" x14ac:dyDescent="0.2">
      <c r="AV3690" s="401"/>
      <c r="AW3690" s="412"/>
      <c r="AX3690" s="230"/>
      <c r="AY3690" s="42"/>
      <c r="AZ3690" s="320"/>
      <c r="BD3690" s="401"/>
      <c r="BE3690" s="42"/>
    </row>
    <row r="3691" spans="48:57" x14ac:dyDescent="0.2">
      <c r="AV3691" s="401"/>
      <c r="AW3691" s="412"/>
      <c r="AX3691" s="230"/>
      <c r="AY3691" s="42"/>
      <c r="AZ3691" s="320"/>
      <c r="BD3691" s="401"/>
      <c r="BE3691" s="42"/>
    </row>
    <row r="3692" spans="48:57" x14ac:dyDescent="0.2">
      <c r="AV3692" s="401"/>
      <c r="AW3692" s="412"/>
      <c r="AX3692" s="230"/>
      <c r="AY3692" s="42"/>
      <c r="AZ3692" s="320"/>
      <c r="BD3692" s="401"/>
      <c r="BE3692" s="42"/>
    </row>
    <row r="3693" spans="48:57" x14ac:dyDescent="0.2">
      <c r="AV3693" s="401"/>
      <c r="AW3693" s="412"/>
      <c r="AX3693" s="230"/>
      <c r="AY3693" s="42"/>
      <c r="AZ3693" s="320"/>
      <c r="BD3693" s="401"/>
      <c r="BE3693" s="42"/>
    </row>
    <row r="3694" spans="48:57" x14ac:dyDescent="0.2">
      <c r="AV3694" s="401"/>
      <c r="AW3694" s="412"/>
      <c r="AX3694" s="230"/>
      <c r="AY3694" s="42"/>
      <c r="AZ3694" s="320"/>
      <c r="BD3694" s="401"/>
      <c r="BE3694" s="42"/>
    </row>
    <row r="3695" spans="48:57" x14ac:dyDescent="0.2">
      <c r="AV3695" s="401"/>
      <c r="AW3695" s="412"/>
      <c r="AX3695" s="230"/>
      <c r="AY3695" s="42"/>
      <c r="AZ3695" s="320"/>
      <c r="BD3695" s="401"/>
      <c r="BE3695" s="42"/>
    </row>
    <row r="3696" spans="48:57" x14ac:dyDescent="0.2">
      <c r="AV3696" s="401"/>
      <c r="AW3696" s="412"/>
      <c r="AX3696" s="230"/>
      <c r="AY3696" s="42"/>
      <c r="AZ3696" s="320"/>
      <c r="BD3696" s="401"/>
      <c r="BE3696" s="42"/>
    </row>
    <row r="3697" spans="48:57" x14ac:dyDescent="0.2">
      <c r="AV3697" s="401"/>
      <c r="AW3697" s="412"/>
      <c r="AX3697" s="230"/>
      <c r="AY3697" s="42"/>
      <c r="AZ3697" s="320"/>
      <c r="BD3697" s="401"/>
      <c r="BE3697" s="42"/>
    </row>
    <row r="3698" spans="48:57" x14ac:dyDescent="0.2">
      <c r="AV3698" s="401"/>
      <c r="AW3698" s="412"/>
      <c r="AX3698" s="230"/>
      <c r="AY3698" s="42"/>
      <c r="AZ3698" s="320"/>
      <c r="BD3698" s="401"/>
      <c r="BE3698" s="42"/>
    </row>
    <row r="3699" spans="48:57" x14ac:dyDescent="0.2">
      <c r="AV3699" s="401"/>
      <c r="AW3699" s="412"/>
      <c r="AX3699" s="230"/>
      <c r="AY3699" s="42"/>
      <c r="AZ3699" s="320"/>
      <c r="BD3699" s="401"/>
      <c r="BE3699" s="42"/>
    </row>
    <row r="3700" spans="48:57" x14ac:dyDescent="0.2">
      <c r="AV3700" s="401"/>
      <c r="AW3700" s="412"/>
      <c r="AX3700" s="230"/>
      <c r="AY3700" s="42"/>
      <c r="AZ3700" s="320"/>
      <c r="BD3700" s="401"/>
      <c r="BE3700" s="42"/>
    </row>
    <row r="3701" spans="48:57" x14ac:dyDescent="0.2">
      <c r="AV3701" s="401"/>
      <c r="AW3701" s="412"/>
      <c r="AX3701" s="230"/>
      <c r="AY3701" s="42"/>
      <c r="AZ3701" s="320"/>
      <c r="BD3701" s="401"/>
      <c r="BE3701" s="42"/>
    </row>
    <row r="3702" spans="48:57" x14ac:dyDescent="0.2">
      <c r="AV3702" s="401"/>
      <c r="AW3702" s="412"/>
      <c r="AX3702" s="230"/>
      <c r="AY3702" s="42"/>
      <c r="AZ3702" s="320"/>
      <c r="BD3702" s="401"/>
      <c r="BE3702" s="42"/>
    </row>
    <row r="3703" spans="48:57" x14ac:dyDescent="0.2">
      <c r="AV3703" s="401"/>
      <c r="AW3703" s="412"/>
      <c r="AX3703" s="230"/>
      <c r="AY3703" s="42"/>
      <c r="AZ3703" s="320"/>
      <c r="BD3703" s="401"/>
      <c r="BE3703" s="42"/>
    </row>
    <row r="3704" spans="48:57" x14ac:dyDescent="0.2">
      <c r="AV3704" s="401"/>
      <c r="AW3704" s="412"/>
      <c r="AX3704" s="230"/>
      <c r="AY3704" s="42"/>
      <c r="AZ3704" s="320"/>
      <c r="BD3704" s="401"/>
      <c r="BE3704" s="42"/>
    </row>
    <row r="3705" spans="48:57" x14ac:dyDescent="0.2">
      <c r="AV3705" s="401"/>
      <c r="AW3705" s="412"/>
      <c r="AX3705" s="230"/>
      <c r="AY3705" s="42"/>
      <c r="AZ3705" s="320"/>
      <c r="BD3705" s="401"/>
      <c r="BE3705" s="42"/>
    </row>
    <row r="3706" spans="48:57" x14ac:dyDescent="0.2">
      <c r="AV3706" s="401"/>
      <c r="AW3706" s="412"/>
      <c r="AX3706" s="230"/>
      <c r="AY3706" s="42"/>
      <c r="AZ3706" s="320"/>
      <c r="BD3706" s="401"/>
      <c r="BE3706" s="42"/>
    </row>
    <row r="3707" spans="48:57" x14ac:dyDescent="0.2">
      <c r="AV3707" s="401"/>
      <c r="AW3707" s="412"/>
      <c r="AX3707" s="230"/>
      <c r="AY3707" s="42"/>
      <c r="AZ3707" s="320"/>
      <c r="BD3707" s="401"/>
      <c r="BE3707" s="42"/>
    </row>
    <row r="3708" spans="48:57" x14ac:dyDescent="0.2">
      <c r="AV3708" s="401"/>
      <c r="AW3708" s="412"/>
      <c r="AX3708" s="230"/>
      <c r="AY3708" s="42"/>
      <c r="AZ3708" s="320"/>
      <c r="BD3708" s="401"/>
      <c r="BE3708" s="42"/>
    </row>
    <row r="3709" spans="48:57" x14ac:dyDescent="0.2">
      <c r="AV3709" s="401"/>
      <c r="AW3709" s="412"/>
      <c r="AX3709" s="230"/>
      <c r="AY3709" s="42"/>
      <c r="AZ3709" s="320"/>
      <c r="BD3709" s="401"/>
      <c r="BE3709" s="42"/>
    </row>
    <row r="3710" spans="48:57" x14ac:dyDescent="0.2">
      <c r="AV3710" s="401"/>
      <c r="AW3710" s="412"/>
      <c r="AX3710" s="230"/>
      <c r="AY3710" s="42"/>
      <c r="AZ3710" s="320"/>
      <c r="BD3710" s="401"/>
      <c r="BE3710" s="42"/>
    </row>
    <row r="3711" spans="48:57" x14ac:dyDescent="0.2">
      <c r="AV3711" s="401"/>
      <c r="AW3711" s="412"/>
      <c r="AX3711" s="230"/>
      <c r="AY3711" s="42"/>
      <c r="AZ3711" s="320"/>
      <c r="BD3711" s="401"/>
      <c r="BE3711" s="42"/>
    </row>
    <row r="3712" spans="48:57" x14ac:dyDescent="0.2">
      <c r="AV3712" s="401"/>
      <c r="AW3712" s="412"/>
      <c r="AX3712" s="230"/>
      <c r="AY3712" s="42"/>
      <c r="AZ3712" s="320"/>
      <c r="BD3712" s="401"/>
      <c r="BE3712" s="42"/>
    </row>
    <row r="3713" spans="48:57" x14ac:dyDescent="0.2">
      <c r="AV3713" s="401"/>
      <c r="AW3713" s="412"/>
      <c r="AX3713" s="230"/>
      <c r="AY3713" s="42"/>
      <c r="AZ3713" s="320"/>
      <c r="BD3713" s="401"/>
      <c r="BE3713" s="42"/>
    </row>
    <row r="3714" spans="48:57" x14ac:dyDescent="0.2">
      <c r="AV3714" s="401"/>
      <c r="AW3714" s="412"/>
      <c r="AX3714" s="230"/>
      <c r="AY3714" s="42"/>
      <c r="AZ3714" s="320"/>
      <c r="BD3714" s="401"/>
      <c r="BE3714" s="42"/>
    </row>
    <row r="3715" spans="48:57" x14ac:dyDescent="0.2">
      <c r="AV3715" s="401"/>
      <c r="AW3715" s="412"/>
      <c r="AX3715" s="230"/>
      <c r="AY3715" s="42"/>
      <c r="AZ3715" s="320"/>
      <c r="BD3715" s="401"/>
      <c r="BE3715" s="42"/>
    </row>
    <row r="3716" spans="48:57" x14ac:dyDescent="0.2">
      <c r="AV3716" s="401"/>
      <c r="AW3716" s="412"/>
      <c r="AX3716" s="230"/>
      <c r="AY3716" s="42"/>
      <c r="AZ3716" s="320"/>
      <c r="BD3716" s="401"/>
      <c r="BE3716" s="42"/>
    </row>
    <row r="3717" spans="48:57" x14ac:dyDescent="0.2">
      <c r="AV3717" s="401"/>
      <c r="AW3717" s="412"/>
      <c r="AX3717" s="230"/>
      <c r="AY3717" s="42"/>
      <c r="AZ3717" s="320"/>
      <c r="BD3717" s="401"/>
      <c r="BE3717" s="42"/>
    </row>
    <row r="3718" spans="48:57" x14ac:dyDescent="0.2">
      <c r="AV3718" s="401"/>
      <c r="AW3718" s="412"/>
      <c r="AX3718" s="230"/>
      <c r="AY3718" s="42"/>
      <c r="AZ3718" s="320"/>
      <c r="BD3718" s="401"/>
      <c r="BE3718" s="42"/>
    </row>
    <row r="3719" spans="48:57" x14ac:dyDescent="0.2">
      <c r="AV3719" s="401"/>
      <c r="AW3719" s="412"/>
      <c r="AX3719" s="230"/>
      <c r="AY3719" s="42"/>
      <c r="AZ3719" s="320"/>
      <c r="BD3719" s="401"/>
      <c r="BE3719" s="42"/>
    </row>
    <row r="3720" spans="48:57" x14ac:dyDescent="0.2">
      <c r="AV3720" s="401"/>
      <c r="AW3720" s="412"/>
      <c r="AX3720" s="230"/>
      <c r="AY3720" s="42"/>
      <c r="AZ3720" s="320"/>
      <c r="BD3720" s="401"/>
      <c r="BE3720" s="42"/>
    </row>
    <row r="3721" spans="48:57" x14ac:dyDescent="0.2">
      <c r="AV3721" s="401"/>
      <c r="AW3721" s="412"/>
      <c r="AX3721" s="230"/>
      <c r="AY3721" s="42"/>
      <c r="AZ3721" s="320"/>
      <c r="BD3721" s="401"/>
      <c r="BE3721" s="42"/>
    </row>
    <row r="3722" spans="48:57" x14ac:dyDescent="0.2">
      <c r="AV3722" s="401"/>
      <c r="AW3722" s="412"/>
      <c r="AX3722" s="230"/>
      <c r="AY3722" s="42"/>
      <c r="AZ3722" s="320"/>
      <c r="BD3722" s="401"/>
      <c r="BE3722" s="42"/>
    </row>
    <row r="3723" spans="48:57" x14ac:dyDescent="0.2">
      <c r="AV3723" s="401"/>
      <c r="AW3723" s="412"/>
      <c r="AX3723" s="230"/>
      <c r="AY3723" s="42"/>
      <c r="AZ3723" s="320"/>
      <c r="BD3723" s="401"/>
      <c r="BE3723" s="42"/>
    </row>
    <row r="3724" spans="48:57" x14ac:dyDescent="0.2">
      <c r="AV3724" s="401"/>
      <c r="AW3724" s="412"/>
      <c r="AX3724" s="230"/>
      <c r="AY3724" s="42"/>
      <c r="AZ3724" s="320"/>
      <c r="BD3724" s="401"/>
      <c r="BE3724" s="42"/>
    </row>
    <row r="3725" spans="48:57" x14ac:dyDescent="0.2">
      <c r="AV3725" s="401"/>
      <c r="AW3725" s="412"/>
      <c r="AX3725" s="230"/>
      <c r="AY3725" s="42"/>
      <c r="AZ3725" s="320"/>
      <c r="BD3725" s="401"/>
      <c r="BE3725" s="42"/>
    </row>
    <row r="3726" spans="48:57" x14ac:dyDescent="0.2">
      <c r="AV3726" s="401"/>
      <c r="AW3726" s="412"/>
      <c r="AX3726" s="230"/>
      <c r="AY3726" s="42"/>
      <c r="AZ3726" s="320"/>
      <c r="BD3726" s="401"/>
      <c r="BE3726" s="42"/>
    </row>
    <row r="3727" spans="48:57" x14ac:dyDescent="0.2">
      <c r="AV3727" s="401"/>
      <c r="AW3727" s="412"/>
      <c r="AX3727" s="230"/>
      <c r="AY3727" s="42"/>
      <c r="AZ3727" s="320"/>
      <c r="BD3727" s="401"/>
      <c r="BE3727" s="42"/>
    </row>
    <row r="3728" spans="48:57" x14ac:dyDescent="0.2">
      <c r="AV3728" s="401"/>
      <c r="AW3728" s="412"/>
      <c r="AX3728" s="230"/>
      <c r="AY3728" s="42"/>
      <c r="AZ3728" s="320"/>
      <c r="BD3728" s="401"/>
      <c r="BE3728" s="42"/>
    </row>
    <row r="3729" spans="48:57" x14ac:dyDescent="0.2">
      <c r="AV3729" s="401"/>
      <c r="AW3729" s="412"/>
      <c r="AX3729" s="230"/>
      <c r="AY3729" s="42"/>
      <c r="AZ3729" s="320"/>
      <c r="BD3729" s="401"/>
      <c r="BE3729" s="42"/>
    </row>
    <row r="3730" spans="48:57" x14ac:dyDescent="0.2">
      <c r="AV3730" s="401"/>
      <c r="AW3730" s="412"/>
      <c r="AX3730" s="230"/>
      <c r="AY3730" s="42"/>
      <c r="AZ3730" s="320"/>
      <c r="BD3730" s="401"/>
      <c r="BE3730" s="42"/>
    </row>
    <row r="3731" spans="48:57" x14ac:dyDescent="0.2">
      <c r="AV3731" s="401"/>
      <c r="AW3731" s="412"/>
      <c r="AX3731" s="230"/>
      <c r="AY3731" s="42"/>
      <c r="AZ3731" s="320"/>
      <c r="BD3731" s="401"/>
      <c r="BE3731" s="42"/>
    </row>
    <row r="3732" spans="48:57" x14ac:dyDescent="0.2">
      <c r="AV3732" s="401"/>
      <c r="AW3732" s="412"/>
      <c r="AX3732" s="230"/>
      <c r="AY3732" s="42"/>
      <c r="AZ3732" s="320"/>
      <c r="BD3732" s="401"/>
      <c r="BE3732" s="42"/>
    </row>
    <row r="3733" spans="48:57" x14ac:dyDescent="0.2">
      <c r="AV3733" s="401"/>
      <c r="AW3733" s="412"/>
      <c r="AX3733" s="230"/>
      <c r="AY3733" s="42"/>
      <c r="AZ3733" s="320"/>
      <c r="BD3733" s="401"/>
      <c r="BE3733" s="42"/>
    </row>
    <row r="3734" spans="48:57" x14ac:dyDescent="0.2">
      <c r="AV3734" s="401"/>
      <c r="AW3734" s="412"/>
      <c r="AX3734" s="230"/>
      <c r="AY3734" s="42"/>
      <c r="AZ3734" s="320"/>
      <c r="BD3734" s="401"/>
      <c r="BE3734" s="42"/>
    </row>
    <row r="3735" spans="48:57" x14ac:dyDescent="0.2">
      <c r="AV3735" s="401"/>
      <c r="AW3735" s="412"/>
      <c r="AX3735" s="230"/>
      <c r="AY3735" s="42"/>
      <c r="AZ3735" s="320"/>
      <c r="BD3735" s="401"/>
      <c r="BE3735" s="42"/>
    </row>
    <row r="3736" spans="48:57" x14ac:dyDescent="0.2">
      <c r="AV3736" s="401"/>
      <c r="AW3736" s="412"/>
      <c r="AX3736" s="230"/>
      <c r="AY3736" s="42"/>
      <c r="AZ3736" s="320"/>
      <c r="BD3736" s="401"/>
      <c r="BE3736" s="42"/>
    </row>
    <row r="3737" spans="48:57" x14ac:dyDescent="0.2">
      <c r="AV3737" s="401"/>
      <c r="AW3737" s="412"/>
      <c r="AX3737" s="230"/>
      <c r="AY3737" s="42"/>
      <c r="AZ3737" s="320"/>
      <c r="BD3737" s="401"/>
      <c r="BE3737" s="42"/>
    </row>
    <row r="3738" spans="48:57" x14ac:dyDescent="0.2">
      <c r="AV3738" s="401"/>
      <c r="AW3738" s="412"/>
      <c r="AX3738" s="230"/>
      <c r="AY3738" s="42"/>
      <c r="AZ3738" s="320"/>
      <c r="BD3738" s="401"/>
      <c r="BE3738" s="42"/>
    </row>
    <row r="3739" spans="48:57" x14ac:dyDescent="0.2">
      <c r="AV3739" s="401"/>
      <c r="AW3739" s="412"/>
      <c r="AX3739" s="230"/>
      <c r="AY3739" s="42"/>
      <c r="AZ3739" s="320"/>
      <c r="BD3739" s="401"/>
      <c r="BE3739" s="42"/>
    </row>
    <row r="3740" spans="48:57" x14ac:dyDescent="0.2">
      <c r="AV3740" s="401"/>
      <c r="AW3740" s="412"/>
      <c r="AX3740" s="230"/>
      <c r="AY3740" s="42"/>
      <c r="AZ3740" s="320"/>
      <c r="BD3740" s="401"/>
      <c r="BE3740" s="42"/>
    </row>
    <row r="3741" spans="48:57" x14ac:dyDescent="0.2">
      <c r="AV3741" s="401"/>
      <c r="AW3741" s="412"/>
      <c r="AX3741" s="230"/>
      <c r="AY3741" s="42"/>
      <c r="AZ3741" s="320"/>
      <c r="BD3741" s="401"/>
      <c r="BE3741" s="42"/>
    </row>
    <row r="3742" spans="48:57" x14ac:dyDescent="0.2">
      <c r="AV3742" s="401"/>
      <c r="AW3742" s="412"/>
      <c r="AX3742" s="230"/>
      <c r="AY3742" s="42"/>
      <c r="AZ3742" s="320"/>
      <c r="BD3742" s="401"/>
      <c r="BE3742" s="42"/>
    </row>
    <row r="3743" spans="48:57" x14ac:dyDescent="0.2">
      <c r="AV3743" s="401"/>
      <c r="AW3743" s="412"/>
      <c r="AX3743" s="230"/>
      <c r="AY3743" s="42"/>
      <c r="AZ3743" s="320"/>
      <c r="BD3743" s="401"/>
      <c r="BE3743" s="42"/>
    </row>
    <row r="3744" spans="48:57" x14ac:dyDescent="0.2">
      <c r="AV3744" s="401"/>
      <c r="AW3744" s="412"/>
      <c r="AX3744" s="230"/>
      <c r="AY3744" s="42"/>
      <c r="AZ3744" s="320"/>
      <c r="BD3744" s="401"/>
      <c r="BE3744" s="42"/>
    </row>
    <row r="3745" spans="48:57" x14ac:dyDescent="0.2">
      <c r="AV3745" s="401"/>
      <c r="AW3745" s="412"/>
      <c r="AX3745" s="230"/>
      <c r="AY3745" s="42"/>
      <c r="AZ3745" s="320"/>
      <c r="BD3745" s="401"/>
      <c r="BE3745" s="42"/>
    </row>
    <row r="3746" spans="48:57" x14ac:dyDescent="0.2">
      <c r="AV3746" s="401"/>
      <c r="AW3746" s="412"/>
      <c r="AX3746" s="230"/>
      <c r="AY3746" s="42"/>
      <c r="AZ3746" s="320"/>
      <c r="BD3746" s="401"/>
      <c r="BE3746" s="42"/>
    </row>
    <row r="3747" spans="48:57" x14ac:dyDescent="0.2">
      <c r="AV3747" s="401"/>
      <c r="AW3747" s="412"/>
      <c r="AX3747" s="230"/>
      <c r="AY3747" s="42"/>
      <c r="AZ3747" s="320"/>
      <c r="BD3747" s="401"/>
      <c r="BE3747" s="42"/>
    </row>
    <row r="3748" spans="48:57" x14ac:dyDescent="0.2">
      <c r="AV3748" s="401"/>
      <c r="AW3748" s="412"/>
      <c r="AX3748" s="230"/>
      <c r="AY3748" s="42"/>
      <c r="AZ3748" s="320"/>
      <c r="BD3748" s="401"/>
      <c r="BE3748" s="42"/>
    </row>
    <row r="3749" spans="48:57" x14ac:dyDescent="0.2">
      <c r="AV3749" s="401"/>
      <c r="AW3749" s="412"/>
      <c r="AX3749" s="230"/>
      <c r="AY3749" s="42"/>
      <c r="AZ3749" s="320"/>
      <c r="BD3749" s="401"/>
      <c r="BE3749" s="42"/>
    </row>
    <row r="3750" spans="48:57" x14ac:dyDescent="0.2">
      <c r="AV3750" s="401"/>
      <c r="AW3750" s="412"/>
      <c r="AX3750" s="230"/>
      <c r="AY3750" s="42"/>
      <c r="AZ3750" s="320"/>
      <c r="BD3750" s="401"/>
      <c r="BE3750" s="42"/>
    </row>
    <row r="3751" spans="48:57" x14ac:dyDescent="0.2">
      <c r="AV3751" s="401"/>
      <c r="AW3751" s="412"/>
      <c r="AX3751" s="230"/>
      <c r="AY3751" s="42"/>
      <c r="AZ3751" s="320"/>
      <c r="BD3751" s="401"/>
      <c r="BE3751" s="42"/>
    </row>
    <row r="3752" spans="48:57" x14ac:dyDescent="0.2">
      <c r="AV3752" s="401"/>
      <c r="AW3752" s="412"/>
      <c r="AX3752" s="230"/>
      <c r="AY3752" s="42"/>
      <c r="AZ3752" s="320"/>
      <c r="BD3752" s="401"/>
      <c r="BE3752" s="42"/>
    </row>
    <row r="3753" spans="48:57" x14ac:dyDescent="0.2">
      <c r="AV3753" s="401"/>
      <c r="AW3753" s="412"/>
      <c r="AX3753" s="230"/>
      <c r="AY3753" s="42"/>
      <c r="AZ3753" s="320"/>
      <c r="BD3753" s="401"/>
      <c r="BE3753" s="42"/>
    </row>
    <row r="3754" spans="48:57" x14ac:dyDescent="0.2">
      <c r="AV3754" s="401"/>
      <c r="AW3754" s="412"/>
      <c r="AX3754" s="230"/>
      <c r="AY3754" s="42"/>
      <c r="AZ3754" s="320"/>
      <c r="BD3754" s="401"/>
      <c r="BE3754" s="42"/>
    </row>
    <row r="3755" spans="48:57" x14ac:dyDescent="0.2">
      <c r="AV3755" s="401"/>
      <c r="AW3755" s="412"/>
      <c r="AX3755" s="230"/>
      <c r="AY3755" s="42"/>
      <c r="AZ3755" s="320"/>
      <c r="BD3755" s="401"/>
      <c r="BE3755" s="42"/>
    </row>
    <row r="3756" spans="48:57" x14ac:dyDescent="0.2">
      <c r="AV3756" s="401"/>
      <c r="AW3756" s="412"/>
      <c r="AX3756" s="230"/>
      <c r="AY3756" s="42"/>
      <c r="AZ3756" s="320"/>
      <c r="BD3756" s="401"/>
      <c r="BE3756" s="42"/>
    </row>
    <row r="3757" spans="48:57" x14ac:dyDescent="0.2">
      <c r="AV3757" s="401"/>
      <c r="AW3757" s="412"/>
      <c r="AX3757" s="230"/>
      <c r="AY3757" s="42"/>
      <c r="AZ3757" s="320"/>
      <c r="BD3757" s="401"/>
      <c r="BE3757" s="42"/>
    </row>
    <row r="3758" spans="48:57" x14ac:dyDescent="0.2">
      <c r="AV3758" s="401"/>
      <c r="AW3758" s="412"/>
      <c r="AX3758" s="230"/>
      <c r="AY3758" s="42"/>
      <c r="AZ3758" s="320"/>
      <c r="BD3758" s="401"/>
      <c r="BE3758" s="42"/>
    </row>
    <row r="3759" spans="48:57" x14ac:dyDescent="0.2">
      <c r="AV3759" s="401"/>
      <c r="AW3759" s="412"/>
      <c r="AX3759" s="230"/>
      <c r="AY3759" s="42"/>
      <c r="AZ3759" s="320"/>
      <c r="BD3759" s="401"/>
      <c r="BE3759" s="42"/>
    </row>
    <row r="3760" spans="48:57" x14ac:dyDescent="0.2">
      <c r="AV3760" s="401"/>
      <c r="AW3760" s="412"/>
      <c r="AX3760" s="230"/>
      <c r="AY3760" s="42"/>
      <c r="AZ3760" s="320"/>
      <c r="BD3760" s="401"/>
      <c r="BE3760" s="42"/>
    </row>
    <row r="3761" spans="48:57" x14ac:dyDescent="0.2">
      <c r="AV3761" s="401"/>
      <c r="AW3761" s="412"/>
      <c r="AX3761" s="230"/>
      <c r="AY3761" s="42"/>
      <c r="AZ3761" s="320"/>
      <c r="BD3761" s="401"/>
      <c r="BE3761" s="42"/>
    </row>
    <row r="3762" spans="48:57" x14ac:dyDescent="0.2">
      <c r="AV3762" s="401"/>
      <c r="AW3762" s="412"/>
      <c r="AX3762" s="230"/>
      <c r="AY3762" s="42"/>
      <c r="AZ3762" s="320"/>
      <c r="BD3762" s="401"/>
      <c r="BE3762" s="42"/>
    </row>
    <row r="3763" spans="48:57" x14ac:dyDescent="0.2">
      <c r="AV3763" s="401"/>
      <c r="AW3763" s="412"/>
      <c r="AX3763" s="230"/>
      <c r="AY3763" s="42"/>
      <c r="AZ3763" s="320"/>
      <c r="BD3763" s="401"/>
      <c r="BE3763" s="42"/>
    </row>
    <row r="3764" spans="48:57" x14ac:dyDescent="0.2">
      <c r="AV3764" s="401"/>
      <c r="AW3764" s="412"/>
      <c r="AX3764" s="230"/>
      <c r="AY3764" s="42"/>
      <c r="AZ3764" s="320"/>
      <c r="BD3764" s="401"/>
      <c r="BE3764" s="42"/>
    </row>
    <row r="3765" spans="48:57" x14ac:dyDescent="0.2">
      <c r="AV3765" s="401"/>
      <c r="AW3765" s="412"/>
      <c r="AX3765" s="230"/>
      <c r="AY3765" s="42"/>
      <c r="AZ3765" s="320"/>
      <c r="BD3765" s="401"/>
      <c r="BE3765" s="42"/>
    </row>
    <row r="3766" spans="48:57" x14ac:dyDescent="0.2">
      <c r="AV3766" s="401"/>
      <c r="AW3766" s="412"/>
      <c r="AX3766" s="230"/>
      <c r="AY3766" s="42"/>
      <c r="AZ3766" s="320"/>
      <c r="BD3766" s="401"/>
      <c r="BE3766" s="42"/>
    </row>
    <row r="3767" spans="48:57" x14ac:dyDescent="0.2">
      <c r="AV3767" s="401"/>
      <c r="AW3767" s="412"/>
      <c r="AX3767" s="230"/>
      <c r="AY3767" s="42"/>
      <c r="AZ3767" s="320"/>
      <c r="BD3767" s="401"/>
      <c r="BE3767" s="42"/>
    </row>
    <row r="3768" spans="48:57" x14ac:dyDescent="0.2">
      <c r="AV3768" s="401"/>
      <c r="AW3768" s="412"/>
      <c r="AX3768" s="230"/>
      <c r="AY3768" s="42"/>
      <c r="AZ3768" s="320"/>
      <c r="BD3768" s="401"/>
      <c r="BE3768" s="42"/>
    </row>
    <row r="3769" spans="48:57" x14ac:dyDescent="0.2">
      <c r="AV3769" s="401"/>
      <c r="AW3769" s="412"/>
      <c r="AX3769" s="230"/>
      <c r="AY3769" s="42"/>
      <c r="AZ3769" s="320"/>
      <c r="BD3769" s="401"/>
      <c r="BE3769" s="42"/>
    </row>
    <row r="3770" spans="48:57" x14ac:dyDescent="0.2">
      <c r="AV3770" s="401"/>
      <c r="AW3770" s="412"/>
      <c r="AX3770" s="230"/>
      <c r="AY3770" s="42"/>
      <c r="AZ3770" s="320"/>
      <c r="BD3770" s="401"/>
      <c r="BE3770" s="42"/>
    </row>
    <row r="3771" spans="48:57" x14ac:dyDescent="0.2">
      <c r="AV3771" s="401"/>
      <c r="AW3771" s="412"/>
      <c r="AX3771" s="230"/>
      <c r="AY3771" s="42"/>
      <c r="AZ3771" s="320"/>
      <c r="BD3771" s="401"/>
      <c r="BE3771" s="42"/>
    </row>
    <row r="3772" spans="48:57" x14ac:dyDescent="0.2">
      <c r="AV3772" s="401"/>
      <c r="AW3772" s="412"/>
      <c r="AX3772" s="230"/>
      <c r="AY3772" s="42"/>
      <c r="AZ3772" s="320"/>
      <c r="BD3772" s="401"/>
      <c r="BE3772" s="42"/>
    </row>
    <row r="3773" spans="48:57" x14ac:dyDescent="0.2">
      <c r="AV3773" s="401"/>
      <c r="AW3773" s="412"/>
      <c r="AX3773" s="230"/>
      <c r="AY3773" s="42"/>
      <c r="AZ3773" s="320"/>
      <c r="BD3773" s="401"/>
      <c r="BE3773" s="42"/>
    </row>
    <row r="3774" spans="48:57" x14ac:dyDescent="0.2">
      <c r="AV3774" s="401"/>
      <c r="AW3774" s="412"/>
      <c r="AX3774" s="230"/>
      <c r="AY3774" s="42"/>
      <c r="AZ3774" s="320"/>
      <c r="BD3774" s="401"/>
      <c r="BE3774" s="42"/>
    </row>
    <row r="3775" spans="48:57" x14ac:dyDescent="0.2">
      <c r="AV3775" s="401"/>
      <c r="AW3775" s="412"/>
      <c r="AX3775" s="230"/>
      <c r="AY3775" s="42"/>
      <c r="AZ3775" s="320"/>
      <c r="BD3775" s="401"/>
      <c r="BE3775" s="42"/>
    </row>
    <row r="3776" spans="48:57" x14ac:dyDescent="0.2">
      <c r="AV3776" s="401"/>
      <c r="AW3776" s="412"/>
      <c r="AX3776" s="230"/>
      <c r="AY3776" s="42"/>
      <c r="AZ3776" s="320"/>
      <c r="BD3776" s="401"/>
      <c r="BE3776" s="42"/>
    </row>
    <row r="3777" spans="48:57" x14ac:dyDescent="0.2">
      <c r="AV3777" s="401"/>
      <c r="AW3777" s="412"/>
      <c r="AX3777" s="230"/>
      <c r="AY3777" s="42"/>
      <c r="AZ3777" s="320"/>
      <c r="BD3777" s="401"/>
      <c r="BE3777" s="42"/>
    </row>
    <row r="3778" spans="48:57" x14ac:dyDescent="0.2">
      <c r="AV3778" s="401"/>
      <c r="AW3778" s="412"/>
      <c r="AX3778" s="230"/>
      <c r="AY3778" s="42"/>
      <c r="AZ3778" s="320"/>
      <c r="BD3778" s="401"/>
      <c r="BE3778" s="42"/>
    </row>
    <row r="3779" spans="48:57" x14ac:dyDescent="0.2">
      <c r="AV3779" s="401"/>
      <c r="AW3779" s="412"/>
      <c r="AX3779" s="230"/>
      <c r="AY3779" s="42"/>
      <c r="AZ3779" s="320"/>
      <c r="BD3779" s="401"/>
      <c r="BE3779" s="42"/>
    </row>
    <row r="3780" spans="48:57" x14ac:dyDescent="0.2">
      <c r="AV3780" s="401"/>
      <c r="AW3780" s="412"/>
      <c r="AX3780" s="230"/>
      <c r="AY3780" s="42"/>
      <c r="AZ3780" s="320"/>
      <c r="BD3780" s="401"/>
      <c r="BE3780" s="42"/>
    </row>
    <row r="3781" spans="48:57" x14ac:dyDescent="0.2">
      <c r="AV3781" s="401"/>
      <c r="AW3781" s="412"/>
      <c r="AX3781" s="230"/>
      <c r="AY3781" s="42"/>
      <c r="AZ3781" s="320"/>
      <c r="BD3781" s="401"/>
      <c r="BE3781" s="42"/>
    </row>
    <row r="3782" spans="48:57" x14ac:dyDescent="0.2">
      <c r="AV3782" s="401"/>
      <c r="AW3782" s="412"/>
      <c r="AX3782" s="230"/>
      <c r="AY3782" s="42"/>
      <c r="AZ3782" s="320"/>
      <c r="BD3782" s="401"/>
      <c r="BE3782" s="42"/>
    </row>
    <row r="3783" spans="48:57" x14ac:dyDescent="0.2">
      <c r="AV3783" s="401"/>
      <c r="AW3783" s="412"/>
      <c r="AX3783" s="230"/>
      <c r="AY3783" s="42"/>
      <c r="AZ3783" s="320"/>
      <c r="BD3783" s="401"/>
      <c r="BE3783" s="42"/>
    </row>
    <row r="3784" spans="48:57" x14ac:dyDescent="0.2">
      <c r="AV3784" s="401"/>
      <c r="AW3784" s="412"/>
      <c r="AX3784" s="230"/>
      <c r="AY3784" s="42"/>
      <c r="AZ3784" s="320"/>
      <c r="BD3784" s="401"/>
      <c r="BE3784" s="42"/>
    </row>
    <row r="3785" spans="48:57" x14ac:dyDescent="0.2">
      <c r="AV3785" s="401"/>
      <c r="AW3785" s="412"/>
      <c r="AX3785" s="230"/>
      <c r="AY3785" s="42"/>
      <c r="AZ3785" s="320"/>
      <c r="BD3785" s="401"/>
      <c r="BE3785" s="42"/>
    </row>
    <row r="3786" spans="48:57" x14ac:dyDescent="0.2">
      <c r="AV3786" s="401"/>
      <c r="AW3786" s="412"/>
      <c r="AX3786" s="230"/>
      <c r="AY3786" s="42"/>
      <c r="AZ3786" s="320"/>
      <c r="BD3786" s="401"/>
      <c r="BE3786" s="42"/>
    </row>
    <row r="3787" spans="48:57" x14ac:dyDescent="0.2">
      <c r="AV3787" s="401"/>
      <c r="AW3787" s="412"/>
      <c r="AX3787" s="230"/>
      <c r="AY3787" s="42"/>
      <c r="AZ3787" s="320"/>
      <c r="BD3787" s="401"/>
      <c r="BE3787" s="42"/>
    </row>
    <row r="3788" spans="48:57" x14ac:dyDescent="0.2">
      <c r="AV3788" s="401"/>
      <c r="AW3788" s="412"/>
      <c r="AX3788" s="230"/>
      <c r="AY3788" s="42"/>
      <c r="AZ3788" s="320"/>
      <c r="BD3788" s="401"/>
      <c r="BE3788" s="42"/>
    </row>
    <row r="3789" spans="48:57" x14ac:dyDescent="0.2">
      <c r="AV3789" s="401"/>
      <c r="AW3789" s="412"/>
      <c r="AX3789" s="230"/>
      <c r="AY3789" s="42"/>
      <c r="AZ3789" s="320"/>
      <c r="BD3789" s="401"/>
      <c r="BE3789" s="42"/>
    </row>
    <row r="3790" spans="48:57" x14ac:dyDescent="0.2">
      <c r="AV3790" s="401"/>
      <c r="AW3790" s="412"/>
      <c r="AX3790" s="230"/>
      <c r="AY3790" s="42"/>
      <c r="AZ3790" s="320"/>
      <c r="BD3790" s="401"/>
      <c r="BE3790" s="42"/>
    </row>
    <row r="3791" spans="48:57" x14ac:dyDescent="0.2">
      <c r="AV3791" s="401"/>
      <c r="AW3791" s="412"/>
      <c r="AX3791" s="230"/>
      <c r="AY3791" s="42"/>
      <c r="AZ3791" s="320"/>
      <c r="BD3791" s="401"/>
      <c r="BE3791" s="42"/>
    </row>
    <row r="3792" spans="48:57" x14ac:dyDescent="0.2">
      <c r="AV3792" s="401"/>
      <c r="AW3792" s="412"/>
      <c r="AX3792" s="230"/>
      <c r="AY3792" s="42"/>
      <c r="AZ3792" s="320"/>
      <c r="BD3792" s="401"/>
      <c r="BE3792" s="42"/>
    </row>
    <row r="3793" spans="48:57" x14ac:dyDescent="0.2">
      <c r="AV3793" s="401"/>
      <c r="AW3793" s="412"/>
      <c r="AX3793" s="230"/>
      <c r="AY3793" s="42"/>
      <c r="AZ3793" s="320"/>
      <c r="BD3793" s="401"/>
      <c r="BE3793" s="42"/>
    </row>
    <row r="3794" spans="48:57" x14ac:dyDescent="0.2">
      <c r="AV3794" s="401"/>
      <c r="AW3794" s="412"/>
      <c r="AX3794" s="230"/>
      <c r="AY3794" s="42"/>
      <c r="AZ3794" s="320"/>
      <c r="BD3794" s="401"/>
      <c r="BE3794" s="42"/>
    </row>
    <row r="3795" spans="48:57" x14ac:dyDescent="0.2">
      <c r="AV3795" s="401"/>
      <c r="AW3795" s="412"/>
      <c r="AX3795" s="230"/>
      <c r="AY3795" s="42"/>
      <c r="AZ3795" s="320"/>
      <c r="BD3795" s="401"/>
      <c r="BE3795" s="42"/>
    </row>
    <row r="3796" spans="48:57" x14ac:dyDescent="0.2">
      <c r="AV3796" s="401"/>
      <c r="AW3796" s="412"/>
      <c r="AX3796" s="230"/>
      <c r="AY3796" s="42"/>
      <c r="AZ3796" s="320"/>
      <c r="BD3796" s="401"/>
      <c r="BE3796" s="42"/>
    </row>
    <row r="3797" spans="48:57" x14ac:dyDescent="0.2">
      <c r="AV3797" s="401"/>
      <c r="AW3797" s="412"/>
      <c r="AX3797" s="230"/>
      <c r="AY3797" s="42"/>
      <c r="AZ3797" s="320"/>
      <c r="BD3797" s="401"/>
      <c r="BE3797" s="42"/>
    </row>
    <row r="3798" spans="48:57" x14ac:dyDescent="0.2">
      <c r="AV3798" s="401"/>
      <c r="AW3798" s="412"/>
      <c r="AX3798" s="230"/>
      <c r="AY3798" s="42"/>
      <c r="AZ3798" s="320"/>
      <c r="BD3798" s="401"/>
      <c r="BE3798" s="42"/>
    </row>
    <row r="3799" spans="48:57" x14ac:dyDescent="0.2">
      <c r="AV3799" s="401"/>
      <c r="AW3799" s="412"/>
      <c r="AX3799" s="230"/>
      <c r="AY3799" s="42"/>
      <c r="AZ3799" s="320"/>
      <c r="BD3799" s="401"/>
      <c r="BE3799" s="42"/>
    </row>
    <row r="3800" spans="48:57" x14ac:dyDescent="0.2">
      <c r="AV3800" s="401"/>
      <c r="AW3800" s="412"/>
      <c r="AX3800" s="230"/>
      <c r="AY3800" s="42"/>
      <c r="AZ3800" s="320"/>
      <c r="BD3800" s="401"/>
      <c r="BE3800" s="42"/>
    </row>
    <row r="3801" spans="48:57" x14ac:dyDescent="0.2">
      <c r="AV3801" s="401"/>
      <c r="AW3801" s="412"/>
      <c r="AX3801" s="230"/>
      <c r="AY3801" s="42"/>
      <c r="AZ3801" s="320"/>
      <c r="BD3801" s="401"/>
      <c r="BE3801" s="42"/>
    </row>
    <row r="3802" spans="48:57" x14ac:dyDescent="0.2">
      <c r="AV3802" s="401"/>
      <c r="AW3802" s="412"/>
      <c r="AX3802" s="230"/>
      <c r="AY3802" s="42"/>
      <c r="AZ3802" s="320"/>
      <c r="BD3802" s="401"/>
      <c r="BE3802" s="42"/>
    </row>
    <row r="3803" spans="48:57" x14ac:dyDescent="0.2">
      <c r="AV3803" s="401"/>
      <c r="AW3803" s="412"/>
      <c r="AX3803" s="230"/>
      <c r="AY3803" s="42"/>
      <c r="AZ3803" s="320"/>
      <c r="BD3803" s="401"/>
      <c r="BE3803" s="42"/>
    </row>
    <row r="3804" spans="48:57" x14ac:dyDescent="0.2">
      <c r="AV3804" s="401"/>
      <c r="AW3804" s="412"/>
      <c r="AX3804" s="230"/>
      <c r="AY3804" s="42"/>
      <c r="AZ3804" s="320"/>
      <c r="BD3804" s="401"/>
      <c r="BE3804" s="42"/>
    </row>
    <row r="3805" spans="48:57" x14ac:dyDescent="0.2">
      <c r="AV3805" s="401"/>
      <c r="AW3805" s="412"/>
      <c r="AX3805" s="230"/>
      <c r="AY3805" s="42"/>
      <c r="AZ3805" s="320"/>
      <c r="BD3805" s="401"/>
      <c r="BE3805" s="42"/>
    </row>
    <row r="3806" spans="48:57" x14ac:dyDescent="0.2">
      <c r="AV3806" s="401"/>
      <c r="AW3806" s="412"/>
      <c r="AX3806" s="230"/>
      <c r="AY3806" s="42"/>
      <c r="AZ3806" s="320"/>
      <c r="BD3806" s="401"/>
      <c r="BE3806" s="42"/>
    </row>
    <row r="3807" spans="48:57" x14ac:dyDescent="0.2">
      <c r="AV3807" s="401"/>
      <c r="AW3807" s="412"/>
      <c r="AX3807" s="230"/>
      <c r="AY3807" s="42"/>
      <c r="AZ3807" s="320"/>
      <c r="BD3807" s="401"/>
      <c r="BE3807" s="42"/>
    </row>
    <row r="3808" spans="48:57" x14ac:dyDescent="0.2">
      <c r="AV3808" s="401"/>
      <c r="AW3808" s="412"/>
      <c r="AX3808" s="230"/>
      <c r="AY3808" s="42"/>
      <c r="AZ3808" s="320"/>
      <c r="BD3808" s="401"/>
      <c r="BE3808" s="42"/>
    </row>
    <row r="3809" spans="48:57" x14ac:dyDescent="0.2">
      <c r="AV3809" s="401"/>
      <c r="AW3809" s="412"/>
      <c r="AX3809" s="230"/>
      <c r="AY3809" s="42"/>
      <c r="AZ3809" s="320"/>
      <c r="BD3809" s="401"/>
      <c r="BE3809" s="42"/>
    </row>
    <row r="3810" spans="48:57" x14ac:dyDescent="0.2">
      <c r="AV3810" s="401"/>
      <c r="AW3810" s="412"/>
      <c r="AX3810" s="230"/>
      <c r="AY3810" s="42"/>
      <c r="AZ3810" s="320"/>
      <c r="BD3810" s="401"/>
      <c r="BE3810" s="42"/>
    </row>
    <row r="3811" spans="48:57" x14ac:dyDescent="0.2">
      <c r="AV3811" s="401"/>
      <c r="AW3811" s="412"/>
      <c r="AX3811" s="230"/>
      <c r="AY3811" s="42"/>
      <c r="AZ3811" s="320"/>
      <c r="BD3811" s="401"/>
      <c r="BE3811" s="42"/>
    </row>
    <row r="3812" spans="48:57" x14ac:dyDescent="0.2">
      <c r="AV3812" s="401"/>
      <c r="AW3812" s="412"/>
      <c r="AX3812" s="230"/>
      <c r="AY3812" s="42"/>
      <c r="AZ3812" s="320"/>
      <c r="BD3812" s="401"/>
      <c r="BE3812" s="42"/>
    </row>
    <row r="3813" spans="48:57" x14ac:dyDescent="0.2">
      <c r="AV3813" s="401"/>
      <c r="AW3813" s="412"/>
      <c r="AX3813" s="230"/>
      <c r="AY3813" s="42"/>
      <c r="AZ3813" s="320"/>
      <c r="BD3813" s="401"/>
      <c r="BE3813" s="42"/>
    </row>
    <row r="3814" spans="48:57" x14ac:dyDescent="0.2">
      <c r="AV3814" s="401"/>
      <c r="AW3814" s="412"/>
      <c r="AX3814" s="230"/>
      <c r="AY3814" s="42"/>
      <c r="AZ3814" s="320"/>
      <c r="BD3814" s="401"/>
      <c r="BE3814" s="42"/>
    </row>
    <row r="3815" spans="48:57" x14ac:dyDescent="0.2">
      <c r="AV3815" s="401"/>
      <c r="AW3815" s="412"/>
      <c r="AX3815" s="230"/>
      <c r="AY3815" s="42"/>
      <c r="AZ3815" s="320"/>
      <c r="BD3815" s="401"/>
      <c r="BE3815" s="42"/>
    </row>
    <row r="3816" spans="48:57" x14ac:dyDescent="0.2">
      <c r="AV3816" s="401"/>
      <c r="AW3816" s="412"/>
      <c r="AX3816" s="230"/>
      <c r="AY3816" s="42"/>
      <c r="AZ3816" s="320"/>
      <c r="BD3816" s="401"/>
      <c r="BE3816" s="42"/>
    </row>
    <row r="3817" spans="48:57" x14ac:dyDescent="0.2">
      <c r="AV3817" s="401"/>
      <c r="AW3817" s="412"/>
      <c r="AX3817" s="230"/>
      <c r="AY3817" s="42"/>
      <c r="AZ3817" s="320"/>
      <c r="BD3817" s="401"/>
      <c r="BE3817" s="42"/>
    </row>
    <row r="3818" spans="48:57" x14ac:dyDescent="0.2">
      <c r="AV3818" s="401"/>
      <c r="AW3818" s="412"/>
      <c r="AX3818" s="230"/>
      <c r="AY3818" s="42"/>
      <c r="AZ3818" s="320"/>
      <c r="BD3818" s="401"/>
      <c r="BE3818" s="42"/>
    </row>
    <row r="3819" spans="48:57" x14ac:dyDescent="0.2">
      <c r="AV3819" s="401"/>
      <c r="AW3819" s="412"/>
      <c r="AX3819" s="230"/>
      <c r="AY3819" s="42"/>
      <c r="AZ3819" s="320"/>
      <c r="BD3819" s="401"/>
      <c r="BE3819" s="42"/>
    </row>
    <row r="3820" spans="48:57" x14ac:dyDescent="0.2">
      <c r="AV3820" s="401"/>
      <c r="AW3820" s="412"/>
      <c r="AX3820" s="230"/>
      <c r="AY3820" s="42"/>
      <c r="AZ3820" s="320"/>
      <c r="BD3820" s="401"/>
      <c r="BE3820" s="42"/>
    </row>
    <row r="3821" spans="48:57" x14ac:dyDescent="0.2">
      <c r="AV3821" s="401"/>
      <c r="AW3821" s="412"/>
      <c r="AX3821" s="230"/>
      <c r="AY3821" s="42"/>
      <c r="AZ3821" s="320"/>
      <c r="BD3821" s="401"/>
      <c r="BE3821" s="42"/>
    </row>
    <row r="3822" spans="48:57" x14ac:dyDescent="0.2">
      <c r="AV3822" s="401"/>
      <c r="AW3822" s="412"/>
      <c r="AX3822" s="230"/>
      <c r="AY3822" s="42"/>
      <c r="AZ3822" s="320"/>
      <c r="BD3822" s="401"/>
      <c r="BE3822" s="42"/>
    </row>
    <row r="3823" spans="48:57" x14ac:dyDescent="0.2">
      <c r="AV3823" s="401"/>
      <c r="AW3823" s="412"/>
      <c r="AX3823" s="230"/>
      <c r="AY3823" s="42"/>
      <c r="AZ3823" s="320"/>
      <c r="BD3823" s="401"/>
      <c r="BE3823" s="42"/>
    </row>
    <row r="3824" spans="48:57" x14ac:dyDescent="0.2">
      <c r="AV3824" s="401"/>
      <c r="AW3824" s="412"/>
      <c r="AX3824" s="230"/>
      <c r="AY3824" s="42"/>
      <c r="AZ3824" s="320"/>
      <c r="BD3824" s="401"/>
      <c r="BE3824" s="42"/>
    </row>
    <row r="3825" spans="48:57" x14ac:dyDescent="0.2">
      <c r="AV3825" s="401"/>
      <c r="AW3825" s="412"/>
      <c r="AX3825" s="230"/>
      <c r="AY3825" s="42"/>
      <c r="AZ3825" s="320"/>
      <c r="BD3825" s="401"/>
      <c r="BE3825" s="42"/>
    </row>
    <row r="3826" spans="48:57" x14ac:dyDescent="0.2">
      <c r="AV3826" s="401"/>
      <c r="AW3826" s="412"/>
      <c r="AX3826" s="230"/>
      <c r="AY3826" s="42"/>
      <c r="AZ3826" s="320"/>
      <c r="BD3826" s="401"/>
      <c r="BE3826" s="42"/>
    </row>
    <row r="3827" spans="48:57" x14ac:dyDescent="0.2">
      <c r="AV3827" s="401"/>
      <c r="AW3827" s="412"/>
      <c r="AX3827" s="230"/>
      <c r="AY3827" s="42"/>
      <c r="AZ3827" s="320"/>
      <c r="BD3827" s="401"/>
      <c r="BE3827" s="42"/>
    </row>
    <row r="3828" spans="48:57" x14ac:dyDescent="0.2">
      <c r="AV3828" s="401"/>
      <c r="AW3828" s="412"/>
      <c r="AX3828" s="230"/>
      <c r="AY3828" s="42"/>
      <c r="AZ3828" s="320"/>
      <c r="BD3828" s="401"/>
      <c r="BE3828" s="42"/>
    </row>
    <row r="3829" spans="48:57" x14ac:dyDescent="0.2">
      <c r="AV3829" s="401"/>
      <c r="AW3829" s="412"/>
      <c r="AX3829" s="230"/>
      <c r="AY3829" s="42"/>
      <c r="AZ3829" s="320"/>
      <c r="BD3829" s="401"/>
      <c r="BE3829" s="42"/>
    </row>
    <row r="3830" spans="48:57" x14ac:dyDescent="0.2">
      <c r="AV3830" s="401"/>
      <c r="AW3830" s="412"/>
      <c r="AX3830" s="230"/>
      <c r="AY3830" s="42"/>
      <c r="AZ3830" s="320"/>
      <c r="BD3830" s="401"/>
      <c r="BE3830" s="42"/>
    </row>
    <row r="3831" spans="48:57" x14ac:dyDescent="0.2">
      <c r="AV3831" s="401"/>
      <c r="AW3831" s="412"/>
      <c r="AX3831" s="230"/>
      <c r="AY3831" s="42"/>
      <c r="AZ3831" s="320"/>
      <c r="BD3831" s="401"/>
      <c r="BE3831" s="42"/>
    </row>
    <row r="3832" spans="48:57" x14ac:dyDescent="0.2">
      <c r="AV3832" s="401"/>
      <c r="AW3832" s="412"/>
      <c r="AX3832" s="230"/>
      <c r="AY3832" s="42"/>
      <c r="AZ3832" s="320"/>
      <c r="BD3832" s="401"/>
      <c r="BE3832" s="42"/>
    </row>
    <row r="3833" spans="48:57" x14ac:dyDescent="0.2">
      <c r="AV3833" s="401"/>
      <c r="AW3833" s="412"/>
      <c r="AX3833" s="230"/>
      <c r="AY3833" s="42"/>
      <c r="AZ3833" s="320"/>
      <c r="BD3833" s="401"/>
      <c r="BE3833" s="42"/>
    </row>
    <row r="3834" spans="48:57" x14ac:dyDescent="0.2">
      <c r="AV3834" s="401"/>
      <c r="AW3834" s="412"/>
      <c r="AX3834" s="230"/>
      <c r="AY3834" s="42"/>
      <c r="AZ3834" s="320"/>
      <c r="BD3834" s="401"/>
      <c r="BE3834" s="42"/>
    </row>
    <row r="3835" spans="48:57" x14ac:dyDescent="0.2">
      <c r="AV3835" s="401"/>
      <c r="AW3835" s="412"/>
      <c r="AX3835" s="230"/>
      <c r="AY3835" s="42"/>
      <c r="AZ3835" s="320"/>
      <c r="BD3835" s="401"/>
      <c r="BE3835" s="42"/>
    </row>
    <row r="3836" spans="48:57" x14ac:dyDescent="0.2">
      <c r="AV3836" s="401"/>
      <c r="AW3836" s="412"/>
      <c r="AX3836" s="230"/>
      <c r="AY3836" s="42"/>
      <c r="AZ3836" s="320"/>
      <c r="BD3836" s="401"/>
      <c r="BE3836" s="42"/>
    </row>
    <row r="3837" spans="48:57" x14ac:dyDescent="0.2">
      <c r="AV3837" s="401"/>
      <c r="AW3837" s="412"/>
      <c r="AX3837" s="230"/>
      <c r="AY3837" s="42"/>
      <c r="AZ3837" s="320"/>
      <c r="BD3837" s="401"/>
      <c r="BE3837" s="42"/>
    </row>
    <row r="3838" spans="48:57" x14ac:dyDescent="0.2">
      <c r="AV3838" s="401"/>
      <c r="AW3838" s="412"/>
      <c r="AX3838" s="230"/>
      <c r="AY3838" s="42"/>
      <c r="AZ3838" s="320"/>
      <c r="BD3838" s="401"/>
      <c r="BE3838" s="42"/>
    </row>
    <row r="3839" spans="48:57" x14ac:dyDescent="0.2">
      <c r="AV3839" s="401"/>
      <c r="AW3839" s="412"/>
      <c r="AX3839" s="230"/>
      <c r="AY3839" s="42"/>
      <c r="AZ3839" s="320"/>
      <c r="BD3839" s="401"/>
      <c r="BE3839" s="42"/>
    </row>
    <row r="3840" spans="48:57" x14ac:dyDescent="0.2">
      <c r="AV3840" s="401"/>
      <c r="AW3840" s="412"/>
      <c r="AX3840" s="230"/>
      <c r="AY3840" s="42"/>
      <c r="AZ3840" s="320"/>
      <c r="BD3840" s="401"/>
      <c r="BE3840" s="42"/>
    </row>
    <row r="3841" spans="48:57" x14ac:dyDescent="0.2">
      <c r="AV3841" s="401"/>
      <c r="AW3841" s="412"/>
      <c r="AX3841" s="230"/>
      <c r="AY3841" s="42"/>
      <c r="AZ3841" s="320"/>
      <c r="BD3841" s="401"/>
      <c r="BE3841" s="42"/>
    </row>
    <row r="3842" spans="48:57" x14ac:dyDescent="0.2">
      <c r="AV3842" s="401"/>
      <c r="AW3842" s="412"/>
      <c r="AX3842" s="230"/>
      <c r="AY3842" s="42"/>
      <c r="AZ3842" s="320"/>
      <c r="BD3842" s="401"/>
      <c r="BE3842" s="42"/>
    </row>
    <row r="3843" spans="48:57" x14ac:dyDescent="0.2">
      <c r="AV3843" s="401"/>
      <c r="AW3843" s="412"/>
      <c r="AX3843" s="230"/>
      <c r="AY3843" s="42"/>
      <c r="AZ3843" s="320"/>
      <c r="BD3843" s="401"/>
      <c r="BE3843" s="42"/>
    </row>
    <row r="3844" spans="48:57" x14ac:dyDescent="0.2">
      <c r="AV3844" s="401"/>
      <c r="AW3844" s="412"/>
      <c r="AX3844" s="230"/>
      <c r="AY3844" s="42"/>
      <c r="AZ3844" s="320"/>
      <c r="BD3844" s="401"/>
      <c r="BE3844" s="42"/>
    </row>
    <row r="3845" spans="48:57" x14ac:dyDescent="0.2">
      <c r="AV3845" s="401"/>
      <c r="AW3845" s="412"/>
      <c r="AX3845" s="230"/>
      <c r="AY3845" s="42"/>
      <c r="AZ3845" s="320"/>
      <c r="BD3845" s="401"/>
      <c r="BE3845" s="42"/>
    </row>
    <row r="3846" spans="48:57" x14ac:dyDescent="0.2">
      <c r="AV3846" s="401"/>
      <c r="AW3846" s="412"/>
      <c r="AX3846" s="230"/>
      <c r="AY3846" s="42"/>
      <c r="AZ3846" s="320"/>
      <c r="BD3846" s="401"/>
      <c r="BE3846" s="42"/>
    </row>
    <row r="3847" spans="48:57" x14ac:dyDescent="0.2">
      <c r="AV3847" s="401"/>
      <c r="AW3847" s="412"/>
      <c r="AX3847" s="230"/>
      <c r="AY3847" s="42"/>
      <c r="AZ3847" s="320"/>
      <c r="BD3847" s="401"/>
      <c r="BE3847" s="42"/>
    </row>
    <row r="3848" spans="48:57" x14ac:dyDescent="0.2">
      <c r="AV3848" s="401"/>
      <c r="AW3848" s="412"/>
      <c r="AX3848" s="230"/>
      <c r="AY3848" s="42"/>
      <c r="AZ3848" s="320"/>
      <c r="BD3848" s="401"/>
      <c r="BE3848" s="42"/>
    </row>
    <row r="3849" spans="48:57" x14ac:dyDescent="0.2">
      <c r="AV3849" s="401"/>
      <c r="AW3849" s="412"/>
      <c r="AX3849" s="230"/>
      <c r="AY3849" s="42"/>
      <c r="AZ3849" s="320"/>
      <c r="BD3849" s="401"/>
      <c r="BE3849" s="42"/>
    </row>
    <row r="3850" spans="48:57" x14ac:dyDescent="0.2">
      <c r="AV3850" s="401"/>
      <c r="AW3850" s="412"/>
      <c r="AX3850" s="230"/>
      <c r="AY3850" s="42"/>
      <c r="AZ3850" s="320"/>
      <c r="BD3850" s="401"/>
      <c r="BE3850" s="42"/>
    </row>
    <row r="3851" spans="48:57" x14ac:dyDescent="0.2">
      <c r="AV3851" s="401"/>
      <c r="AW3851" s="412"/>
      <c r="AX3851" s="230"/>
      <c r="AY3851" s="42"/>
      <c r="AZ3851" s="320"/>
      <c r="BD3851" s="401"/>
      <c r="BE3851" s="42"/>
    </row>
    <row r="3852" spans="48:57" x14ac:dyDescent="0.2">
      <c r="AV3852" s="401"/>
      <c r="AW3852" s="412"/>
      <c r="AX3852" s="230"/>
      <c r="AY3852" s="42"/>
      <c r="AZ3852" s="320"/>
      <c r="BD3852" s="401"/>
      <c r="BE3852" s="42"/>
    </row>
    <row r="3853" spans="48:57" x14ac:dyDescent="0.2">
      <c r="AV3853" s="401"/>
      <c r="AW3853" s="412"/>
      <c r="AX3853" s="230"/>
      <c r="AY3853" s="42"/>
      <c r="AZ3853" s="320"/>
      <c r="BD3853" s="401"/>
      <c r="BE3853" s="42"/>
    </row>
    <row r="3854" spans="48:57" x14ac:dyDescent="0.2">
      <c r="AV3854" s="401"/>
      <c r="AW3854" s="412"/>
      <c r="AX3854" s="230"/>
      <c r="AY3854" s="42"/>
      <c r="AZ3854" s="320"/>
      <c r="BD3854" s="401"/>
      <c r="BE3854" s="42"/>
    </row>
    <row r="3855" spans="48:57" x14ac:dyDescent="0.2">
      <c r="AV3855" s="401"/>
      <c r="AW3855" s="412"/>
      <c r="AX3855" s="230"/>
      <c r="AY3855" s="42"/>
      <c r="AZ3855" s="320"/>
      <c r="BD3855" s="401"/>
      <c r="BE3855" s="42"/>
    </row>
    <row r="3856" spans="48:57" x14ac:dyDescent="0.2">
      <c r="AV3856" s="401"/>
      <c r="AW3856" s="412"/>
      <c r="AX3856" s="230"/>
      <c r="AY3856" s="42"/>
      <c r="AZ3856" s="320"/>
      <c r="BD3856" s="401"/>
      <c r="BE3856" s="42"/>
    </row>
    <row r="3857" spans="48:57" x14ac:dyDescent="0.2">
      <c r="AV3857" s="401"/>
      <c r="AW3857" s="412"/>
      <c r="AX3857" s="230"/>
      <c r="AY3857" s="42"/>
      <c r="AZ3857" s="320"/>
      <c r="BD3857" s="401"/>
      <c r="BE3857" s="42"/>
    </row>
    <row r="3858" spans="48:57" x14ac:dyDescent="0.2">
      <c r="AV3858" s="401"/>
      <c r="AW3858" s="412"/>
      <c r="AX3858" s="230"/>
      <c r="AY3858" s="42"/>
      <c r="AZ3858" s="320"/>
      <c r="BD3858" s="401"/>
      <c r="BE3858" s="42"/>
    </row>
    <row r="3859" spans="48:57" x14ac:dyDescent="0.2">
      <c r="AV3859" s="401"/>
      <c r="AW3859" s="412"/>
      <c r="AX3859" s="230"/>
      <c r="AY3859" s="42"/>
      <c r="AZ3859" s="320"/>
      <c r="BD3859" s="401"/>
      <c r="BE3859" s="42"/>
    </row>
    <row r="3860" spans="48:57" x14ac:dyDescent="0.2">
      <c r="AV3860" s="401"/>
      <c r="AW3860" s="412"/>
      <c r="AX3860" s="230"/>
      <c r="AY3860" s="42"/>
      <c r="AZ3860" s="320"/>
      <c r="BD3860" s="401"/>
      <c r="BE3860" s="42"/>
    </row>
    <row r="3861" spans="48:57" x14ac:dyDescent="0.2">
      <c r="AV3861" s="401"/>
      <c r="AW3861" s="412"/>
      <c r="AX3861" s="230"/>
      <c r="AY3861" s="42"/>
      <c r="AZ3861" s="320"/>
      <c r="BD3861" s="401"/>
      <c r="BE3861" s="42"/>
    </row>
    <row r="3862" spans="48:57" x14ac:dyDescent="0.2">
      <c r="AV3862" s="401"/>
      <c r="AW3862" s="412"/>
      <c r="AX3862" s="230"/>
      <c r="AY3862" s="42"/>
      <c r="AZ3862" s="320"/>
      <c r="BD3862" s="401"/>
      <c r="BE3862" s="42"/>
    </row>
    <row r="3863" spans="48:57" x14ac:dyDescent="0.2">
      <c r="AV3863" s="401"/>
      <c r="AW3863" s="412"/>
      <c r="AX3863" s="230"/>
      <c r="AY3863" s="42"/>
      <c r="AZ3863" s="320"/>
      <c r="BD3863" s="401"/>
      <c r="BE3863" s="42"/>
    </row>
    <row r="3864" spans="48:57" x14ac:dyDescent="0.2">
      <c r="AV3864" s="401"/>
      <c r="AW3864" s="412"/>
      <c r="AX3864" s="230"/>
      <c r="AY3864" s="42"/>
      <c r="AZ3864" s="320"/>
      <c r="BD3864" s="401"/>
      <c r="BE3864" s="42"/>
    </row>
    <row r="3865" spans="48:57" x14ac:dyDescent="0.2">
      <c r="AV3865" s="401"/>
      <c r="AW3865" s="412"/>
      <c r="AX3865" s="230"/>
      <c r="AY3865" s="42"/>
      <c r="AZ3865" s="320"/>
      <c r="BD3865" s="401"/>
      <c r="BE3865" s="42"/>
    </row>
    <row r="3866" spans="48:57" x14ac:dyDescent="0.2">
      <c r="AV3866" s="401"/>
      <c r="AW3866" s="412"/>
      <c r="AX3866" s="230"/>
      <c r="AY3866" s="42"/>
      <c r="AZ3866" s="320"/>
      <c r="BD3866" s="401"/>
      <c r="BE3866" s="42"/>
    </row>
    <row r="3867" spans="48:57" x14ac:dyDescent="0.2">
      <c r="AV3867" s="401"/>
      <c r="AW3867" s="412"/>
      <c r="AX3867" s="230"/>
      <c r="AY3867" s="42"/>
      <c r="AZ3867" s="320"/>
      <c r="BD3867" s="401"/>
      <c r="BE3867" s="42"/>
    </row>
    <row r="3868" spans="48:57" x14ac:dyDescent="0.2">
      <c r="AV3868" s="401"/>
      <c r="AW3868" s="412"/>
      <c r="AX3868" s="230"/>
      <c r="AY3868" s="42"/>
      <c r="AZ3868" s="320"/>
      <c r="BD3868" s="401"/>
      <c r="BE3868" s="42"/>
    </row>
    <row r="3869" spans="48:57" x14ac:dyDescent="0.2">
      <c r="AV3869" s="401"/>
      <c r="AW3869" s="412"/>
      <c r="AX3869" s="230"/>
      <c r="AY3869" s="42"/>
      <c r="AZ3869" s="320"/>
      <c r="BD3869" s="401"/>
      <c r="BE3869" s="42"/>
    </row>
    <row r="3870" spans="48:57" x14ac:dyDescent="0.2">
      <c r="AV3870" s="401"/>
      <c r="AW3870" s="412"/>
      <c r="AX3870" s="230"/>
      <c r="AY3870" s="42"/>
      <c r="AZ3870" s="320"/>
      <c r="BD3870" s="401"/>
      <c r="BE3870" s="42"/>
    </row>
    <row r="3871" spans="48:57" x14ac:dyDescent="0.2">
      <c r="AV3871" s="401"/>
      <c r="AW3871" s="412"/>
      <c r="AX3871" s="230"/>
      <c r="AY3871" s="42"/>
      <c r="AZ3871" s="320"/>
      <c r="BD3871" s="401"/>
      <c r="BE3871" s="42"/>
    </row>
    <row r="3872" spans="48:57" x14ac:dyDescent="0.2">
      <c r="AV3872" s="401"/>
      <c r="AW3872" s="412"/>
      <c r="AX3872" s="230"/>
      <c r="AY3872" s="42"/>
      <c r="AZ3872" s="320"/>
      <c r="BD3872" s="401"/>
      <c r="BE3872" s="42"/>
    </row>
    <row r="3873" spans="48:57" x14ac:dyDescent="0.2">
      <c r="AV3873" s="401"/>
      <c r="AW3873" s="412"/>
      <c r="AX3873" s="230"/>
      <c r="AY3873" s="42"/>
      <c r="AZ3873" s="320"/>
      <c r="BD3873" s="401"/>
      <c r="BE3873" s="42"/>
    </row>
    <row r="3874" spans="48:57" x14ac:dyDescent="0.2">
      <c r="AV3874" s="401"/>
      <c r="AW3874" s="412"/>
      <c r="AX3874" s="230"/>
      <c r="AY3874" s="42"/>
      <c r="AZ3874" s="320"/>
      <c r="BD3874" s="401"/>
      <c r="BE3874" s="42"/>
    </row>
    <row r="3875" spans="48:57" x14ac:dyDescent="0.2">
      <c r="AV3875" s="401"/>
      <c r="AW3875" s="412"/>
      <c r="AX3875" s="230"/>
      <c r="AY3875" s="42"/>
      <c r="AZ3875" s="320"/>
      <c r="BD3875" s="401"/>
      <c r="BE3875" s="42"/>
    </row>
    <row r="3876" spans="48:57" x14ac:dyDescent="0.2">
      <c r="AV3876" s="401"/>
      <c r="AW3876" s="412"/>
      <c r="AX3876" s="230"/>
      <c r="AY3876" s="42"/>
      <c r="AZ3876" s="320"/>
      <c r="BD3876" s="401"/>
      <c r="BE3876" s="42"/>
    </row>
  </sheetData>
  <mergeCells count="1">
    <mergeCell ref="A2:B3"/>
  </mergeCells>
  <conditionalFormatting sqref="O1:O1048576">
    <cfRule type="expression" dxfId="356" priority="11">
      <formula>AND($N1&lt;&gt;$O1,ISNUMBER($O1))</formula>
    </cfRule>
  </conditionalFormatting>
  <conditionalFormatting sqref="F1:BE1048576">
    <cfRule type="expression" dxfId="355" priority="2">
      <formula>AND(ISNUMBER(F1),F1&lt;0)</formula>
    </cfRule>
  </conditionalFormatting>
  <conditionalFormatting sqref="F1:F1048576 AI1:AJ1048576 AP1:AQ1048576 AT1:AT1048576 AV1:AV1048576 AX1:AX1048576 BA1:BA1048576 BD1:BD1048576">
    <cfRule type="expression" dxfId="354" priority="1">
      <formula>$C1="&lt;01"</formula>
    </cfRule>
  </conditionalFormatting>
  <conditionalFormatting sqref="S1:AJ1048576 AN1:AO1048576 AZ1:AZ1048576 BC1:BC1048576">
    <cfRule type="expression" dxfId="353" priority="4">
      <formula>AND(ROW($S1)&gt;14,$E1&lt;&gt;"",LEFT($B1,4)="_Mil")</formula>
    </cfRule>
  </conditionalFormatting>
  <conditionalFormatting sqref="AK1:AK1048576">
    <cfRule type="expression" dxfId="352" priority="7">
      <formula>AND(ROW($AK1)&gt;14,$E1&lt;&gt;"",$C1&lt;&gt;"&lt;01")</formula>
    </cfRule>
  </conditionalFormatting>
  <conditionalFormatting sqref="V1:V1048576 X1:X1048576 AA1:AA1048576 AC1:AC1048576 AE1:AF1048576 AP1:AQ1048576 AT1:AT1048576 AV1:AV1048576 AX1:AX1048576 BA1:BA1048576 BD1:BD1048576">
    <cfRule type="expression" dxfId="351" priority="3">
      <formula>AND(ISNUMBER(V1),V1&gt;1)</formula>
    </cfRule>
  </conditionalFormatting>
  <conditionalFormatting sqref="Z1:Z1048576 AI1:AI1048576 AO1:AO1048576">
    <cfRule type="expression" dxfId="350" priority="9">
      <formula>AND(ISNUMBER(Z1),Z1&gt;1)</formula>
    </cfRule>
    <cfRule type="expression" dxfId="349" priority="12">
      <formula>AND(ISNUMBER(Z1),Z1&lt;0.9)</formula>
    </cfRule>
  </conditionalFormatting>
  <conditionalFormatting sqref="X1:X1048576 AA1:AA1048576 AC1:AC1048576 AE1:AE1048576 AX1:AX1048576 BA1:BA1048576 BD1:BD1048576">
    <cfRule type="expression" dxfId="348" priority="10">
      <formula>AND(ISNUMBER(X1),X1&lt;0.95)</formula>
    </cfRule>
  </conditionalFormatting>
  <conditionalFormatting sqref="AP1:AQ1048576">
    <cfRule type="expression" dxfId="347" priority="8">
      <formula>AND(ISNUMBER(AP1),AP1&lt;0.98)</formula>
    </cfRule>
  </conditionalFormatting>
  <conditionalFormatting sqref="AT1:AT1048576">
    <cfRule type="expression" dxfId="346" priority="6">
      <formula>AND(ISNUMBER(AT1),AT1&lt;1)</formula>
    </cfRule>
  </conditionalFormatting>
  <conditionalFormatting sqref="AV1:AV1048576">
    <cfRule type="expression" dxfId="345" priority="5">
      <formula>AND(ISNUMBER(AV1),AV1&lt;0.7)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sheetView>
    <sheetView topLeftCell="AE1" workbookViewId="1">
      <selection activeCell="T1" sqref="T1:T1048576"/>
    </sheetView>
  </sheetViews>
  <sheetFormatPr baseColWidth="10" defaultRowHeight="16" x14ac:dyDescent="0.2"/>
  <cols>
    <col min="1" max="1" width="16.1640625" style="377" customWidth="1"/>
    <col min="2" max="2" width="30.83203125" style="5" customWidth="1"/>
    <col min="3" max="3" width="10.83203125" style="5" customWidth="1"/>
    <col min="4" max="4" width="7.83203125" style="5" customWidth="1"/>
    <col min="5" max="5" width="15.5" style="5" hidden="1" customWidth="1"/>
    <col min="6" max="6" width="11.83203125" style="108" customWidth="1"/>
    <col min="7" max="7" width="11.83203125" style="37" customWidth="1"/>
    <col min="8" max="8" width="11.83203125" style="94" customWidth="1"/>
    <col min="9" max="9" width="11.83203125" style="37" customWidth="1"/>
    <col min="10" max="10" width="11.83203125" style="426" customWidth="1"/>
    <col min="11" max="17" width="11.83203125" style="37" customWidth="1"/>
    <col min="18" max="18" width="11.83203125" style="53" customWidth="1"/>
    <col min="19" max="19" width="11.83203125" style="422" customWidth="1"/>
    <col min="20" max="20" width="11.83203125" style="62" customWidth="1"/>
    <col min="21" max="21" width="11.83203125" style="422" customWidth="1"/>
    <col min="22" max="22" width="11.83203125" style="62" customWidth="1"/>
    <col min="23" max="23" width="11.83203125" style="441" customWidth="1"/>
    <col min="24" max="26" width="11.83203125" style="432" customWidth="1"/>
    <col min="27" max="27" width="11.83203125" style="33" customWidth="1"/>
    <col min="28" max="28" width="11.83203125" style="64" customWidth="1"/>
    <col min="29" max="30" width="11.83203125" style="33" customWidth="1"/>
    <col min="31" max="31" width="11.83203125" style="61" customWidth="1"/>
    <col min="32" max="34" width="11.83203125" style="33" customWidth="1"/>
    <col min="35" max="35" width="11.83203125" style="463" customWidth="1"/>
    <col min="36" max="37" width="11.83203125" style="33" customWidth="1"/>
    <col min="38" max="38" width="11.83203125" style="61" customWidth="1"/>
    <col min="39" max="40" width="11.83203125" style="33" customWidth="1"/>
    <col min="41" max="41" width="11.83203125" style="47" customWidth="1"/>
    <col min="42" max="44" width="11.83203125" style="432" customWidth="1"/>
    <col min="45" max="46" width="11.83203125" style="33" customWidth="1"/>
    <col min="47" max="47" width="11.83203125" style="36" customWidth="1"/>
    <col min="48" max="48" width="11.83203125" style="47" customWidth="1"/>
    <col min="49" max="49" width="11.83203125" style="36" customWidth="1"/>
    <col min="50" max="53" width="11.83203125" style="158" customWidth="1"/>
  </cols>
  <sheetData>
    <row r="1" spans="1:53" s="24" customFormat="1" ht="31" customHeight="1" thickBot="1" x14ac:dyDescent="0.35">
      <c r="A1" s="379" t="s">
        <v>47</v>
      </c>
      <c r="C1" s="1"/>
      <c r="D1" s="1"/>
      <c r="E1" s="1"/>
      <c r="F1" s="268" t="s">
        <v>871</v>
      </c>
      <c r="G1" s="238"/>
      <c r="H1" s="267"/>
      <c r="I1" s="238"/>
      <c r="J1" s="424"/>
      <c r="K1" s="238"/>
      <c r="L1" s="238"/>
      <c r="M1" s="238"/>
      <c r="N1" s="238"/>
      <c r="O1" s="238"/>
      <c r="P1" s="238"/>
      <c r="Q1" s="238"/>
      <c r="R1" s="268" t="s">
        <v>882</v>
      </c>
      <c r="S1" s="418"/>
      <c r="T1" s="269"/>
      <c r="U1" s="418"/>
      <c r="V1" s="269"/>
      <c r="W1" s="437" t="s">
        <v>889</v>
      </c>
      <c r="X1" s="445"/>
      <c r="Y1" s="445"/>
      <c r="Z1" s="445"/>
      <c r="AA1" s="236"/>
      <c r="AB1" s="236"/>
      <c r="AC1" s="236"/>
      <c r="AD1" s="236"/>
      <c r="AE1" s="271" t="s">
        <v>890</v>
      </c>
      <c r="AF1" s="236"/>
      <c r="AG1" s="236"/>
      <c r="AH1" s="236"/>
      <c r="AI1" s="437" t="s">
        <v>895</v>
      </c>
      <c r="AJ1" s="234"/>
      <c r="AK1" s="242"/>
      <c r="AL1" s="268" t="s">
        <v>894</v>
      </c>
      <c r="AM1" s="234"/>
      <c r="AN1" s="242"/>
      <c r="AO1" s="271" t="s">
        <v>883</v>
      </c>
      <c r="AP1" s="445"/>
      <c r="AQ1" s="445"/>
      <c r="AR1" s="445"/>
      <c r="AS1" s="236"/>
      <c r="AT1" s="236"/>
      <c r="AU1" s="236"/>
      <c r="AV1" s="271" t="s">
        <v>371</v>
      </c>
      <c r="AW1" s="236"/>
      <c r="AX1" s="451"/>
      <c r="AY1" s="451"/>
      <c r="AZ1" s="451"/>
      <c r="BA1" s="451"/>
    </row>
    <row r="2" spans="1:53" s="21" customFormat="1" ht="19" customHeight="1" x14ac:dyDescent="0.25">
      <c r="A2" s="374" t="s">
        <v>612</v>
      </c>
      <c r="B2" s="371"/>
      <c r="D2" s="2"/>
      <c r="E2" s="2"/>
      <c r="F2" s="52"/>
      <c r="G2" s="46"/>
      <c r="H2" s="90"/>
      <c r="I2" s="46"/>
      <c r="J2" s="419"/>
      <c r="K2" s="46"/>
      <c r="L2" s="46"/>
      <c r="M2" s="46"/>
      <c r="N2" s="46"/>
      <c r="O2" s="46"/>
      <c r="P2" s="46"/>
      <c r="Q2" s="46"/>
      <c r="R2" s="52"/>
      <c r="S2" s="419"/>
      <c r="T2" s="328" t="s">
        <v>850</v>
      </c>
      <c r="U2" s="419"/>
      <c r="V2" s="328" t="s">
        <v>850</v>
      </c>
      <c r="W2" s="438"/>
      <c r="X2" s="429"/>
      <c r="Y2" s="429"/>
      <c r="Z2" s="429"/>
      <c r="AA2" s="329" t="s">
        <v>850</v>
      </c>
      <c r="AB2" s="329" t="s">
        <v>850</v>
      </c>
      <c r="AC2" s="329" t="s">
        <v>850</v>
      </c>
      <c r="AD2" s="329" t="s">
        <v>850</v>
      </c>
      <c r="AE2" s="330" t="s">
        <v>850</v>
      </c>
      <c r="AF2" s="329" t="s">
        <v>850</v>
      </c>
      <c r="AG2" s="329" t="s">
        <v>850</v>
      </c>
      <c r="AH2" s="329" t="s">
        <v>850</v>
      </c>
      <c r="AI2" s="438"/>
      <c r="AJ2" s="329" t="s">
        <v>850</v>
      </c>
      <c r="AK2" s="329" t="s">
        <v>850</v>
      </c>
      <c r="AL2" s="330" t="s">
        <v>850</v>
      </c>
      <c r="AM2" s="329" t="s">
        <v>850</v>
      </c>
      <c r="AN2" s="329" t="s">
        <v>850</v>
      </c>
      <c r="AO2" s="50"/>
      <c r="AP2" s="429"/>
      <c r="AQ2" s="429"/>
      <c r="AR2" s="429"/>
      <c r="AS2" s="329" t="s">
        <v>850</v>
      </c>
      <c r="AT2" s="329" t="s">
        <v>850</v>
      </c>
      <c r="AU2" s="46"/>
      <c r="AV2" s="50"/>
      <c r="AW2" s="34"/>
      <c r="AX2" s="452"/>
      <c r="AY2" s="452"/>
      <c r="AZ2" s="452"/>
      <c r="BA2" s="452"/>
    </row>
    <row r="3" spans="1:53" ht="117" customHeight="1" thickBot="1" x14ac:dyDescent="0.25">
      <c r="A3" s="372"/>
      <c r="B3" s="373"/>
      <c r="D3" s="17"/>
      <c r="E3" s="17"/>
      <c r="F3" s="129" t="s">
        <v>870</v>
      </c>
      <c r="G3" s="130" t="s">
        <v>872</v>
      </c>
      <c r="H3" s="131" t="s">
        <v>873</v>
      </c>
      <c r="I3" s="130" t="s">
        <v>927</v>
      </c>
      <c r="J3" s="132" t="s">
        <v>900</v>
      </c>
      <c r="K3" s="257" t="s">
        <v>901</v>
      </c>
      <c r="L3" s="257" t="s">
        <v>874</v>
      </c>
      <c r="M3" s="257" t="s">
        <v>876</v>
      </c>
      <c r="N3" s="257" t="s">
        <v>875</v>
      </c>
      <c r="O3" s="257" t="s">
        <v>877</v>
      </c>
      <c r="P3" s="257" t="s">
        <v>878</v>
      </c>
      <c r="Q3" s="257" t="s">
        <v>879</v>
      </c>
      <c r="R3" s="68" t="s">
        <v>880</v>
      </c>
      <c r="S3" s="454" t="s">
        <v>157</v>
      </c>
      <c r="T3" s="327" t="s">
        <v>641</v>
      </c>
      <c r="U3" s="454" t="s">
        <v>881</v>
      </c>
      <c r="V3" s="327" t="s">
        <v>903</v>
      </c>
      <c r="W3" s="457" t="s">
        <v>917</v>
      </c>
      <c r="X3" s="458" t="s">
        <v>915</v>
      </c>
      <c r="Y3" s="459" t="s">
        <v>884</v>
      </c>
      <c r="Z3" s="458" t="s">
        <v>885</v>
      </c>
      <c r="AA3" s="60" t="s">
        <v>643</v>
      </c>
      <c r="AB3" s="30" t="s">
        <v>891</v>
      </c>
      <c r="AC3" s="30" t="s">
        <v>892</v>
      </c>
      <c r="AD3" s="30" t="s">
        <v>893</v>
      </c>
      <c r="AE3" s="331" t="s">
        <v>902</v>
      </c>
      <c r="AF3" s="322" t="s">
        <v>886</v>
      </c>
      <c r="AG3" s="322" t="s">
        <v>887</v>
      </c>
      <c r="AH3" s="322" t="s">
        <v>888</v>
      </c>
      <c r="AI3" s="461" t="s">
        <v>731</v>
      </c>
      <c r="AJ3" s="30" t="s">
        <v>647</v>
      </c>
      <c r="AK3" s="30" t="s">
        <v>648</v>
      </c>
      <c r="AL3" s="331" t="s">
        <v>897</v>
      </c>
      <c r="AM3" s="322" t="s">
        <v>896</v>
      </c>
      <c r="AN3" s="322" t="s">
        <v>898</v>
      </c>
      <c r="AO3" s="283" t="s">
        <v>732</v>
      </c>
      <c r="AP3" s="464" t="s">
        <v>738</v>
      </c>
      <c r="AQ3" s="465" t="s">
        <v>733</v>
      </c>
      <c r="AR3" s="464" t="s">
        <v>731</v>
      </c>
      <c r="AS3" s="30" t="s">
        <v>652</v>
      </c>
      <c r="AT3" s="30" t="s">
        <v>653</v>
      </c>
      <c r="AU3" s="69" t="s">
        <v>734</v>
      </c>
      <c r="AV3" s="73" t="s">
        <v>899</v>
      </c>
      <c r="AW3" s="133" t="s">
        <v>735</v>
      </c>
      <c r="AX3" s="133" t="s">
        <v>904</v>
      </c>
      <c r="AY3" s="133" t="s">
        <v>905</v>
      </c>
      <c r="AZ3" s="133" t="s">
        <v>922</v>
      </c>
      <c r="BA3" s="69" t="s">
        <v>737</v>
      </c>
    </row>
    <row r="4" spans="1:53" x14ac:dyDescent="0.2">
      <c r="B4" s="15"/>
      <c r="C4" s="15"/>
      <c r="D4" s="15" t="s">
        <v>2</v>
      </c>
      <c r="E4" s="15"/>
      <c r="F4" s="65">
        <f>SUBTOTAL(109,F$15:INDEX(F:F,COUNTA($B:$B)+14-COUNTA($B$1:$B$14)))</f>
        <v>0</v>
      </c>
      <c r="G4" s="44">
        <f>SUBTOTAL(109,G$15:INDEX(G:G,COUNTA($B:$B)+14-COUNTA($B$1:$B$14)))</f>
        <v>0</v>
      </c>
      <c r="H4" s="79" t="str">
        <f>IF($F$4=0,"",$G4/$F4)</f>
        <v/>
      </c>
      <c r="I4" s="44">
        <f>SUBTOTAL(109,I$15:INDEX(I:I,COUNTA($B:$B)+14-COUNTA($B$1:$B$14)))</f>
        <v>0</v>
      </c>
      <c r="J4" s="425"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5">
        <f>SUBTOTAL(109,R$15:INDEX(R:R,COUNTA($B:$B)+14-COUNTA($B$1:$B$14)))</f>
        <v>0</v>
      </c>
      <c r="S4" s="455" t="str">
        <f>IF(SUM($R$4)=0,"",$T$4/$R$4-1)</f>
        <v/>
      </c>
      <c r="T4" s="72">
        <f>SUBTOTAL(109,T$15:INDEX(T:T,COUNTA($B:$B)+14-COUNTA($B$1:$B$14)))</f>
        <v>0</v>
      </c>
      <c r="U4" s="455" t="str">
        <f>IF($V$4=0,"",$T$4/$V$4)</f>
        <v/>
      </c>
      <c r="V4" s="72">
        <f>SUBTOTAL(109,V$15:INDEX(V:V,COUNTA($B:$B)+14-COUNTA($B$1:$B$14)))</f>
        <v>0</v>
      </c>
      <c r="W4" s="449"/>
      <c r="X4" s="460" t="str">
        <f>IF($AA$4=0,"",$AB$4/$AA$4)</f>
        <v/>
      </c>
      <c r="Y4" s="460"/>
      <c r="Z4" s="460" t="str">
        <f>IF($AA$4=0,"",$AC$4/($AA$4-$AB$4))</f>
        <v/>
      </c>
      <c r="AA4" s="41">
        <f>SUBTOTAL(109,AA$15:INDEX(AA:AA,COUNTA($B:$B)+14-COUNTA($B$1:$B$14)))</f>
        <v>0</v>
      </c>
      <c r="AB4" s="63">
        <f>IF(COUNTIF(AB$15:INDEX($AB:$AB,COUNTA($B:$B)+14-COUNTA($B$1:$B$14)),"&lt;0")&gt;0,"RESOLVE NEGATIVES",SUBTOTAL(109,AB$15:INDEX(AB:AB,COUNTA($B:$B)+14-COUNTA($B$1:$B$14))))</f>
        <v>0</v>
      </c>
      <c r="AC4" s="41">
        <f>SUBTOTAL(109,AC$15:INDEX(AC:AC,COUNTA($B:$B)+14-COUNTA($B$1:$B$14)))</f>
        <v>0</v>
      </c>
      <c r="AD4" s="41">
        <f>SUBTOTAL(109,AD$15:INDEX(AD:AD,COUNTA($B:$B)+14-COUNTA($B$1:$B$14)))</f>
        <v>0</v>
      </c>
      <c r="AE4" s="141">
        <f>SUBTOTAL(109,AE$15:INDEX(AE:AE,COUNTA($B:$B)+14-COUNTA($B$1:$B$14)))</f>
        <v>0</v>
      </c>
      <c r="AF4" s="41">
        <f>SUBTOTAL(109,AF$15:INDEX(AF:AF,COUNTA($B:$B)+14-COUNTA($B$1:$B$14)))</f>
        <v>0</v>
      </c>
      <c r="AG4" s="41">
        <f>SUBTOTAL(109,AG$15:INDEX(AG:AG,COUNTA($B:$B)+14-COUNTA($B$1:$B$14)))</f>
        <v>0</v>
      </c>
      <c r="AH4" s="41">
        <f>SUBTOTAL(109,AH$15:INDEX(AH:AH,COUNTA($B:$B)+14-COUNTA($B$1:$B$14)))</f>
        <v>0</v>
      </c>
      <c r="AI4" s="449" t="str">
        <f>IF($AC$4=0,"",$AK$4/$AC$4)</f>
        <v/>
      </c>
      <c r="AJ4" s="66">
        <f>SUBTOTAL(109,AJ$15:INDEX(AJ:AJ,COUNTA($B:$B)+14-COUNTA($B$1:$B$14)))</f>
        <v>0</v>
      </c>
      <c r="AK4" s="41">
        <f>SUBTOTAL(109,AK$15:INDEX(AK:AK,COUNTA($B:$B)+14-COUNTA($B$1:$B$14)))</f>
        <v>0</v>
      </c>
      <c r="AL4" s="141">
        <f>SUBTOTAL(109,AL$15:INDEX(AL:AL,COUNTA($B:$B)+14-COUNTA($B$1:$B$14)))</f>
        <v>0</v>
      </c>
      <c r="AM4" s="66">
        <f>SUBTOTAL(109,AM$15:INDEX(AM:AM,COUNTA($B:$B)+14-COUNTA($B$1:$B$14)))</f>
        <v>0</v>
      </c>
      <c r="AN4" s="41">
        <f>SUBTOTAL(109,AN$15:INDEX(AN:AN,COUNTA($B:$B)+14-COUNTA($B$1:$B$14)))</f>
        <v>0</v>
      </c>
      <c r="AO4" s="65">
        <f>SUBTOTAL(109,AO$15:INDEX(AO:AO,COUNTA($B:$B)+14-COUNTA($B$1:$B$14)))</f>
        <v>0</v>
      </c>
      <c r="AP4" s="466"/>
      <c r="AQ4" s="466" t="str">
        <f>IF($AO$4=0,"",$AS$4/$AO$4)</f>
        <v/>
      </c>
      <c r="AR4" s="466" t="str">
        <f>IF($AS$4=0,"",$AU$4/$AS$4)</f>
        <v/>
      </c>
      <c r="AS4" s="66">
        <f>SUBTOTAL(109,AS$15:INDEX(AS:AS,COUNTA($B:$B)+14-COUNTA($B$1:$B$14)))</f>
        <v>0</v>
      </c>
      <c r="AT4" s="41">
        <f>SUBTOTAL(109,AT$15:INDEX(AT:AT,COUNTA($B:$B)+14-COUNTA($B$1:$B$14)))</f>
        <v>0</v>
      </c>
      <c r="AU4" s="44">
        <f>SUBTOTAL(109,AU$15:INDEX(AU:AU,COUNTA($B:$B)+14-COUNTA($B$1:$B$14)))</f>
        <v>0</v>
      </c>
      <c r="AV4" s="65">
        <f>SUBTOTAL(109,AV$15:INDEX(AV:AV,COUNTA($B:$B)+14-COUNTA($B$1:$B$14)))</f>
        <v>0</v>
      </c>
      <c r="AW4" s="80">
        <f>SUBTOTAL(109,AW$15:INDEX(AW:AW,COUNTA($B:$B)+14-COUNTA($B$1:$B$14)))</f>
        <v>0</v>
      </c>
      <c r="AX4" s="158">
        <f>SUBTOTAL(109,AX$15:INDEX(AX:AX,COUNTA($B:$B)+14-COUNTA($B$1:$B$14)))</f>
        <v>0</v>
      </c>
      <c r="AY4" s="158">
        <f>SUBTOTAL(109,AY$15:INDEX(AY:AY,COUNTA($B:$B)+14-COUNTA($B$1:$B$14)))</f>
        <v>0</v>
      </c>
      <c r="AZ4" s="158">
        <f>SUBTOTAL(109,AZ$15:INDEX(AZ:AZ,COUNTA($B:$B)+14-COUNTA($B$1:$B$14)))</f>
        <v>0</v>
      </c>
      <c r="BA4" s="158">
        <f>SUBTOTAL(109,BA$15:INDEX(BA:BA,COUNTA($B:$B)+14-COUNTA($B$1:$B$14)))</f>
        <v>0</v>
      </c>
    </row>
    <row r="5" spans="1:53" x14ac:dyDescent="0.2">
      <c r="A5" s="377" t="s">
        <v>60</v>
      </c>
      <c r="B5" s="5" t="s">
        <v>60</v>
      </c>
      <c r="C5" s="5" t="s">
        <v>60</v>
      </c>
      <c r="D5" s="5" t="s">
        <v>60</v>
      </c>
      <c r="E5" s="5" t="s">
        <v>60</v>
      </c>
      <c r="F5" s="47" t="s">
        <v>60</v>
      </c>
      <c r="G5" s="36" t="s">
        <v>60</v>
      </c>
      <c r="H5" s="83" t="s">
        <v>60</v>
      </c>
      <c r="I5" s="36" t="s">
        <v>60</v>
      </c>
      <c r="J5" s="422" t="s">
        <v>60</v>
      </c>
      <c r="K5" s="36" t="s">
        <v>69</v>
      </c>
      <c r="L5" s="36" t="s">
        <v>69</v>
      </c>
      <c r="M5" s="36" t="s">
        <v>69</v>
      </c>
      <c r="N5" s="36" t="s">
        <v>69</v>
      </c>
      <c r="O5" s="36" t="s">
        <v>69</v>
      </c>
      <c r="P5" s="36" t="s">
        <v>69</v>
      </c>
      <c r="Q5" s="36" t="s">
        <v>69</v>
      </c>
      <c r="R5" s="47" t="s">
        <v>71</v>
      </c>
      <c r="S5" s="422" t="s">
        <v>60</v>
      </c>
      <c r="T5" s="33" t="s">
        <v>71</v>
      </c>
      <c r="U5" s="422" t="s">
        <v>60</v>
      </c>
      <c r="V5" s="33" t="s">
        <v>69</v>
      </c>
      <c r="W5" s="441" t="s">
        <v>60</v>
      </c>
      <c r="X5" s="432" t="s">
        <v>60</v>
      </c>
      <c r="Y5" s="432" t="s">
        <v>60</v>
      </c>
      <c r="Z5" s="432" t="s">
        <v>60</v>
      </c>
      <c r="AA5" s="33" t="s">
        <v>60</v>
      </c>
      <c r="AB5" s="64" t="s">
        <v>71</v>
      </c>
      <c r="AC5" s="33" t="s">
        <v>71</v>
      </c>
      <c r="AD5" s="33" t="s">
        <v>71</v>
      </c>
      <c r="AE5" s="61" t="s">
        <v>60</v>
      </c>
      <c r="AF5" s="33" t="s">
        <v>69</v>
      </c>
      <c r="AG5" s="33" t="s">
        <v>69</v>
      </c>
      <c r="AH5" s="33" t="s">
        <v>69</v>
      </c>
      <c r="AI5" s="441" t="s">
        <v>60</v>
      </c>
      <c r="AJ5" s="33" t="s">
        <v>71</v>
      </c>
      <c r="AK5" s="33" t="s">
        <v>71</v>
      </c>
      <c r="AL5" s="61" t="s">
        <v>69</v>
      </c>
      <c r="AM5" s="33" t="s">
        <v>69</v>
      </c>
      <c r="AN5" s="33" t="s">
        <v>69</v>
      </c>
      <c r="AO5" s="47" t="s">
        <v>60</v>
      </c>
      <c r="AP5" s="422" t="s">
        <v>60</v>
      </c>
      <c r="AQ5" s="422" t="s">
        <v>60</v>
      </c>
      <c r="AR5" s="422" t="s">
        <v>60</v>
      </c>
      <c r="AS5" s="33" t="s">
        <v>71</v>
      </c>
      <c r="AT5" s="33" t="s">
        <v>71</v>
      </c>
      <c r="AU5" s="36" t="s">
        <v>60</v>
      </c>
      <c r="AV5" s="47" t="s">
        <v>60</v>
      </c>
      <c r="AW5" s="36" t="s">
        <v>60</v>
      </c>
      <c r="AX5" s="158" t="s">
        <v>60</v>
      </c>
      <c r="AY5" s="158" t="s">
        <v>60</v>
      </c>
      <c r="AZ5" s="158" t="s">
        <v>60</v>
      </c>
      <c r="BA5" s="158" t="s">
        <v>60</v>
      </c>
    </row>
    <row r="6" spans="1:53" x14ac:dyDescent="0.2">
      <c r="A6" s="377" t="s">
        <v>138</v>
      </c>
      <c r="B6" s="5" t="s">
        <v>138</v>
      </c>
      <c r="C6" s="5" t="s">
        <v>138</v>
      </c>
      <c r="D6" s="5" t="s">
        <v>138</v>
      </c>
      <c r="E6" s="5" t="s">
        <v>138</v>
      </c>
      <c r="F6" s="47" t="s">
        <v>55</v>
      </c>
      <c r="G6" s="36" t="s">
        <v>55</v>
      </c>
      <c r="H6" s="83" t="s">
        <v>55</v>
      </c>
      <c r="I6" s="36" t="s">
        <v>55</v>
      </c>
      <c r="J6" s="422" t="s">
        <v>55</v>
      </c>
      <c r="K6" s="36" t="s">
        <v>54</v>
      </c>
      <c r="L6" s="36" t="s">
        <v>54</v>
      </c>
      <c r="M6" s="36" t="s">
        <v>54</v>
      </c>
      <c r="N6" s="36" t="s">
        <v>54</v>
      </c>
      <c r="O6" s="36" t="s">
        <v>54</v>
      </c>
      <c r="P6" s="36" t="s">
        <v>54</v>
      </c>
      <c r="Q6" s="36" t="s">
        <v>54</v>
      </c>
      <c r="R6" s="47" t="s">
        <v>72</v>
      </c>
      <c r="S6" s="422" t="s">
        <v>74</v>
      </c>
      <c r="T6" s="33" t="s">
        <v>54</v>
      </c>
      <c r="U6" s="422" t="s">
        <v>74</v>
      </c>
      <c r="V6" s="33" t="s">
        <v>54</v>
      </c>
      <c r="W6" s="441" t="s">
        <v>73</v>
      </c>
      <c r="X6" s="432" t="s">
        <v>74</v>
      </c>
      <c r="Y6" s="432" t="s">
        <v>73</v>
      </c>
      <c r="Z6" s="432" t="s">
        <v>74</v>
      </c>
      <c r="AA6" s="33" t="s">
        <v>55</v>
      </c>
      <c r="AB6" s="64" t="s">
        <v>54</v>
      </c>
      <c r="AC6" s="33" t="s">
        <v>54</v>
      </c>
      <c r="AD6" s="33" t="s">
        <v>54</v>
      </c>
      <c r="AE6" s="61" t="s">
        <v>74</v>
      </c>
      <c r="AF6" s="33" t="s">
        <v>54</v>
      </c>
      <c r="AG6" s="33" t="s">
        <v>54</v>
      </c>
      <c r="AH6" s="33" t="s">
        <v>54</v>
      </c>
      <c r="AI6" s="441" t="s">
        <v>55</v>
      </c>
      <c r="AJ6" s="33" t="s">
        <v>54</v>
      </c>
      <c r="AK6" s="33" t="s">
        <v>54</v>
      </c>
      <c r="AL6" s="61" t="s">
        <v>54</v>
      </c>
      <c r="AM6" s="33" t="s">
        <v>54</v>
      </c>
      <c r="AN6" s="33" t="s">
        <v>54</v>
      </c>
      <c r="AO6" s="47" t="s">
        <v>74</v>
      </c>
      <c r="AP6" s="422" t="s">
        <v>73</v>
      </c>
      <c r="AQ6" s="422" t="s">
        <v>74</v>
      </c>
      <c r="AR6" s="422" t="s">
        <v>55</v>
      </c>
      <c r="AS6" s="33" t="s">
        <v>54</v>
      </c>
      <c r="AT6" s="33" t="s">
        <v>54</v>
      </c>
      <c r="AU6" s="36" t="s">
        <v>55</v>
      </c>
      <c r="AV6" s="47" t="s">
        <v>55</v>
      </c>
      <c r="AW6" s="36" t="s">
        <v>55</v>
      </c>
      <c r="AX6" s="158" t="s">
        <v>55</v>
      </c>
      <c r="AY6" s="158" t="s">
        <v>55</v>
      </c>
      <c r="AZ6" s="158" t="s">
        <v>55</v>
      </c>
      <c r="BA6" s="158" t="s">
        <v>55</v>
      </c>
    </row>
    <row r="7" spans="1:53" x14ac:dyDescent="0.2">
      <c r="A7" s="377" t="s">
        <v>70</v>
      </c>
      <c r="B7" s="5" t="s">
        <v>70</v>
      </c>
      <c r="C7" s="5" t="s">
        <v>70</v>
      </c>
      <c r="D7" s="5" t="s">
        <v>70</v>
      </c>
      <c r="E7" s="5" t="s">
        <v>70</v>
      </c>
      <c r="F7" s="47" t="s">
        <v>56</v>
      </c>
      <c r="G7" s="36" t="s">
        <v>56</v>
      </c>
      <c r="H7" s="83" t="s">
        <v>57</v>
      </c>
      <c r="I7" s="36" t="s">
        <v>56</v>
      </c>
      <c r="J7" s="422" t="s">
        <v>57</v>
      </c>
      <c r="K7" s="36" t="s">
        <v>56</v>
      </c>
      <c r="L7" s="36" t="s">
        <v>56</v>
      </c>
      <c r="M7" s="36" t="s">
        <v>56</v>
      </c>
      <c r="N7" s="36" t="s">
        <v>56</v>
      </c>
      <c r="O7" s="36" t="s">
        <v>56</v>
      </c>
      <c r="P7" s="36" t="s">
        <v>56</v>
      </c>
      <c r="Q7" s="36" t="s">
        <v>56</v>
      </c>
      <c r="R7" s="47" t="s">
        <v>56</v>
      </c>
      <c r="S7" s="422" t="s">
        <v>57</v>
      </c>
      <c r="T7" s="33" t="s">
        <v>56</v>
      </c>
      <c r="U7" s="422" t="s">
        <v>57</v>
      </c>
      <c r="V7" s="33" t="s">
        <v>56</v>
      </c>
      <c r="W7" s="441" t="s">
        <v>57</v>
      </c>
      <c r="X7" s="432" t="s">
        <v>57</v>
      </c>
      <c r="Y7" s="432" t="s">
        <v>57</v>
      </c>
      <c r="Z7" s="432" t="s">
        <v>57</v>
      </c>
      <c r="AA7" s="33" t="s">
        <v>56</v>
      </c>
      <c r="AB7" s="64" t="s">
        <v>56</v>
      </c>
      <c r="AC7" s="33" t="s">
        <v>56</v>
      </c>
      <c r="AD7" s="33" t="s">
        <v>56</v>
      </c>
      <c r="AE7" s="61" t="s">
        <v>56</v>
      </c>
      <c r="AF7" s="33" t="s">
        <v>56</v>
      </c>
      <c r="AG7" s="33" t="s">
        <v>56</v>
      </c>
      <c r="AH7" s="33" t="s">
        <v>56</v>
      </c>
      <c r="AI7" s="441" t="s">
        <v>57</v>
      </c>
      <c r="AJ7" s="33" t="s">
        <v>56</v>
      </c>
      <c r="AK7" s="33" t="s">
        <v>56</v>
      </c>
      <c r="AL7" s="61" t="s">
        <v>56</v>
      </c>
      <c r="AM7" s="33" t="s">
        <v>56</v>
      </c>
      <c r="AN7" s="33" t="s">
        <v>56</v>
      </c>
      <c r="AO7" s="47" t="s">
        <v>56</v>
      </c>
      <c r="AP7" s="422" t="s">
        <v>57</v>
      </c>
      <c r="AQ7" s="422" t="s">
        <v>57</v>
      </c>
      <c r="AR7" s="422" t="s">
        <v>57</v>
      </c>
      <c r="AS7" s="33" t="s">
        <v>56</v>
      </c>
      <c r="AT7" s="33" t="s">
        <v>56</v>
      </c>
      <c r="AU7" s="36" t="s">
        <v>56</v>
      </c>
      <c r="AV7" s="47" t="s">
        <v>56</v>
      </c>
      <c r="AW7" s="36" t="s">
        <v>56</v>
      </c>
      <c r="AX7" s="158" t="s">
        <v>56</v>
      </c>
      <c r="AY7" s="158" t="s">
        <v>56</v>
      </c>
      <c r="AZ7" s="158" t="s">
        <v>56</v>
      </c>
      <c r="BA7" s="158" t="s">
        <v>56</v>
      </c>
    </row>
    <row r="8" spans="1:53" x14ac:dyDescent="0.2">
      <c r="F8" s="47"/>
      <c r="G8" s="36"/>
      <c r="H8" s="83"/>
      <c r="I8" s="36"/>
      <c r="J8" s="422"/>
      <c r="K8" s="344" t="s">
        <v>523</v>
      </c>
      <c r="L8" s="344" t="s">
        <v>524</v>
      </c>
      <c r="M8" s="344" t="s">
        <v>524</v>
      </c>
      <c r="N8" s="344" t="s">
        <v>524</v>
      </c>
      <c r="O8" s="344" t="s">
        <v>525</v>
      </c>
      <c r="P8" s="344" t="s">
        <v>526</v>
      </c>
      <c r="Q8" s="344" t="s">
        <v>526</v>
      </c>
      <c r="R8" s="346" t="s">
        <v>75</v>
      </c>
      <c r="S8" s="456"/>
      <c r="T8" s="338" t="s">
        <v>75</v>
      </c>
      <c r="U8" s="456"/>
      <c r="V8" s="338" t="s">
        <v>523</v>
      </c>
      <c r="AB8" s="337" t="s">
        <v>77</v>
      </c>
      <c r="AC8" s="338" t="s">
        <v>77</v>
      </c>
      <c r="AD8" s="338" t="s">
        <v>77</v>
      </c>
      <c r="AF8" s="338" t="s">
        <v>524</v>
      </c>
      <c r="AG8" s="338" t="s">
        <v>524</v>
      </c>
      <c r="AH8" s="338" t="s">
        <v>524</v>
      </c>
      <c r="AI8" s="462"/>
      <c r="AJ8" s="338" t="s">
        <v>79</v>
      </c>
      <c r="AK8" s="338" t="s">
        <v>79</v>
      </c>
      <c r="AL8" s="357" t="s">
        <v>525</v>
      </c>
      <c r="AM8" s="338" t="s">
        <v>526</v>
      </c>
      <c r="AN8" s="338" t="s">
        <v>526</v>
      </c>
      <c r="AP8" s="456"/>
      <c r="AQ8" s="456"/>
      <c r="AR8" s="456"/>
      <c r="AS8" s="338" t="s">
        <v>520</v>
      </c>
      <c r="AT8" s="338" t="s">
        <v>520</v>
      </c>
    </row>
    <row r="9" spans="1:53" x14ac:dyDescent="0.2">
      <c r="F9" s="47"/>
      <c r="G9" s="36"/>
      <c r="H9" s="83"/>
      <c r="I9" s="36"/>
      <c r="J9" s="422"/>
      <c r="K9" s="344"/>
      <c r="L9" s="344"/>
      <c r="M9" s="344"/>
      <c r="N9" s="344"/>
      <c r="O9" s="344"/>
      <c r="P9" s="344"/>
      <c r="Q9" s="344"/>
      <c r="R9" s="346" t="s">
        <v>76</v>
      </c>
      <c r="S9" s="456"/>
      <c r="T9" s="338" t="s">
        <v>76</v>
      </c>
      <c r="U9" s="456"/>
      <c r="V9" s="338"/>
      <c r="AB9" s="337" t="s">
        <v>78</v>
      </c>
      <c r="AC9" s="338" t="s">
        <v>78</v>
      </c>
      <c r="AD9" s="338" t="s">
        <v>78</v>
      </c>
      <c r="AF9" s="338"/>
      <c r="AG9" s="338"/>
      <c r="AH9" s="338"/>
      <c r="AI9" s="462"/>
      <c r="AJ9" s="338" t="s">
        <v>80</v>
      </c>
      <c r="AK9" s="338" t="s">
        <v>80</v>
      </c>
      <c r="AL9" s="357"/>
      <c r="AM9" s="338"/>
      <c r="AN9" s="338"/>
      <c r="AP9" s="456"/>
      <c r="AQ9" s="456"/>
      <c r="AR9" s="456"/>
      <c r="AS9" s="338" t="s">
        <v>521</v>
      </c>
      <c r="AT9" s="338" t="s">
        <v>521</v>
      </c>
    </row>
    <row r="10" spans="1:53" x14ac:dyDescent="0.2">
      <c r="F10" s="47"/>
      <c r="G10" s="36"/>
      <c r="H10" s="83"/>
      <c r="I10" s="36"/>
      <c r="J10" s="422"/>
      <c r="K10" s="344"/>
      <c r="L10" s="344" t="s">
        <v>63</v>
      </c>
      <c r="M10" s="344" t="s">
        <v>64</v>
      </c>
      <c r="N10" s="344" t="s">
        <v>65</v>
      </c>
      <c r="O10" s="344" t="s">
        <v>66</v>
      </c>
      <c r="P10" s="344" t="s">
        <v>82</v>
      </c>
      <c r="Q10" s="344" t="s">
        <v>81</v>
      </c>
      <c r="R10" s="346"/>
      <c r="S10" s="456"/>
      <c r="T10" s="338"/>
      <c r="U10" s="456"/>
      <c r="V10" s="338"/>
      <c r="AB10" s="337" t="s">
        <v>63</v>
      </c>
      <c r="AC10" s="338" t="s">
        <v>64</v>
      </c>
      <c r="AD10" s="338" t="s">
        <v>65</v>
      </c>
      <c r="AF10" s="338" t="s">
        <v>63</v>
      </c>
      <c r="AG10" s="338" t="s">
        <v>64</v>
      </c>
      <c r="AH10" s="338" t="s">
        <v>65</v>
      </c>
      <c r="AI10" s="462"/>
      <c r="AJ10" s="338" t="s">
        <v>82</v>
      </c>
      <c r="AK10" s="338" t="s">
        <v>81</v>
      </c>
      <c r="AL10" s="357" t="s">
        <v>66</v>
      </c>
      <c r="AM10" s="338" t="s">
        <v>82</v>
      </c>
      <c r="AN10" s="338" t="s">
        <v>81</v>
      </c>
      <c r="AP10" s="456"/>
      <c r="AQ10" s="456"/>
      <c r="AR10" s="456"/>
      <c r="AS10" s="338" t="s">
        <v>66</v>
      </c>
      <c r="AT10" s="338" t="s">
        <v>83</v>
      </c>
    </row>
    <row r="11" spans="1:53" x14ac:dyDescent="0.2">
      <c r="F11" s="47" t="s">
        <v>994</v>
      </c>
      <c r="G11" s="36" t="s">
        <v>994</v>
      </c>
      <c r="H11" s="83" t="s">
        <v>994</v>
      </c>
      <c r="I11" s="36" t="s">
        <v>994</v>
      </c>
      <c r="J11" s="422" t="s">
        <v>994</v>
      </c>
      <c r="K11" s="36" t="s">
        <v>994</v>
      </c>
      <c r="L11" s="36" t="s">
        <v>994</v>
      </c>
      <c r="M11" s="36" t="s">
        <v>994</v>
      </c>
      <c r="N11" s="36" t="s">
        <v>994</v>
      </c>
      <c r="O11" s="36" t="s">
        <v>994</v>
      </c>
      <c r="P11" s="36" t="s">
        <v>994</v>
      </c>
      <c r="Q11" s="36" t="s">
        <v>994</v>
      </c>
      <c r="R11" s="47" t="s">
        <v>994</v>
      </c>
      <c r="S11" s="422" t="s">
        <v>994</v>
      </c>
      <c r="T11" s="33" t="s">
        <v>994</v>
      </c>
      <c r="U11" s="422" t="s">
        <v>994</v>
      </c>
      <c r="V11" s="33" t="s">
        <v>994</v>
      </c>
      <c r="W11" s="441" t="s">
        <v>994</v>
      </c>
      <c r="X11" s="432" t="s">
        <v>994</v>
      </c>
      <c r="Y11" s="432" t="s">
        <v>994</v>
      </c>
      <c r="Z11" s="432" t="s">
        <v>994</v>
      </c>
      <c r="AA11" s="33" t="s">
        <v>994</v>
      </c>
      <c r="AB11" s="64" t="s">
        <v>994</v>
      </c>
      <c r="AC11" s="33" t="s">
        <v>994</v>
      </c>
      <c r="AD11" s="33" t="s">
        <v>994</v>
      </c>
      <c r="AE11" s="61" t="s">
        <v>994</v>
      </c>
      <c r="AF11" s="33" t="s">
        <v>994</v>
      </c>
      <c r="AG11" s="33" t="s">
        <v>994</v>
      </c>
      <c r="AH11" s="33" t="s">
        <v>994</v>
      </c>
      <c r="AI11" s="441" t="s">
        <v>994</v>
      </c>
      <c r="AJ11" s="33" t="s">
        <v>994</v>
      </c>
      <c r="AK11" s="33" t="s">
        <v>994</v>
      </c>
      <c r="AL11" s="61" t="s">
        <v>994</v>
      </c>
      <c r="AM11" s="33" t="s">
        <v>994</v>
      </c>
      <c r="AN11" s="33" t="s">
        <v>994</v>
      </c>
      <c r="AO11" s="47" t="s">
        <v>994</v>
      </c>
      <c r="AP11" s="422" t="s">
        <v>994</v>
      </c>
      <c r="AQ11" s="422" t="s">
        <v>994</v>
      </c>
      <c r="AR11" s="422" t="s">
        <v>994</v>
      </c>
      <c r="AS11" s="33" t="s">
        <v>994</v>
      </c>
      <c r="AT11" s="33" t="s">
        <v>994</v>
      </c>
      <c r="AU11" s="36" t="s">
        <v>994</v>
      </c>
      <c r="AV11" s="47" t="s">
        <v>994</v>
      </c>
      <c r="AW11" s="36" t="s">
        <v>994</v>
      </c>
      <c r="AX11" s="158" t="s">
        <v>994</v>
      </c>
      <c r="AY11" s="158" t="s">
        <v>994</v>
      </c>
      <c r="AZ11" s="158" t="s">
        <v>994</v>
      </c>
      <c r="BA11" s="158" t="s">
        <v>994</v>
      </c>
    </row>
    <row r="12" spans="1:53" x14ac:dyDescent="0.2">
      <c r="F12" s="47" t="s">
        <v>461</v>
      </c>
      <c r="G12" s="36" t="s">
        <v>461</v>
      </c>
      <c r="H12" s="83" t="s">
        <v>461</v>
      </c>
      <c r="I12" s="36" t="s">
        <v>461</v>
      </c>
      <c r="J12" s="422" t="s">
        <v>461</v>
      </c>
      <c r="K12" s="36" t="s">
        <v>461</v>
      </c>
      <c r="L12" s="36" t="s">
        <v>461</v>
      </c>
      <c r="M12" s="36" t="s">
        <v>461</v>
      </c>
      <c r="N12" s="36" t="s">
        <v>461</v>
      </c>
      <c r="O12" s="36" t="s">
        <v>461</v>
      </c>
      <c r="P12" s="36" t="s">
        <v>461</v>
      </c>
      <c r="Q12" s="36" t="s">
        <v>461</v>
      </c>
      <c r="R12" s="47" t="s">
        <v>461</v>
      </c>
      <c r="S12" s="422" t="s">
        <v>461</v>
      </c>
      <c r="T12" s="33" t="s">
        <v>461</v>
      </c>
      <c r="U12" s="422" t="s">
        <v>461</v>
      </c>
      <c r="V12" s="33" t="s">
        <v>461</v>
      </c>
      <c r="W12" s="441" t="s">
        <v>461</v>
      </c>
      <c r="X12" s="432" t="s">
        <v>461</v>
      </c>
      <c r="Y12" s="432" t="s">
        <v>461</v>
      </c>
      <c r="Z12" s="432" t="s">
        <v>461</v>
      </c>
      <c r="AA12" s="33" t="s">
        <v>461</v>
      </c>
      <c r="AB12" s="64" t="s">
        <v>461</v>
      </c>
      <c r="AC12" s="33" t="s">
        <v>461</v>
      </c>
      <c r="AD12" s="33" t="s">
        <v>461</v>
      </c>
      <c r="AE12" s="61" t="s">
        <v>461</v>
      </c>
      <c r="AF12" s="33" t="s">
        <v>461</v>
      </c>
      <c r="AG12" s="33" t="s">
        <v>461</v>
      </c>
      <c r="AH12" s="33" t="s">
        <v>461</v>
      </c>
      <c r="AI12" s="441" t="s">
        <v>461</v>
      </c>
      <c r="AJ12" s="33" t="s">
        <v>461</v>
      </c>
      <c r="AK12" s="33" t="s">
        <v>461</v>
      </c>
      <c r="AL12" s="61" t="s">
        <v>461</v>
      </c>
      <c r="AM12" s="33" t="s">
        <v>461</v>
      </c>
      <c r="AN12" s="33" t="s">
        <v>461</v>
      </c>
      <c r="AO12" s="47" t="s">
        <v>461</v>
      </c>
      <c r="AP12" s="422" t="s">
        <v>461</v>
      </c>
      <c r="AQ12" s="422" t="s">
        <v>461</v>
      </c>
      <c r="AR12" s="422" t="s">
        <v>461</v>
      </c>
      <c r="AS12" s="33" t="s">
        <v>461</v>
      </c>
      <c r="AT12" s="33" t="s">
        <v>461</v>
      </c>
      <c r="AU12" s="36" t="s">
        <v>461</v>
      </c>
      <c r="AV12" s="47" t="s">
        <v>461</v>
      </c>
      <c r="AW12" s="36" t="s">
        <v>461</v>
      </c>
      <c r="AX12" s="158" t="s">
        <v>461</v>
      </c>
      <c r="AY12" s="158" t="s">
        <v>461</v>
      </c>
      <c r="AZ12" s="158" t="s">
        <v>461</v>
      </c>
      <c r="BA12" s="158" t="s">
        <v>461</v>
      </c>
    </row>
    <row r="13" spans="1:53" x14ac:dyDescent="0.2">
      <c r="F13" s="47"/>
      <c r="G13" s="36"/>
      <c r="H13" s="83"/>
      <c r="I13" s="36"/>
      <c r="J13" s="422"/>
      <c r="K13" s="36"/>
      <c r="L13" s="36"/>
      <c r="M13" s="36"/>
      <c r="N13" s="36"/>
      <c r="O13" s="36"/>
      <c r="P13" s="36"/>
      <c r="Q13" s="36"/>
      <c r="R13" s="47"/>
      <c r="T13" s="33"/>
      <c r="V13" s="33"/>
      <c r="AI13" s="441"/>
      <c r="AP13" s="422"/>
      <c r="AQ13" s="422"/>
      <c r="AR13" s="422"/>
    </row>
    <row r="14" spans="1:53" x14ac:dyDescent="0.2">
      <c r="A14" s="383" t="s">
        <v>44</v>
      </c>
      <c r="B14" s="263" t="s">
        <v>3</v>
      </c>
      <c r="C14" s="263" t="s">
        <v>25</v>
      </c>
      <c r="D14" s="263" t="s">
        <v>4</v>
      </c>
      <c r="E14" s="263" t="s">
        <v>48</v>
      </c>
      <c r="F14" s="274" t="s">
        <v>189</v>
      </c>
      <c r="G14" s="250" t="s">
        <v>190</v>
      </c>
      <c r="H14" s="272" t="s">
        <v>192</v>
      </c>
      <c r="I14" s="250" t="s">
        <v>193</v>
      </c>
      <c r="J14" s="423" t="s">
        <v>713</v>
      </c>
      <c r="K14" s="250" t="s">
        <v>194</v>
      </c>
      <c r="L14" s="250" t="s">
        <v>1023</v>
      </c>
      <c r="M14" s="250" t="s">
        <v>195</v>
      </c>
      <c r="N14" s="250" t="s">
        <v>196</v>
      </c>
      <c r="O14" s="250" t="s">
        <v>197</v>
      </c>
      <c r="P14" s="250" t="s">
        <v>198</v>
      </c>
      <c r="Q14" s="250" t="s">
        <v>199</v>
      </c>
      <c r="R14" s="274" t="s">
        <v>206</v>
      </c>
      <c r="S14" s="275" t="s">
        <v>311</v>
      </c>
      <c r="T14" s="276" t="s">
        <v>207</v>
      </c>
      <c r="U14" s="275" t="s">
        <v>502</v>
      </c>
      <c r="V14" s="276" t="s">
        <v>501</v>
      </c>
      <c r="W14" s="442" t="s">
        <v>383</v>
      </c>
      <c r="X14" s="275" t="s">
        <v>312</v>
      </c>
      <c r="Y14" s="423" t="s">
        <v>384</v>
      </c>
      <c r="Z14" s="275" t="s">
        <v>313</v>
      </c>
      <c r="AA14" s="277" t="s">
        <v>505</v>
      </c>
      <c r="AB14" s="276" t="s">
        <v>208</v>
      </c>
      <c r="AC14" s="277" t="s">
        <v>230</v>
      </c>
      <c r="AD14" s="276" t="s">
        <v>231</v>
      </c>
      <c r="AE14" s="278" t="s">
        <v>506</v>
      </c>
      <c r="AF14" s="276" t="s">
        <v>1024</v>
      </c>
      <c r="AG14" s="276" t="s">
        <v>503</v>
      </c>
      <c r="AH14" s="276" t="s">
        <v>504</v>
      </c>
      <c r="AI14" s="442" t="s">
        <v>332</v>
      </c>
      <c r="AJ14" s="276" t="s">
        <v>209</v>
      </c>
      <c r="AK14" s="276" t="s">
        <v>511</v>
      </c>
      <c r="AL14" s="278" t="s">
        <v>507</v>
      </c>
      <c r="AM14" s="276" t="s">
        <v>508</v>
      </c>
      <c r="AN14" s="276" t="s">
        <v>509</v>
      </c>
      <c r="AO14" s="278" t="s">
        <v>314</v>
      </c>
      <c r="AP14" s="423" t="s">
        <v>951</v>
      </c>
      <c r="AQ14" s="423" t="s">
        <v>315</v>
      </c>
      <c r="AR14" s="423" t="s">
        <v>316</v>
      </c>
      <c r="AS14" s="277" t="s">
        <v>232</v>
      </c>
      <c r="AT14" s="277" t="s">
        <v>233</v>
      </c>
      <c r="AU14" s="276" t="s">
        <v>317</v>
      </c>
      <c r="AV14" s="278" t="s">
        <v>318</v>
      </c>
      <c r="AW14" s="276" t="s">
        <v>319</v>
      </c>
      <c r="AX14" s="453" t="s">
        <v>906</v>
      </c>
      <c r="AY14" s="453" t="s">
        <v>907</v>
      </c>
      <c r="AZ14" s="453" t="s">
        <v>923</v>
      </c>
      <c r="BA14" s="453" t="s">
        <v>908</v>
      </c>
    </row>
    <row r="15" spans="1:53" x14ac:dyDescent="0.2">
      <c r="A15" s="377" t="e">
        <f>INDEX(Prioritization!$D:$D,MATCH($B15,Prioritization!$A:$A,0))</f>
        <v>#N/A</v>
      </c>
      <c r="E15" s="5" t="str">
        <f>B15&amp;"|"&amp;C15&amp;"|"&amp;D15</f>
        <v>||</v>
      </c>
      <c r="F15" s="53" t="str">
        <f>IF(LEFT($B15,4)="_Mil","",INDEX(Cascade!$T:$T,MATCH($E15,Cascade!$E:$E,0)))</f>
        <v/>
      </c>
      <c r="G15" s="38" t="str">
        <f>IF(LEFT($B15,4)="_Mil","",INDEX(Cascade!$U:$U,MATCH($E15,Cascade!$E:$E,0)))</f>
        <v/>
      </c>
      <c r="H15" s="83" t="str">
        <f>IF(LEFT($B15,4)="_Mil","",INDEX(Cascade!$V:$V,MATCH($E15,Cascade!$E:$E,0)))</f>
        <v/>
      </c>
      <c r="I15" s="38" t="str">
        <f>IF(LEFT($B15,4)="_Mil","",INDEX(Cascade!$Y:$Y,MATCH($E15,Cascade!$E:$E,0)))</f>
        <v/>
      </c>
      <c r="J15" s="422" t="str">
        <f>IF(LEFT($B15,4)="_Mil","",INDEX(Cascade!$Z:$Z,MATCH($E15,Cascade!$E:$E,0)))</f>
        <v/>
      </c>
      <c r="K15" s="37" t="str">
        <f>IF(LEFT($B15,4)="_Mil","",_xlfn.IFNA(ROUND(INDEX(Spectrum!$N:$N,MATCH(RIGHT($B15,13)&amp;"|"&amp;$C15&amp;"|"&amp;$D15&amp;"|"&amp;K$14&amp;"|"&amp;"CY2023Q3",Spectrum!$Q:$Q,0)),0),""))</f>
        <v/>
      </c>
      <c r="L15" s="37" t="str">
        <f>IF(LEFT($B15,4)="_Mil","",_xlfn.IFNA(ROUND(INDEX(Spectrum!$N:$N,MATCH(RIGHT($B15,13)&amp;"|"&amp;$C15&amp;"|"&amp;$D15&amp;"|"&amp;L$14&amp;"|"&amp;"CY2023Q3",Spectrum!$Q:$Q,0)),0),""))</f>
        <v/>
      </c>
      <c r="M15" s="37" t="str">
        <f>IF(LEFT($B15,4)="_Mil","",_xlfn.IFNA(ROUND(INDEX(Spectrum!$N:$N,MATCH(RIGHT($B15,13)&amp;"|"&amp;$C15&amp;"|"&amp;$D15&amp;"|"&amp;M$14&amp;"|"&amp;"CY2023Q3",Spectrum!$Q:$Q,0)),0),""))</f>
        <v/>
      </c>
      <c r="N15" s="37" t="str">
        <f>IF(LEFT($B15,4)="_Mil","",_xlfn.IFNA(ROUND(INDEX(Spectrum!$N:$N,MATCH(RIGHT($B15,13)&amp;"|"&amp;$C15&amp;"|"&amp;$D15&amp;"|"&amp;N$14&amp;"|"&amp;"CY2023Q3",Spectrum!$Q:$Q,0)),0),""))</f>
        <v/>
      </c>
      <c r="O15" s="37" t="str">
        <f>IF(LEFT($B15,4)="_Mil","",_xlfn.IFNA(ROUND(INDEX(Spectrum!$N:$N,MATCH(RIGHT($B15,13)&amp;"|"&amp;$C15&amp;"|"&amp;$D15&amp;"|"&amp;O$14&amp;"|"&amp;"CY2023Q3",Spectrum!$Q:$Q,0)),0),""))</f>
        <v/>
      </c>
      <c r="P15" s="37" t="str">
        <f>IF(LEFT($B15,4)="_Mil","",_xlfn.IFNA(ROUND(INDEX(Spectrum!$N:$N,MATCH(RIGHT($B15,13)&amp;"|"&amp;$C15&amp;"|"&amp;$D15&amp;"|"&amp;P$14&amp;"|"&amp;"CY2023Q3",Spectrum!$Q:$Q,0)),0),""))</f>
        <v/>
      </c>
      <c r="Q15" s="37" t="str">
        <f>IF(LEFT($B15,4)="_Mil","",_xlfn.IFNA(ROUND(INDEX(Spectrum!$N:$N,MATCH(RIGHT($B15,13)&amp;"|"&amp;$C15&amp;"|"&amp;$D15&amp;"|"&amp;Q$14&amp;"|"&amp;"CY2022Q3",Spectrum!$Q:$Q,0)),0),""))</f>
        <v/>
      </c>
      <c r="S15" s="422">
        <v>0</v>
      </c>
      <c r="T15" s="62" t="str">
        <f>IF(SUM($R15)=0,"",ROUND($R15*(1+$S15),0))</f>
        <v/>
      </c>
      <c r="U15" s="422" t="str">
        <f>IF(LEFT($B15,4)="_Mil","",IF(SUM($K15)=0,IF(SUM($R15)=0,"",1),MIN($R15/$K15,1)))</f>
        <v/>
      </c>
      <c r="V15" s="62" t="str">
        <f>IF(OR(SUM($T15)=0,LEFT($B15,4)="_Mil"),"",ROUND($T15/$U15,0))</f>
        <v/>
      </c>
      <c r="X15" s="432" t="str">
        <f>IF(SUM($K15,$W15)=0,"",MAX(IFERROR(SUM($L15)/$K15,0),SUM($W15)))</f>
        <v/>
      </c>
      <c r="Z15" s="432"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1" t="str">
        <f>$V15</f>
        <v/>
      </c>
      <c r="AF15" s="33" t="str">
        <f>IF(SUM($AE15)=0,"",ROUND($AE15*SUM($X15),0))</f>
        <v/>
      </c>
      <c r="AG15" s="33" t="str">
        <f>IF(SUM($AE15)=0,"",ROUND(($AE15-SUM($AF15))*SUM($Z15),0))</f>
        <v/>
      </c>
      <c r="AH15" s="33" t="str">
        <f>IF(SUM($AE15)=0,"",$AE15-SUM($AF15)-SUM($AG15))</f>
        <v/>
      </c>
      <c r="AI15" s="441" t="str">
        <f>IF(SUM($AC15)=0,"",INDEX(Cascade!$BD:$BD,MATCH($E15,Cascade!$E:$E,0)))</f>
        <v/>
      </c>
      <c r="AJ15" s="33" t="str">
        <f>$AB15</f>
        <v/>
      </c>
      <c r="AK15" s="33" t="str">
        <f>IF(SUM($AC15)=0,"",IF(AND($AI15="",SUM($AC15)&gt;0),"&lt;- Enter Linkage Rate",ROUND($AC15*$AI15,0)))</f>
        <v/>
      </c>
      <c r="AL15" s="61" t="str">
        <f>IF(SUM($AF15,$AG15)=0,"",SUM($AF15,$AG15))</f>
        <v/>
      </c>
      <c r="AM15" s="33" t="str">
        <f>$AF15</f>
        <v/>
      </c>
      <c r="AN15" s="33" t="str">
        <f>IF(SUM($AG15)=0,"",ROUND($AG15*SUM($AI15),0))</f>
        <v/>
      </c>
      <c r="AO15" s="47" t="str">
        <f>IFERROR(1/(1/MAX(SUM($T15)-SUM($AB15,$AC15),$AD15)),"")</f>
        <v/>
      </c>
      <c r="AP15" s="422"/>
      <c r="AQ15" s="422" t="str">
        <f>IF($AP15="","",$AP15)</f>
        <v/>
      </c>
      <c r="AR15" s="422" t="str">
        <f>IF(SUM($AO15)=0,"",INDEX(Cascade!$BD:$BD,MATCH($E15,Cascade!$E:$E,0)))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IFERROR(1/(1/INDEX(Cascade!$BE:$BE,MATCH($E15,Cascade!$E:$E,0))),"")</f>
        <v/>
      </c>
      <c r="AX15" s="158" t="str">
        <f>$AC15</f>
        <v/>
      </c>
      <c r="AY15" s="158" t="str">
        <f>$AS15</f>
        <v/>
      </c>
      <c r="AZ15" s="158" t="str">
        <f>IFERROR(1/(1/INDEX(TB!$P:$P,MATCH($E15,TB!$E:$E,0))),"")</f>
        <v/>
      </c>
      <c r="BA15" s="158" t="str">
        <f>IFERROR(1/(1/(SUM($AW15)-SUM($AX15:$AZ15))),"")</f>
        <v/>
      </c>
    </row>
    <row r="16" spans="1:53" x14ac:dyDescent="0.2">
      <c r="AB16" s="33"/>
    </row>
  </sheetData>
  <mergeCells count="1">
    <mergeCell ref="A2:B3"/>
  </mergeCells>
  <phoneticPr fontId="18" type="noConversion"/>
  <conditionalFormatting sqref="S1:S1048576">
    <cfRule type="expression" dxfId="344" priority="49">
      <formula>AND(ISNUMBER($S1),ROUND($S1,2)&lt;&gt;0)</formula>
    </cfRule>
  </conditionalFormatting>
  <conditionalFormatting sqref="AI1:AI1048576 AR1:AR1048576">
    <cfRule type="expression" dxfId="343" priority="47">
      <formula>AND(ISNUMBER(AI1),ROUND(AI1,2)&lt;0.95)</formula>
    </cfRule>
  </conditionalFormatting>
  <conditionalFormatting sqref="X1:X1048576">
    <cfRule type="expression" dxfId="342" priority="4">
      <formula>$AB1="ENTER KNOWN POSITIVITY RATE"</formula>
    </cfRule>
    <cfRule type="expression" dxfId="341" priority="1283">
      <formula>AND(ISNUMBER(X1),ROUND(X1,2)&gt;=0.75)</formula>
    </cfRule>
  </conditionalFormatting>
  <conditionalFormatting sqref="Z1:Z1048576 AQ1:AQ1048576">
    <cfRule type="expression" dxfId="340" priority="24">
      <formula>AND(ISNUMBER(Z1),Z1&gt;10%)</formula>
    </cfRule>
  </conditionalFormatting>
  <conditionalFormatting sqref="F1:Q1048576 U1:V1048576 AE1:AH1048576 AL1:AN1048576">
    <cfRule type="expression" dxfId="339" priority="1">
      <formula>AND(ROW(F1)&gt;14,LEFT($B1,4)="_Mil")</formula>
    </cfRule>
  </conditionalFormatting>
  <conditionalFormatting sqref="H1:H1048576 U1:U1048576 W1:Z1048576 AI1:AI1048576 AP1:AR1048576">
    <cfRule type="expression" dxfId="338" priority="7">
      <formula>AND(ISNUMBER(H1),H1&gt;1)</formula>
    </cfRule>
  </conditionalFormatting>
  <conditionalFormatting sqref="F1:R1048576 T1:BA1048576">
    <cfRule type="expression" dxfId="337" priority="2">
      <formula>AND(ISNUMBER(F1),F1&lt;0)</formula>
    </cfRule>
  </conditionalFormatting>
  <conditionalFormatting sqref="AQ1:AQ1048576">
    <cfRule type="expression" dxfId="336" priority="6">
      <formula>$AS1="ENTER YIELD RATE"</formula>
    </cfRule>
  </conditionalFormatting>
  <conditionalFormatting sqref="Z1:Z1048576">
    <cfRule type="expression" dxfId="335" priority="5">
      <formula>$AC1="ENTER YIELD RATE"</formula>
    </cfRule>
  </conditionalFormatting>
  <conditionalFormatting sqref="J1:J1048576">
    <cfRule type="expression" dxfId="334"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 tabSelected="1" workbookViewId="1"/>
  </sheetViews>
  <sheetFormatPr baseColWidth="10" defaultRowHeight="16" x14ac:dyDescent="0.2"/>
  <cols>
    <col min="1" max="1" width="16.1640625" style="377" customWidth="1"/>
    <col min="2" max="2" width="30.83203125" customWidth="1"/>
    <col min="3" max="3" width="11.83203125" style="47" customWidth="1"/>
    <col min="4" max="5" width="11.83203125" style="19" customWidth="1"/>
    <col min="6" max="7" width="11.83203125" style="33" customWidth="1"/>
    <col min="8" max="8" width="11.83203125" style="152"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79" t="s">
        <v>24</v>
      </c>
      <c r="B1" s="4"/>
      <c r="C1" s="271" t="s">
        <v>34</v>
      </c>
      <c r="D1" s="239"/>
      <c r="E1" s="285"/>
      <c r="F1" s="236"/>
      <c r="G1" s="236"/>
      <c r="H1" s="270" t="s">
        <v>43</v>
      </c>
      <c r="I1" s="241"/>
      <c r="J1" s="241"/>
      <c r="K1" s="239"/>
      <c r="L1" s="242"/>
      <c r="M1" s="239"/>
      <c r="N1" s="242"/>
      <c r="O1" s="239"/>
      <c r="P1" s="242"/>
      <c r="Q1" s="239"/>
      <c r="R1" s="238"/>
      <c r="S1" s="239"/>
      <c r="T1" s="242"/>
      <c r="U1" s="239"/>
      <c r="V1" s="242"/>
    </row>
    <row r="2" spans="1:22" s="3" customFormat="1" ht="19" x14ac:dyDescent="0.25">
      <c r="A2" s="77"/>
      <c r="B2" s="14"/>
      <c r="C2" s="52"/>
      <c r="F2" s="323" t="s">
        <v>850</v>
      </c>
      <c r="G2" s="323" t="s">
        <v>850</v>
      </c>
      <c r="H2" s="121"/>
      <c r="I2" s="123"/>
      <c r="J2" s="123"/>
      <c r="L2" s="323" t="s">
        <v>850</v>
      </c>
      <c r="N2" s="323" t="s">
        <v>850</v>
      </c>
      <c r="P2" s="323" t="s">
        <v>850</v>
      </c>
      <c r="R2" s="324"/>
      <c r="T2" s="323" t="s">
        <v>850</v>
      </c>
      <c r="V2" s="323" t="s">
        <v>850</v>
      </c>
    </row>
    <row r="3" spans="1:22" ht="117" customHeight="1" x14ac:dyDescent="0.2">
      <c r="A3" s="382"/>
      <c r="B3" s="17"/>
      <c r="C3" s="129" t="s">
        <v>740</v>
      </c>
      <c r="D3" s="280" t="s">
        <v>858</v>
      </c>
      <c r="E3" s="280" t="s">
        <v>859</v>
      </c>
      <c r="F3" s="30" t="s">
        <v>861</v>
      </c>
      <c r="G3" s="30" t="s">
        <v>860</v>
      </c>
      <c r="H3" s="160" t="s">
        <v>863</v>
      </c>
      <c r="I3" s="161" t="s">
        <v>864</v>
      </c>
      <c r="J3" s="284" t="s">
        <v>862</v>
      </c>
      <c r="K3" s="306" t="s">
        <v>865</v>
      </c>
      <c r="L3" s="31" t="s">
        <v>741</v>
      </c>
      <c r="M3" s="306" t="s">
        <v>731</v>
      </c>
      <c r="N3" s="31" t="s">
        <v>869</v>
      </c>
      <c r="O3" s="306" t="s">
        <v>742</v>
      </c>
      <c r="P3" s="31" t="s">
        <v>743</v>
      </c>
      <c r="Q3" s="284" t="s">
        <v>867</v>
      </c>
      <c r="R3" s="162" t="s">
        <v>744</v>
      </c>
      <c r="S3" s="284" t="s">
        <v>866</v>
      </c>
      <c r="T3" s="31" t="s">
        <v>745</v>
      </c>
      <c r="U3" s="284" t="s">
        <v>746</v>
      </c>
      <c r="V3" s="31" t="s">
        <v>747</v>
      </c>
    </row>
    <row r="4" spans="1:22" x14ac:dyDescent="0.2">
      <c r="A4" s="380"/>
      <c r="B4" s="15" t="s">
        <v>2</v>
      </c>
      <c r="C4" s="59">
        <f>SUBTOTAL(109,C$15:INDEX(C:C,COUNTA($B:$B)+14-COUNTA($B$1:$B$14)))</f>
        <v>0</v>
      </c>
      <c r="D4" s="18" t="str">
        <f>IF(SUM($C4)=0,"",SUM($F4)/$C4)</f>
        <v/>
      </c>
      <c r="E4" s="18" t="str">
        <f>IF(SUM($C4)=0,"",SUM($F4,$G4)/$C4)</f>
        <v/>
      </c>
      <c r="F4" s="32">
        <f>SUBTOTAL(109,F$15:INDEX(F:F,COUNTA($B:$B)+14-COUNTA($B$1:$B$14)))</f>
        <v>0</v>
      </c>
      <c r="G4" s="32">
        <f>SUBTOTAL(109,G$15:INDEX(G:G,COUNTA($B:$B)+14-COUNTA($B$1:$B$14)))</f>
        <v>0</v>
      </c>
      <c r="H4" s="81"/>
      <c r="I4" s="125"/>
      <c r="J4" s="125"/>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4">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s="377" t="s">
        <v>60</v>
      </c>
      <c r="B5" s="5" t="s">
        <v>60</v>
      </c>
      <c r="C5" s="47" t="s">
        <v>60</v>
      </c>
      <c r="D5" s="19" t="s">
        <v>60</v>
      </c>
      <c r="E5" s="19" t="s">
        <v>60</v>
      </c>
      <c r="F5" s="33" t="s">
        <v>71</v>
      </c>
      <c r="G5" s="33" t="s">
        <v>71</v>
      </c>
      <c r="H5" s="82" t="s">
        <v>60</v>
      </c>
      <c r="I5" s="126" t="s">
        <v>60</v>
      </c>
      <c r="J5" s="126" t="s">
        <v>60</v>
      </c>
      <c r="K5" s="11" t="s">
        <v>60</v>
      </c>
      <c r="L5" s="33" t="s">
        <v>60</v>
      </c>
      <c r="M5" s="11" t="s">
        <v>60</v>
      </c>
      <c r="N5" s="33" t="s">
        <v>60</v>
      </c>
      <c r="O5" s="11" t="s">
        <v>60</v>
      </c>
      <c r="P5" s="33" t="s">
        <v>60</v>
      </c>
      <c r="Q5" s="145" t="s">
        <v>60</v>
      </c>
      <c r="R5" s="325" t="s">
        <v>60</v>
      </c>
      <c r="S5" s="145" t="s">
        <v>60</v>
      </c>
      <c r="T5" s="33" t="s">
        <v>60</v>
      </c>
      <c r="U5" s="145" t="s">
        <v>60</v>
      </c>
      <c r="V5" s="33" t="s">
        <v>60</v>
      </c>
    </row>
    <row r="6" spans="1:22" x14ac:dyDescent="0.2">
      <c r="A6" s="377" t="s">
        <v>138</v>
      </c>
      <c r="B6" s="5" t="s">
        <v>138</v>
      </c>
      <c r="C6" s="47" t="s">
        <v>55</v>
      </c>
      <c r="D6" s="19" t="s">
        <v>74</v>
      </c>
      <c r="E6" s="19" t="s">
        <v>74</v>
      </c>
      <c r="F6" s="33" t="s">
        <v>54</v>
      </c>
      <c r="G6" s="33" t="s">
        <v>54</v>
      </c>
      <c r="H6" s="82" t="s">
        <v>73</v>
      </c>
      <c r="I6" s="126" t="s">
        <v>73</v>
      </c>
      <c r="J6" s="126" t="s">
        <v>74</v>
      </c>
      <c r="K6" s="11" t="s">
        <v>74</v>
      </c>
      <c r="L6" s="33" t="s">
        <v>55</v>
      </c>
      <c r="M6" s="11" t="s">
        <v>74</v>
      </c>
      <c r="N6" s="33" t="s">
        <v>55</v>
      </c>
      <c r="O6" s="11" t="s">
        <v>74</v>
      </c>
      <c r="P6" s="33" t="s">
        <v>55</v>
      </c>
      <c r="Q6" s="145" t="s">
        <v>74</v>
      </c>
      <c r="R6" s="325" t="s">
        <v>55</v>
      </c>
      <c r="S6" s="145" t="s">
        <v>74</v>
      </c>
      <c r="T6" s="33" t="s">
        <v>55</v>
      </c>
      <c r="U6" s="145" t="s">
        <v>74</v>
      </c>
      <c r="V6" s="33" t="s">
        <v>55</v>
      </c>
    </row>
    <row r="7" spans="1:22" x14ac:dyDescent="0.2">
      <c r="A7" s="377" t="s">
        <v>70</v>
      </c>
      <c r="B7" s="5" t="s">
        <v>70</v>
      </c>
      <c r="C7" s="47" t="s">
        <v>56</v>
      </c>
      <c r="D7" s="19" t="s">
        <v>57</v>
      </c>
      <c r="E7" s="19" t="s">
        <v>57</v>
      </c>
      <c r="F7" s="33" t="s">
        <v>56</v>
      </c>
      <c r="G7" s="33" t="s">
        <v>56</v>
      </c>
      <c r="H7" s="82" t="s">
        <v>57</v>
      </c>
      <c r="I7" s="126" t="s">
        <v>57</v>
      </c>
      <c r="J7" s="126" t="s">
        <v>57</v>
      </c>
      <c r="K7" s="11" t="s">
        <v>57</v>
      </c>
      <c r="L7" s="33" t="s">
        <v>56</v>
      </c>
      <c r="M7" s="11" t="s">
        <v>57</v>
      </c>
      <c r="N7" s="33" t="s">
        <v>56</v>
      </c>
      <c r="O7" s="11" t="s">
        <v>57</v>
      </c>
      <c r="P7" s="33" t="s">
        <v>56</v>
      </c>
      <c r="Q7" s="145" t="s">
        <v>57</v>
      </c>
      <c r="R7" s="325" t="s">
        <v>56</v>
      </c>
      <c r="S7" s="145" t="s">
        <v>57</v>
      </c>
      <c r="T7" s="33" t="s">
        <v>56</v>
      </c>
      <c r="U7" s="145" t="s">
        <v>57</v>
      </c>
      <c r="V7" s="33" t="s">
        <v>56</v>
      </c>
    </row>
    <row r="8" spans="1:22" x14ac:dyDescent="0.2">
      <c r="B8" s="5"/>
      <c r="F8" s="338" t="s">
        <v>84</v>
      </c>
      <c r="G8" s="338" t="s">
        <v>84</v>
      </c>
      <c r="H8" s="146"/>
      <c r="I8" s="335"/>
      <c r="J8" s="335"/>
      <c r="K8" s="147"/>
      <c r="M8" s="147"/>
      <c r="O8" s="147"/>
      <c r="Q8" s="147"/>
      <c r="R8" s="105"/>
      <c r="S8" s="147"/>
      <c r="U8" s="147"/>
    </row>
    <row r="9" spans="1:22" x14ac:dyDescent="0.2">
      <c r="B9" s="5"/>
      <c r="F9" s="338" t="s">
        <v>85</v>
      </c>
      <c r="G9" s="338" t="s">
        <v>85</v>
      </c>
      <c r="H9" s="146"/>
      <c r="I9" s="335"/>
      <c r="J9" s="335"/>
      <c r="K9" s="147"/>
      <c r="M9" s="147"/>
      <c r="O9" s="147"/>
      <c r="Q9" s="147"/>
      <c r="R9" s="105"/>
      <c r="S9" s="147"/>
      <c r="U9" s="147"/>
    </row>
    <row r="10" spans="1:22" x14ac:dyDescent="0.2">
      <c r="B10" s="5"/>
      <c r="F10" s="338" t="s">
        <v>86</v>
      </c>
      <c r="G10" s="338" t="s">
        <v>87</v>
      </c>
      <c r="H10" s="146"/>
      <c r="I10" s="335"/>
      <c r="J10" s="335"/>
      <c r="K10" s="147"/>
      <c r="M10" s="147"/>
      <c r="O10" s="147"/>
      <c r="Q10" s="147"/>
      <c r="R10" s="105"/>
      <c r="S10" s="147"/>
      <c r="U10" s="147"/>
    </row>
    <row r="11" spans="1:22" x14ac:dyDescent="0.2">
      <c r="B11" s="5"/>
      <c r="H11" s="82"/>
      <c r="I11" s="126"/>
      <c r="J11" s="126"/>
      <c r="K11" s="11"/>
      <c r="M11" s="11"/>
      <c r="O11" s="11"/>
      <c r="Q11" s="11"/>
      <c r="R11" s="37"/>
      <c r="S11" s="11"/>
      <c r="U11" s="11"/>
    </row>
    <row r="12" spans="1:22" x14ac:dyDescent="0.2">
      <c r="B12" s="5"/>
      <c r="H12" s="82"/>
      <c r="I12" s="126"/>
      <c r="J12" s="126"/>
      <c r="K12" s="11"/>
      <c r="M12" s="11"/>
      <c r="O12" s="11"/>
      <c r="Q12" s="11"/>
      <c r="R12" s="37"/>
      <c r="S12" s="11"/>
      <c r="U12" s="11"/>
    </row>
    <row r="13" spans="1:22" x14ac:dyDescent="0.2">
      <c r="B13" s="5"/>
      <c r="H13" s="82"/>
      <c r="I13" s="126"/>
      <c r="J13" s="126"/>
      <c r="K13" s="11"/>
      <c r="M13" s="11"/>
      <c r="O13" s="11"/>
      <c r="Q13" s="11"/>
      <c r="R13" s="37"/>
      <c r="S13" s="11"/>
      <c r="U13" s="11"/>
    </row>
    <row r="14" spans="1:22" x14ac:dyDescent="0.2">
      <c r="A14" s="383" t="s">
        <v>44</v>
      </c>
      <c r="B14" s="263" t="s">
        <v>3</v>
      </c>
      <c r="C14" s="274" t="s">
        <v>320</v>
      </c>
      <c r="D14" s="251" t="s">
        <v>321</v>
      </c>
      <c r="E14" s="251" t="s">
        <v>322</v>
      </c>
      <c r="F14" s="273" t="s">
        <v>210</v>
      </c>
      <c r="G14" s="273" t="s">
        <v>211</v>
      </c>
      <c r="H14" s="279" t="s">
        <v>484</v>
      </c>
      <c r="I14" s="252" t="s">
        <v>485</v>
      </c>
      <c r="J14" s="252" t="s">
        <v>323</v>
      </c>
      <c r="K14" s="251" t="s">
        <v>324</v>
      </c>
      <c r="L14" s="273" t="s">
        <v>326</v>
      </c>
      <c r="M14" s="251" t="s">
        <v>325</v>
      </c>
      <c r="N14" s="293" t="s">
        <v>327</v>
      </c>
      <c r="O14" s="251" t="s">
        <v>560</v>
      </c>
      <c r="P14" s="293" t="s">
        <v>557</v>
      </c>
      <c r="Q14" s="251" t="s">
        <v>561</v>
      </c>
      <c r="R14" s="250" t="s">
        <v>582</v>
      </c>
      <c r="S14" s="251" t="s">
        <v>1016</v>
      </c>
      <c r="T14" s="293" t="s">
        <v>559</v>
      </c>
      <c r="U14" s="251" t="s">
        <v>1017</v>
      </c>
      <c r="V14" s="293" t="s">
        <v>558</v>
      </c>
    </row>
    <row r="15" spans="1:22" x14ac:dyDescent="0.2">
      <c r="A15" s="378" t="e">
        <f>INDEX(Prioritization!$D:$D,MATCH($B15,Prioritization!$A:$A,0))</f>
        <v>#N/A</v>
      </c>
      <c r="B15" s="20"/>
      <c r="C15" s="53">
        <f>SUMIF(PMTCT!$B:$B,$B15,PMTCT!$AV:$AV)</f>
        <v>0</v>
      </c>
      <c r="D15" s="11">
        <v>0.95</v>
      </c>
      <c r="E15" s="11">
        <v>1</v>
      </c>
      <c r="F15" s="33">
        <f>ROUND(SUM($C15)*$D15,0)</f>
        <v>0</v>
      </c>
      <c r="G15" s="33">
        <f>ROUND(SUM($C15)*$E15,0)-SUM($F15)</f>
        <v>0</v>
      </c>
      <c r="H15" s="82"/>
      <c r="I15" s="126"/>
      <c r="J15" s="126"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333" priority="1268">
      <formula>AND(ISNUMBER(D1),ROUND(D1,2)&lt;0.95)</formula>
    </cfRule>
  </conditionalFormatting>
  <conditionalFormatting sqref="D1:E1048576 H1:K1048576 M1:M1048576 O1:O1048576 Q1:Q1048576 S1:S1048576 U1:U1048576">
    <cfRule type="expression" dxfId="332" priority="3">
      <formula>AND(ISNUMBER(D1),D1&gt;1)</formula>
    </cfRule>
  </conditionalFormatting>
  <conditionalFormatting sqref="K1:K1048576">
    <cfRule type="expression" dxfId="331" priority="6">
      <formula>AND(SUM(G1)&gt;0,SUM(K1)=0)</formula>
    </cfRule>
  </conditionalFormatting>
  <conditionalFormatting sqref="J1:J1048576">
    <cfRule type="expression" dxfId="330" priority="14">
      <formula>AND(SUM(F1)&gt;0,SUM(J1)=0)</formula>
    </cfRule>
  </conditionalFormatting>
  <conditionalFormatting sqref="D1:E1048576">
    <cfRule type="expression" dxfId="329" priority="4">
      <formula>AND(ISNUMBER($D1),ROUND($E1,2)&lt;ROUND($D1,2))</formula>
    </cfRule>
  </conditionalFormatting>
  <conditionalFormatting sqref="C1:V1048576">
    <cfRule type="expression" dxfId="328" priority="1">
      <formula>AND(ISNUMBER(C1),C1&lt;0)</formula>
    </cfRule>
  </conditionalFormatting>
  <conditionalFormatting sqref="O1:O1048576">
    <cfRule type="expression" dxfId="327" priority="24">
      <formula>AND(ISNUMBER(O1),ROUND(O1,2)&lt;98%)</formula>
    </cfRule>
  </conditionalFormatting>
  <conditionalFormatting sqref="Q1:Q1048576">
    <cfRule type="expression" dxfId="326" priority="23">
      <formula>AND(ISNUMBER(Q1),ROUND(Q1,2)&lt;70%)</formula>
    </cfRule>
  </conditionalFormatting>
  <conditionalFormatting sqref="E1:E1048576">
    <cfRule type="expression" dxfId="325"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 workbookViewId="1"/>
  </sheetViews>
  <sheetFormatPr baseColWidth="10" defaultRowHeight="16" x14ac:dyDescent="0.2"/>
  <cols>
    <col min="1" max="1" width="16.1640625" style="377"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6" customWidth="1"/>
    <col min="14" max="17" width="11.83203125" style="33" customWidth="1"/>
    <col min="18" max="18" width="11.83203125" style="82" customWidth="1"/>
    <col min="19" max="20" width="11.83203125" style="33" customWidth="1"/>
    <col min="21" max="21" width="11.83203125" style="473" customWidth="1"/>
    <col min="22" max="26" width="11.83203125" style="474" customWidth="1"/>
  </cols>
  <sheetData>
    <row r="1" spans="1:26" s="22" customFormat="1" ht="31" customHeight="1" thickBot="1" x14ac:dyDescent="0.35">
      <c r="A1" s="379" t="s">
        <v>27</v>
      </c>
      <c r="B1" s="4"/>
      <c r="C1" s="1"/>
      <c r="D1" s="1"/>
      <c r="E1" s="1"/>
      <c r="F1" s="271" t="s">
        <v>13</v>
      </c>
      <c r="G1" s="239"/>
      <c r="H1" s="236"/>
      <c r="I1" s="268" t="s">
        <v>14</v>
      </c>
      <c r="J1" s="241"/>
      <c r="K1" s="241"/>
      <c r="L1" s="241"/>
      <c r="M1" s="241"/>
      <c r="N1" s="236"/>
      <c r="O1" s="236"/>
      <c r="P1" s="236"/>
      <c r="Q1" s="236"/>
      <c r="R1" s="270" t="s">
        <v>15</v>
      </c>
      <c r="S1" s="236"/>
      <c r="T1" s="236"/>
      <c r="U1" s="467" t="s">
        <v>371</v>
      </c>
      <c r="V1" s="468"/>
      <c r="W1" s="468"/>
      <c r="X1" s="468"/>
      <c r="Y1" s="468"/>
      <c r="Z1" s="468"/>
    </row>
    <row r="2" spans="1:26" s="21" customFormat="1" ht="20" customHeight="1" x14ac:dyDescent="0.25">
      <c r="A2" s="374" t="s">
        <v>748</v>
      </c>
      <c r="B2" s="371"/>
      <c r="C2" s="2"/>
      <c r="D2" s="2"/>
      <c r="E2" s="2"/>
      <c r="F2" s="50"/>
      <c r="G2" s="3"/>
      <c r="H2" s="329" t="s">
        <v>850</v>
      </c>
      <c r="I2" s="52"/>
      <c r="J2" s="123"/>
      <c r="K2" s="123"/>
      <c r="L2" s="123"/>
      <c r="M2" s="123"/>
      <c r="N2" s="329" t="s">
        <v>850</v>
      </c>
      <c r="O2" s="329" t="s">
        <v>850</v>
      </c>
      <c r="P2" s="329" t="s">
        <v>850</v>
      </c>
      <c r="Q2" s="329" t="s">
        <v>850</v>
      </c>
      <c r="R2" s="121"/>
      <c r="S2" s="329" t="s">
        <v>850</v>
      </c>
      <c r="T2" s="329" t="s">
        <v>850</v>
      </c>
      <c r="U2" s="469"/>
      <c r="V2" s="470"/>
      <c r="W2" s="470"/>
      <c r="X2" s="470"/>
      <c r="Y2" s="470"/>
      <c r="Z2" s="470"/>
    </row>
    <row r="3" spans="1:26" ht="117" customHeight="1" thickBot="1" x14ac:dyDescent="0.25">
      <c r="A3" s="372"/>
      <c r="B3" s="373"/>
      <c r="C3" s="17"/>
      <c r="D3" s="17"/>
      <c r="E3" s="17"/>
      <c r="F3" s="73" t="s">
        <v>909</v>
      </c>
      <c r="G3" s="280" t="s">
        <v>910</v>
      </c>
      <c r="H3" s="30" t="s">
        <v>749</v>
      </c>
      <c r="I3" s="68" t="s">
        <v>911</v>
      </c>
      <c r="J3" s="124" t="s">
        <v>914</v>
      </c>
      <c r="K3" s="282" t="s">
        <v>913</v>
      </c>
      <c r="L3" s="124" t="s">
        <v>916</v>
      </c>
      <c r="M3" s="282" t="s">
        <v>918</v>
      </c>
      <c r="N3" s="60" t="s">
        <v>912</v>
      </c>
      <c r="O3" s="30" t="s">
        <v>919</v>
      </c>
      <c r="P3" s="30" t="s">
        <v>920</v>
      </c>
      <c r="Q3" s="30" t="s">
        <v>921</v>
      </c>
      <c r="R3" s="156" t="s">
        <v>731</v>
      </c>
      <c r="S3" s="30" t="s">
        <v>647</v>
      </c>
      <c r="T3" s="30" t="s">
        <v>648</v>
      </c>
      <c r="U3" s="129" t="s">
        <v>735</v>
      </c>
      <c r="V3" s="130" t="s">
        <v>922</v>
      </c>
      <c r="W3" s="130" t="s">
        <v>904</v>
      </c>
      <c r="X3" s="130" t="s">
        <v>905</v>
      </c>
      <c r="Y3" s="130" t="s">
        <v>856</v>
      </c>
      <c r="Z3" s="69" t="s">
        <v>737</v>
      </c>
    </row>
    <row r="4" spans="1:26" x14ac:dyDescent="0.2">
      <c r="A4" s="380"/>
      <c r="B4" s="15"/>
      <c r="C4" s="15"/>
      <c r="D4" s="15" t="s">
        <v>2</v>
      </c>
      <c r="E4" s="15"/>
      <c r="F4" s="51">
        <f>SUBTOTAL(109,F$15:INDEX(F:F,COUNTA($B:$B)+14-COUNTA($B$1:$B$14)))</f>
        <v>0</v>
      </c>
      <c r="G4" s="18" t="str">
        <f>IF(SUM($F$4)=0,"",SUM($H$4)/SUM($F$4)-1)</f>
        <v/>
      </c>
      <c r="H4" s="32">
        <f>SUBTOTAL(109,H$15:INDEX(H:H,COUNTA($B:$B)+14-COUNTA($B$1:$B$14)))</f>
        <v>0</v>
      </c>
      <c r="I4" s="59">
        <f>SUBTOTAL(109,I$15:INDEX(I:I,COUNTA($B:$B)+14-COUNTA($B$1:$B$14)))</f>
        <v>0</v>
      </c>
      <c r="J4" s="125"/>
      <c r="K4" s="125" t="str">
        <f>IF(SUM($N$4)=0,"",SUM($O$4)/$N$4)</f>
        <v/>
      </c>
      <c r="L4" s="125"/>
      <c r="M4" s="125"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1" t="str">
        <f>IF(SUM($P$4)=0,"",SUM($T$4)/$P$4)</f>
        <v/>
      </c>
      <c r="S4" s="32">
        <f>SUBTOTAL(109,S$15:INDEX(S:S,COUNTA($B:$B)+14-COUNTA($B$1:$B$14)))</f>
        <v>0</v>
      </c>
      <c r="T4" s="32">
        <f>SUBTOTAL(109,T$15:INDEX(T:T,COUNTA($B:$B)+14-COUNTA($B$1:$B$14)))</f>
        <v>0</v>
      </c>
      <c r="U4" s="471">
        <f>SUBTOTAL(109,U$15:INDEX(U:U,COUNTA($B:$B)+14-COUNTA($B$1:$B$14)))</f>
        <v>0</v>
      </c>
      <c r="V4" s="472">
        <f>SUBTOTAL(109,V$15:INDEX(V:V,COUNTA($B:$B)+14-COUNTA($B$1:$B$14)))</f>
        <v>0</v>
      </c>
      <c r="W4" s="472">
        <f>SUBTOTAL(109,W$15:INDEX(W:W,COUNTA($B:$B)+14-COUNTA($B$1:$B$14)))</f>
        <v>0</v>
      </c>
      <c r="X4" s="472">
        <f>SUBTOTAL(109,X$15:INDEX(X:X,COUNTA($B:$B)+14-COUNTA($B$1:$B$14)))</f>
        <v>0</v>
      </c>
      <c r="Y4" s="472">
        <f>SUBTOTAL(109,Y$15:INDEX(Y:Y,COUNTA($B:$B)+14-COUNTA($B$1:$B$14)))</f>
        <v>0</v>
      </c>
      <c r="Z4" s="472">
        <f>SUBTOTAL(109,Z$15:INDEX(Z:Z,COUNTA($B:$B)+14-COUNTA($B$1:$B$14)))</f>
        <v>0</v>
      </c>
    </row>
    <row r="5" spans="1:26" ht="16" customHeight="1" x14ac:dyDescent="0.2">
      <c r="A5" s="377" t="s">
        <v>60</v>
      </c>
      <c r="B5" s="5" t="s">
        <v>60</v>
      </c>
      <c r="C5" s="5" t="s">
        <v>60</v>
      </c>
      <c r="D5" s="5" t="s">
        <v>60</v>
      </c>
      <c r="E5" s="5" t="s">
        <v>60</v>
      </c>
      <c r="F5" s="47" t="s">
        <v>71</v>
      </c>
      <c r="G5" s="11" t="s">
        <v>60</v>
      </c>
      <c r="H5" s="33" t="s">
        <v>71</v>
      </c>
      <c r="I5" s="53" t="s">
        <v>71</v>
      </c>
      <c r="J5" s="126" t="s">
        <v>60</v>
      </c>
      <c r="K5" s="126" t="s">
        <v>60</v>
      </c>
      <c r="L5" s="126" t="s">
        <v>60</v>
      </c>
      <c r="M5" s="126" t="s">
        <v>60</v>
      </c>
      <c r="N5" s="33" t="s">
        <v>60</v>
      </c>
      <c r="O5" s="33" t="s">
        <v>71</v>
      </c>
      <c r="P5" s="33" t="s">
        <v>71</v>
      </c>
      <c r="Q5" s="33" t="s">
        <v>71</v>
      </c>
      <c r="R5" s="82" t="s">
        <v>60</v>
      </c>
      <c r="S5" s="33" t="s">
        <v>71</v>
      </c>
      <c r="T5" s="33" t="s">
        <v>71</v>
      </c>
      <c r="U5" s="473" t="s">
        <v>60</v>
      </c>
      <c r="V5" s="474" t="s">
        <v>60</v>
      </c>
      <c r="W5" s="474" t="s">
        <v>60</v>
      </c>
      <c r="X5" s="474" t="s">
        <v>60</v>
      </c>
      <c r="Y5" s="474" t="s">
        <v>60</v>
      </c>
      <c r="Z5" s="474" t="s">
        <v>60</v>
      </c>
    </row>
    <row r="6" spans="1:26" ht="16" customHeight="1" x14ac:dyDescent="0.2">
      <c r="A6" s="377" t="s">
        <v>138</v>
      </c>
      <c r="B6" s="5" t="s">
        <v>138</v>
      </c>
      <c r="C6" s="5" t="s">
        <v>138</v>
      </c>
      <c r="D6" s="5" t="s">
        <v>138</v>
      </c>
      <c r="E6" s="5" t="s">
        <v>138</v>
      </c>
      <c r="F6" s="47" t="s">
        <v>72</v>
      </c>
      <c r="G6" s="11" t="s">
        <v>74</v>
      </c>
      <c r="H6" s="33" t="s">
        <v>54</v>
      </c>
      <c r="I6" s="53" t="s">
        <v>72</v>
      </c>
      <c r="J6" s="126" t="s">
        <v>73</v>
      </c>
      <c r="K6" s="126" t="s">
        <v>74</v>
      </c>
      <c r="L6" s="126" t="s">
        <v>73</v>
      </c>
      <c r="M6" s="126" t="s">
        <v>74</v>
      </c>
      <c r="N6" s="33" t="s">
        <v>55</v>
      </c>
      <c r="O6" s="33" t="s">
        <v>54</v>
      </c>
      <c r="P6" s="33" t="s">
        <v>54</v>
      </c>
      <c r="Q6" s="33" t="s">
        <v>54</v>
      </c>
      <c r="R6" s="82" t="s">
        <v>55</v>
      </c>
      <c r="S6" s="33" t="s">
        <v>54</v>
      </c>
      <c r="T6" s="33" t="s">
        <v>54</v>
      </c>
      <c r="U6" s="473" t="s">
        <v>55</v>
      </c>
      <c r="V6" s="474" t="s">
        <v>55</v>
      </c>
      <c r="W6" s="474" t="s">
        <v>55</v>
      </c>
      <c r="X6" s="474" t="s">
        <v>55</v>
      </c>
      <c r="Y6" s="474" t="s">
        <v>55</v>
      </c>
      <c r="Z6" s="474" t="s">
        <v>55</v>
      </c>
    </row>
    <row r="7" spans="1:26" x14ac:dyDescent="0.2">
      <c r="A7" s="377" t="s">
        <v>70</v>
      </c>
      <c r="B7" s="5" t="s">
        <v>70</v>
      </c>
      <c r="C7" s="5" t="s">
        <v>70</v>
      </c>
      <c r="D7" s="5" t="s">
        <v>70</v>
      </c>
      <c r="E7" s="5" t="s">
        <v>70</v>
      </c>
      <c r="F7" s="47" t="s">
        <v>56</v>
      </c>
      <c r="G7" s="11" t="s">
        <v>57</v>
      </c>
      <c r="H7" s="33" t="s">
        <v>56</v>
      </c>
      <c r="I7" s="53" t="s">
        <v>56</v>
      </c>
      <c r="J7" s="126" t="s">
        <v>57</v>
      </c>
      <c r="K7" s="126" t="s">
        <v>57</v>
      </c>
      <c r="L7" s="126" t="s">
        <v>57</v>
      </c>
      <c r="M7" s="126" t="s">
        <v>57</v>
      </c>
      <c r="N7" s="33" t="s">
        <v>56</v>
      </c>
      <c r="O7" s="33" t="s">
        <v>56</v>
      </c>
      <c r="P7" s="33" t="s">
        <v>56</v>
      </c>
      <c r="Q7" s="33" t="s">
        <v>56</v>
      </c>
      <c r="R7" s="82" t="s">
        <v>57</v>
      </c>
      <c r="S7" s="33" t="s">
        <v>56</v>
      </c>
      <c r="T7" s="33" t="s">
        <v>56</v>
      </c>
      <c r="U7" s="473" t="s">
        <v>56</v>
      </c>
      <c r="V7" s="474" t="s">
        <v>56</v>
      </c>
      <c r="W7" s="474" t="s">
        <v>56</v>
      </c>
      <c r="X7" s="474" t="s">
        <v>56</v>
      </c>
      <c r="Y7" s="474" t="s">
        <v>56</v>
      </c>
      <c r="Z7" s="474" t="s">
        <v>56</v>
      </c>
    </row>
    <row r="8" spans="1:26" x14ac:dyDescent="0.2">
      <c r="F8" s="346" t="s">
        <v>88</v>
      </c>
      <c r="G8" s="147"/>
      <c r="H8" s="338" t="s">
        <v>88</v>
      </c>
      <c r="I8" s="345" t="s">
        <v>90</v>
      </c>
      <c r="J8" s="335"/>
      <c r="K8" s="335"/>
      <c r="L8" s="335"/>
      <c r="M8" s="335"/>
      <c r="O8" s="338" t="s">
        <v>90</v>
      </c>
      <c r="P8" s="338" t="s">
        <v>90</v>
      </c>
      <c r="Q8" s="338" t="s">
        <v>90</v>
      </c>
      <c r="R8" s="146"/>
      <c r="S8" s="338" t="s">
        <v>160</v>
      </c>
      <c r="T8" s="338" t="s">
        <v>160</v>
      </c>
      <c r="U8" s="475"/>
      <c r="V8" s="476"/>
      <c r="W8" s="476"/>
      <c r="X8" s="476"/>
      <c r="Y8" s="476"/>
      <c r="Z8" s="476"/>
    </row>
    <row r="9" spans="1:26" x14ac:dyDescent="0.2">
      <c r="F9" s="346" t="s">
        <v>89</v>
      </c>
      <c r="G9" s="147"/>
      <c r="H9" s="338" t="s">
        <v>89</v>
      </c>
      <c r="I9" s="345" t="s">
        <v>91</v>
      </c>
      <c r="J9" s="335"/>
      <c r="K9" s="335"/>
      <c r="L9" s="335"/>
      <c r="M9" s="335"/>
      <c r="O9" s="338" t="s">
        <v>91</v>
      </c>
      <c r="P9" s="338" t="s">
        <v>91</v>
      </c>
      <c r="Q9" s="338" t="s">
        <v>91</v>
      </c>
      <c r="R9" s="146"/>
      <c r="S9" s="338" t="s">
        <v>161</v>
      </c>
      <c r="T9" s="338" t="s">
        <v>161</v>
      </c>
      <c r="U9" s="475"/>
      <c r="V9" s="476"/>
      <c r="W9" s="476"/>
      <c r="X9" s="476"/>
      <c r="Y9" s="476"/>
      <c r="Z9" s="476"/>
    </row>
    <row r="10" spans="1:26" x14ac:dyDescent="0.2">
      <c r="F10" s="346"/>
      <c r="G10" s="147"/>
      <c r="H10" s="338"/>
      <c r="I10" s="345" t="s">
        <v>64</v>
      </c>
      <c r="J10" s="335"/>
      <c r="K10" s="335"/>
      <c r="L10" s="335"/>
      <c r="M10" s="335"/>
      <c r="O10" s="338" t="s">
        <v>63</v>
      </c>
      <c r="P10" s="338" t="s">
        <v>64</v>
      </c>
      <c r="Q10" s="338" t="s">
        <v>65</v>
      </c>
      <c r="R10" s="146"/>
      <c r="S10" s="338" t="s">
        <v>82</v>
      </c>
      <c r="T10" s="338" t="s">
        <v>81</v>
      </c>
      <c r="U10" s="475"/>
      <c r="V10" s="476"/>
      <c r="W10" s="476"/>
      <c r="X10" s="476"/>
      <c r="Y10" s="476"/>
      <c r="Z10" s="476"/>
    </row>
    <row r="11" spans="1:26" x14ac:dyDescent="0.2">
      <c r="F11" s="47" t="s">
        <v>995</v>
      </c>
      <c r="G11" s="11" t="s">
        <v>995</v>
      </c>
      <c r="H11" s="33" t="s">
        <v>995</v>
      </c>
      <c r="I11" s="53" t="s">
        <v>995</v>
      </c>
      <c r="J11" s="126" t="s">
        <v>995</v>
      </c>
      <c r="K11" s="126" t="s">
        <v>995</v>
      </c>
      <c r="L11" s="126" t="s">
        <v>995</v>
      </c>
      <c r="M11" s="126" t="s">
        <v>995</v>
      </c>
      <c r="N11" s="33" t="s">
        <v>995</v>
      </c>
      <c r="O11" s="33" t="s">
        <v>995</v>
      </c>
      <c r="P11" s="33" t="s">
        <v>995</v>
      </c>
      <c r="Q11" s="33" t="s">
        <v>995</v>
      </c>
      <c r="R11" s="82" t="s">
        <v>995</v>
      </c>
      <c r="S11" s="33" t="s">
        <v>995</v>
      </c>
      <c r="T11" s="33" t="s">
        <v>995</v>
      </c>
      <c r="U11" s="473" t="s">
        <v>995</v>
      </c>
      <c r="V11" s="474" t="s">
        <v>995</v>
      </c>
      <c r="W11" s="474" t="s">
        <v>994</v>
      </c>
      <c r="X11" s="474" t="s">
        <v>994</v>
      </c>
      <c r="Y11" s="474" t="s">
        <v>993</v>
      </c>
      <c r="Z11" s="474" t="s">
        <v>995</v>
      </c>
    </row>
    <row r="12" spans="1:26" x14ac:dyDescent="0.2">
      <c r="F12" s="47" t="s">
        <v>139</v>
      </c>
      <c r="G12" s="11" t="s">
        <v>139</v>
      </c>
      <c r="H12" s="33" t="s">
        <v>139</v>
      </c>
      <c r="I12" s="53" t="s">
        <v>139</v>
      </c>
      <c r="J12" s="126" t="s">
        <v>139</v>
      </c>
      <c r="K12" s="126" t="s">
        <v>139</v>
      </c>
      <c r="L12" s="126" t="s">
        <v>139</v>
      </c>
      <c r="M12" s="126" t="s">
        <v>139</v>
      </c>
      <c r="N12" s="33" t="s">
        <v>139</v>
      </c>
      <c r="O12" s="33" t="s">
        <v>139</v>
      </c>
      <c r="P12" s="33" t="s">
        <v>139</v>
      </c>
      <c r="Q12" s="33" t="s">
        <v>139</v>
      </c>
      <c r="R12" s="82" t="s">
        <v>139</v>
      </c>
      <c r="S12" s="33" t="s">
        <v>139</v>
      </c>
      <c r="T12" s="33" t="s">
        <v>139</v>
      </c>
      <c r="U12" s="473" t="s">
        <v>139</v>
      </c>
      <c r="V12" s="474" t="s">
        <v>139</v>
      </c>
      <c r="W12" s="474" t="s">
        <v>461</v>
      </c>
      <c r="X12" s="474" t="s">
        <v>461</v>
      </c>
      <c r="Y12" s="474" t="s">
        <v>462</v>
      </c>
      <c r="Z12" s="474" t="s">
        <v>139</v>
      </c>
    </row>
    <row r="14" spans="1:26" x14ac:dyDescent="0.2">
      <c r="A14" s="381" t="s">
        <v>44</v>
      </c>
      <c r="B14" s="245" t="s">
        <v>3</v>
      </c>
      <c r="C14" s="245" t="s">
        <v>25</v>
      </c>
      <c r="D14" s="245" t="s">
        <v>4</v>
      </c>
      <c r="E14" s="245" t="s">
        <v>48</v>
      </c>
      <c r="F14" s="274" t="s">
        <v>212</v>
      </c>
      <c r="G14" s="251" t="s">
        <v>328</v>
      </c>
      <c r="H14" s="273" t="s">
        <v>213</v>
      </c>
      <c r="I14" s="274" t="s">
        <v>214</v>
      </c>
      <c r="J14" s="251" t="s">
        <v>483</v>
      </c>
      <c r="K14" s="251" t="s">
        <v>329</v>
      </c>
      <c r="L14" s="251" t="s">
        <v>482</v>
      </c>
      <c r="M14" s="251" t="s">
        <v>330</v>
      </c>
      <c r="N14" s="273" t="s">
        <v>331</v>
      </c>
      <c r="O14" s="273" t="s">
        <v>215</v>
      </c>
      <c r="P14" s="273" t="s">
        <v>228</v>
      </c>
      <c r="Q14" s="273" t="s">
        <v>229</v>
      </c>
      <c r="R14" s="279" t="s">
        <v>333</v>
      </c>
      <c r="S14" s="253" t="s">
        <v>216</v>
      </c>
      <c r="T14" s="273" t="s">
        <v>204</v>
      </c>
      <c r="U14" s="477" t="s">
        <v>319</v>
      </c>
      <c r="V14" s="478" t="s">
        <v>923</v>
      </c>
      <c r="W14" s="478" t="s">
        <v>906</v>
      </c>
      <c r="X14" s="478" t="s">
        <v>907</v>
      </c>
      <c r="Y14" s="478" t="s">
        <v>936</v>
      </c>
      <c r="Z14" s="478" t="s">
        <v>908</v>
      </c>
    </row>
    <row r="15" spans="1:26" x14ac:dyDescent="0.2">
      <c r="A15" s="377" t="e">
        <f>INDEX(Prioritization!$D:$D,MATCH($B15,Prioritization!$A:$A,0))</f>
        <v>#N/A</v>
      </c>
      <c r="E15" s="5" t="str">
        <f>B15&amp;"|"&amp;C15&amp;"|"&amp;D15</f>
        <v>||</v>
      </c>
      <c r="G15" s="11">
        <v>0</v>
      </c>
      <c r="H15" s="33" t="str">
        <f>IF(SUM($F15)=0,"",ROUND($F15*(1+$G15),0))</f>
        <v/>
      </c>
      <c r="K15" s="126" t="str">
        <f>IF($J15="","",$J15)</f>
        <v/>
      </c>
      <c r="M15" s="126"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2" t="str">
        <f>IF(SUM($P15)=0,"",INDEX(Cascade!$BD:$BD,MATCH($E15,Cascade!$E:$E,0)))</f>
        <v/>
      </c>
      <c r="S15" s="33" t="str">
        <f>$O15</f>
        <v/>
      </c>
      <c r="T15" s="33" t="str">
        <f>IF(SUM($P15)=0,"",IF(AND($R15="",SUM($P15)&gt;0),"&lt;- Enter Linkage Rate",ROUND($P15*$R15,0)))</f>
        <v/>
      </c>
      <c r="U15" s="473" t="str">
        <f>IFERROR(1/(1/INDEX(Cascade!$BE:$BE,MATCH($E15,Cascade!$E:$E,0))),"")</f>
        <v/>
      </c>
      <c r="V15" s="474" t="str">
        <f>$P15</f>
        <v/>
      </c>
      <c r="W15" s="474" t="str">
        <f>IFERROR(1/(1/INDEX(PMTCT!$AC:$AC,MATCH($E15,PMTCT!$E:$E,0))),"")</f>
        <v/>
      </c>
      <c r="X15" s="474" t="str">
        <f>IFERROR(1/(1/INDEX(PMTCT!$AS:$AS,MATCH($E15,PMTCT!$E:$E,0))),"")</f>
        <v/>
      </c>
      <c r="Y15" s="474" t="str">
        <f>IFERROR(1/(1/INDEX(VMMC!$AA:$AA,MATCH($E15,VMMC!$E:$E,0))),"")</f>
        <v/>
      </c>
      <c r="Z15" s="474" t="str">
        <f>IFERROR(1/(1/(SUM($U15)-SUM($V15:$Y15))),"")</f>
        <v/>
      </c>
    </row>
  </sheetData>
  <mergeCells count="1">
    <mergeCell ref="A2:B3"/>
  </mergeCells>
  <conditionalFormatting sqref="G1:G1048576">
    <cfRule type="expression" dxfId="324" priority="17">
      <formula>AND(ISNUMBER(G1),G1&lt;&gt;0)</formula>
    </cfRule>
  </conditionalFormatting>
  <conditionalFormatting sqref="R1:R1048576">
    <cfRule type="expression" dxfId="323" priority="23">
      <formula>AND(ISNUMBER(R1),R1&lt;0.95)</formula>
    </cfRule>
  </conditionalFormatting>
  <conditionalFormatting sqref="M1:M1048576">
    <cfRule type="expression" dxfId="322" priority="10">
      <formula>AND(ROW($M1)&gt;14,$P1="ENTER YIELD RATE")</formula>
    </cfRule>
    <cfRule type="expression" dxfId="321" priority="690">
      <formula>AND(ISNUMBER($M1),SUM($M1)&gt;10%)</formula>
    </cfRule>
  </conditionalFormatting>
  <conditionalFormatting sqref="K1:K1048576">
    <cfRule type="expression" dxfId="320" priority="15">
      <formula>AND(ROW($K1)&gt;14,$O1="ENTER KNOWN POSITIVITY RATE")</formula>
    </cfRule>
    <cfRule type="expression" dxfId="319" priority="3819">
      <formula>AND(ISNUMBER($K1),ROUND(SUM($K1),2)&gt;=0.75)</formula>
    </cfRule>
  </conditionalFormatting>
  <conditionalFormatting sqref="F1:F1048576 H1:Z1048576">
    <cfRule type="expression" dxfId="318" priority="3">
      <formula>AND(ISNUMBER(F1),F1&lt;0)</formula>
    </cfRule>
  </conditionalFormatting>
  <conditionalFormatting sqref="U1:Z1048576">
    <cfRule type="expression" dxfId="317" priority="6">
      <formula>AND(ROW($Z1)&gt;14,$Z1&lt;0)</formula>
    </cfRule>
    <cfRule type="expression" dxfId="316" priority="8">
      <formula>AND(ROW($Z1)&gt;14,ISERROR($Z1))</formula>
    </cfRule>
  </conditionalFormatting>
  <conditionalFormatting sqref="P1:P1048576">
    <cfRule type="expression" dxfId="315" priority="18">
      <formula>AND(ISNUMBER($P1),ROUND(SUM($P1),2)&gt;ROUND(SUM($I1),2))</formula>
    </cfRule>
  </conditionalFormatting>
  <conditionalFormatting sqref="W1:X1048576">
    <cfRule type="expression" dxfId="314" priority="1">
      <formula>AND(ROW(W1)&gt;14,$B1&lt;&gt;"",OR($D1&lt;&gt;"Female",$C1="&lt;01",$C1="01-09"))</formula>
    </cfRule>
  </conditionalFormatting>
  <conditionalFormatting sqref="Y1:Y1048576">
    <cfRule type="expression" dxfId="313" priority="2">
      <formula>AND(ROW(Y1)&gt;14,$B1&lt;&gt;"",OR($D1&lt;&gt;"Male",$C1="&lt;01",$C1="01-09",$C1="10-14"))</formula>
    </cfRule>
  </conditionalFormatting>
  <conditionalFormatting sqref="J1:M1048576 R1:R1048576">
    <cfRule type="expression" dxfId="312"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F15" activePane="bottomRight" state="frozen"/>
      <selection pane="topRight"/>
      <selection pane="bottomLeft"/>
      <selection pane="bottomRight"/>
    </sheetView>
    <sheetView workbookViewId="1"/>
  </sheetViews>
  <sheetFormatPr baseColWidth="10" defaultRowHeight="16" x14ac:dyDescent="0.2"/>
  <cols>
    <col min="1" max="1" width="16.1640625" style="377" customWidth="1"/>
    <col min="2" max="2" width="30.83203125" style="5" customWidth="1"/>
    <col min="3" max="3" width="10.83203125" style="5" customWidth="1"/>
    <col min="4" max="4" width="7.83203125" style="5" customWidth="1"/>
    <col min="5" max="5" width="7" style="5" hidden="1" customWidth="1"/>
    <col min="6" max="6" width="11.83203125" style="61" customWidth="1"/>
    <col min="7" max="7" width="11.83203125" style="33" customWidth="1"/>
    <col min="8" max="8" width="11.83203125" style="155" customWidth="1"/>
    <col min="9" max="9" width="11.83203125" style="33" customWidth="1"/>
    <col min="10" max="10" width="11.83203125" style="155"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4" customWidth="1"/>
    <col min="20" max="24" width="11.83203125" style="99" customWidth="1"/>
    <col min="25" max="28" width="11.83203125" style="33" customWidth="1"/>
    <col min="29" max="29" width="11.83203125" style="473" customWidth="1"/>
    <col min="30" max="31" width="11.83203125" style="158" customWidth="1"/>
    <col min="32" max="32" width="11.83203125" style="410" customWidth="1"/>
  </cols>
  <sheetData>
    <row r="1" spans="1:32" s="22" customFormat="1" ht="31" customHeight="1" thickBot="1" x14ac:dyDescent="0.35">
      <c r="A1" s="379" t="s">
        <v>6</v>
      </c>
      <c r="B1" s="4"/>
      <c r="C1" s="1"/>
      <c r="D1" s="1"/>
      <c r="E1" s="1"/>
      <c r="F1" s="271" t="s">
        <v>30</v>
      </c>
      <c r="G1" s="236"/>
      <c r="H1" s="241"/>
      <c r="I1" s="236"/>
      <c r="J1" s="241"/>
      <c r="K1" s="236"/>
      <c r="L1" s="235"/>
      <c r="M1" s="236"/>
      <c r="N1" s="236"/>
      <c r="O1" s="239"/>
      <c r="P1" s="239"/>
      <c r="Q1" s="242"/>
      <c r="R1" s="242"/>
      <c r="S1" s="270" t="s">
        <v>18</v>
      </c>
      <c r="T1" s="240"/>
      <c r="U1" s="240"/>
      <c r="V1" s="240"/>
      <c r="W1" s="240"/>
      <c r="X1" s="240"/>
      <c r="Y1" s="236"/>
      <c r="Z1" s="236"/>
      <c r="AA1" s="236"/>
      <c r="AB1" s="236"/>
      <c r="AC1" s="467" t="s">
        <v>371</v>
      </c>
      <c r="AD1" s="406"/>
      <c r="AE1" s="406"/>
      <c r="AF1" s="406"/>
    </row>
    <row r="2" spans="1:32" s="21" customFormat="1" ht="19" customHeight="1" x14ac:dyDescent="0.25">
      <c r="A2" s="374" t="s">
        <v>513</v>
      </c>
      <c r="B2" s="371"/>
      <c r="C2" s="2"/>
      <c r="D2" s="2"/>
      <c r="E2" s="2"/>
      <c r="F2" s="50"/>
      <c r="G2" s="34"/>
      <c r="H2" s="123"/>
      <c r="I2" s="34"/>
      <c r="J2" s="123"/>
      <c r="K2" s="34"/>
      <c r="L2" s="34"/>
      <c r="M2" s="329" t="s">
        <v>850</v>
      </c>
      <c r="N2" s="329" t="s">
        <v>850</v>
      </c>
      <c r="O2" s="3"/>
      <c r="P2" s="3"/>
      <c r="Q2" s="323" t="s">
        <v>850</v>
      </c>
      <c r="R2" s="323" t="s">
        <v>850</v>
      </c>
      <c r="S2" s="121"/>
      <c r="T2" s="3"/>
      <c r="U2" s="3"/>
      <c r="V2" s="3"/>
      <c r="W2" s="3"/>
      <c r="X2" s="3"/>
      <c r="Y2" s="329" t="s">
        <v>850</v>
      </c>
      <c r="Z2" s="329" t="s">
        <v>850</v>
      </c>
      <c r="AA2" s="329" t="s">
        <v>850</v>
      </c>
      <c r="AB2" s="329" t="s">
        <v>850</v>
      </c>
      <c r="AC2" s="469"/>
      <c r="AD2" s="452"/>
      <c r="AE2" s="452"/>
      <c r="AF2" s="452"/>
    </row>
    <row r="3" spans="1:32" ht="117" customHeight="1" thickBot="1" x14ac:dyDescent="0.25">
      <c r="A3" s="372"/>
      <c r="B3" s="373"/>
      <c r="C3" s="17"/>
      <c r="D3" s="17"/>
      <c r="E3" s="17"/>
      <c r="F3" s="129" t="s">
        <v>924</v>
      </c>
      <c r="G3" s="130" t="s">
        <v>872</v>
      </c>
      <c r="H3" s="132" t="s">
        <v>873</v>
      </c>
      <c r="I3" s="130" t="s">
        <v>927</v>
      </c>
      <c r="J3" s="132" t="s">
        <v>900</v>
      </c>
      <c r="K3" s="69" t="s">
        <v>1009</v>
      </c>
      <c r="L3" s="69" t="s">
        <v>1008</v>
      </c>
      <c r="M3" s="322" t="s">
        <v>928</v>
      </c>
      <c r="N3" s="322" t="s">
        <v>929</v>
      </c>
      <c r="O3" s="150" t="s">
        <v>925</v>
      </c>
      <c r="P3" s="280" t="s">
        <v>926</v>
      </c>
      <c r="Q3" s="326" t="s">
        <v>930</v>
      </c>
      <c r="R3" s="326" t="s">
        <v>931</v>
      </c>
      <c r="S3" s="305" t="s">
        <v>932</v>
      </c>
      <c r="T3" s="258" t="s">
        <v>933</v>
      </c>
      <c r="U3" s="150" t="s">
        <v>935</v>
      </c>
      <c r="V3" s="258" t="s">
        <v>934</v>
      </c>
      <c r="W3" s="150" t="s">
        <v>916</v>
      </c>
      <c r="X3" s="258" t="s">
        <v>918</v>
      </c>
      <c r="Y3" s="322" t="s">
        <v>141</v>
      </c>
      <c r="Z3" s="30" t="s">
        <v>730</v>
      </c>
      <c r="AA3" s="30" t="s">
        <v>829</v>
      </c>
      <c r="AB3" s="30" t="s">
        <v>830</v>
      </c>
      <c r="AC3" s="129" t="s">
        <v>735</v>
      </c>
      <c r="AD3" s="133" t="s">
        <v>856</v>
      </c>
      <c r="AE3" s="133" t="s">
        <v>736</v>
      </c>
      <c r="AF3" s="69" t="s">
        <v>857</v>
      </c>
    </row>
    <row r="4" spans="1:32" x14ac:dyDescent="0.2">
      <c r="A4" s="380"/>
      <c r="B4" s="15"/>
      <c r="C4" s="15"/>
      <c r="D4" s="15" t="s">
        <v>2</v>
      </c>
      <c r="E4" s="15"/>
      <c r="F4" s="51">
        <f>SUBTOTAL(109,F$15:INDEX(F:F,COUNTA($B:$B)+14-COUNTA($B$1:$B$14)))</f>
        <v>0</v>
      </c>
      <c r="G4" s="44">
        <f>SUBTOTAL(109,G$15:INDEX(G:G,COUNTA($B:$B)+14-COUNTA($B$1:$B$14)))</f>
        <v>0</v>
      </c>
      <c r="H4" s="154" t="str">
        <f>IF(SUM($F$4)=0,"",SUM($G$4)/$F$4)</f>
        <v/>
      </c>
      <c r="I4" s="44">
        <f>SUBTOTAL(109,I$15:INDEX(I:I,COUNTA($B:$B)+14-COUNTA($B$1:$B$14)))</f>
        <v>0</v>
      </c>
      <c r="J4" s="154"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5" t="str">
        <f>IF($R$4=0,"",$Y$4/$R$4)</f>
        <v/>
      </c>
      <c r="T4" s="97"/>
      <c r="U4" s="97"/>
      <c r="V4" s="97" t="str">
        <f>IF($Y$4=0,"",$Z$4/$Y$4)</f>
        <v/>
      </c>
      <c r="W4" s="97"/>
      <c r="X4" s="97" t="str">
        <f>IF(SUM($Y$4,$Z$4)=0,"",SUM($AA4)/(SUM($Y$4)-SUM($Z$4)))</f>
        <v/>
      </c>
      <c r="Y4" s="32">
        <f>SUBTOTAL(109,Y$15:INDEX(Y:Y,COUNTA($B:$B)+14-COUNTA($B$1:$B$14)))</f>
        <v>0</v>
      </c>
      <c r="Z4" s="32">
        <f>SUBTOTAL(109,Z$15:INDEX(Z:Z,COUNTA($B:$B)+14-COUNTA($B$1:$B$14)))</f>
        <v>0</v>
      </c>
      <c r="AA4" s="32">
        <v>0</v>
      </c>
      <c r="AB4" s="32">
        <v>0</v>
      </c>
      <c r="AC4" s="471">
        <f>SUBTOTAL(109,AC$15:INDEX(AC:AC,COUNTA($B:$B)+14-COUNTA($B$1:$B$14)))</f>
        <v>0</v>
      </c>
      <c r="AD4" s="409">
        <f>SUBTOTAL(109,AD$15:INDEX(AD:AD,COUNTA($B:$B)+14-COUNTA($B$1:$B$14)))</f>
        <v>0</v>
      </c>
      <c r="AE4" s="409">
        <f>SUBTOTAL(109,AE$15:INDEX(AE:AE,COUNTA($B:$B)+14-COUNTA($B$1:$B$14)))</f>
        <v>0</v>
      </c>
      <c r="AF4" s="409">
        <f>SUBTOTAL(109,AF$15:INDEX(AF:AF,COUNTA($B:$B)+14-COUNTA($B$1:$B$14)))</f>
        <v>0</v>
      </c>
    </row>
    <row r="5" spans="1:32" x14ac:dyDescent="0.2">
      <c r="A5" s="377" t="s">
        <v>60</v>
      </c>
      <c r="B5" s="5" t="s">
        <v>60</v>
      </c>
      <c r="C5" s="5" t="s">
        <v>60</v>
      </c>
      <c r="D5" s="5" t="s">
        <v>60</v>
      </c>
      <c r="E5" s="5" t="s">
        <v>60</v>
      </c>
      <c r="F5" s="47" t="s">
        <v>60</v>
      </c>
      <c r="G5" s="36" t="s">
        <v>60</v>
      </c>
      <c r="H5" s="11" t="s">
        <v>60</v>
      </c>
      <c r="I5" s="36" t="s">
        <v>60</v>
      </c>
      <c r="J5" s="11" t="s">
        <v>60</v>
      </c>
      <c r="K5" s="36" t="s">
        <v>71</v>
      </c>
      <c r="L5" s="36" t="s">
        <v>71</v>
      </c>
      <c r="M5" s="33" t="s">
        <v>69</v>
      </c>
      <c r="N5" s="33" t="s">
        <v>69</v>
      </c>
      <c r="O5" s="11" t="s">
        <v>60</v>
      </c>
      <c r="P5" s="11" t="s">
        <v>60</v>
      </c>
      <c r="Q5" s="40" t="s">
        <v>69</v>
      </c>
      <c r="R5" s="40" t="s">
        <v>69</v>
      </c>
      <c r="S5" s="164" t="s">
        <v>60</v>
      </c>
      <c r="T5" s="99" t="s">
        <v>60</v>
      </c>
      <c r="U5" s="99" t="s">
        <v>60</v>
      </c>
      <c r="V5" s="99" t="s">
        <v>60</v>
      </c>
      <c r="W5" s="99" t="s">
        <v>60</v>
      </c>
      <c r="X5" s="99" t="s">
        <v>60</v>
      </c>
      <c r="Y5" s="33" t="s">
        <v>60</v>
      </c>
      <c r="Z5" s="33" t="s">
        <v>71</v>
      </c>
      <c r="AA5" s="33" t="s">
        <v>71</v>
      </c>
      <c r="AB5" s="33" t="s">
        <v>71</v>
      </c>
      <c r="AC5" s="473" t="s">
        <v>60</v>
      </c>
      <c r="AD5" s="158" t="s">
        <v>60</v>
      </c>
      <c r="AE5" s="158" t="s">
        <v>60</v>
      </c>
      <c r="AF5" s="410" t="s">
        <v>60</v>
      </c>
    </row>
    <row r="6" spans="1:32" x14ac:dyDescent="0.2">
      <c r="A6" s="377" t="s">
        <v>138</v>
      </c>
      <c r="B6" s="5" t="s">
        <v>138</v>
      </c>
      <c r="C6" s="5" t="s">
        <v>138</v>
      </c>
      <c r="D6" s="5" t="s">
        <v>138</v>
      </c>
      <c r="E6" s="5" t="s">
        <v>138</v>
      </c>
      <c r="F6" s="47" t="s">
        <v>55</v>
      </c>
      <c r="G6" s="36" t="s">
        <v>55</v>
      </c>
      <c r="H6" s="11" t="s">
        <v>55</v>
      </c>
      <c r="I6" s="36" t="s">
        <v>55</v>
      </c>
      <c r="J6" s="11" t="s">
        <v>55</v>
      </c>
      <c r="K6" s="36" t="s">
        <v>72</v>
      </c>
      <c r="L6" s="36" t="s">
        <v>72</v>
      </c>
      <c r="M6" s="33" t="s">
        <v>54</v>
      </c>
      <c r="N6" s="33" t="s">
        <v>54</v>
      </c>
      <c r="O6" s="11" t="s">
        <v>55</v>
      </c>
      <c r="P6" s="11" t="s">
        <v>74</v>
      </c>
      <c r="Q6" s="40" t="s">
        <v>54</v>
      </c>
      <c r="R6" s="40" t="s">
        <v>54</v>
      </c>
      <c r="S6" s="164" t="s">
        <v>74</v>
      </c>
      <c r="T6" s="99" t="s">
        <v>74</v>
      </c>
      <c r="U6" s="99" t="s">
        <v>73</v>
      </c>
      <c r="V6" s="99" t="s">
        <v>74</v>
      </c>
      <c r="W6" s="99" t="s">
        <v>73</v>
      </c>
      <c r="X6" s="99" t="s">
        <v>74</v>
      </c>
      <c r="Y6" s="33" t="s">
        <v>74</v>
      </c>
      <c r="Z6" s="33" t="s">
        <v>54</v>
      </c>
      <c r="AA6" s="33" t="s">
        <v>54</v>
      </c>
      <c r="AB6" s="33" t="s">
        <v>54</v>
      </c>
      <c r="AC6" s="473" t="s">
        <v>55</v>
      </c>
      <c r="AD6" s="158" t="s">
        <v>55</v>
      </c>
      <c r="AE6" s="158" t="s">
        <v>55</v>
      </c>
      <c r="AF6" s="410" t="s">
        <v>55</v>
      </c>
    </row>
    <row r="7" spans="1:32" x14ac:dyDescent="0.2">
      <c r="A7" s="377" t="s">
        <v>70</v>
      </c>
      <c r="B7" s="5" t="s">
        <v>70</v>
      </c>
      <c r="C7" s="5" t="s">
        <v>70</v>
      </c>
      <c r="D7" s="5" t="s">
        <v>70</v>
      </c>
      <c r="E7" s="5" t="s">
        <v>70</v>
      </c>
      <c r="F7" s="47" t="s">
        <v>56</v>
      </c>
      <c r="G7" s="36" t="s">
        <v>56</v>
      </c>
      <c r="H7" s="11" t="s">
        <v>57</v>
      </c>
      <c r="I7" s="36" t="s">
        <v>56</v>
      </c>
      <c r="J7" s="11" t="s">
        <v>57</v>
      </c>
      <c r="K7" s="36" t="s">
        <v>56</v>
      </c>
      <c r="L7" s="36" t="s">
        <v>56</v>
      </c>
      <c r="M7" s="33" t="s">
        <v>56</v>
      </c>
      <c r="N7" s="33" t="s">
        <v>56</v>
      </c>
      <c r="O7" s="11" t="s">
        <v>57</v>
      </c>
      <c r="P7" s="11" t="s">
        <v>57</v>
      </c>
      <c r="Q7" s="40" t="s">
        <v>56</v>
      </c>
      <c r="R7" s="40" t="s">
        <v>56</v>
      </c>
      <c r="S7" s="164" t="s">
        <v>57</v>
      </c>
      <c r="T7" s="99" t="s">
        <v>57</v>
      </c>
      <c r="U7" s="99" t="s">
        <v>57</v>
      </c>
      <c r="V7" s="99" t="s">
        <v>57</v>
      </c>
      <c r="W7" s="99" t="s">
        <v>57</v>
      </c>
      <c r="X7" s="99" t="s">
        <v>57</v>
      </c>
      <c r="Y7" s="33" t="s">
        <v>56</v>
      </c>
      <c r="Z7" s="33" t="s">
        <v>56</v>
      </c>
      <c r="AA7" s="33" t="s">
        <v>56</v>
      </c>
      <c r="AB7" s="33" t="s">
        <v>56</v>
      </c>
      <c r="AC7" s="473" t="s">
        <v>56</v>
      </c>
      <c r="AD7" s="158" t="s">
        <v>56</v>
      </c>
      <c r="AE7" s="158" t="s">
        <v>56</v>
      </c>
      <c r="AF7" s="410" t="s">
        <v>56</v>
      </c>
    </row>
    <row r="8" spans="1:32" x14ac:dyDescent="0.2">
      <c r="F8" s="47"/>
      <c r="G8" s="36"/>
      <c r="H8" s="11"/>
      <c r="I8" s="36"/>
      <c r="J8" s="11"/>
      <c r="K8" s="344" t="s">
        <v>380</v>
      </c>
      <c r="L8" s="344" t="s">
        <v>94</v>
      </c>
      <c r="M8" s="338" t="s">
        <v>92</v>
      </c>
      <c r="N8" s="338" t="s">
        <v>93</v>
      </c>
      <c r="O8" s="147"/>
      <c r="P8" s="147"/>
      <c r="Q8" s="348" t="s">
        <v>93</v>
      </c>
      <c r="R8" s="348" t="s">
        <v>92</v>
      </c>
      <c r="Z8" s="338" t="s">
        <v>94</v>
      </c>
      <c r="AA8" s="338" t="s">
        <v>94</v>
      </c>
      <c r="AB8" s="338" t="s">
        <v>94</v>
      </c>
    </row>
    <row r="9" spans="1:32" x14ac:dyDescent="0.2">
      <c r="F9" s="47"/>
      <c r="G9" s="36"/>
      <c r="H9" s="11"/>
      <c r="I9" s="36"/>
      <c r="J9" s="11"/>
      <c r="K9" s="344" t="s">
        <v>381</v>
      </c>
      <c r="L9" s="344" t="s">
        <v>95</v>
      </c>
      <c r="M9" s="338"/>
      <c r="N9" s="338"/>
      <c r="O9" s="147"/>
      <c r="P9" s="147"/>
      <c r="Q9" s="348"/>
      <c r="R9" s="348"/>
      <c r="Z9" s="338" t="s">
        <v>95</v>
      </c>
      <c r="AA9" s="338" t="s">
        <v>95</v>
      </c>
      <c r="AB9" s="338" t="s">
        <v>95</v>
      </c>
    </row>
    <row r="10" spans="1:32" x14ac:dyDescent="0.2">
      <c r="F10" s="47"/>
      <c r="G10" s="36"/>
      <c r="H10" s="11"/>
      <c r="I10" s="36"/>
      <c r="J10" s="11"/>
      <c r="K10" s="344"/>
      <c r="L10" s="344"/>
      <c r="M10" s="338"/>
      <c r="N10" s="338"/>
      <c r="O10" s="147"/>
      <c r="P10" s="147"/>
      <c r="Q10" s="348"/>
      <c r="R10" s="348"/>
      <c r="Z10" s="338" t="s">
        <v>96</v>
      </c>
      <c r="AA10" s="338" t="s">
        <v>66</v>
      </c>
      <c r="AB10" s="338" t="s">
        <v>83</v>
      </c>
    </row>
    <row r="11" spans="1:32" x14ac:dyDescent="0.2">
      <c r="F11" s="47" t="s">
        <v>993</v>
      </c>
      <c r="G11" s="36" t="s">
        <v>993</v>
      </c>
      <c r="H11" s="11" t="s">
        <v>993</v>
      </c>
      <c r="I11" s="36" t="s">
        <v>993</v>
      </c>
      <c r="J11" s="11" t="s">
        <v>993</v>
      </c>
      <c r="K11" s="36" t="s">
        <v>993</v>
      </c>
      <c r="L11" s="36" t="s">
        <v>993</v>
      </c>
      <c r="M11" s="33" t="s">
        <v>993</v>
      </c>
      <c r="N11" s="33" t="s">
        <v>993</v>
      </c>
      <c r="O11" s="11" t="s">
        <v>993</v>
      </c>
      <c r="P11" s="19" t="s">
        <v>993</v>
      </c>
      <c r="Q11" s="40" t="s">
        <v>993</v>
      </c>
      <c r="R11" s="40" t="s">
        <v>993</v>
      </c>
      <c r="S11" s="164" t="s">
        <v>993</v>
      </c>
      <c r="T11" s="99" t="s">
        <v>993</v>
      </c>
      <c r="U11" s="99" t="s">
        <v>993</v>
      </c>
      <c r="V11" s="99" t="s">
        <v>993</v>
      </c>
      <c r="W11" s="99" t="s">
        <v>993</v>
      </c>
      <c r="X11" s="99" t="s">
        <v>993</v>
      </c>
      <c r="Y11" s="33" t="s">
        <v>993</v>
      </c>
      <c r="Z11" s="33" t="s">
        <v>993</v>
      </c>
      <c r="AA11" s="33" t="s">
        <v>993</v>
      </c>
      <c r="AB11" s="33" t="s">
        <v>993</v>
      </c>
      <c r="AC11" s="473" t="s">
        <v>993</v>
      </c>
      <c r="AD11" s="158" t="s">
        <v>993</v>
      </c>
      <c r="AE11" s="158" t="s">
        <v>993</v>
      </c>
      <c r="AF11" s="410" t="s">
        <v>993</v>
      </c>
    </row>
    <row r="12" spans="1:32" x14ac:dyDescent="0.2">
      <c r="F12" s="47" t="s">
        <v>462</v>
      </c>
      <c r="G12" s="36" t="s">
        <v>462</v>
      </c>
      <c r="H12" s="11" t="s">
        <v>462</v>
      </c>
      <c r="I12" s="36" t="s">
        <v>462</v>
      </c>
      <c r="J12" s="11" t="s">
        <v>462</v>
      </c>
      <c r="K12" s="36" t="s">
        <v>462</v>
      </c>
      <c r="L12" s="36" t="s">
        <v>462</v>
      </c>
      <c r="M12" s="33" t="s">
        <v>462</v>
      </c>
      <c r="N12" s="33" t="s">
        <v>462</v>
      </c>
      <c r="O12" s="11" t="s">
        <v>462</v>
      </c>
      <c r="P12" s="11" t="s">
        <v>462</v>
      </c>
      <c r="Q12" s="40" t="s">
        <v>462</v>
      </c>
      <c r="R12" s="40" t="s">
        <v>462</v>
      </c>
      <c r="S12" s="164" t="s">
        <v>462</v>
      </c>
      <c r="T12" s="99" t="s">
        <v>462</v>
      </c>
      <c r="U12" s="99" t="s">
        <v>462</v>
      </c>
      <c r="V12" s="99" t="s">
        <v>462</v>
      </c>
      <c r="W12" s="99" t="s">
        <v>462</v>
      </c>
      <c r="X12" s="99" t="s">
        <v>462</v>
      </c>
      <c r="Y12" s="33" t="s">
        <v>462</v>
      </c>
      <c r="Z12" s="33" t="s">
        <v>462</v>
      </c>
      <c r="AA12" s="33" t="s">
        <v>462</v>
      </c>
      <c r="AB12" s="33" t="s">
        <v>462</v>
      </c>
      <c r="AC12" s="473" t="s">
        <v>462</v>
      </c>
      <c r="AD12" s="158" t="s">
        <v>462</v>
      </c>
      <c r="AE12" s="158" t="s">
        <v>462</v>
      </c>
      <c r="AF12" s="410" t="s">
        <v>462</v>
      </c>
    </row>
    <row r="13" spans="1:32" x14ac:dyDescent="0.2">
      <c r="F13" s="47"/>
      <c r="G13" s="36"/>
      <c r="H13" s="11"/>
      <c r="I13" s="36"/>
      <c r="J13" s="11"/>
      <c r="K13" s="36"/>
    </row>
    <row r="14" spans="1:32" x14ac:dyDescent="0.2">
      <c r="A14" s="383" t="s">
        <v>44</v>
      </c>
      <c r="B14" s="263" t="s">
        <v>3</v>
      </c>
      <c r="C14" s="263" t="s">
        <v>25</v>
      </c>
      <c r="D14" s="263" t="s">
        <v>4</v>
      </c>
      <c r="E14" s="263" t="s">
        <v>48</v>
      </c>
      <c r="F14" s="274" t="s">
        <v>189</v>
      </c>
      <c r="G14" s="250" t="s">
        <v>190</v>
      </c>
      <c r="H14" s="251" t="s">
        <v>192</v>
      </c>
      <c r="I14" s="250" t="s">
        <v>193</v>
      </c>
      <c r="J14" s="251" t="s">
        <v>713</v>
      </c>
      <c r="K14" s="247" t="s">
        <v>469</v>
      </c>
      <c r="L14" s="250" t="s">
        <v>470</v>
      </c>
      <c r="M14" s="253" t="s">
        <v>218</v>
      </c>
      <c r="N14" s="253" t="s">
        <v>219</v>
      </c>
      <c r="O14" s="251" t="s">
        <v>339</v>
      </c>
      <c r="P14" s="251" t="s">
        <v>338</v>
      </c>
      <c r="Q14" s="273" t="s">
        <v>221</v>
      </c>
      <c r="R14" s="273" t="s">
        <v>220</v>
      </c>
      <c r="S14" s="279" t="s">
        <v>337</v>
      </c>
      <c r="T14" s="251" t="s">
        <v>495</v>
      </c>
      <c r="U14" s="251" t="s">
        <v>480</v>
      </c>
      <c r="V14" s="251" t="s">
        <v>334</v>
      </c>
      <c r="W14" s="251" t="s">
        <v>481</v>
      </c>
      <c r="X14" s="251" t="s">
        <v>336</v>
      </c>
      <c r="Y14" s="273" t="s">
        <v>335</v>
      </c>
      <c r="Z14" s="273" t="s">
        <v>217</v>
      </c>
      <c r="AA14" s="273" t="s">
        <v>831</v>
      </c>
      <c r="AB14" s="273" t="s">
        <v>832</v>
      </c>
      <c r="AC14" s="477" t="s">
        <v>319</v>
      </c>
      <c r="AD14" s="453" t="s">
        <v>936</v>
      </c>
      <c r="AE14" s="453" t="s">
        <v>923</v>
      </c>
      <c r="AF14" s="453" t="s">
        <v>908</v>
      </c>
    </row>
    <row r="15" spans="1:32" x14ac:dyDescent="0.2">
      <c r="A15" s="377"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IF(LEFT($B15,4)="_Mil","",INDEX(Cascade!$V:$V,MATCH($E15,Cascade!$E:$E,0)))</f>
        <v/>
      </c>
      <c r="I15" s="38" t="str">
        <f>IF(LEFT($B15,4)="_Mil","",INDEX(Cascade!$Y:$Y,MATCH($E15,Cascade!$E:$E,0)))</f>
        <v/>
      </c>
      <c r="J15" s="11" t="str">
        <f>IF(LEFT($B15,4)="_Mil","",INDEX(Cascade!$Z:$Z,MATCH($E15,Cascade!$E:$E,0)))</f>
        <v/>
      </c>
      <c r="M15" s="33" t="str">
        <f>IF(LEFT($B15,4)="_Mil","",IFERROR(1/(1/ROUND(INDEX(Spectrum!$N:$N,MATCH(RIGHT($B15,13)&amp;"|"&amp;$C15&amp;"|"&amp;$D15&amp;"|"&amp;M$14&amp;"|"&amp;"CY2023Q3",Spectrum!$Q:$Q,0)),0)),IF($L15="","",$L15)))</f>
        <v/>
      </c>
      <c r="N15" s="33" t="str">
        <f>IF(LEFT($B15,4)="_Mil","",IFERROR(1/(1/ROUND(INDEX(Spectrum!$N:$N,MATCH(RIGHT($B15,13)&amp;"|"&amp;$C15&amp;"|"&amp;$D15&amp;"|"&amp;N$14&amp;"|"&amp;"CY2023Q3",Spectrum!$Q:$Q,0)),0)),IF(SUM($M15)=0,"",$M15)))</f>
        <v/>
      </c>
      <c r="O15" s="11" t="str">
        <f>IF(OR(LEFT($B15,4)="_Mil",SUM($F15)=0),"",SUM($N15)/$F15)</f>
        <v/>
      </c>
      <c r="P15" s="11" t="str">
        <f>IF(OR(LEFT($B15,4)="_Mil",SUM($F15)=0),"",MAX(SUM($O15),80%))</f>
        <v/>
      </c>
      <c r="Q15" s="40" t="str">
        <f>IF(OR(LEFT($B15,4)="_Mil",SUM($F15)=0),"",ROUND(SUM($F15)*$P15,0))</f>
        <v/>
      </c>
      <c r="R15" s="40" t="str">
        <f>IF(OR(LEFT($B15,4)="_Mil",SUM($Q15)=0),"",ROUND(MAX($Q15-SUM($N15),0),0))</f>
        <v/>
      </c>
      <c r="S15" s="82" t="str">
        <f>IF(LEFT($B15,4)="_Mil","",IF(SUM($L15)=0,"",IF(SUM($M15)=0,1,$L15/$M15)))</f>
        <v/>
      </c>
      <c r="T15" s="11" t="str">
        <f>IF(LEFT($B15,4)="_Mil",0,"")</f>
        <v/>
      </c>
      <c r="U15" s="11"/>
      <c r="V15" s="11" t="str">
        <f>IF($U15="","",$U15)</f>
        <v/>
      </c>
      <c r="W15" s="11"/>
      <c r="X15" s="11" t="str">
        <f>IF($W15="","",$W15)</f>
        <v/>
      </c>
      <c r="Y15" s="33" t="str">
        <f>IF(LEFT($B15,4)="_Mil",IF(SUM($L15)=0,"",ROUND($L15*(1+$T15),0)),IF(SUM($R15)=0,"",ROUND($R15*$S15,0)))</f>
        <v/>
      </c>
      <c r="Z15" s="33" t="str">
        <f>IF(SUM($Y15)=0,"",IF(AND(SUM($Y15)&gt;0,$V15=""),"ENTER INDETERMINATE RATE",ROUND($Y15*$V15,0)))</f>
        <v/>
      </c>
      <c r="AA15" s="33" t="str">
        <f>IF(SUM($Y15)=0,"",IF(AND((SUM($Y15)-SUM($Z15))&gt;0,$X15=""),"ENTER YIELD RATE",ROUND(($Y15-SUM($Z15))*$X15,0)))</f>
        <v/>
      </c>
      <c r="AB15" s="33" t="str">
        <f>IF(SUM($Y15)=0,"",$Y15-SUM($Z15)-SUM($AA15))</f>
        <v/>
      </c>
      <c r="AC15" s="473" t="str">
        <f>IFERROR(1/(1/INDEX(Cascade!$BE:$BE,MATCH($E15,Cascade!$E:$E,0))),"")</f>
        <v/>
      </c>
      <c r="AD15" s="158" t="str">
        <f>$AA15</f>
        <v/>
      </c>
      <c r="AE15" s="158" t="str">
        <f>IFERROR(1/(1/INDEX(TB!$P:$P,MATCH($E15,TB!$E:$E,0))),"")</f>
        <v/>
      </c>
      <c r="AF15" s="158" t="str">
        <f>IFERROR(1/(1/(SUM($AC15)-SUM($AD15:$AE15))),"")</f>
        <v/>
      </c>
    </row>
  </sheetData>
  <mergeCells count="1">
    <mergeCell ref="A2:B3"/>
  </mergeCells>
  <conditionalFormatting sqref="P1:P1048576">
    <cfRule type="expression" dxfId="311" priority="3762">
      <formula>AND(ISNUMBER($P1),$P1&lt;0.8)</formula>
    </cfRule>
  </conditionalFormatting>
  <conditionalFormatting sqref="X1:X1048576">
    <cfRule type="expression" dxfId="310" priority="11">
      <formula>AND(ROW($X1)&gt;14,$AA1="ENTER YIELD RATE")</formula>
    </cfRule>
    <cfRule type="expression" dxfId="309" priority="17">
      <formula>AND(ROW($X1)&gt;14,ROUND(SUM($X1),2)&gt;0.01)</formula>
    </cfRule>
  </conditionalFormatting>
  <conditionalFormatting sqref="Q1:Q1048576">
    <cfRule type="expression" dxfId="308" priority="27">
      <formula>AND(ISNUMBER($Q1),$Q1&lt;$N1)</formula>
    </cfRule>
  </conditionalFormatting>
  <conditionalFormatting sqref="M1:N1048576">
    <cfRule type="expression" dxfId="307" priority="3763">
      <formula>AND(ISNUMBER($M1),ISNUMBER($N1),$N1&lt;$M1)</formula>
    </cfRule>
  </conditionalFormatting>
  <conditionalFormatting sqref="V1:V1048576">
    <cfRule type="expression" dxfId="306" priority="7">
      <formula>AND(ROW($V1)&gt;14,$Z1="ENTER INDETERMINATE RATE")</formula>
    </cfRule>
  </conditionalFormatting>
  <conditionalFormatting sqref="F1:S1048576 U1:AF1048576">
    <cfRule type="expression" dxfId="305" priority="5">
      <formula>AND(ISNUMBER(F1),F1&lt;0)</formula>
    </cfRule>
  </conditionalFormatting>
  <conditionalFormatting sqref="H1:H1048576 O1:P1048576 S1:S1048576 U1:X1048576">
    <cfRule type="expression" dxfId="304" priority="6">
      <formula>AND(ISNUMBER(H1),H1&gt;1)</formula>
    </cfRule>
  </conditionalFormatting>
  <conditionalFormatting sqref="AC1:AF1048576">
    <cfRule type="expression" dxfId="303" priority="16">
      <formula>AND(ISNUMBER($AF1),OR(ISERROR($AF1),$AF1&lt;0))</formula>
    </cfRule>
  </conditionalFormatting>
  <conditionalFormatting sqref="F1:J1048576 M1:S1048576">
    <cfRule type="expression" dxfId="302" priority="1">
      <formula>LEFT($B1,4)="_Mil"</formula>
    </cfRule>
  </conditionalFormatting>
  <conditionalFormatting sqref="T1:T1048576">
    <cfRule type="expression" dxfId="301"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 workbookViewId="1"/>
  </sheetViews>
  <sheetFormatPr baseColWidth="10" defaultRowHeight="16" x14ac:dyDescent="0.2"/>
  <cols>
    <col min="1" max="1" width="16.1640625" style="377" customWidth="1"/>
    <col min="2" max="2" width="30.83203125" customWidth="1"/>
    <col min="3" max="3" width="35.5" customWidth="1"/>
    <col min="4" max="4" width="10.1640625" hidden="1" customWidth="1"/>
    <col min="5" max="5" width="11.83203125" style="61" customWidth="1"/>
    <col min="6" max="6" width="11.83203125" style="33" customWidth="1"/>
    <col min="7" max="7" width="11.83203125" style="92"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47" customWidth="1"/>
    <col min="19" max="20" width="11.83203125" style="19" customWidth="1"/>
    <col min="21" max="22" width="11.83203125" style="36" customWidth="1"/>
    <col min="23" max="23" width="11.83203125" style="19" customWidth="1"/>
    <col min="24" max="24" width="11.83203125" style="33" customWidth="1"/>
    <col min="25" max="25" width="11.83203125" style="152" customWidth="1"/>
    <col min="26" max="26" width="11.83203125" style="36" customWidth="1"/>
    <col min="27" max="27" width="11.83203125" style="19" customWidth="1"/>
    <col min="28" max="28" width="11.83203125" style="33" customWidth="1"/>
    <col min="29" max="29" width="11.83203125" style="152" customWidth="1"/>
    <col min="30" max="30" width="11.83203125" style="33" customWidth="1"/>
    <col min="31" max="31" width="11.83203125" style="47" customWidth="1"/>
    <col min="32" max="32" width="11.83203125" style="36" customWidth="1"/>
    <col min="33" max="34" width="11.83203125" style="19" customWidth="1"/>
    <col min="35" max="36" width="11.83203125" style="33" customWidth="1"/>
    <col min="37" max="37" width="11.83203125" style="152" customWidth="1"/>
    <col min="38" max="38" width="11.83203125" style="33" customWidth="1"/>
    <col min="39" max="39" width="11.83203125" style="47" customWidth="1"/>
    <col min="40" max="40" width="11.83203125" style="33" customWidth="1"/>
  </cols>
  <sheetData>
    <row r="1" spans="1:40" s="22" customFormat="1" ht="31" customHeight="1" x14ac:dyDescent="0.3">
      <c r="A1" s="379" t="s">
        <v>289</v>
      </c>
      <c r="B1" s="4"/>
      <c r="C1" s="1"/>
      <c r="D1" s="1"/>
      <c r="E1" s="271" t="s">
        <v>29</v>
      </c>
      <c r="F1" s="236"/>
      <c r="G1" s="286"/>
      <c r="H1" s="271" t="s">
        <v>536</v>
      </c>
      <c r="I1" s="236"/>
      <c r="J1" s="271" t="s">
        <v>21</v>
      </c>
      <c r="K1" s="236"/>
      <c r="L1" s="271" t="s">
        <v>19</v>
      </c>
      <c r="M1" s="242"/>
      <c r="N1" s="271" t="s">
        <v>0</v>
      </c>
      <c r="O1" s="238"/>
      <c r="P1" s="238"/>
      <c r="Q1" s="236"/>
      <c r="R1" s="271" t="s">
        <v>1</v>
      </c>
      <c r="S1" s="424"/>
      <c r="T1" s="424"/>
      <c r="U1" s="235"/>
      <c r="V1" s="235"/>
      <c r="W1" s="285"/>
      <c r="X1" s="236"/>
      <c r="Y1" s="437" t="s">
        <v>36</v>
      </c>
      <c r="Z1" s="234"/>
      <c r="AA1" s="424"/>
      <c r="AB1" s="236"/>
      <c r="AC1" s="437" t="s">
        <v>35</v>
      </c>
      <c r="AD1" s="236"/>
      <c r="AE1" s="271" t="s">
        <v>148</v>
      </c>
      <c r="AF1" s="235"/>
      <c r="AG1" s="418"/>
      <c r="AH1" s="418"/>
      <c r="AI1" s="236"/>
      <c r="AJ1" s="236"/>
      <c r="AK1" s="437" t="s">
        <v>140</v>
      </c>
      <c r="AL1" s="236"/>
      <c r="AM1" s="271" t="s">
        <v>146</v>
      </c>
      <c r="AN1" s="236"/>
    </row>
    <row r="2" spans="1:40" s="21" customFormat="1" ht="19" x14ac:dyDescent="0.25">
      <c r="A2" s="385"/>
      <c r="B2" s="2"/>
      <c r="C2" s="2"/>
      <c r="D2" s="2"/>
      <c r="E2" s="330" t="s">
        <v>850</v>
      </c>
      <c r="F2" s="329" t="s">
        <v>850</v>
      </c>
      <c r="G2" s="339" t="s">
        <v>850</v>
      </c>
      <c r="H2" s="50"/>
      <c r="I2" s="329" t="s">
        <v>850</v>
      </c>
      <c r="J2" s="52"/>
      <c r="K2" s="329" t="s">
        <v>850</v>
      </c>
      <c r="L2" s="52"/>
      <c r="M2" s="323" t="s">
        <v>850</v>
      </c>
      <c r="N2" s="52"/>
      <c r="O2" s="46"/>
      <c r="P2" s="46"/>
      <c r="Q2" s="329" t="s">
        <v>850</v>
      </c>
      <c r="R2" s="52"/>
      <c r="S2" s="419"/>
      <c r="T2" s="419"/>
      <c r="U2" s="324"/>
      <c r="V2" s="324"/>
      <c r="W2" s="429"/>
      <c r="X2" s="329" t="s">
        <v>850</v>
      </c>
      <c r="Y2" s="438"/>
      <c r="Z2" s="56"/>
      <c r="AA2" s="419"/>
      <c r="AB2" s="329" t="s">
        <v>850</v>
      </c>
      <c r="AC2" s="438"/>
      <c r="AD2" s="329" t="s">
        <v>850</v>
      </c>
      <c r="AE2" s="50"/>
      <c r="AF2" s="34"/>
      <c r="AG2" s="419"/>
      <c r="AH2" s="419"/>
      <c r="AI2" s="329" t="s">
        <v>850</v>
      </c>
      <c r="AJ2" s="329" t="s">
        <v>850</v>
      </c>
      <c r="AK2" s="438"/>
      <c r="AL2" s="329" t="s">
        <v>850</v>
      </c>
      <c r="AM2" s="50"/>
      <c r="AN2" s="329" t="s">
        <v>850</v>
      </c>
    </row>
    <row r="3" spans="1:40" s="25" customFormat="1" ht="117" customHeight="1" x14ac:dyDescent="0.2">
      <c r="A3" s="377"/>
      <c r="B3"/>
      <c r="C3"/>
      <c r="D3" s="26"/>
      <c r="E3" s="331" t="s">
        <v>976</v>
      </c>
      <c r="F3" s="322" t="s">
        <v>977</v>
      </c>
      <c r="G3" s="340" t="s">
        <v>873</v>
      </c>
      <c r="H3" s="73" t="s">
        <v>983</v>
      </c>
      <c r="I3" s="322" t="s">
        <v>751</v>
      </c>
      <c r="J3" s="113" t="s">
        <v>764</v>
      </c>
      <c r="K3" s="322" t="s">
        <v>752</v>
      </c>
      <c r="L3" s="106" t="s">
        <v>765</v>
      </c>
      <c r="M3" s="326" t="s">
        <v>753</v>
      </c>
      <c r="N3" s="106" t="s">
        <v>769</v>
      </c>
      <c r="O3" s="75" t="s">
        <v>766</v>
      </c>
      <c r="P3" s="257" t="s">
        <v>980</v>
      </c>
      <c r="Q3" s="322" t="s">
        <v>754</v>
      </c>
      <c r="R3" s="106" t="s">
        <v>767</v>
      </c>
      <c r="S3" s="420" t="s">
        <v>695</v>
      </c>
      <c r="T3" s="420" t="s">
        <v>694</v>
      </c>
      <c r="U3" s="75" t="s">
        <v>755</v>
      </c>
      <c r="V3" s="75" t="s">
        <v>693</v>
      </c>
      <c r="W3" s="430" t="s">
        <v>692</v>
      </c>
      <c r="X3" s="30" t="s">
        <v>756</v>
      </c>
      <c r="Y3" s="483" t="s">
        <v>696</v>
      </c>
      <c r="Z3" s="479" t="s">
        <v>697</v>
      </c>
      <c r="AA3" s="484" t="s">
        <v>698</v>
      </c>
      <c r="AB3" s="30" t="s">
        <v>757</v>
      </c>
      <c r="AC3" s="483" t="s">
        <v>632</v>
      </c>
      <c r="AD3" s="30" t="s">
        <v>758</v>
      </c>
      <c r="AE3" s="73" t="s">
        <v>978</v>
      </c>
      <c r="AF3" s="69" t="s">
        <v>979</v>
      </c>
      <c r="AG3" s="420" t="s">
        <v>731</v>
      </c>
      <c r="AH3" s="420" t="s">
        <v>759</v>
      </c>
      <c r="AI3" s="30" t="s">
        <v>760</v>
      </c>
      <c r="AJ3" s="322" t="s">
        <v>761</v>
      </c>
      <c r="AK3" s="439" t="s">
        <v>981</v>
      </c>
      <c r="AL3" s="30" t="s">
        <v>762</v>
      </c>
      <c r="AM3" s="73" t="s">
        <v>768</v>
      </c>
      <c r="AN3" s="322" t="s">
        <v>763</v>
      </c>
    </row>
    <row r="4" spans="1:40" s="25" customFormat="1" x14ac:dyDescent="0.2">
      <c r="A4" s="386"/>
      <c r="B4" s="27"/>
      <c r="C4" s="27" t="s">
        <v>2</v>
      </c>
      <c r="D4" s="27"/>
      <c r="E4" s="114">
        <f>SUBTOTAL(109,E$15:INDEX(E:E,COUNTA($B:$B)+14-COUNTA($B$1:$B$14)))</f>
        <v>0</v>
      </c>
      <c r="F4" s="32">
        <f>SUBTOTAL(109,F$15:INDEX(F:F,COUNTA($B:$B)+14-COUNTA($B$1:$B$14)))</f>
        <v>0</v>
      </c>
      <c r="G4" s="91" t="str">
        <f>IF($E$4=0,"",$F$4/$E$4)</f>
        <v/>
      </c>
      <c r="H4" s="51">
        <f>SUBTOTAL(109,H$15:INDEX(H:H,COUNTA($B:$B)+14-COUNTA($B$1:$B$14)))</f>
        <v>0</v>
      </c>
      <c r="I4" s="32">
        <f>SUBTOTAL(109,I$15:INDEX(I:I,COUNTA($B:$B)+14-COUNTA($B$1:$B$14)))</f>
        <v>0</v>
      </c>
      <c r="J4" s="114">
        <f>SUBTOTAL(109,J$15:INDEX(J:J,COUNTA($B:$B)+14-COUNTA($B$1:$B$14)))</f>
        <v>0</v>
      </c>
      <c r="K4" s="32">
        <f>SUBTOTAL(109,K$15:INDEX(K:K,COUNTA($B:$B)+14-COUNTA($B$1:$B$14)))</f>
        <v>0</v>
      </c>
      <c r="L4" s="114">
        <f>SUBTOTAL(109,L$15:INDEX(L:L,COUNTA($B:$B)+14-COUNTA($B$1:$B$14)))</f>
        <v>0</v>
      </c>
      <c r="M4" s="32">
        <f>SUBTOTAL(109,M$15:INDEX(M:M,COUNTA($B:$B)+14-COUNTA($B$1:$B$14)))</f>
        <v>0</v>
      </c>
      <c r="N4" s="107">
        <f>SUBTOTAL(109,N$15:INDEX(N:N,COUNTA($B:$B)+14-COUNTA($B$1:$B$14)))</f>
        <v>0</v>
      </c>
      <c r="O4" s="104">
        <f>SUBTOTAL(109,O$15:INDEX(O:O,COUNTA($B:$B)+14-COUNTA($B$1:$B$14)))</f>
        <v>0</v>
      </c>
      <c r="P4" s="104">
        <f>SUBTOTAL(109,P$15:INDEX(P:P,COUNTA($B:$B)+14-COUNTA($B$1:$B$14)))</f>
        <v>0</v>
      </c>
      <c r="Q4" s="32">
        <f>SUBTOTAL(109,Q$15:INDEX(Q:Q,COUNTA($B:$B)+14-COUNTA($B$1:$B$14)))</f>
        <v>0</v>
      </c>
      <c r="R4" s="116">
        <f>SUBTOTAL(109,R$15:INDEX(R:R,COUNTA($B:$B)+14-COUNTA($B$1:$B$14)))</f>
        <v>0</v>
      </c>
      <c r="S4" s="421"/>
      <c r="T4" s="421"/>
      <c r="U4" s="35">
        <f>SUBTOTAL(109,U$15:INDEX(U:U,COUNTA($B:$B)+14-COUNTA($B$1:$B$14)))</f>
        <v>0</v>
      </c>
      <c r="V4" s="35">
        <f>SUBTOTAL(109,V$15:INDEX(V:V,COUNTA($B:$B)+14-COUNTA($B$1:$B$14)))</f>
        <v>0</v>
      </c>
      <c r="W4" s="485" t="str">
        <f>IF($V$4=0,"",$X$4/$V$4)</f>
        <v/>
      </c>
      <c r="X4" s="32">
        <f>SUBTOTAL(109,X$15:INDEX(X:X,COUNTA($B:$B)+14-COUNTA($B$1:$B$14)))</f>
        <v>0</v>
      </c>
      <c r="Y4" s="480" t="str">
        <f>IF($V$4=0,"",$Z$4/$V$4)</f>
        <v/>
      </c>
      <c r="Z4" s="137">
        <f>SUBTOTAL(109,Z$15:INDEX(Z:Z,COUNTA($B:$B)+14-COUNTA($B$1:$B$14)))</f>
        <v>0</v>
      </c>
      <c r="AA4" s="421" t="str">
        <f>IF($Z$4=0,"",$AB$4/$Z$4)</f>
        <v/>
      </c>
      <c r="AB4" s="32">
        <f>SUBTOTAL(109,AB$15:INDEX(AB:AB,COUNTA($B:$B)+14-COUNTA($B$1:$B$14)))</f>
        <v>0</v>
      </c>
      <c r="AC4" s="480" t="str">
        <f>IF($AB$4=0,"",$AD$4/$AB$4)</f>
        <v/>
      </c>
      <c r="AD4" s="32">
        <f>SUBTOTAL(109,AD$15:INDEX(AD:AD,COUNTA($B:$B)+14-COUNTA($B$1:$B$14)))</f>
        <v>0</v>
      </c>
      <c r="AE4" s="51">
        <f>SUBTOTAL(109,AE$15:INDEX(AE:AE,COUNTA($B:$B)+14-COUNTA($B$1:$B$14)))</f>
        <v>0</v>
      </c>
      <c r="AF4" s="35">
        <f>SUBTOTAL(109,AF$15:INDEX(AF:AF,COUNTA($B:$B)+14-COUNTA($B$1:$B$14)))</f>
        <v>0</v>
      </c>
      <c r="AG4" s="421" t="str">
        <f>IF($AI$4=0,"",$X$4/$AI$4)</f>
        <v/>
      </c>
      <c r="AH4" s="421" t="str">
        <f>IF(SUM($AI$4,$AJ$4)=0,"",$AI$4/SUM($AI$4,$AJ$4))</f>
        <v/>
      </c>
      <c r="AI4" s="32">
        <f>SUBTOTAL(109,AI$15:INDEX(AI:AI,COUNTA($B:$B)+14-COUNTA($B$1:$B$14)))</f>
        <v>0</v>
      </c>
      <c r="AJ4" s="32">
        <f>SUBTOTAL(109,AJ$15:INDEX(AJ:AJ,COUNTA($B:$B)+14-COUNTA($B$1:$B$14)))</f>
        <v>0</v>
      </c>
      <c r="AK4" s="480" t="str">
        <f>IF($AI$4=0,"",$AL$4/$AI$4)</f>
        <v/>
      </c>
      <c r="AL4" s="32">
        <f>SUBTOTAL(109,AL$15:INDEX(AL:AL,COUNTA($B:$B)+14-COUNTA($B$1:$B$14)))</f>
        <v>0</v>
      </c>
      <c r="AM4" s="51">
        <f>SUBTOTAL(109,AM$15:INDEX(AM:AM,COUNTA($B:$B)+14-COUNTA($B$1:$B$14)))</f>
        <v>0</v>
      </c>
      <c r="AN4" s="32">
        <f>SUBTOTAL(109,AN$15:INDEX(AN:AN,COUNTA($B:$B)+14-COUNTA($B$1:$B$14)))</f>
        <v>0</v>
      </c>
    </row>
    <row r="5" spans="1:40" s="25" customFormat="1" x14ac:dyDescent="0.2">
      <c r="A5" s="387" t="s">
        <v>60</v>
      </c>
      <c r="B5" s="28" t="s">
        <v>60</v>
      </c>
      <c r="C5" s="28" t="s">
        <v>60</v>
      </c>
      <c r="D5" s="28" t="s">
        <v>60</v>
      </c>
      <c r="E5" s="61" t="s">
        <v>68</v>
      </c>
      <c r="F5" s="33" t="s">
        <v>68</v>
      </c>
      <c r="G5" s="93" t="s">
        <v>68</v>
      </c>
      <c r="H5" s="47" t="s">
        <v>71</v>
      </c>
      <c r="I5" s="33" t="s">
        <v>71</v>
      </c>
      <c r="J5" s="115" t="s">
        <v>71</v>
      </c>
      <c r="K5" s="33" t="s">
        <v>71</v>
      </c>
      <c r="L5" s="115" t="s">
        <v>71</v>
      </c>
      <c r="M5" s="40" t="s">
        <v>71</v>
      </c>
      <c r="N5" s="108" t="s">
        <v>71</v>
      </c>
      <c r="O5" s="37" t="s">
        <v>71</v>
      </c>
      <c r="P5" s="37" t="s">
        <v>60</v>
      </c>
      <c r="Q5" s="33" t="s">
        <v>71</v>
      </c>
      <c r="R5" s="115" t="s">
        <v>71</v>
      </c>
      <c r="S5" s="426" t="s">
        <v>60</v>
      </c>
      <c r="T5" s="426" t="s">
        <v>60</v>
      </c>
      <c r="U5" s="36" t="s">
        <v>60</v>
      </c>
      <c r="V5" s="36" t="s">
        <v>60</v>
      </c>
      <c r="W5" s="433" t="s">
        <v>60</v>
      </c>
      <c r="X5" s="33" t="s">
        <v>71</v>
      </c>
      <c r="Y5" s="481" t="s">
        <v>60</v>
      </c>
      <c r="Z5" s="138" t="s">
        <v>60</v>
      </c>
      <c r="AA5" s="426" t="s">
        <v>60</v>
      </c>
      <c r="AB5" s="33" t="s">
        <v>71</v>
      </c>
      <c r="AC5" s="481" t="s">
        <v>60</v>
      </c>
      <c r="AD5" s="33" t="s">
        <v>71</v>
      </c>
      <c r="AE5" s="47" t="s">
        <v>71</v>
      </c>
      <c r="AF5" s="36" t="s">
        <v>71</v>
      </c>
      <c r="AG5" s="426" t="s">
        <v>60</v>
      </c>
      <c r="AH5" s="426" t="s">
        <v>60</v>
      </c>
      <c r="AI5" s="33" t="s">
        <v>71</v>
      </c>
      <c r="AJ5" s="33" t="s">
        <v>71</v>
      </c>
      <c r="AK5" s="481" t="s">
        <v>60</v>
      </c>
      <c r="AL5" s="33" t="s">
        <v>71</v>
      </c>
      <c r="AM5" s="47" t="s">
        <v>71</v>
      </c>
      <c r="AN5" s="33" t="s">
        <v>71</v>
      </c>
    </row>
    <row r="6" spans="1:40" s="25" customFormat="1" x14ac:dyDescent="0.2">
      <c r="A6" s="387" t="s">
        <v>138</v>
      </c>
      <c r="B6" s="28" t="s">
        <v>138</v>
      </c>
      <c r="C6" s="28" t="s">
        <v>138</v>
      </c>
      <c r="D6" s="28" t="s">
        <v>138</v>
      </c>
      <c r="E6" s="61" t="s">
        <v>54</v>
      </c>
      <c r="F6" s="33" t="s">
        <v>54</v>
      </c>
      <c r="G6" s="93" t="s">
        <v>54</v>
      </c>
      <c r="H6" s="47" t="s">
        <v>72</v>
      </c>
      <c r="I6" s="33" t="s">
        <v>54</v>
      </c>
      <c r="J6" s="115" t="s">
        <v>72</v>
      </c>
      <c r="K6" s="33" t="s">
        <v>54</v>
      </c>
      <c r="L6" s="115" t="s">
        <v>72</v>
      </c>
      <c r="M6" s="40" t="s">
        <v>54</v>
      </c>
      <c r="N6" s="108" t="s">
        <v>72</v>
      </c>
      <c r="O6" s="37" t="s">
        <v>72</v>
      </c>
      <c r="P6" s="37" t="s">
        <v>74</v>
      </c>
      <c r="Q6" s="33" t="s">
        <v>54</v>
      </c>
      <c r="R6" s="115" t="s">
        <v>72</v>
      </c>
      <c r="S6" s="426" t="s">
        <v>74</v>
      </c>
      <c r="T6" s="426" t="s">
        <v>74</v>
      </c>
      <c r="U6" s="36" t="s">
        <v>55</v>
      </c>
      <c r="V6" s="36" t="s">
        <v>55</v>
      </c>
      <c r="W6" s="433" t="s">
        <v>74</v>
      </c>
      <c r="X6" s="33" t="s">
        <v>54</v>
      </c>
      <c r="Y6" s="481" t="s">
        <v>74</v>
      </c>
      <c r="Z6" s="138" t="s">
        <v>55</v>
      </c>
      <c r="AA6" s="426" t="s">
        <v>74</v>
      </c>
      <c r="AB6" s="33" t="s">
        <v>54</v>
      </c>
      <c r="AC6" s="481" t="s">
        <v>74</v>
      </c>
      <c r="AD6" s="33" t="s">
        <v>54</v>
      </c>
      <c r="AE6" s="47" t="s">
        <v>72</v>
      </c>
      <c r="AF6" s="36" t="s">
        <v>72</v>
      </c>
      <c r="AG6" s="426" t="s">
        <v>74</v>
      </c>
      <c r="AH6" s="426" t="s">
        <v>73</v>
      </c>
      <c r="AI6" s="33" t="s">
        <v>54</v>
      </c>
      <c r="AJ6" s="33" t="s">
        <v>54</v>
      </c>
      <c r="AK6" s="481" t="s">
        <v>74</v>
      </c>
      <c r="AL6" s="33" t="s">
        <v>54</v>
      </c>
      <c r="AM6" s="47" t="s">
        <v>72</v>
      </c>
      <c r="AN6" s="33" t="s">
        <v>54</v>
      </c>
    </row>
    <row r="7" spans="1:40" s="25" customFormat="1" x14ac:dyDescent="0.2">
      <c r="A7" s="387" t="s">
        <v>70</v>
      </c>
      <c r="B7" s="28" t="s">
        <v>70</v>
      </c>
      <c r="C7" s="28" t="s">
        <v>70</v>
      </c>
      <c r="D7" s="28" t="s">
        <v>70</v>
      </c>
      <c r="E7" s="61" t="s">
        <v>56</v>
      </c>
      <c r="F7" s="33" t="s">
        <v>56</v>
      </c>
      <c r="G7" s="93" t="s">
        <v>57</v>
      </c>
      <c r="H7" s="47" t="s">
        <v>56</v>
      </c>
      <c r="I7" s="33" t="s">
        <v>56</v>
      </c>
      <c r="J7" s="115" t="s">
        <v>56</v>
      </c>
      <c r="K7" s="33" t="s">
        <v>56</v>
      </c>
      <c r="L7" s="115" t="s">
        <v>56</v>
      </c>
      <c r="M7" s="40" t="s">
        <v>56</v>
      </c>
      <c r="N7" s="108" t="s">
        <v>56</v>
      </c>
      <c r="O7" s="37" t="s">
        <v>56</v>
      </c>
      <c r="P7" s="37" t="s">
        <v>56</v>
      </c>
      <c r="Q7" s="33" t="s">
        <v>56</v>
      </c>
      <c r="R7" s="115" t="s">
        <v>56</v>
      </c>
      <c r="S7" s="426" t="s">
        <v>57</v>
      </c>
      <c r="T7" s="426" t="s">
        <v>57</v>
      </c>
      <c r="U7" s="36" t="s">
        <v>56</v>
      </c>
      <c r="V7" s="36" t="s">
        <v>56</v>
      </c>
      <c r="W7" s="433" t="s">
        <v>57</v>
      </c>
      <c r="X7" s="33" t="s">
        <v>56</v>
      </c>
      <c r="Y7" s="481" t="s">
        <v>57</v>
      </c>
      <c r="Z7" s="138" t="s">
        <v>56</v>
      </c>
      <c r="AA7" s="426" t="s">
        <v>57</v>
      </c>
      <c r="AB7" s="33" t="s">
        <v>56</v>
      </c>
      <c r="AC7" s="481" t="s">
        <v>57</v>
      </c>
      <c r="AD7" s="33" t="s">
        <v>56</v>
      </c>
      <c r="AE7" s="47" t="s">
        <v>56</v>
      </c>
      <c r="AF7" s="36" t="s">
        <v>56</v>
      </c>
      <c r="AG7" s="426" t="s">
        <v>57</v>
      </c>
      <c r="AH7" s="426" t="s">
        <v>57</v>
      </c>
      <c r="AI7" s="33" t="s">
        <v>56</v>
      </c>
      <c r="AJ7" s="33" t="s">
        <v>56</v>
      </c>
      <c r="AK7" s="481" t="s">
        <v>57</v>
      </c>
      <c r="AL7" s="33" t="s">
        <v>56</v>
      </c>
      <c r="AM7" s="47" t="s">
        <v>56</v>
      </c>
      <c r="AN7" s="33" t="s">
        <v>56</v>
      </c>
    </row>
    <row r="8" spans="1:40" s="25" customFormat="1" x14ac:dyDescent="0.2">
      <c r="A8" s="387"/>
      <c r="B8" s="28"/>
      <c r="C8" s="28"/>
      <c r="D8" s="28"/>
      <c r="E8" s="357" t="s">
        <v>118</v>
      </c>
      <c r="F8" s="338" t="s">
        <v>176</v>
      </c>
      <c r="G8" s="358" t="s">
        <v>177</v>
      </c>
      <c r="H8" s="346" t="s">
        <v>573</v>
      </c>
      <c r="I8" s="338" t="s">
        <v>573</v>
      </c>
      <c r="J8" s="347" t="s">
        <v>128</v>
      </c>
      <c r="K8" s="338" t="s">
        <v>128</v>
      </c>
      <c r="L8" s="347" t="s">
        <v>119</v>
      </c>
      <c r="M8" s="348" t="s">
        <v>119</v>
      </c>
      <c r="N8" s="360" t="s">
        <v>518</v>
      </c>
      <c r="O8" s="349" t="s">
        <v>154</v>
      </c>
      <c r="P8" s="105"/>
      <c r="Q8" s="338" t="s">
        <v>154</v>
      </c>
      <c r="R8" s="347" t="s">
        <v>126</v>
      </c>
      <c r="S8" s="427"/>
      <c r="T8" s="427"/>
      <c r="U8" s="36"/>
      <c r="V8" s="36"/>
      <c r="W8" s="486"/>
      <c r="X8" s="338" t="s">
        <v>126</v>
      </c>
      <c r="Y8" s="482"/>
      <c r="Z8" s="139"/>
      <c r="AA8" s="427"/>
      <c r="AB8" s="338" t="s">
        <v>151</v>
      </c>
      <c r="AC8" s="482"/>
      <c r="AD8" s="338" t="s">
        <v>150</v>
      </c>
      <c r="AE8" s="346" t="s">
        <v>124</v>
      </c>
      <c r="AF8" s="344" t="s">
        <v>124</v>
      </c>
      <c r="AG8" s="427"/>
      <c r="AH8" s="427"/>
      <c r="AI8" s="338" t="s">
        <v>124</v>
      </c>
      <c r="AJ8" s="338" t="s">
        <v>124</v>
      </c>
      <c r="AK8" s="482"/>
      <c r="AL8" s="338" t="s">
        <v>147</v>
      </c>
      <c r="AM8" s="350" t="s">
        <v>165</v>
      </c>
      <c r="AN8" s="338" t="s">
        <v>165</v>
      </c>
    </row>
    <row r="9" spans="1:40" s="25" customFormat="1" x14ac:dyDescent="0.2">
      <c r="A9" s="387"/>
      <c r="B9" s="28"/>
      <c r="C9" s="28"/>
      <c r="D9" s="28"/>
      <c r="E9" s="357"/>
      <c r="F9" s="338"/>
      <c r="G9" s="358"/>
      <c r="H9" s="346" t="s">
        <v>574</v>
      </c>
      <c r="I9" s="338" t="s">
        <v>574</v>
      </c>
      <c r="J9" s="347" t="s">
        <v>129</v>
      </c>
      <c r="K9" s="338" t="s">
        <v>129</v>
      </c>
      <c r="L9" s="347" t="s">
        <v>120</v>
      </c>
      <c r="M9" s="348" t="s">
        <v>120</v>
      </c>
      <c r="N9" s="360" t="s">
        <v>519</v>
      </c>
      <c r="O9" s="349" t="s">
        <v>155</v>
      </c>
      <c r="P9" s="105"/>
      <c r="Q9" s="338" t="s">
        <v>155</v>
      </c>
      <c r="R9" s="347" t="s">
        <v>127</v>
      </c>
      <c r="S9" s="427"/>
      <c r="T9" s="427"/>
      <c r="U9" s="36"/>
      <c r="V9" s="36"/>
      <c r="W9" s="486"/>
      <c r="X9" s="338" t="s">
        <v>127</v>
      </c>
      <c r="Y9" s="482"/>
      <c r="Z9" s="139"/>
      <c r="AA9" s="427"/>
      <c r="AB9" s="338" t="s">
        <v>152</v>
      </c>
      <c r="AC9" s="482"/>
      <c r="AD9" s="338" t="s">
        <v>149</v>
      </c>
      <c r="AE9" s="346" t="s">
        <v>125</v>
      </c>
      <c r="AF9" s="344" t="s">
        <v>125</v>
      </c>
      <c r="AG9" s="427"/>
      <c r="AH9" s="427"/>
      <c r="AI9" s="338" t="s">
        <v>125</v>
      </c>
      <c r="AJ9" s="338" t="s">
        <v>125</v>
      </c>
      <c r="AK9" s="482"/>
      <c r="AL9" s="338" t="s">
        <v>179</v>
      </c>
      <c r="AM9" s="350" t="s">
        <v>164</v>
      </c>
      <c r="AN9" s="338" t="s">
        <v>164</v>
      </c>
    </row>
    <row r="10" spans="1:40" s="25" customFormat="1" x14ac:dyDescent="0.2">
      <c r="A10" s="387"/>
      <c r="B10" s="28"/>
      <c r="C10" s="28"/>
      <c r="D10" s="28"/>
      <c r="E10" s="357"/>
      <c r="F10" s="338" t="s">
        <v>66</v>
      </c>
      <c r="G10" s="358" t="s">
        <v>66</v>
      </c>
      <c r="H10" s="346"/>
      <c r="I10" s="338"/>
      <c r="J10" s="347"/>
      <c r="K10" s="338"/>
      <c r="L10" s="347"/>
      <c r="M10" s="348"/>
      <c r="N10" s="360" t="s">
        <v>66</v>
      </c>
      <c r="O10" s="349" t="s">
        <v>66</v>
      </c>
      <c r="P10" s="105"/>
      <c r="Q10" s="338" t="s">
        <v>66</v>
      </c>
      <c r="R10" s="347" t="s">
        <v>66</v>
      </c>
      <c r="S10" s="427"/>
      <c r="T10" s="427"/>
      <c r="U10" s="36"/>
      <c r="V10" s="36"/>
      <c r="W10" s="486"/>
      <c r="X10" s="338" t="s">
        <v>66</v>
      </c>
      <c r="Y10" s="482"/>
      <c r="Z10" s="139"/>
      <c r="AA10" s="427"/>
      <c r="AB10" s="338" t="s">
        <v>66</v>
      </c>
      <c r="AC10" s="482"/>
      <c r="AD10" s="338" t="s">
        <v>66</v>
      </c>
      <c r="AE10" s="346" t="s">
        <v>66</v>
      </c>
      <c r="AF10" s="344" t="s">
        <v>83</v>
      </c>
      <c r="AG10" s="427"/>
      <c r="AH10" s="427"/>
      <c r="AI10" s="338" t="s">
        <v>66</v>
      </c>
      <c r="AJ10" s="338" t="s">
        <v>83</v>
      </c>
      <c r="AK10" s="482"/>
      <c r="AL10" s="338" t="s">
        <v>66</v>
      </c>
      <c r="AM10" s="350"/>
      <c r="AN10" s="338"/>
    </row>
    <row r="11" spans="1:40" s="25" customFormat="1" x14ac:dyDescent="0.2">
      <c r="A11" s="387"/>
      <c r="B11" s="28"/>
      <c r="C11" s="28"/>
      <c r="D11" s="28"/>
      <c r="E11" s="61"/>
      <c r="F11" s="33"/>
      <c r="G11" s="166"/>
      <c r="H11" s="47"/>
      <c r="I11" s="33"/>
      <c r="J11" s="115"/>
      <c r="K11" s="33"/>
      <c r="L11" s="115"/>
      <c r="M11" s="101"/>
      <c r="N11" s="109"/>
      <c r="O11" s="105"/>
      <c r="P11" s="105"/>
      <c r="Q11" s="33"/>
      <c r="R11" s="115"/>
      <c r="S11" s="426"/>
      <c r="T11" s="426"/>
      <c r="U11" s="36"/>
      <c r="V11" s="36"/>
      <c r="W11" s="433"/>
      <c r="X11" s="33"/>
      <c r="Y11" s="481"/>
      <c r="Z11" s="138"/>
      <c r="AA11" s="426"/>
      <c r="AB11" s="33"/>
      <c r="AC11" s="481"/>
      <c r="AD11" s="33"/>
      <c r="AE11" s="47"/>
      <c r="AF11" s="36"/>
      <c r="AG11" s="426"/>
      <c r="AH11" s="426"/>
      <c r="AI11" s="33"/>
      <c r="AJ11" s="33"/>
      <c r="AK11" s="481"/>
      <c r="AL11" s="33"/>
      <c r="AM11" s="47"/>
      <c r="AN11" s="33"/>
    </row>
    <row r="12" spans="1:40" s="25" customFormat="1" x14ac:dyDescent="0.2">
      <c r="A12" s="387"/>
      <c r="B12" s="28"/>
      <c r="C12" s="28"/>
      <c r="D12" s="28"/>
      <c r="E12" s="61"/>
      <c r="F12" s="33"/>
      <c r="G12" s="93"/>
      <c r="H12" s="47"/>
      <c r="I12" s="33"/>
      <c r="J12" s="115"/>
      <c r="K12" s="33"/>
      <c r="L12" s="115"/>
      <c r="M12" s="40"/>
      <c r="N12" s="108"/>
      <c r="O12" s="37"/>
      <c r="P12" s="37"/>
      <c r="Q12" s="33"/>
      <c r="R12" s="115"/>
      <c r="S12" s="426"/>
      <c r="T12" s="426"/>
      <c r="U12" s="36"/>
      <c r="V12" s="36"/>
      <c r="W12" s="433"/>
      <c r="X12" s="33"/>
      <c r="Y12" s="481"/>
      <c r="Z12" s="138"/>
      <c r="AA12" s="426"/>
      <c r="AB12" s="33"/>
      <c r="AC12" s="481"/>
      <c r="AD12" s="33"/>
      <c r="AE12" s="47"/>
      <c r="AF12" s="36"/>
      <c r="AG12" s="426"/>
      <c r="AH12" s="426"/>
      <c r="AI12" s="33"/>
      <c r="AJ12" s="33"/>
      <c r="AK12" s="481"/>
      <c r="AL12" s="33"/>
      <c r="AM12" s="47"/>
      <c r="AN12" s="33"/>
    </row>
    <row r="13" spans="1:40" s="25" customFormat="1" x14ac:dyDescent="0.2">
      <c r="A13" s="387"/>
      <c r="B13" s="28"/>
      <c r="C13" s="28"/>
      <c r="D13" s="28"/>
      <c r="E13" s="61" t="s">
        <v>468</v>
      </c>
      <c r="F13" s="33" t="s">
        <v>468</v>
      </c>
      <c r="G13" s="93" t="s">
        <v>468</v>
      </c>
      <c r="H13" s="47" t="s">
        <v>468</v>
      </c>
      <c r="I13" s="33" t="s">
        <v>468</v>
      </c>
      <c r="J13" s="115" t="s">
        <v>468</v>
      </c>
      <c r="K13" s="33" t="s">
        <v>468</v>
      </c>
      <c r="L13" s="115" t="s">
        <v>468</v>
      </c>
      <c r="M13" s="33" t="s">
        <v>468</v>
      </c>
      <c r="N13" s="108" t="s">
        <v>468</v>
      </c>
      <c r="O13" s="37" t="s">
        <v>468</v>
      </c>
      <c r="P13" s="37" t="s">
        <v>468</v>
      </c>
      <c r="Q13" s="33" t="s">
        <v>468</v>
      </c>
      <c r="R13" s="115" t="s">
        <v>468</v>
      </c>
      <c r="S13" s="426" t="s">
        <v>468</v>
      </c>
      <c r="T13" s="426" t="s">
        <v>468</v>
      </c>
      <c r="U13" s="36" t="s">
        <v>468</v>
      </c>
      <c r="V13" s="36" t="s">
        <v>468</v>
      </c>
      <c r="W13" s="433" t="s">
        <v>468</v>
      </c>
      <c r="X13" s="33" t="s">
        <v>468</v>
      </c>
      <c r="Y13" s="481" t="s">
        <v>468</v>
      </c>
      <c r="Z13" s="138" t="s">
        <v>468</v>
      </c>
      <c r="AA13" s="426" t="s">
        <v>468</v>
      </c>
      <c r="AB13" s="33" t="s">
        <v>468</v>
      </c>
      <c r="AC13" s="481" t="s">
        <v>468</v>
      </c>
      <c r="AD13" s="33" t="s">
        <v>468</v>
      </c>
      <c r="AE13" s="47" t="s">
        <v>468</v>
      </c>
      <c r="AF13" s="36" t="s">
        <v>468</v>
      </c>
      <c r="AG13" s="426" t="s">
        <v>468</v>
      </c>
      <c r="AH13" s="426" t="s">
        <v>468</v>
      </c>
      <c r="AI13" s="33" t="s">
        <v>468</v>
      </c>
      <c r="AJ13" s="33" t="s">
        <v>468</v>
      </c>
      <c r="AK13" s="481" t="s">
        <v>468</v>
      </c>
      <c r="AL13" s="33" t="s">
        <v>468</v>
      </c>
      <c r="AM13" s="47" t="s">
        <v>468</v>
      </c>
      <c r="AN13" s="33" t="s">
        <v>468</v>
      </c>
    </row>
    <row r="14" spans="1:40" s="25" customFormat="1" x14ac:dyDescent="0.2">
      <c r="A14" s="383" t="s">
        <v>44</v>
      </c>
      <c r="B14" s="263" t="s">
        <v>3</v>
      </c>
      <c r="C14" s="263" t="s">
        <v>45</v>
      </c>
      <c r="D14" s="263" t="s">
        <v>48</v>
      </c>
      <c r="E14" s="295" t="s">
        <v>528</v>
      </c>
      <c r="F14" s="273" t="s">
        <v>529</v>
      </c>
      <c r="G14" s="296" t="s">
        <v>530</v>
      </c>
      <c r="H14" s="274" t="s">
        <v>982</v>
      </c>
      <c r="I14" s="273" t="s">
        <v>538</v>
      </c>
      <c r="J14" s="274" t="s">
        <v>274</v>
      </c>
      <c r="K14" s="273" t="s">
        <v>275</v>
      </c>
      <c r="L14" s="274" t="s">
        <v>260</v>
      </c>
      <c r="M14" s="273" t="s">
        <v>261</v>
      </c>
      <c r="N14" s="274" t="s">
        <v>391</v>
      </c>
      <c r="O14" s="250" t="s">
        <v>392</v>
      </c>
      <c r="P14" s="250" t="s">
        <v>984</v>
      </c>
      <c r="Q14" s="273" t="s">
        <v>270</v>
      </c>
      <c r="R14" s="274" t="s">
        <v>268</v>
      </c>
      <c r="S14" s="423" t="s">
        <v>395</v>
      </c>
      <c r="T14" s="423" t="s">
        <v>394</v>
      </c>
      <c r="U14" s="250" t="s">
        <v>393</v>
      </c>
      <c r="V14" s="250" t="s">
        <v>985</v>
      </c>
      <c r="W14" s="434" t="s">
        <v>986</v>
      </c>
      <c r="X14" s="273" t="s">
        <v>269</v>
      </c>
      <c r="Y14" s="442" t="s">
        <v>721</v>
      </c>
      <c r="Z14" s="247" t="s">
        <v>722</v>
      </c>
      <c r="AA14" s="423" t="s">
        <v>987</v>
      </c>
      <c r="AB14" s="273" t="s">
        <v>271</v>
      </c>
      <c r="AC14" s="442" t="s">
        <v>272</v>
      </c>
      <c r="AD14" s="273" t="s">
        <v>273</v>
      </c>
      <c r="AE14" s="274" t="s">
        <v>499</v>
      </c>
      <c r="AF14" s="250" t="s">
        <v>500</v>
      </c>
      <c r="AG14" s="423" t="s">
        <v>396</v>
      </c>
      <c r="AH14" s="423" t="s">
        <v>397</v>
      </c>
      <c r="AI14" s="273" t="s">
        <v>264</v>
      </c>
      <c r="AJ14" s="273" t="s">
        <v>265</v>
      </c>
      <c r="AK14" s="442" t="s">
        <v>988</v>
      </c>
      <c r="AL14" s="273" t="s">
        <v>266</v>
      </c>
      <c r="AM14" s="274" t="s">
        <v>390</v>
      </c>
      <c r="AN14" s="273" t="s">
        <v>267</v>
      </c>
    </row>
    <row r="15" spans="1:40" x14ac:dyDescent="0.2">
      <c r="A15" s="378" t="e">
        <f>INDEX(Prioritization!$D:$D,MATCH($B15,Prioritization!$A:$A,0))</f>
        <v>#N/A</v>
      </c>
      <c r="B15" s="20"/>
      <c r="C15" s="20"/>
      <c r="D15" s="20" t="str">
        <f>B15&amp;"|"&amp;C15</f>
        <v>|</v>
      </c>
      <c r="G15" s="93"/>
      <c r="L15" s="61"/>
      <c r="M15" s="40"/>
      <c r="N15" s="53"/>
      <c r="O15" s="38"/>
      <c r="P15" s="38">
        <f>MAX($N15,$O15)</f>
        <v>0</v>
      </c>
      <c r="R15" s="53"/>
      <c r="S15" s="422">
        <v>0.98</v>
      </c>
      <c r="T15" s="422">
        <v>0.98</v>
      </c>
      <c r="U15" s="37" t="str">
        <f>IF(SUM($P15,$Q15)=0,"",SUM($Q15)-SUM($P15))</f>
        <v/>
      </c>
      <c r="V15" s="37">
        <f>ROUND((SUM($Q15)-(SUM($P15)*SUM($S15)))/$T15,0)</f>
        <v>0</v>
      </c>
      <c r="W15" s="432">
        <v>1</v>
      </c>
      <c r="X15" s="33">
        <f>ROUND(SUM($V15)*SUM($W15),0)</f>
        <v>0</v>
      </c>
      <c r="Y15" s="443">
        <v>0.7</v>
      </c>
      <c r="Z15" s="149">
        <f>ROUND($P15+(SUM($V15)*$Y15),0)</f>
        <v>0</v>
      </c>
      <c r="AA15" s="436">
        <v>0.95</v>
      </c>
      <c r="AB15" s="33" t="str">
        <f>IF(SUM($Z15)=0,"",ROUND($Z15*$AA15,0))</f>
        <v/>
      </c>
      <c r="AC15" s="443">
        <v>0.95</v>
      </c>
      <c r="AD15" s="33" t="str">
        <f>IF(SUM($AB15)=0,"",ROUND($AB15*$AC15,0))</f>
        <v/>
      </c>
      <c r="AG15" s="422">
        <v>0.95</v>
      </c>
      <c r="AH15" s="422"/>
      <c r="AI15" s="33" t="str">
        <f>IF(SUM($X15)=0,"",IF(AND(SUM($X15)&gt;0,$AG15=""),"ENTER LINKAGE RATE",ROUND($X15/$AG15,0)))</f>
        <v/>
      </c>
      <c r="AJ15" s="33" t="str">
        <f>IF(SUM($AI15)=0,"",IF(AND($AI15&gt;0,$AH15=""),"ENTER YIELD RATE",ROUND($AI15/$AH15-$AI15,0)))</f>
        <v/>
      </c>
      <c r="AK15" s="441">
        <v>1</v>
      </c>
      <c r="AL15" s="33" t="str">
        <f>IF(SUM($AI15)=0,"",ROUND($AI15*$AK15,0))</f>
        <v/>
      </c>
    </row>
  </sheetData>
  <conditionalFormatting sqref="AA1:AA1048576 AC1:AC1048576 AG1:AG1048576">
    <cfRule type="expression" dxfId="300" priority="3836">
      <formula>AND(ISNUMBER(AA1),SUM(AA1)&lt;95%)</formula>
    </cfRule>
  </conditionalFormatting>
  <conditionalFormatting sqref="E1:G1048576">
    <cfRule type="expression" dxfId="299" priority="2">
      <formula>LEFT($B1,4)="_Mil"</formula>
    </cfRule>
  </conditionalFormatting>
  <conditionalFormatting sqref="Y1:Y1048576">
    <cfRule type="expression" dxfId="298" priority="34">
      <formula>AND(ISNUMBER($Y1),ROUND(SUM($V1),0)&gt;0,ROUND(SUM($Y1),2)&lt;70%)</formula>
    </cfRule>
  </conditionalFormatting>
  <conditionalFormatting sqref="T1:T1048576">
    <cfRule type="expression" dxfId="297" priority="19">
      <formula>AND(ISNUMBER($T1),SUM($T1)&lt;98%)</formula>
    </cfRule>
  </conditionalFormatting>
  <conditionalFormatting sqref="E1:AN1048576">
    <cfRule type="expression" dxfId="296" priority="3">
      <formula>AND(ISNUMBER(E1),E1&lt;0)</formula>
    </cfRule>
  </conditionalFormatting>
  <conditionalFormatting sqref="G1:G1048576 S1:T1048576 W1:W1048576 Y1:Y1048576 AA1:AA1048576 AC1:AC1048576 AG1:AH1048576 AK1:AK1048576">
    <cfRule type="expression" dxfId="295" priority="4">
      <formula>AND(ISNUMBER(G1),G1&gt;1)</formula>
    </cfRule>
  </conditionalFormatting>
  <conditionalFormatting sqref="W1:W1048576 AK1:AK1048576">
    <cfRule type="expression" dxfId="294" priority="32">
      <formula>AND(ISNUMBER(W1),SUM(W1)&lt;100%)</formula>
    </cfRule>
  </conditionalFormatting>
  <conditionalFormatting sqref="S1:S1048576">
    <cfRule type="expression" dxfId="293" priority="13">
      <formula>AND(ISNUMBER($S1),SUM($S1)&lt;98%)</formula>
    </cfRule>
  </conditionalFormatting>
  <conditionalFormatting sqref="AG1:AG1048576">
    <cfRule type="expression" dxfId="292" priority="10">
      <formula>AND(ROW($AG1)&gt;14,$AI1="ENTER LINKAGE RATE")</formula>
    </cfRule>
  </conditionalFormatting>
  <conditionalFormatting sqref="AH1:AH1048576">
    <cfRule type="expression" dxfId="291" priority="1">
      <formula>AND(ROW($AH1)&gt;14,$AJ1="ENTER YIELD RATE")</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I15" sqref="I15"/>
    </sheetView>
    <sheetView workbookViewId="1">
      <selection activeCell="J1" sqref="J1:J1048576"/>
    </sheetView>
  </sheetViews>
  <sheetFormatPr baseColWidth="10" defaultRowHeight="16" x14ac:dyDescent="0.2"/>
  <cols>
    <col min="1" max="1" width="16.1640625" style="377"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79" t="s">
        <v>10</v>
      </c>
      <c r="B1" s="4"/>
      <c r="C1" s="1"/>
      <c r="D1" s="1"/>
      <c r="E1" s="1"/>
      <c r="F1" s="271" t="s">
        <v>21</v>
      </c>
      <c r="G1" s="236"/>
      <c r="H1" s="236"/>
      <c r="I1" s="236"/>
      <c r="J1" s="236"/>
      <c r="K1" s="236"/>
      <c r="L1" s="236"/>
      <c r="M1" s="271" t="s">
        <v>536</v>
      </c>
      <c r="N1" s="236"/>
      <c r="O1" s="236"/>
      <c r="P1" s="271" t="s">
        <v>937</v>
      </c>
      <c r="Q1" s="236"/>
    </row>
    <row r="2" spans="1:17" s="21" customFormat="1" ht="19" x14ac:dyDescent="0.25">
      <c r="A2" s="385"/>
      <c r="B2" s="2"/>
      <c r="C2" s="2"/>
      <c r="D2" s="2"/>
      <c r="E2" s="2"/>
      <c r="F2" s="50"/>
      <c r="G2" s="34"/>
      <c r="H2" s="34"/>
      <c r="I2" s="34"/>
      <c r="J2" s="34"/>
      <c r="K2" s="34"/>
      <c r="L2" s="329" t="s">
        <v>850</v>
      </c>
      <c r="M2" s="50"/>
      <c r="N2" s="34"/>
      <c r="O2" s="329" t="s">
        <v>850</v>
      </c>
      <c r="P2" s="50"/>
      <c r="Q2" s="329" t="s">
        <v>850</v>
      </c>
    </row>
    <row r="3" spans="1:17" ht="117" customHeight="1" x14ac:dyDescent="0.2">
      <c r="A3" s="382"/>
      <c r="B3" s="17"/>
      <c r="C3" s="17"/>
      <c r="D3" s="17"/>
      <c r="E3" s="17"/>
      <c r="F3" s="129" t="s">
        <v>872</v>
      </c>
      <c r="G3" s="130" t="s">
        <v>770</v>
      </c>
      <c r="H3" s="130" t="s">
        <v>771</v>
      </c>
      <c r="I3" s="130" t="s">
        <v>772</v>
      </c>
      <c r="J3" s="69" t="s">
        <v>834</v>
      </c>
      <c r="K3" s="69" t="s">
        <v>774</v>
      </c>
      <c r="L3" s="322" t="s">
        <v>773</v>
      </c>
      <c r="M3" s="73" t="s">
        <v>835</v>
      </c>
      <c r="N3" s="69" t="s">
        <v>833</v>
      </c>
      <c r="O3" s="322" t="s">
        <v>739</v>
      </c>
      <c r="P3" s="304" t="s">
        <v>938</v>
      </c>
      <c r="Q3" s="30" t="s">
        <v>939</v>
      </c>
    </row>
    <row r="4" spans="1:17" x14ac:dyDescent="0.2">
      <c r="A4" s="380"/>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s="377" t="s">
        <v>60</v>
      </c>
      <c r="B5" s="5" t="s">
        <v>60</v>
      </c>
      <c r="C5" s="5" t="s">
        <v>60</v>
      </c>
      <c r="D5" s="5" t="s">
        <v>60</v>
      </c>
      <c r="E5" s="5" t="s">
        <v>60</v>
      </c>
      <c r="F5" s="47" t="s">
        <v>60</v>
      </c>
      <c r="G5" s="36" t="s">
        <v>60</v>
      </c>
      <c r="H5" s="36" t="s">
        <v>60</v>
      </c>
      <c r="I5" s="36" t="s">
        <v>60</v>
      </c>
      <c r="J5" s="36" t="s">
        <v>71</v>
      </c>
      <c r="K5" s="36" t="s">
        <v>71</v>
      </c>
      <c r="L5" s="33" t="s">
        <v>71</v>
      </c>
      <c r="M5" s="47" t="s">
        <v>71</v>
      </c>
      <c r="N5" s="36" t="s">
        <v>71</v>
      </c>
      <c r="O5" s="33" t="s">
        <v>71</v>
      </c>
      <c r="P5" s="47" t="s">
        <v>60</v>
      </c>
      <c r="Q5" s="33" t="s">
        <v>71</v>
      </c>
    </row>
    <row r="6" spans="1:17" x14ac:dyDescent="0.2">
      <c r="A6" s="377" t="s">
        <v>138</v>
      </c>
      <c r="B6" s="5" t="s">
        <v>138</v>
      </c>
      <c r="C6" s="5" t="s">
        <v>138</v>
      </c>
      <c r="D6" s="5" t="s">
        <v>138</v>
      </c>
      <c r="E6" s="5" t="s">
        <v>138</v>
      </c>
      <c r="F6" s="47" t="s">
        <v>55</v>
      </c>
      <c r="G6" s="36" t="s">
        <v>55</v>
      </c>
      <c r="H6" s="36" t="s">
        <v>55</v>
      </c>
      <c r="I6" s="36" t="s">
        <v>55</v>
      </c>
      <c r="J6" s="36" t="s">
        <v>72</v>
      </c>
      <c r="K6" s="36" t="s">
        <v>72</v>
      </c>
      <c r="L6" s="33" t="s">
        <v>54</v>
      </c>
      <c r="M6" s="47" t="s">
        <v>72</v>
      </c>
      <c r="N6" s="36" t="s">
        <v>72</v>
      </c>
      <c r="O6" s="33" t="s">
        <v>54</v>
      </c>
      <c r="P6" s="47" t="s">
        <v>74</v>
      </c>
      <c r="Q6" s="33" t="s">
        <v>54</v>
      </c>
    </row>
    <row r="7" spans="1:17" x14ac:dyDescent="0.2">
      <c r="A7" s="377" t="s">
        <v>70</v>
      </c>
      <c r="B7" s="5" t="s">
        <v>70</v>
      </c>
      <c r="C7" s="5" t="s">
        <v>70</v>
      </c>
      <c r="D7" s="5" t="s">
        <v>70</v>
      </c>
      <c r="E7" s="5" t="s">
        <v>70</v>
      </c>
      <c r="F7" s="47" t="s">
        <v>56</v>
      </c>
      <c r="G7" s="36" t="s">
        <v>56</v>
      </c>
      <c r="H7" s="36" t="s">
        <v>56</v>
      </c>
      <c r="I7" s="36" t="s">
        <v>56</v>
      </c>
      <c r="J7" s="36" t="s">
        <v>56</v>
      </c>
      <c r="K7" s="36" t="s">
        <v>56</v>
      </c>
      <c r="L7" s="33" t="s">
        <v>56</v>
      </c>
      <c r="M7" s="47" t="s">
        <v>56</v>
      </c>
      <c r="N7" s="36" t="s">
        <v>56</v>
      </c>
      <c r="O7" s="33" t="s">
        <v>56</v>
      </c>
      <c r="P7" s="47" t="s">
        <v>56</v>
      </c>
      <c r="Q7" s="33" t="s">
        <v>56</v>
      </c>
    </row>
    <row r="8" spans="1:17" x14ac:dyDescent="0.2">
      <c r="J8" s="353" t="s">
        <v>378</v>
      </c>
      <c r="K8" s="344" t="s">
        <v>132</v>
      </c>
      <c r="L8" s="338" t="s">
        <v>132</v>
      </c>
      <c r="M8" s="351" t="s">
        <v>1013</v>
      </c>
      <c r="N8" s="344" t="s">
        <v>571</v>
      </c>
      <c r="O8" s="338" t="s">
        <v>571</v>
      </c>
      <c r="P8" s="332"/>
      <c r="Q8" s="338" t="s">
        <v>1044</v>
      </c>
    </row>
    <row r="9" spans="1:17" x14ac:dyDescent="0.2">
      <c r="J9" s="353" t="s">
        <v>379</v>
      </c>
      <c r="K9" s="344" t="s">
        <v>133</v>
      </c>
      <c r="L9" s="338" t="s">
        <v>133</v>
      </c>
      <c r="M9" s="351" t="s">
        <v>1012</v>
      </c>
      <c r="N9" s="344" t="s">
        <v>572</v>
      </c>
      <c r="O9" s="338" t="s">
        <v>572</v>
      </c>
      <c r="P9" s="332"/>
      <c r="Q9" s="338" t="s">
        <v>1043</v>
      </c>
    </row>
    <row r="10" spans="1:17" x14ac:dyDescent="0.2">
      <c r="J10" s="344"/>
      <c r="K10" s="344"/>
      <c r="L10" s="338"/>
      <c r="M10" s="346"/>
      <c r="N10" s="344"/>
      <c r="O10" s="338"/>
      <c r="Q10" s="338" t="s">
        <v>83</v>
      </c>
    </row>
    <row r="11" spans="1:17" x14ac:dyDescent="0.2">
      <c r="F11" s="47" t="s">
        <v>993</v>
      </c>
      <c r="G11" s="36" t="s">
        <v>993</v>
      </c>
      <c r="H11" s="36" t="s">
        <v>1042</v>
      </c>
      <c r="I11" s="36" t="s">
        <v>1042</v>
      </c>
      <c r="J11" s="36" t="s">
        <v>993</v>
      </c>
      <c r="K11" s="36" t="s">
        <v>993</v>
      </c>
      <c r="L11" s="33" t="s">
        <v>993</v>
      </c>
      <c r="M11" s="47" t="s">
        <v>993</v>
      </c>
      <c r="N11" s="36" t="s">
        <v>993</v>
      </c>
      <c r="O11" s="33" t="s">
        <v>993</v>
      </c>
      <c r="P11" s="47" t="s">
        <v>993</v>
      </c>
      <c r="Q11" s="33" t="s">
        <v>993</v>
      </c>
    </row>
    <row r="12" spans="1:17" x14ac:dyDescent="0.2">
      <c r="F12" s="47" t="s">
        <v>139</v>
      </c>
      <c r="G12" s="36" t="s">
        <v>139</v>
      </c>
      <c r="H12" s="36" t="s">
        <v>461</v>
      </c>
      <c r="I12" s="36" t="s">
        <v>461</v>
      </c>
      <c r="J12" s="36" t="s">
        <v>139</v>
      </c>
      <c r="K12" s="36" t="s">
        <v>139</v>
      </c>
      <c r="L12" s="33" t="s">
        <v>139</v>
      </c>
      <c r="M12" s="47" t="s">
        <v>139</v>
      </c>
      <c r="N12" s="36" t="s">
        <v>139</v>
      </c>
      <c r="O12" s="33" t="s">
        <v>139</v>
      </c>
      <c r="P12" s="47" t="s">
        <v>139</v>
      </c>
      <c r="Q12" s="33" t="s">
        <v>139</v>
      </c>
    </row>
    <row r="14" spans="1:17" x14ac:dyDescent="0.2">
      <c r="A14" s="381" t="s">
        <v>44</v>
      </c>
      <c r="B14" s="245" t="s">
        <v>3</v>
      </c>
      <c r="C14" s="245" t="s">
        <v>25</v>
      </c>
      <c r="D14" s="245" t="s">
        <v>4</v>
      </c>
      <c r="E14" s="245" t="s">
        <v>48</v>
      </c>
      <c r="F14" s="274" t="s">
        <v>190</v>
      </c>
      <c r="G14" s="250" t="s">
        <v>346</v>
      </c>
      <c r="H14" s="250" t="s">
        <v>305</v>
      </c>
      <c r="I14" s="250" t="s">
        <v>306</v>
      </c>
      <c r="J14" s="250" t="s">
        <v>372</v>
      </c>
      <c r="K14" s="250" t="s">
        <v>281</v>
      </c>
      <c r="L14" s="273" t="s">
        <v>282</v>
      </c>
      <c r="M14" s="274" t="s">
        <v>940</v>
      </c>
      <c r="N14" s="250" t="s">
        <v>941</v>
      </c>
      <c r="O14" s="273" t="s">
        <v>537</v>
      </c>
      <c r="P14" s="274" t="s">
        <v>942</v>
      </c>
      <c r="Q14" s="273" t="s">
        <v>943</v>
      </c>
    </row>
    <row r="15" spans="1:17" x14ac:dyDescent="0.2">
      <c r="A15" s="377"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290" priority="3">
      <formula>AND(ROW(H1)&gt;14,$E1&lt;&gt;"",$D1&lt;&gt;"Female")</formula>
    </cfRule>
    <cfRule type="expression" dxfId="289" priority="4">
      <formula>AND(ROW(H1)&gt;14,$E1&lt;&gt;"",NOT(OR($C1="15-24",$C1="25-34")))</formula>
    </cfRule>
  </conditionalFormatting>
  <conditionalFormatting sqref="F1:F1048576">
    <cfRule type="expression" dxfId="288" priority="2">
      <formula>AND(ROW(F1)&gt;14,LEFT(B1,4)="_Mil")</formula>
    </cfRule>
  </conditionalFormatting>
  <conditionalFormatting sqref="F1:Q1048576">
    <cfRule type="expression" dxfId="287"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 workbookViewId="1">
      <selection activeCell="CI1" sqref="CI1:CI1048576"/>
    </sheetView>
  </sheetViews>
  <sheetFormatPr baseColWidth="10" defaultRowHeight="16" x14ac:dyDescent="0.2"/>
  <cols>
    <col min="1" max="1" width="16.1640625" style="377" customWidth="1"/>
    <col min="2" max="2" width="30.83203125" customWidth="1"/>
    <col min="3" max="3" width="10.83203125" customWidth="1"/>
    <col min="4" max="4" width="7.83203125" customWidth="1"/>
    <col min="5" max="5" width="7" hidden="1" customWidth="1"/>
    <col min="6" max="6" width="11.83203125" style="152" customWidth="1"/>
    <col min="7" max="12" width="11.83203125" style="36" customWidth="1"/>
    <col min="13" max="13" width="11.83203125" style="152" customWidth="1"/>
    <col min="14" max="22" width="11.83203125" style="19" customWidth="1"/>
    <col min="23" max="23" width="11.83203125" style="152" customWidth="1"/>
    <col min="24" max="25" width="11.83203125" style="33" customWidth="1"/>
    <col min="26" max="26" width="11.83203125" style="152" customWidth="1"/>
    <col min="27" max="28" width="11.83203125" style="33" customWidth="1"/>
    <col min="29" max="29" width="11.83203125" style="152" customWidth="1"/>
    <col min="30" max="31" width="11.83203125" style="33" customWidth="1"/>
    <col min="32" max="32" width="11.83203125" style="152" customWidth="1"/>
    <col min="33" max="34" width="11.83203125" style="33" customWidth="1"/>
    <col min="35" max="35" width="11.83203125" style="152"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441" customWidth="1"/>
    <col min="53" max="53" width="11.83203125" style="103" customWidth="1"/>
  </cols>
  <sheetData>
    <row r="1" spans="1:53" s="22" customFormat="1" ht="31" customHeight="1" thickBot="1" x14ac:dyDescent="0.35">
      <c r="A1" s="379" t="s">
        <v>7</v>
      </c>
      <c r="B1" s="4"/>
      <c r="C1" s="1"/>
      <c r="D1" s="1"/>
      <c r="E1" s="1"/>
      <c r="F1" s="437" t="s">
        <v>382</v>
      </c>
      <c r="G1" s="236"/>
      <c r="H1" s="236"/>
      <c r="I1" s="236"/>
      <c r="J1" s="236"/>
      <c r="K1" s="236"/>
      <c r="L1" s="236"/>
      <c r="M1" s="437" t="s">
        <v>41</v>
      </c>
      <c r="N1" s="445"/>
      <c r="O1" s="445"/>
      <c r="P1" s="445"/>
      <c r="Q1" s="418"/>
      <c r="R1" s="418"/>
      <c r="S1" s="418"/>
      <c r="T1" s="418"/>
      <c r="U1" s="418"/>
      <c r="V1" s="418"/>
      <c r="W1" s="437" t="s">
        <v>962</v>
      </c>
      <c r="X1" s="236"/>
      <c r="Y1" s="236"/>
      <c r="Z1" s="437" t="s">
        <v>667</v>
      </c>
      <c r="AA1" s="236"/>
      <c r="AB1" s="236"/>
      <c r="AC1" s="437" t="s">
        <v>668</v>
      </c>
      <c r="AD1" s="236"/>
      <c r="AE1" s="236"/>
      <c r="AF1" s="437" t="s">
        <v>42</v>
      </c>
      <c r="AG1" s="236"/>
      <c r="AH1" s="236"/>
      <c r="AI1" s="437" t="s">
        <v>963</v>
      </c>
      <c r="AJ1" s="236"/>
      <c r="AK1" s="236"/>
      <c r="AL1" s="268" t="s">
        <v>153</v>
      </c>
      <c r="AM1" s="234"/>
      <c r="AN1" s="234"/>
      <c r="AO1" s="234"/>
      <c r="AP1" s="234"/>
      <c r="AQ1" s="234"/>
      <c r="AR1" s="234"/>
      <c r="AS1" s="234"/>
      <c r="AT1" s="234"/>
      <c r="AU1" s="234"/>
      <c r="AV1" s="424"/>
      <c r="AW1" s="268" t="s">
        <v>37</v>
      </c>
      <c r="AX1" s="418"/>
      <c r="AY1" s="236"/>
      <c r="AZ1" s="437" t="s">
        <v>140</v>
      </c>
      <c r="BA1" s="234"/>
    </row>
    <row r="2" spans="1:53" s="21" customFormat="1" ht="19" customHeight="1" x14ac:dyDescent="0.25">
      <c r="A2" s="374" t="s">
        <v>516</v>
      </c>
      <c r="B2" s="371"/>
      <c r="C2" s="2"/>
      <c r="D2" s="2"/>
      <c r="E2" s="2"/>
      <c r="F2" s="438"/>
      <c r="G2" s="34"/>
      <c r="H2" s="34"/>
      <c r="I2" s="34"/>
      <c r="J2" s="34"/>
      <c r="K2" s="34"/>
      <c r="L2" s="34"/>
      <c r="M2" s="438"/>
      <c r="N2" s="429"/>
      <c r="O2" s="429"/>
      <c r="P2" s="429"/>
      <c r="Q2" s="429"/>
      <c r="R2" s="429"/>
      <c r="S2" s="419"/>
      <c r="T2" s="419"/>
      <c r="U2" s="419"/>
      <c r="V2" s="419"/>
      <c r="W2" s="438"/>
      <c r="X2" s="329" t="s">
        <v>850</v>
      </c>
      <c r="Y2" s="329" t="s">
        <v>850</v>
      </c>
      <c r="Z2" s="438"/>
      <c r="AA2" s="329" t="s">
        <v>850</v>
      </c>
      <c r="AB2" s="329" t="s">
        <v>850</v>
      </c>
      <c r="AC2" s="438"/>
      <c r="AD2" s="329" t="s">
        <v>850</v>
      </c>
      <c r="AE2" s="329" t="s">
        <v>850</v>
      </c>
      <c r="AF2" s="438"/>
      <c r="AG2" s="329" t="s">
        <v>850</v>
      </c>
      <c r="AH2" s="329" t="s">
        <v>850</v>
      </c>
      <c r="AI2" s="438"/>
      <c r="AJ2" s="329" t="s">
        <v>850</v>
      </c>
      <c r="AK2" s="329" t="s">
        <v>850</v>
      </c>
      <c r="AL2" s="52"/>
      <c r="AM2" s="140"/>
      <c r="AN2" s="56"/>
      <c r="AO2" s="56"/>
      <c r="AP2" s="56"/>
      <c r="AQ2" s="56"/>
      <c r="AR2" s="56"/>
      <c r="AS2" s="56"/>
      <c r="AT2" s="140"/>
      <c r="AU2" s="140"/>
      <c r="AV2" s="419"/>
      <c r="AW2" s="50"/>
      <c r="AX2" s="419"/>
      <c r="AY2" s="329" t="s">
        <v>850</v>
      </c>
      <c r="AZ2" s="438"/>
      <c r="BA2" s="314" t="s">
        <v>850</v>
      </c>
    </row>
    <row r="3" spans="1:53" ht="117" customHeight="1" thickBot="1" x14ac:dyDescent="0.25">
      <c r="A3" s="372"/>
      <c r="B3" s="373"/>
      <c r="C3" s="17"/>
      <c r="D3" s="17"/>
      <c r="E3" s="17"/>
      <c r="F3" s="135" t="s">
        <v>900</v>
      </c>
      <c r="G3" s="133" t="s">
        <v>735</v>
      </c>
      <c r="H3" s="133" t="s">
        <v>775</v>
      </c>
      <c r="I3" s="133" t="s">
        <v>776</v>
      </c>
      <c r="J3" s="133" t="s">
        <v>777</v>
      </c>
      <c r="K3" s="133" t="s">
        <v>838</v>
      </c>
      <c r="L3" s="69" t="s">
        <v>778</v>
      </c>
      <c r="M3" s="135" t="s">
        <v>497</v>
      </c>
      <c r="N3" s="134" t="s">
        <v>724</v>
      </c>
      <c r="O3" s="134" t="s">
        <v>496</v>
      </c>
      <c r="P3" s="134" t="s">
        <v>954</v>
      </c>
      <c r="Q3" s="303" t="s">
        <v>955</v>
      </c>
      <c r="R3" s="303" t="s">
        <v>725</v>
      </c>
      <c r="S3" s="303" t="s">
        <v>726</v>
      </c>
      <c r="T3" s="303" t="s">
        <v>727</v>
      </c>
      <c r="U3" s="303" t="s">
        <v>728</v>
      </c>
      <c r="V3" s="488" t="s">
        <v>52</v>
      </c>
      <c r="W3" s="487" t="s">
        <v>38</v>
      </c>
      <c r="X3" s="31" t="s">
        <v>39</v>
      </c>
      <c r="Y3" s="322" t="s">
        <v>40</v>
      </c>
      <c r="Z3" s="487" t="s">
        <v>38</v>
      </c>
      <c r="AA3" s="31" t="s">
        <v>39</v>
      </c>
      <c r="AB3" s="322" t="s">
        <v>40</v>
      </c>
      <c r="AC3" s="487" t="s">
        <v>38</v>
      </c>
      <c r="AD3" s="31" t="s">
        <v>39</v>
      </c>
      <c r="AE3" s="322" t="s">
        <v>40</v>
      </c>
      <c r="AF3" s="487" t="s">
        <v>38</v>
      </c>
      <c r="AG3" s="31" t="s">
        <v>39</v>
      </c>
      <c r="AH3" s="322" t="s">
        <v>40</v>
      </c>
      <c r="AI3" s="487" t="s">
        <v>38</v>
      </c>
      <c r="AJ3" s="31" t="s">
        <v>39</v>
      </c>
      <c r="AK3" s="322" t="s">
        <v>40</v>
      </c>
      <c r="AL3" s="129" t="s">
        <v>779</v>
      </c>
      <c r="AM3" s="128" t="s">
        <v>780</v>
      </c>
      <c r="AN3" s="57" t="s">
        <v>159</v>
      </c>
      <c r="AO3" s="133" t="s">
        <v>781</v>
      </c>
      <c r="AP3" s="133" t="s">
        <v>782</v>
      </c>
      <c r="AQ3" s="133" t="s">
        <v>783</v>
      </c>
      <c r="AR3" s="133" t="s">
        <v>839</v>
      </c>
      <c r="AS3" s="133" t="s">
        <v>827</v>
      </c>
      <c r="AT3" s="128" t="s">
        <v>784</v>
      </c>
      <c r="AU3" s="128" t="s">
        <v>750</v>
      </c>
      <c r="AV3" s="488" t="s">
        <v>785</v>
      </c>
      <c r="AW3" s="73" t="s">
        <v>787</v>
      </c>
      <c r="AX3" s="454" t="s">
        <v>158</v>
      </c>
      <c r="AY3" s="322" t="s">
        <v>786</v>
      </c>
      <c r="AZ3" s="487" t="s">
        <v>981</v>
      </c>
      <c r="BA3" s="128" t="s">
        <v>729</v>
      </c>
    </row>
    <row r="4" spans="1:53" x14ac:dyDescent="0.2">
      <c r="A4" s="380"/>
      <c r="B4" s="15"/>
      <c r="C4" s="15"/>
      <c r="D4" s="15" t="s">
        <v>2</v>
      </c>
      <c r="E4" s="15"/>
      <c r="F4" s="449"/>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449" t="str">
        <f>IF(OR(SUM($G$4)=0,SUM($H$4)=0),"",SUM($H$4)/SUM($G$4))</f>
        <v/>
      </c>
      <c r="N4" s="460" t="str">
        <f>IF(OR(SUM($G$4)=0,SUM($I$4)=0),"",SUM($I$4)/SUM($G$4))</f>
        <v/>
      </c>
      <c r="O4" s="460" t="str">
        <f>IF(OR(SUM($G$4)=0,SUM($J$4)=0),"",SUM($J$4)/SUM($G$4))</f>
        <v/>
      </c>
      <c r="P4" s="460" t="str">
        <f>IF(OR(SUM($G$4)=0,SUM($K$4)=0),"",SUM($K$4)/SUM($G$4))</f>
        <v/>
      </c>
      <c r="Q4" s="455" t="str">
        <f>IF(OR(SUM($G$4)=0,SUM($X$4)=0),"",SUM($X$4)/SUM($G$4))</f>
        <v/>
      </c>
      <c r="R4" s="455" t="str">
        <f>IF(OR(SUM($G$4)=0,SUM($AA$4)=0),"",SUM($AA$4)/SUM($G$4))</f>
        <v/>
      </c>
      <c r="S4" s="455" t="str">
        <f>IF(OR(SUM($G$4)=0,SUM($AD$4)=0),"",SUM($AD$4)/SUM($G$4))</f>
        <v/>
      </c>
      <c r="T4" s="455" t="str">
        <f>IF(OR(SUM($G$4)=0,SUM($AG$4)=0),"",SUM($AG$4)/SUM($G$4))</f>
        <v/>
      </c>
      <c r="U4" s="455" t="str">
        <f>IF(OR(SUM($G$4)=0,SUM($AJ$4)=0),"",SUM($AJ$4)/SUM($G$4))</f>
        <v/>
      </c>
      <c r="V4" s="455">
        <f>SUM($M4:$U4)</f>
        <v>0</v>
      </c>
      <c r="W4" s="449" t="str">
        <f>IF(SUM(X4:Y4)=0,"",X4/(SUM(X4:Y4)))</f>
        <v/>
      </c>
      <c r="X4" s="32">
        <f>SUBTOTAL(109,X$15:INDEX(X:X,COUNTA($B:$B)+14-COUNTA($B$1:$B$14)))</f>
        <v>0</v>
      </c>
      <c r="Y4" s="32">
        <f>SUBTOTAL(109,Y$15:INDEX(Y:Y,COUNTA($B:$B)+14-COUNTA($B$1:$B$14)))</f>
        <v>0</v>
      </c>
      <c r="Z4" s="449" t="str">
        <f>IF(SUM(AA4:AB4)=0,"",AA4/(SUM(AA4:AB4)))</f>
        <v/>
      </c>
      <c r="AA4" s="32">
        <f>SUBTOTAL(109,AA$15:INDEX(AA:AA,COUNTA($B:$B)+14-COUNTA($B$1:$B$14)))</f>
        <v>0</v>
      </c>
      <c r="AB4" s="32">
        <f>SUBTOTAL(109,AB$15:INDEX(AB:AB,COUNTA($B:$B)+14-COUNTA($B$1:$B$14)))</f>
        <v>0</v>
      </c>
      <c r="AC4" s="449" t="str">
        <f>IF(SUM(AD4:AE4)=0,"",AD4/(SUM(AD4:AE4)))</f>
        <v/>
      </c>
      <c r="AD4" s="32">
        <f>SUBTOTAL(109,AD$15:INDEX(AD:AD,COUNTA($B:$B)+14-COUNTA($B$1:$B$14)))</f>
        <v>0</v>
      </c>
      <c r="AE4" s="32">
        <f>SUBTOTAL(109,AE$15:INDEX(AE:AE,COUNTA($B:$B)+14-COUNTA($B$1:$B$14)))</f>
        <v>0</v>
      </c>
      <c r="AF4" s="449" t="str">
        <f>IF(SUM(AG4:AH4)=0,"",AG4/(SUM(AG4:AH4)))</f>
        <v/>
      </c>
      <c r="AG4" s="32">
        <f>SUBTOTAL(109,AG$15:INDEX(AG:AG,COUNTA($B:$B)+14-COUNTA($B$1:$B$14)))</f>
        <v>0</v>
      </c>
      <c r="AH4" s="32">
        <f>SUBTOTAL(109,AH$15:INDEX(AH:AH,COUNTA($B:$B)+14-COUNTA($B$1:$B$14)))</f>
        <v>0</v>
      </c>
      <c r="AI4" s="449"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455" t="str">
        <f>IF($AU$4=0,"",$AM$4/$AU$4)</f>
        <v/>
      </c>
      <c r="AW4" s="51">
        <f>SUBTOTAL(109,AW$15:INDEX(AW:AW,COUNTA($B:$B)+14-COUNTA($B$1:$B$14)))</f>
        <v>0</v>
      </c>
      <c r="AX4" s="455" t="str">
        <f>IF($AW$4=0,"",$AY$4/$AW$4-1)</f>
        <v/>
      </c>
      <c r="AY4" s="32">
        <f>SUBTOTAL(109,AY$15:INDEX(AY:AY,COUNTA($B:$B)+14-COUNTA($B$1:$B$14)))</f>
        <v>0</v>
      </c>
      <c r="AZ4" s="449" t="str">
        <f>IF($AM$4=0,"",$BA$4/$AM$4)</f>
        <v/>
      </c>
      <c r="BA4" s="32">
        <f>SUBTOTAL(109,BA$15:INDEX(BA:BA,COUNTA($B:$B)+14-COUNTA($B$1:$B$14)))</f>
        <v>0</v>
      </c>
    </row>
    <row r="5" spans="1:53" x14ac:dyDescent="0.2">
      <c r="A5" s="377" t="s">
        <v>60</v>
      </c>
      <c r="B5" s="5" t="s">
        <v>60</v>
      </c>
      <c r="C5" s="5" t="s">
        <v>60</v>
      </c>
      <c r="D5" s="5" t="s">
        <v>60</v>
      </c>
      <c r="E5" s="5" t="s">
        <v>60</v>
      </c>
      <c r="F5" s="441" t="s">
        <v>60</v>
      </c>
      <c r="G5" s="36" t="s">
        <v>60</v>
      </c>
      <c r="H5" s="36" t="s">
        <v>60</v>
      </c>
      <c r="I5" s="36" t="s">
        <v>60</v>
      </c>
      <c r="J5" s="36" t="s">
        <v>60</v>
      </c>
      <c r="K5" s="36" t="s">
        <v>60</v>
      </c>
      <c r="L5" s="36" t="s">
        <v>60</v>
      </c>
      <c r="M5" s="441" t="s">
        <v>60</v>
      </c>
      <c r="N5" s="422" t="s">
        <v>60</v>
      </c>
      <c r="O5" s="422" t="s">
        <v>60</v>
      </c>
      <c r="P5" s="422" t="s">
        <v>60</v>
      </c>
      <c r="Q5" s="422" t="s">
        <v>60</v>
      </c>
      <c r="R5" s="422" t="s">
        <v>60</v>
      </c>
      <c r="S5" s="422" t="s">
        <v>60</v>
      </c>
      <c r="T5" s="422" t="s">
        <v>60</v>
      </c>
      <c r="U5" s="422" t="s">
        <v>60</v>
      </c>
      <c r="V5" s="422" t="s">
        <v>60</v>
      </c>
      <c r="W5" s="441" t="s">
        <v>60</v>
      </c>
      <c r="X5" s="33" t="s">
        <v>71</v>
      </c>
      <c r="Y5" s="33" t="s">
        <v>71</v>
      </c>
      <c r="Z5" s="441" t="s">
        <v>60</v>
      </c>
      <c r="AA5" s="33" t="s">
        <v>71</v>
      </c>
      <c r="AB5" s="33" t="s">
        <v>71</v>
      </c>
      <c r="AC5" s="441" t="s">
        <v>60</v>
      </c>
      <c r="AD5" s="33" t="s">
        <v>71</v>
      </c>
      <c r="AE5" s="33" t="s">
        <v>71</v>
      </c>
      <c r="AF5" s="441" t="s">
        <v>60</v>
      </c>
      <c r="AG5" s="33" t="s">
        <v>71</v>
      </c>
      <c r="AH5" s="33" t="s">
        <v>71</v>
      </c>
      <c r="AI5" s="441" t="s">
        <v>60</v>
      </c>
      <c r="AJ5" s="33" t="s">
        <v>71</v>
      </c>
      <c r="AK5" s="33" t="s">
        <v>71</v>
      </c>
      <c r="AL5" s="47" t="s">
        <v>60</v>
      </c>
      <c r="AM5" s="33" t="s">
        <v>60</v>
      </c>
      <c r="AN5" s="36" t="s">
        <v>60</v>
      </c>
      <c r="AO5" s="36" t="s">
        <v>60</v>
      </c>
      <c r="AP5" s="36" t="s">
        <v>60</v>
      </c>
      <c r="AQ5" s="36" t="s">
        <v>60</v>
      </c>
      <c r="AR5" s="36" t="s">
        <v>60</v>
      </c>
      <c r="AS5" s="36" t="s">
        <v>60</v>
      </c>
      <c r="AT5" s="33" t="s">
        <v>60</v>
      </c>
      <c r="AU5" s="33" t="s">
        <v>60</v>
      </c>
      <c r="AV5" s="422" t="s">
        <v>60</v>
      </c>
      <c r="AW5" s="47" t="s">
        <v>71</v>
      </c>
      <c r="AX5" s="422" t="s">
        <v>60</v>
      </c>
      <c r="AY5" s="33" t="s">
        <v>71</v>
      </c>
      <c r="AZ5" s="441" t="s">
        <v>60</v>
      </c>
      <c r="BA5" s="40" t="s">
        <v>71</v>
      </c>
    </row>
    <row r="6" spans="1:53" x14ac:dyDescent="0.2">
      <c r="A6" s="377" t="s">
        <v>138</v>
      </c>
      <c r="B6" s="5" t="s">
        <v>138</v>
      </c>
      <c r="C6" s="5" t="s">
        <v>138</v>
      </c>
      <c r="D6" s="5" t="s">
        <v>138</v>
      </c>
      <c r="E6" s="5" t="s">
        <v>138</v>
      </c>
      <c r="F6" s="441" t="s">
        <v>55</v>
      </c>
      <c r="G6" s="36" t="s">
        <v>55</v>
      </c>
      <c r="H6" s="36" t="s">
        <v>55</v>
      </c>
      <c r="I6" s="36" t="s">
        <v>55</v>
      </c>
      <c r="J6" s="36" t="s">
        <v>55</v>
      </c>
      <c r="K6" s="36" t="s">
        <v>55</v>
      </c>
      <c r="L6" s="36" t="s">
        <v>55</v>
      </c>
      <c r="M6" s="441" t="s">
        <v>55</v>
      </c>
      <c r="N6" s="422" t="s">
        <v>55</v>
      </c>
      <c r="O6" s="422" t="s">
        <v>55</v>
      </c>
      <c r="P6" s="422" t="s">
        <v>55</v>
      </c>
      <c r="Q6" s="422" t="s">
        <v>73</v>
      </c>
      <c r="R6" s="422" t="s">
        <v>73</v>
      </c>
      <c r="S6" s="422" t="s">
        <v>73</v>
      </c>
      <c r="T6" s="422" t="s">
        <v>73</v>
      </c>
      <c r="U6" s="422" t="s">
        <v>73</v>
      </c>
      <c r="V6" s="422" t="s">
        <v>55</v>
      </c>
      <c r="W6" s="441" t="s">
        <v>73</v>
      </c>
      <c r="X6" s="33" t="s">
        <v>54</v>
      </c>
      <c r="Y6" s="33" t="s">
        <v>54</v>
      </c>
      <c r="Z6" s="441" t="s">
        <v>73</v>
      </c>
      <c r="AA6" s="33" t="s">
        <v>54</v>
      </c>
      <c r="AB6" s="33" t="s">
        <v>54</v>
      </c>
      <c r="AC6" s="441" t="s">
        <v>73</v>
      </c>
      <c r="AD6" s="33" t="s">
        <v>54</v>
      </c>
      <c r="AE6" s="33" t="s">
        <v>54</v>
      </c>
      <c r="AF6" s="441" t="s">
        <v>73</v>
      </c>
      <c r="AG6" s="33" t="s">
        <v>54</v>
      </c>
      <c r="AH6" s="33" t="s">
        <v>54</v>
      </c>
      <c r="AI6" s="441" t="s">
        <v>73</v>
      </c>
      <c r="AJ6" s="33" t="s">
        <v>54</v>
      </c>
      <c r="AK6" s="33" t="s">
        <v>54</v>
      </c>
      <c r="AL6" s="47" t="s">
        <v>55</v>
      </c>
      <c r="AM6" s="33" t="s">
        <v>55</v>
      </c>
      <c r="AN6" s="36" t="s">
        <v>55</v>
      </c>
      <c r="AO6" s="36" t="s">
        <v>55</v>
      </c>
      <c r="AP6" s="36" t="s">
        <v>55</v>
      </c>
      <c r="AQ6" s="36" t="s">
        <v>55</v>
      </c>
      <c r="AR6" s="36" t="s">
        <v>55</v>
      </c>
      <c r="AS6" s="36" t="s">
        <v>55</v>
      </c>
      <c r="AT6" s="33" t="s">
        <v>55</v>
      </c>
      <c r="AU6" s="33" t="s">
        <v>55</v>
      </c>
      <c r="AV6" s="422" t="s">
        <v>55</v>
      </c>
      <c r="AW6" s="47" t="s">
        <v>72</v>
      </c>
      <c r="AX6" s="422" t="s">
        <v>74</v>
      </c>
      <c r="AY6" s="33" t="s">
        <v>54</v>
      </c>
      <c r="AZ6" s="441" t="s">
        <v>74</v>
      </c>
      <c r="BA6" s="40" t="s">
        <v>54</v>
      </c>
    </row>
    <row r="7" spans="1:53" x14ac:dyDescent="0.2">
      <c r="A7" s="377" t="s">
        <v>70</v>
      </c>
      <c r="B7" s="5" t="s">
        <v>70</v>
      </c>
      <c r="C7" s="5" t="s">
        <v>70</v>
      </c>
      <c r="D7" s="5" t="s">
        <v>70</v>
      </c>
      <c r="E7" s="5" t="s">
        <v>70</v>
      </c>
      <c r="F7" s="441" t="s">
        <v>57</v>
      </c>
      <c r="G7" s="36" t="s">
        <v>56</v>
      </c>
      <c r="H7" s="36" t="s">
        <v>56</v>
      </c>
      <c r="I7" s="36" t="s">
        <v>56</v>
      </c>
      <c r="J7" s="36" t="s">
        <v>56</v>
      </c>
      <c r="K7" s="36" t="s">
        <v>56</v>
      </c>
      <c r="L7" s="36" t="s">
        <v>56</v>
      </c>
      <c r="M7" s="441" t="s">
        <v>57</v>
      </c>
      <c r="N7" s="422" t="s">
        <v>57</v>
      </c>
      <c r="O7" s="422" t="s">
        <v>57</v>
      </c>
      <c r="P7" s="422" t="s">
        <v>57</v>
      </c>
      <c r="Q7" s="422" t="s">
        <v>57</v>
      </c>
      <c r="R7" s="422" t="s">
        <v>57</v>
      </c>
      <c r="S7" s="422" t="s">
        <v>57</v>
      </c>
      <c r="T7" s="422" t="s">
        <v>57</v>
      </c>
      <c r="U7" s="422" t="s">
        <v>57</v>
      </c>
      <c r="V7" s="422" t="s">
        <v>57</v>
      </c>
      <c r="W7" s="441" t="s">
        <v>57</v>
      </c>
      <c r="X7" s="33" t="s">
        <v>56</v>
      </c>
      <c r="Y7" s="33" t="s">
        <v>56</v>
      </c>
      <c r="Z7" s="441" t="s">
        <v>57</v>
      </c>
      <c r="AA7" s="33" t="s">
        <v>56</v>
      </c>
      <c r="AB7" s="33" t="s">
        <v>56</v>
      </c>
      <c r="AC7" s="441" t="s">
        <v>57</v>
      </c>
      <c r="AD7" s="33" t="s">
        <v>56</v>
      </c>
      <c r="AE7" s="33" t="s">
        <v>56</v>
      </c>
      <c r="AF7" s="441" t="s">
        <v>57</v>
      </c>
      <c r="AG7" s="33" t="s">
        <v>56</v>
      </c>
      <c r="AH7" s="33" t="s">
        <v>56</v>
      </c>
      <c r="AI7" s="441" t="s">
        <v>57</v>
      </c>
      <c r="AJ7" s="33" t="s">
        <v>56</v>
      </c>
      <c r="AK7" s="33" t="s">
        <v>56</v>
      </c>
      <c r="AL7" s="47" t="s">
        <v>56</v>
      </c>
      <c r="AM7" s="33" t="s">
        <v>56</v>
      </c>
      <c r="AN7" s="36" t="s">
        <v>56</v>
      </c>
      <c r="AO7" s="36" t="s">
        <v>56</v>
      </c>
      <c r="AP7" s="36" t="s">
        <v>56</v>
      </c>
      <c r="AQ7" s="36" t="s">
        <v>56</v>
      </c>
      <c r="AR7" s="36" t="s">
        <v>56</v>
      </c>
      <c r="AS7" s="36" t="s">
        <v>56</v>
      </c>
      <c r="AT7" s="33" t="s">
        <v>56</v>
      </c>
      <c r="AU7" s="33" t="s">
        <v>56</v>
      </c>
      <c r="AV7" s="422" t="s">
        <v>57</v>
      </c>
      <c r="AW7" s="47" t="s">
        <v>56</v>
      </c>
      <c r="AX7" s="422" t="s">
        <v>57</v>
      </c>
      <c r="AY7" s="33" t="s">
        <v>56</v>
      </c>
      <c r="AZ7" s="441" t="s">
        <v>57</v>
      </c>
      <c r="BA7" s="40" t="s">
        <v>56</v>
      </c>
    </row>
    <row r="8" spans="1:53" x14ac:dyDescent="0.2">
      <c r="B8" s="5"/>
      <c r="C8" s="5"/>
      <c r="D8" s="5"/>
      <c r="E8" s="5"/>
      <c r="F8" s="441"/>
      <c r="M8" s="441"/>
      <c r="N8" s="422"/>
      <c r="O8" s="422"/>
      <c r="P8" s="422"/>
      <c r="Q8" s="456"/>
      <c r="R8" s="456"/>
      <c r="S8" s="456"/>
      <c r="T8" s="456"/>
      <c r="U8" s="456"/>
      <c r="V8" s="456"/>
      <c r="W8" s="462"/>
      <c r="X8" s="338" t="s">
        <v>998</v>
      </c>
      <c r="Y8" s="338" t="s">
        <v>998</v>
      </c>
      <c r="Z8" s="462"/>
      <c r="AA8" s="338" t="s">
        <v>999</v>
      </c>
      <c r="AB8" s="338" t="s">
        <v>999</v>
      </c>
      <c r="AC8" s="462"/>
      <c r="AD8" s="338" t="s">
        <v>1000</v>
      </c>
      <c r="AE8" s="338" t="s">
        <v>1000</v>
      </c>
      <c r="AF8" s="462"/>
      <c r="AG8" s="338" t="s">
        <v>106</v>
      </c>
      <c r="AH8" s="338" t="s">
        <v>106</v>
      </c>
      <c r="AI8" s="462"/>
      <c r="AJ8" s="338" t="s">
        <v>1001</v>
      </c>
      <c r="AK8" s="338" t="s">
        <v>1001</v>
      </c>
      <c r="AV8" s="422"/>
      <c r="AW8" s="351" t="s">
        <v>162</v>
      </c>
      <c r="AX8" s="456"/>
      <c r="AY8" s="338" t="s">
        <v>162</v>
      </c>
      <c r="AZ8" s="462"/>
      <c r="BA8" s="348" t="s">
        <v>1006</v>
      </c>
    </row>
    <row r="9" spans="1:53" x14ac:dyDescent="0.2">
      <c r="B9" s="5"/>
      <c r="C9" s="5"/>
      <c r="D9" s="5"/>
      <c r="E9" s="5"/>
      <c r="F9" s="441"/>
      <c r="M9" s="441"/>
      <c r="N9" s="422"/>
      <c r="O9" s="422"/>
      <c r="P9" s="422"/>
      <c r="Q9" s="456"/>
      <c r="R9" s="456"/>
      <c r="S9" s="456"/>
      <c r="T9" s="456"/>
      <c r="U9" s="456"/>
      <c r="V9" s="456"/>
      <c r="W9" s="462"/>
      <c r="X9" s="338" t="s">
        <v>1002</v>
      </c>
      <c r="Y9" s="338" t="s">
        <v>1002</v>
      </c>
      <c r="Z9" s="462"/>
      <c r="AA9" s="338" t="s">
        <v>1003</v>
      </c>
      <c r="AB9" s="338" t="s">
        <v>1003</v>
      </c>
      <c r="AC9" s="462"/>
      <c r="AD9" s="338" t="s">
        <v>1004</v>
      </c>
      <c r="AE9" s="338" t="s">
        <v>1004</v>
      </c>
      <c r="AF9" s="462"/>
      <c r="AG9" s="338" t="s">
        <v>107</v>
      </c>
      <c r="AH9" s="338" t="s">
        <v>107</v>
      </c>
      <c r="AI9" s="462"/>
      <c r="AJ9" s="338" t="s">
        <v>1005</v>
      </c>
      <c r="AK9" s="338" t="s">
        <v>1005</v>
      </c>
      <c r="AV9" s="422"/>
      <c r="AW9" s="351" t="s">
        <v>163</v>
      </c>
      <c r="AX9" s="456"/>
      <c r="AY9" s="338" t="s">
        <v>163</v>
      </c>
      <c r="AZ9" s="462"/>
      <c r="BA9" s="348" t="s">
        <v>1007</v>
      </c>
    </row>
    <row r="10" spans="1:53" x14ac:dyDescent="0.2">
      <c r="B10" s="5"/>
      <c r="C10" s="5"/>
      <c r="D10" s="5"/>
      <c r="E10" s="5"/>
      <c r="F10" s="441"/>
      <c r="M10" s="441"/>
      <c r="N10" s="422"/>
      <c r="O10" s="422"/>
      <c r="P10" s="422"/>
      <c r="Q10" s="456"/>
      <c r="R10" s="456"/>
      <c r="S10" s="456"/>
      <c r="T10" s="456"/>
      <c r="U10" s="456"/>
      <c r="V10" s="456"/>
      <c r="W10" s="462"/>
      <c r="X10" s="338" t="s">
        <v>64</v>
      </c>
      <c r="Y10" s="338" t="s">
        <v>65</v>
      </c>
      <c r="Z10" s="462"/>
      <c r="AA10" s="338" t="s">
        <v>66</v>
      </c>
      <c r="AB10" s="338" t="s">
        <v>83</v>
      </c>
      <c r="AC10" s="462"/>
      <c r="AD10" s="338" t="s">
        <v>66</v>
      </c>
      <c r="AE10" s="338" t="s">
        <v>83</v>
      </c>
      <c r="AF10" s="462"/>
      <c r="AG10" s="338" t="s">
        <v>66</v>
      </c>
      <c r="AH10" s="338" t="s">
        <v>83</v>
      </c>
      <c r="AI10" s="462"/>
      <c r="AJ10" s="338" t="s">
        <v>66</v>
      </c>
      <c r="AK10" s="338" t="s">
        <v>83</v>
      </c>
      <c r="AV10" s="422"/>
      <c r="AW10" s="346"/>
      <c r="AX10" s="456"/>
      <c r="AY10" s="338"/>
      <c r="AZ10" s="462"/>
      <c r="BA10" s="348" t="s">
        <v>66</v>
      </c>
    </row>
    <row r="11" spans="1:53" x14ac:dyDescent="0.2">
      <c r="B11" s="5"/>
      <c r="C11" s="5"/>
      <c r="D11" s="5"/>
      <c r="E11" s="5"/>
      <c r="F11" s="441" t="s">
        <v>995</v>
      </c>
      <c r="G11" s="36" t="s">
        <v>995</v>
      </c>
      <c r="H11" s="36" t="s">
        <v>994</v>
      </c>
      <c r="I11" s="36" t="s">
        <v>994</v>
      </c>
      <c r="J11" s="36" t="s">
        <v>995</v>
      </c>
      <c r="K11" s="36" t="s">
        <v>993</v>
      </c>
      <c r="L11" s="36" t="s">
        <v>995</v>
      </c>
      <c r="M11" s="441" t="s">
        <v>994</v>
      </c>
      <c r="N11" s="422" t="s">
        <v>994</v>
      </c>
      <c r="O11" s="422" t="s">
        <v>995</v>
      </c>
      <c r="P11" s="422" t="s">
        <v>993</v>
      </c>
      <c r="Q11" s="422" t="s">
        <v>995</v>
      </c>
      <c r="R11" s="422" t="s">
        <v>995</v>
      </c>
      <c r="S11" s="422" t="s">
        <v>995</v>
      </c>
      <c r="T11" s="422" t="s">
        <v>995</v>
      </c>
      <c r="U11" s="422" t="s">
        <v>995</v>
      </c>
      <c r="V11" s="422" t="s">
        <v>995</v>
      </c>
      <c r="W11" s="441" t="s">
        <v>995</v>
      </c>
      <c r="X11" s="33" t="s">
        <v>995</v>
      </c>
      <c r="Y11" s="33" t="s">
        <v>995</v>
      </c>
      <c r="Z11" s="441" t="s">
        <v>995</v>
      </c>
      <c r="AA11" s="54" t="s">
        <v>995</v>
      </c>
      <c r="AB11" s="54" t="s">
        <v>995</v>
      </c>
      <c r="AC11" s="441" t="s">
        <v>995</v>
      </c>
      <c r="AD11" s="54" t="s">
        <v>995</v>
      </c>
      <c r="AE11" s="54" t="s">
        <v>995</v>
      </c>
      <c r="AF11" s="441" t="s">
        <v>995</v>
      </c>
      <c r="AG11" s="33" t="s">
        <v>995</v>
      </c>
      <c r="AH11" s="33" t="s">
        <v>995</v>
      </c>
      <c r="AI11" s="441" t="s">
        <v>995</v>
      </c>
      <c r="AJ11" s="33" t="s">
        <v>995</v>
      </c>
      <c r="AK11" s="33" t="s">
        <v>995</v>
      </c>
      <c r="AL11" s="47" t="s">
        <v>995</v>
      </c>
      <c r="AM11" s="33" t="s">
        <v>995</v>
      </c>
      <c r="AN11" s="36" t="s">
        <v>995</v>
      </c>
      <c r="AO11" s="36" t="s">
        <v>994</v>
      </c>
      <c r="AP11" s="36" t="s">
        <v>994</v>
      </c>
      <c r="AQ11" s="36" t="s">
        <v>995</v>
      </c>
      <c r="AR11" s="36" t="s">
        <v>993</v>
      </c>
      <c r="AS11" s="36" t="s">
        <v>993</v>
      </c>
      <c r="AT11" s="33" t="s">
        <v>995</v>
      </c>
      <c r="AU11" s="33" t="s">
        <v>995</v>
      </c>
      <c r="AV11" s="422" t="s">
        <v>995</v>
      </c>
      <c r="AW11" s="47" t="s">
        <v>994</v>
      </c>
      <c r="AX11" s="422" t="s">
        <v>994</v>
      </c>
      <c r="AY11" s="33" t="s">
        <v>994</v>
      </c>
      <c r="AZ11" s="441" t="s">
        <v>993</v>
      </c>
      <c r="BA11" s="40" t="s">
        <v>993</v>
      </c>
    </row>
    <row r="12" spans="1:53" x14ac:dyDescent="0.2">
      <c r="B12" s="5"/>
      <c r="C12" s="5"/>
      <c r="D12" s="5"/>
      <c r="E12" s="5"/>
      <c r="F12" s="441" t="s">
        <v>139</v>
      </c>
      <c r="G12" s="36" t="s">
        <v>139</v>
      </c>
      <c r="H12" s="36" t="s">
        <v>461</v>
      </c>
      <c r="I12" s="36" t="s">
        <v>461</v>
      </c>
      <c r="J12" s="36" t="s">
        <v>139</v>
      </c>
      <c r="K12" s="36" t="s">
        <v>462</v>
      </c>
      <c r="L12" s="36" t="s">
        <v>139</v>
      </c>
      <c r="M12" s="441" t="s">
        <v>461</v>
      </c>
      <c r="N12" s="422" t="s">
        <v>461</v>
      </c>
      <c r="O12" s="422" t="s">
        <v>139</v>
      </c>
      <c r="P12" s="422" t="s">
        <v>462</v>
      </c>
      <c r="Q12" s="422" t="s">
        <v>139</v>
      </c>
      <c r="R12" s="422" t="s">
        <v>139</v>
      </c>
      <c r="S12" s="422" t="s">
        <v>139</v>
      </c>
      <c r="T12" s="422" t="s">
        <v>139</v>
      </c>
      <c r="U12" s="422" t="s">
        <v>139</v>
      </c>
      <c r="V12" s="422" t="s">
        <v>139</v>
      </c>
      <c r="W12" s="441" t="s">
        <v>139</v>
      </c>
      <c r="X12" s="33" t="s">
        <v>139</v>
      </c>
      <c r="Y12" s="33" t="s">
        <v>139</v>
      </c>
      <c r="Z12" s="441" t="s">
        <v>139</v>
      </c>
      <c r="AA12" s="33" t="s">
        <v>139</v>
      </c>
      <c r="AB12" s="33" t="s">
        <v>139</v>
      </c>
      <c r="AC12" s="441" t="s">
        <v>139</v>
      </c>
      <c r="AD12" s="33" t="s">
        <v>139</v>
      </c>
      <c r="AE12" s="33" t="s">
        <v>139</v>
      </c>
      <c r="AF12" s="441" t="s">
        <v>139</v>
      </c>
      <c r="AG12" s="33" t="s">
        <v>139</v>
      </c>
      <c r="AH12" s="33" t="s">
        <v>139</v>
      </c>
      <c r="AI12" s="441" t="s">
        <v>139</v>
      </c>
      <c r="AJ12" s="33" t="s">
        <v>139</v>
      </c>
      <c r="AK12" s="33" t="s">
        <v>139</v>
      </c>
      <c r="AL12" s="47" t="s">
        <v>139</v>
      </c>
      <c r="AM12" s="33" t="s">
        <v>139</v>
      </c>
      <c r="AN12" s="36" t="s">
        <v>139</v>
      </c>
      <c r="AO12" s="36" t="s">
        <v>461</v>
      </c>
      <c r="AP12" s="36" t="s">
        <v>461</v>
      </c>
      <c r="AQ12" s="36" t="s">
        <v>139</v>
      </c>
      <c r="AR12" s="36" t="s">
        <v>462</v>
      </c>
      <c r="AS12" s="36" t="s">
        <v>139</v>
      </c>
      <c r="AT12" s="33" t="s">
        <v>139</v>
      </c>
      <c r="AU12" s="33" t="s">
        <v>139</v>
      </c>
      <c r="AV12" s="422" t="s">
        <v>139</v>
      </c>
      <c r="AW12" s="47" t="s">
        <v>139</v>
      </c>
      <c r="AX12" s="422" t="s">
        <v>139</v>
      </c>
      <c r="AY12" s="33" t="s">
        <v>139</v>
      </c>
      <c r="AZ12" s="441" t="s">
        <v>139</v>
      </c>
      <c r="BA12" s="40" t="s">
        <v>139</v>
      </c>
    </row>
    <row r="13" spans="1:53" x14ac:dyDescent="0.2">
      <c r="B13" s="5"/>
      <c r="C13" s="5"/>
      <c r="D13" s="5"/>
      <c r="E13" s="5"/>
      <c r="F13" s="441"/>
      <c r="M13" s="441"/>
      <c r="N13" s="422"/>
      <c r="O13" s="422"/>
      <c r="P13" s="422"/>
      <c r="Q13" s="422"/>
      <c r="R13" s="422"/>
      <c r="S13" s="422"/>
      <c r="T13" s="422"/>
      <c r="U13" s="422"/>
      <c r="V13" s="422"/>
      <c r="W13" s="441"/>
      <c r="Z13" s="441"/>
      <c r="AC13" s="441"/>
      <c r="AF13" s="441"/>
      <c r="AI13" s="441"/>
      <c r="AV13" s="422"/>
      <c r="AX13" s="422"/>
      <c r="BA13" s="40"/>
    </row>
    <row r="14" spans="1:53" x14ac:dyDescent="0.2">
      <c r="A14" s="383" t="s">
        <v>44</v>
      </c>
      <c r="B14" s="263" t="s">
        <v>3</v>
      </c>
      <c r="C14" s="245" t="s">
        <v>25</v>
      </c>
      <c r="D14" s="245" t="s">
        <v>4</v>
      </c>
      <c r="E14" s="245" t="s">
        <v>48</v>
      </c>
      <c r="F14" s="442" t="s">
        <v>713</v>
      </c>
      <c r="G14" s="247" t="s">
        <v>319</v>
      </c>
      <c r="H14" s="247" t="s">
        <v>230</v>
      </c>
      <c r="I14" s="247" t="s">
        <v>232</v>
      </c>
      <c r="J14" s="247" t="s">
        <v>228</v>
      </c>
      <c r="K14" s="247" t="s">
        <v>831</v>
      </c>
      <c r="L14" s="247" t="s">
        <v>367</v>
      </c>
      <c r="M14" s="442" t="s">
        <v>223</v>
      </c>
      <c r="N14" s="423" t="s">
        <v>224</v>
      </c>
      <c r="O14" s="423" t="s">
        <v>222</v>
      </c>
      <c r="P14" s="423" t="s">
        <v>956</v>
      </c>
      <c r="Q14" s="423" t="s">
        <v>989</v>
      </c>
      <c r="R14" s="423" t="s">
        <v>952</v>
      </c>
      <c r="S14" s="423" t="s">
        <v>953</v>
      </c>
      <c r="T14" s="423" t="s">
        <v>225</v>
      </c>
      <c r="U14" s="423" t="s">
        <v>226</v>
      </c>
      <c r="V14" s="423" t="s">
        <v>227</v>
      </c>
      <c r="W14" s="442" t="s">
        <v>964</v>
      </c>
      <c r="X14" s="273" t="s">
        <v>965</v>
      </c>
      <c r="Y14" s="273" t="s">
        <v>966</v>
      </c>
      <c r="Z14" s="442" t="s">
        <v>967</v>
      </c>
      <c r="AA14" s="273" t="s">
        <v>968</v>
      </c>
      <c r="AB14" s="273" t="s">
        <v>969</v>
      </c>
      <c r="AC14" s="442" t="s">
        <v>971</v>
      </c>
      <c r="AD14" s="273" t="s">
        <v>972</v>
      </c>
      <c r="AE14" s="273" t="s">
        <v>973</v>
      </c>
      <c r="AF14" s="442" t="s">
        <v>234</v>
      </c>
      <c r="AG14" s="273" t="s">
        <v>235</v>
      </c>
      <c r="AH14" s="273" t="s">
        <v>236</v>
      </c>
      <c r="AI14" s="442" t="s">
        <v>970</v>
      </c>
      <c r="AJ14" s="273" t="s">
        <v>974</v>
      </c>
      <c r="AK14" s="273" t="s">
        <v>975</v>
      </c>
      <c r="AL14" s="274" t="s">
        <v>237</v>
      </c>
      <c r="AM14" s="273" t="s">
        <v>238</v>
      </c>
      <c r="AN14" s="250" t="s">
        <v>239</v>
      </c>
      <c r="AO14" s="250" t="s">
        <v>231</v>
      </c>
      <c r="AP14" s="250" t="s">
        <v>233</v>
      </c>
      <c r="AQ14" s="250" t="s">
        <v>229</v>
      </c>
      <c r="AR14" s="250" t="s">
        <v>832</v>
      </c>
      <c r="AS14" s="250" t="s">
        <v>828</v>
      </c>
      <c r="AT14" s="273" t="s">
        <v>240</v>
      </c>
      <c r="AU14" s="273" t="s">
        <v>241</v>
      </c>
      <c r="AV14" s="423" t="s">
        <v>242</v>
      </c>
      <c r="AW14" s="274" t="s">
        <v>471</v>
      </c>
      <c r="AX14" s="423" t="s">
        <v>243</v>
      </c>
      <c r="AY14" s="273" t="s">
        <v>244</v>
      </c>
      <c r="AZ14" s="442" t="s">
        <v>343</v>
      </c>
      <c r="BA14" s="273" t="s">
        <v>1094</v>
      </c>
    </row>
    <row r="15" spans="1:53" x14ac:dyDescent="0.2">
      <c r="A15" s="377" t="e">
        <f>INDEX(Prioritization!$D:$D,MATCH($B15,Prioritization!$A:$A,0))</f>
        <v>#N/A</v>
      </c>
      <c r="B15" s="5"/>
      <c r="C15" s="5"/>
      <c r="D15" s="5"/>
      <c r="E15" t="str">
        <f>$B15&amp;"|"&amp;$C15&amp;"|"&amp;$D15</f>
        <v>||</v>
      </c>
      <c r="F15" s="441" t="str">
        <f>IF(LEFT($B15,4)="_Mil","",INDEX(Cascade!$Z:$Z,MATCH($E15,Cascade!$E:$E,0)))</f>
        <v/>
      </c>
      <c r="G15" s="58">
        <f>INDEX(Cascade!$BE:$BE,MATCH($E15,Cascade!$E:$E,0))</f>
        <v>0</v>
      </c>
      <c r="H15" s="58" t="str">
        <f>IF($C15="01-09","",INDEX(PMTCT!$AC:$AC,MATCH($E15,PMTCT!$E:$E,0)))</f>
        <v/>
      </c>
      <c r="I15" s="58" t="str">
        <f>IF($C15="01-09","",INDEX(PMTCT!$AS:$AS,MATCH($E15,PMTCT!$E:$E,0)))</f>
        <v/>
      </c>
      <c r="J15" s="58" t="str">
        <f>INDEX(TB!$P:$P,MATCH($E15,TB!$E:$E,0))</f>
        <v/>
      </c>
      <c r="K15" s="58" t="str">
        <f>IF(OR($C15="01-09",$C15="10-14"),"",INDEX(VMMC!$AA:$AA,MATCH($E15,VMMC!$E:$E,0)))</f>
        <v/>
      </c>
      <c r="L15" s="58">
        <f>SUM($G15)-SUM($H15:$K15)</f>
        <v>0</v>
      </c>
      <c r="M15" s="441" t="str">
        <f>IF(OR($C15="01-09",AND(SUM($G15)=0,SUM($H15)=0)),"",SUM($H15)/SUM($G15))</f>
        <v/>
      </c>
      <c r="N15" s="432" t="str">
        <f>IF(OR($C15="01-09",AND(SUM($G15)=0,SUM($I15)=0)),"",SUM($I15)/SUM($G15))</f>
        <v/>
      </c>
      <c r="O15" s="432" t="str">
        <f>IF(AND(SUM($G15)=0,SUM($J15)=0),"",SUM($J15)/SUM($G15))</f>
        <v/>
      </c>
      <c r="P15" s="432" t="str">
        <f>IF(OR($C15="01-09",$C15="10-14",AND(SUM($G15)=0,SUM($K15)=0)),"",SUM($K15)/SUM($G15))</f>
        <v/>
      </c>
      <c r="Q15" s="422"/>
      <c r="R15" s="422"/>
      <c r="S15" s="422"/>
      <c r="T15" s="422"/>
      <c r="U15" s="422"/>
      <c r="V15" s="422" t="str">
        <f>IFERROR(1/(1/SUM($M15:$U15)),"")</f>
        <v/>
      </c>
      <c r="W15" s="441"/>
      <c r="X15" s="33" t="str">
        <f>IF(OR(SUM($G15)=0,SUM($Q15)=0),"",ROUND(SUM($G15)*SUM($Q15),0))</f>
        <v/>
      </c>
      <c r="Y15" s="33" t="str">
        <f>IF(SUM($X15)=0,"",IF(SUM($W15)=0,"ENTER YIELD",ROUND($X15/$W15,0)-$X15))</f>
        <v/>
      </c>
      <c r="Z15" s="441"/>
      <c r="AA15" s="33" t="str">
        <f>IF(OR(SUM($G15)=0,SUM($R15)=0),"",ROUND(SUM($G15)*SUM($R15),0))</f>
        <v/>
      </c>
      <c r="AB15" s="33" t="str">
        <f>IF(SUM($AA15)=0,"",IF(SUM($Z15)=0,"ENTER YIELD",ROUND($AA15/$Z15,0)-$AA15))</f>
        <v/>
      </c>
      <c r="AC15" s="441"/>
      <c r="AD15" s="33" t="str">
        <f>IF(OR(SUM($G15)=0,SUM($S15)=0),"",ROUND(SUM($G15)*SUM($S15),0))</f>
        <v/>
      </c>
      <c r="AE15" s="33" t="str">
        <f>IF(SUM($AD15)=0,"",IF(SUM($AC15)=0,"ENTER YIELD",ROUND($AD15/$AC15,0)-$AD15))</f>
        <v/>
      </c>
      <c r="AF15" s="441"/>
      <c r="AG15" s="33" t="str">
        <f>IF(OR(SUM($G15)=0,SUM($T15)=0),"",ROUND(SUM($G15)*SUM($T15),0))</f>
        <v/>
      </c>
      <c r="AH15" s="33" t="str">
        <f>IF(SUM($AG15)=0,"",IF(SUM($AF15)=0,"ENTER YIELD",ROUND($AG15/$AF15,0)-$AG15))</f>
        <v/>
      </c>
      <c r="AI15" s="441"/>
      <c r="AJ15" s="33" t="str">
        <f>IF(OR(SUM($G15)=0,SUM($U15)=0),"",ROUND(SUM($G15)*SUM($U15),0))</f>
        <v/>
      </c>
      <c r="AK15" s="33" t="str">
        <f>IF(SUM($AJ15)=0,"",IF(SUM($AI15)=0,"ENTER YIELD",ROUND($AJ15/$AI15,0)-$AJ15))</f>
        <v/>
      </c>
      <c r="AL15" s="53" t="str">
        <f>IF(SUM($G15)=0,"",$G15)</f>
        <v/>
      </c>
      <c r="AM15" s="103" t="str">
        <f>IFERROR(1/(1/SUM($H15:$K15,$X15,$AA15,$AD15,$AG15,$AJ15)),"")</f>
        <v/>
      </c>
      <c r="AN15" s="58" t="str">
        <f>IF(AND(SUM($AM15)=0,SUM($AL15)=0),"",$AM15-$AL15)</f>
        <v/>
      </c>
      <c r="AO15" s="58" t="str">
        <f>IF($C15="01-09","",INDEX(PMTCT!$AD:$AD,MATCH($E15,PMTCT!$E:$E,0)))</f>
        <v/>
      </c>
      <c r="AP15" s="58" t="str">
        <f>IF($C15="01-09","",INDEX(PMTCT!$AT:$AT,MATCH($E15,PMTCT!$E:$E,0)))</f>
        <v/>
      </c>
      <c r="AQ15" s="58" t="str">
        <f>INDEX(TB!$Q:$Q,MATCH($E15,TB!$E:$E,0))</f>
        <v/>
      </c>
      <c r="AR15" s="58" t="str">
        <f>IF(OR($C15="01-09",$C15="10-14"),"",INDEX(VMMC!$AB:$AB,MATCH($E15,VMMC!$E:$E,0)))</f>
        <v/>
      </c>
      <c r="AS15" s="58" t="str">
        <f>IF(OR($C15="01-09",$C15="10-14"),"",INDEX(PrEP!$Q:$Q,MATCH($E15,PrEP!$E:$E,0)))</f>
        <v/>
      </c>
      <c r="AT15" s="103" t="str">
        <f>IFERROR(1/(1/SUM($Y15,$AB15,$AE15,$AH15,$AK15,$AO15:$AS15)),"")</f>
        <v/>
      </c>
      <c r="AU15" s="103" t="str">
        <f>IFERROR(1/(1/SUM($AT15,$AM15)),"")</f>
        <v/>
      </c>
      <c r="AV15" s="422" t="str">
        <f>IF(AND(SUM($AM15)=0,SUM($AU15)=0),"",$AM15/$AU15)</f>
        <v/>
      </c>
      <c r="AX15" s="422" t="str">
        <f>IF(OR($C15="01-09",SUM($AW15)=0),"",0%)</f>
        <v/>
      </c>
      <c r="AY15" s="33" t="str">
        <f>IF(OR($C15="01-09",SUM($AW15)=0),"",ROUND($AW15*(1+$AX15),0))</f>
        <v/>
      </c>
      <c r="AZ15" s="441">
        <f>IF(OR($C15="01-09",$C15="10-14"),"",100%)</f>
        <v>1</v>
      </c>
      <c r="BA15" s="103" t="str">
        <f>IF(OR(SUM($AM15)=0,$C15="01-09",$C15="10-14"),"",$AM15*$AZ15)</f>
        <v/>
      </c>
    </row>
  </sheetData>
  <mergeCells count="1">
    <mergeCell ref="A2:B3"/>
  </mergeCells>
  <conditionalFormatting sqref="K1:K1048576 P1:P1048576 AR1:AR1048576">
    <cfRule type="expression" dxfId="286" priority="2">
      <formula>OR($D1="Female",$C1="01-09",$C1="10-14")</formula>
    </cfRule>
  </conditionalFormatting>
  <conditionalFormatting sqref="AW1:AY1048576">
    <cfRule type="expression" dxfId="285" priority="19">
      <formula>OR($C1="01-09")</formula>
    </cfRule>
  </conditionalFormatting>
  <conditionalFormatting sqref="H1:I1048576 M1:N1048576 AO1:AP1048576">
    <cfRule type="expression" dxfId="284" priority="1">
      <formula>OR($D1="Male",$C1="01-09")</formula>
    </cfRule>
  </conditionalFormatting>
  <conditionalFormatting sqref="AN1:AN1048576">
    <cfRule type="expression" dxfId="283" priority="55">
      <formula>AND(ISNUMBER($AN1),ROUND(SUM($AN1),0)&lt;&gt;0)</formula>
    </cfRule>
  </conditionalFormatting>
  <conditionalFormatting sqref="Y1:Y1048576 AB1:AB1048576 AE1:AE1048576 AH1:AH1048576 AK1:AK1048576">
    <cfRule type="containsText" dxfId="282" priority="46" operator="containsText" text="ENTER YIELD">
      <formula>NOT(ISERROR(SEARCH("ENTER YIELD",Y1)))</formula>
    </cfRule>
  </conditionalFormatting>
  <conditionalFormatting sqref="F1:F1048576">
    <cfRule type="expression" dxfId="281" priority="23">
      <formula>LEFT($B1,4)="_Mil"</formula>
    </cfRule>
  </conditionalFormatting>
  <conditionalFormatting sqref="F1:AW1048576 AY1:BA1048576">
    <cfRule type="expression" dxfId="280" priority="26">
      <formula>AND(ISNUMBER(F1),F1&lt;0)</formula>
    </cfRule>
  </conditionalFormatting>
  <conditionalFormatting sqref="AZ1:AZ1048576">
    <cfRule type="expression" dxfId="279" priority="701">
      <formula>AND(ISNUMBER(AZ1),AZ1&lt;1)</formula>
    </cfRule>
  </conditionalFormatting>
  <conditionalFormatting sqref="M1:V1048576">
    <cfRule type="expression" dxfId="278" priority="218">
      <formula>AND(ISNUMBER($V1),IF(SUM($G1)=0,$V1&lt;&gt;0,$V1&lt;&gt;1))</formula>
    </cfRule>
  </conditionalFormatting>
  <conditionalFormatting sqref="AS1:AS1048576 AZ1:BA1048576">
    <cfRule type="expression" dxfId="277" priority="22">
      <formula>OR($C1="01-09",$C1="10-14")</formula>
    </cfRule>
  </conditionalFormatting>
  <conditionalFormatting sqref="M1:W1048576 Z1:Z1048576 AC1:AC1048576 AF1:AF1048576 AI1:AI1048576 AV1:AV1048576 AZ1:AZ1048576">
    <cfRule type="expression" dxfId="276"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 workbookViewId="1"/>
  </sheetViews>
  <sheetFormatPr baseColWidth="10" defaultRowHeight="16" x14ac:dyDescent="0.2"/>
  <cols>
    <col min="1" max="1" width="16.1640625" style="377"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79" t="s">
        <v>5</v>
      </c>
      <c r="B1" s="4"/>
      <c r="C1" s="1"/>
      <c r="D1" s="1"/>
      <c r="E1" s="1"/>
      <c r="F1" s="268" t="s">
        <v>12</v>
      </c>
      <c r="G1" s="242"/>
      <c r="H1" s="242"/>
      <c r="I1" s="242"/>
      <c r="J1" s="239"/>
      <c r="K1" s="239"/>
      <c r="L1" s="239"/>
      <c r="M1" s="236"/>
    </row>
    <row r="2" spans="1:13" s="21" customFormat="1" ht="19" customHeight="1" x14ac:dyDescent="0.25">
      <c r="A2" s="374" t="s">
        <v>512</v>
      </c>
      <c r="B2" s="371"/>
      <c r="C2" s="2"/>
      <c r="D2" s="2"/>
      <c r="E2" s="2"/>
      <c r="F2" s="52"/>
      <c r="G2" s="46"/>
      <c r="H2" s="46"/>
      <c r="I2" s="46"/>
      <c r="J2" s="3"/>
      <c r="K2" s="3"/>
      <c r="L2" s="3"/>
      <c r="M2" s="329" t="s">
        <v>850</v>
      </c>
    </row>
    <row r="3" spans="1:13" ht="117" customHeight="1" thickBot="1" x14ac:dyDescent="0.25">
      <c r="A3" s="372"/>
      <c r="B3" s="373"/>
      <c r="C3" s="17"/>
      <c r="D3" s="17"/>
      <c r="E3" s="17"/>
      <c r="F3" s="73" t="s">
        <v>791</v>
      </c>
      <c r="G3" s="69" t="s">
        <v>790</v>
      </c>
      <c r="H3" s="130" t="s">
        <v>945</v>
      </c>
      <c r="I3" s="130" t="s">
        <v>693</v>
      </c>
      <c r="J3" s="167" t="s">
        <v>944</v>
      </c>
      <c r="K3" s="280" t="s">
        <v>947</v>
      </c>
      <c r="L3" s="280" t="s">
        <v>948</v>
      </c>
      <c r="M3" s="30" t="s">
        <v>789</v>
      </c>
    </row>
    <row r="4" spans="1:13" x14ac:dyDescent="0.2">
      <c r="A4" s="380"/>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s="377" t="s">
        <v>60</v>
      </c>
      <c r="B5" s="5" t="s">
        <v>60</v>
      </c>
      <c r="C5" s="5" t="s">
        <v>60</v>
      </c>
      <c r="D5" s="5" t="s">
        <v>60</v>
      </c>
      <c r="E5" s="5" t="s">
        <v>60</v>
      </c>
      <c r="F5" s="53" t="s">
        <v>71</v>
      </c>
      <c r="G5" s="38" t="s">
        <v>71</v>
      </c>
      <c r="H5" s="38" t="s">
        <v>60</v>
      </c>
      <c r="I5" s="38" t="s">
        <v>60</v>
      </c>
      <c r="J5" s="11" t="s">
        <v>60</v>
      </c>
      <c r="K5" s="11" t="s">
        <v>60</v>
      </c>
      <c r="L5" s="11" t="s">
        <v>60</v>
      </c>
      <c r="M5" s="33" t="s">
        <v>71</v>
      </c>
    </row>
    <row r="6" spans="1:13" x14ac:dyDescent="0.2">
      <c r="A6" s="377" t="s">
        <v>138</v>
      </c>
      <c r="B6" s="5" t="s">
        <v>138</v>
      </c>
      <c r="C6" s="5" t="s">
        <v>138</v>
      </c>
      <c r="D6" s="5" t="s">
        <v>138</v>
      </c>
      <c r="E6" s="5" t="s">
        <v>138</v>
      </c>
      <c r="F6" s="53" t="s">
        <v>72</v>
      </c>
      <c r="G6" s="38" t="s">
        <v>72</v>
      </c>
      <c r="H6" s="38" t="s">
        <v>55</v>
      </c>
      <c r="I6" s="38" t="s">
        <v>55</v>
      </c>
      <c r="J6" s="11" t="s">
        <v>73</v>
      </c>
      <c r="K6" s="11" t="s">
        <v>74</v>
      </c>
      <c r="L6" s="11" t="s">
        <v>74</v>
      </c>
      <c r="M6" s="33" t="s">
        <v>54</v>
      </c>
    </row>
    <row r="7" spans="1:13" x14ac:dyDescent="0.2">
      <c r="A7" s="377" t="s">
        <v>70</v>
      </c>
      <c r="B7" s="5" t="s">
        <v>70</v>
      </c>
      <c r="C7" s="5" t="s">
        <v>70</v>
      </c>
      <c r="D7" s="5" t="s">
        <v>70</v>
      </c>
      <c r="E7" s="5" t="s">
        <v>70</v>
      </c>
      <c r="F7" s="53" t="s">
        <v>56</v>
      </c>
      <c r="G7" s="38" t="s">
        <v>56</v>
      </c>
      <c r="H7" s="38" t="s">
        <v>56</v>
      </c>
      <c r="I7" s="38" t="s">
        <v>56</v>
      </c>
      <c r="J7" s="11" t="s">
        <v>57</v>
      </c>
      <c r="K7" s="11" t="s">
        <v>57</v>
      </c>
      <c r="L7" s="11" t="s">
        <v>57</v>
      </c>
      <c r="M7" s="33" t="s">
        <v>56</v>
      </c>
    </row>
    <row r="8" spans="1:13" x14ac:dyDescent="0.2">
      <c r="F8" s="345" t="s">
        <v>290</v>
      </c>
      <c r="G8" s="344" t="s">
        <v>104</v>
      </c>
      <c r="H8" s="334"/>
      <c r="I8" s="334"/>
      <c r="J8" s="147"/>
      <c r="K8" s="147"/>
      <c r="L8" s="147"/>
      <c r="M8" s="338" t="s">
        <v>104</v>
      </c>
    </row>
    <row r="9" spans="1:13" x14ac:dyDescent="0.2">
      <c r="F9" s="345" t="s">
        <v>291</v>
      </c>
      <c r="G9" s="344" t="s">
        <v>105</v>
      </c>
      <c r="H9" s="334"/>
      <c r="I9" s="334"/>
      <c r="J9" s="147"/>
      <c r="K9" s="147"/>
      <c r="L9" s="147"/>
      <c r="M9" s="338" t="s">
        <v>105</v>
      </c>
    </row>
    <row r="10" spans="1:13" x14ac:dyDescent="0.2">
      <c r="F10" s="346" t="s">
        <v>66</v>
      </c>
      <c r="G10" s="344" t="s">
        <v>66</v>
      </c>
      <c r="H10" s="334"/>
      <c r="I10" s="334"/>
      <c r="J10" s="147"/>
      <c r="K10" s="147"/>
      <c r="L10" s="147"/>
      <c r="M10" s="338" t="s">
        <v>66</v>
      </c>
    </row>
    <row r="11" spans="1:13" x14ac:dyDescent="0.2">
      <c r="F11" s="53" t="s">
        <v>992</v>
      </c>
      <c r="G11" s="38" t="s">
        <v>992</v>
      </c>
      <c r="H11" s="38" t="s">
        <v>992</v>
      </c>
      <c r="I11" s="38" t="s">
        <v>992</v>
      </c>
      <c r="J11" s="11" t="s">
        <v>992</v>
      </c>
      <c r="K11" s="11" t="s">
        <v>992</v>
      </c>
      <c r="L11" s="11" t="s">
        <v>992</v>
      </c>
      <c r="M11" s="33" t="s">
        <v>992</v>
      </c>
    </row>
    <row r="12" spans="1:13" x14ac:dyDescent="0.2">
      <c r="F12" s="53" t="s">
        <v>461</v>
      </c>
      <c r="G12" s="38" t="s">
        <v>461</v>
      </c>
      <c r="H12" s="38" t="s">
        <v>461</v>
      </c>
      <c r="I12" s="38" t="s">
        <v>461</v>
      </c>
      <c r="J12" s="11" t="s">
        <v>461</v>
      </c>
      <c r="K12" s="11" t="s">
        <v>461</v>
      </c>
      <c r="L12" s="11" t="s">
        <v>461</v>
      </c>
      <c r="M12" s="33" t="s">
        <v>461</v>
      </c>
    </row>
    <row r="14" spans="1:13" x14ac:dyDescent="0.2">
      <c r="A14" s="383" t="s">
        <v>44</v>
      </c>
      <c r="B14" s="263" t="s">
        <v>3</v>
      </c>
      <c r="C14" s="263" t="s">
        <v>25</v>
      </c>
      <c r="D14" s="263" t="s">
        <v>4</v>
      </c>
      <c r="E14" s="263" t="s">
        <v>48</v>
      </c>
      <c r="F14" s="274" t="s">
        <v>340</v>
      </c>
      <c r="G14" s="250" t="s">
        <v>341</v>
      </c>
      <c r="H14" s="250" t="s">
        <v>201</v>
      </c>
      <c r="I14" s="250" t="s">
        <v>202</v>
      </c>
      <c r="J14" s="251" t="s">
        <v>342</v>
      </c>
      <c r="K14" s="251" t="s">
        <v>949</v>
      </c>
      <c r="L14" s="251" t="s">
        <v>950</v>
      </c>
      <c r="M14" s="273" t="s">
        <v>245</v>
      </c>
    </row>
    <row r="15" spans="1:13" x14ac:dyDescent="0.2">
      <c r="A15" s="377" t="e">
        <f>INDEX(Prioritization!$D:$D,MATCH($B15,Prioritization!$A:$A,0))</f>
        <v>#N/A</v>
      </c>
      <c r="E15" s="5" t="str">
        <f>B15&amp;"|"&amp;C15&amp;"|"&amp;D15</f>
        <v>||</v>
      </c>
      <c r="H15" s="38" t="str">
        <f>IFERROR(1/(1/INDEX(Cascade!$O:$O,MATCH($E15,Cascade!$E:$E,0))),"")</f>
        <v/>
      </c>
      <c r="I15" s="38" t="str">
        <f>IFERROR(1/(1/INDEX(Cascade!$AS:$AS,MATCH($E15,Cascade!$E:$E,0))),"")</f>
        <v/>
      </c>
      <c r="K15" s="11">
        <f>1/3</f>
        <v>0.33333333333333331</v>
      </c>
      <c r="L15" s="11">
        <v>1</v>
      </c>
      <c r="M15" s="33" t="str">
        <f>IF(SUM($H15)=0,"",ROUND($H15*$K15+$I15*$L15,0))</f>
        <v/>
      </c>
    </row>
  </sheetData>
  <mergeCells count="1">
    <mergeCell ref="A2:B3"/>
  </mergeCells>
  <conditionalFormatting sqref="K1:K1048576">
    <cfRule type="expression" dxfId="275" priority="3">
      <formula>AND(ISNUMBER($K1),$K1&lt;33%)</formula>
    </cfRule>
  </conditionalFormatting>
  <conditionalFormatting sqref="J1:L1048576">
    <cfRule type="expression" dxfId="274" priority="2">
      <formula>AND(ISNUMBER(J1),J1&gt;1)</formula>
    </cfRule>
  </conditionalFormatting>
  <conditionalFormatting sqref="F1:M1048576">
    <cfRule type="expression" dxfId="273" priority="1">
      <formula>AND(ISNUMBER(F1),F1&lt;0)</formula>
    </cfRule>
  </conditionalFormatting>
  <conditionalFormatting sqref="L1:L1048576">
    <cfRule type="expression" dxfId="272"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tabSelected="1" zoomScale="140" zoomScaleNormal="140" workbookViewId="0">
      <pane xSplit="5" ySplit="14" topLeftCell="F15" activePane="bottomRight" state="frozen"/>
      <selection pane="topRight"/>
      <selection pane="bottomLeft"/>
      <selection pane="bottomRight" activeCell="V3" sqref="V3"/>
    </sheetView>
    <sheetView workbookViewId="1"/>
  </sheetViews>
  <sheetFormatPr baseColWidth="10" defaultRowHeight="16" x14ac:dyDescent="0.2"/>
  <cols>
    <col min="1" max="1" width="16.1640625" style="377"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89" customWidth="1"/>
    <col min="8" max="11" width="11.83203125" style="11" customWidth="1"/>
    <col min="12" max="15" width="11.83203125" style="33" customWidth="1"/>
    <col min="16" max="16" width="11.83203125" style="47" customWidth="1"/>
    <col min="17" max="18" width="11.83203125" style="36" customWidth="1"/>
    <col min="19" max="19" width="11.83203125" style="58" customWidth="1"/>
    <col min="20" max="20" width="11.83203125" style="432" customWidth="1"/>
    <col min="21" max="21" width="11.83203125" style="11" customWidth="1"/>
    <col min="22" max="22" width="11.83203125" style="126" customWidth="1"/>
    <col min="23" max="24" width="11.83203125" style="33" customWidth="1"/>
    <col min="25" max="25" width="11.83203125" style="82" customWidth="1"/>
    <col min="26" max="27" width="11.83203125" style="33" customWidth="1"/>
    <col min="28" max="29" width="11.83203125" style="11" customWidth="1"/>
  </cols>
  <sheetData>
    <row r="1" spans="1:29" s="22" customFormat="1" ht="31" customHeight="1" x14ac:dyDescent="0.3">
      <c r="A1" s="379" t="s">
        <v>53</v>
      </c>
      <c r="B1" s="4"/>
      <c r="C1" s="1"/>
      <c r="D1" s="1"/>
      <c r="E1" s="1"/>
      <c r="F1" s="271" t="s">
        <v>16</v>
      </c>
      <c r="G1" s="522"/>
      <c r="H1" s="239"/>
      <c r="I1" s="239"/>
      <c r="J1" s="239"/>
      <c r="K1" s="239"/>
      <c r="L1" s="236"/>
      <c r="M1" s="236"/>
      <c r="N1" s="236"/>
      <c r="O1" s="236"/>
      <c r="P1" s="271" t="s">
        <v>17</v>
      </c>
      <c r="Q1" s="242"/>
      <c r="R1" s="234"/>
      <c r="S1" s="234"/>
      <c r="T1" s="445"/>
      <c r="U1" s="239"/>
      <c r="V1" s="241"/>
      <c r="W1" s="236"/>
      <c r="X1" s="236"/>
      <c r="Y1" s="270" t="s">
        <v>28</v>
      </c>
      <c r="Z1" s="236"/>
      <c r="AA1" s="236"/>
      <c r="AB1" s="240"/>
      <c r="AC1" s="240"/>
    </row>
    <row r="2" spans="1:29" s="21" customFormat="1" ht="19" x14ac:dyDescent="0.25">
      <c r="A2" s="385"/>
      <c r="B2" s="2"/>
      <c r="C2" s="2"/>
      <c r="D2" s="2"/>
      <c r="E2" s="2"/>
      <c r="F2" s="50"/>
      <c r="G2" s="523"/>
      <c r="H2" s="3"/>
      <c r="I2" s="3"/>
      <c r="J2" s="3"/>
      <c r="K2" s="3"/>
      <c r="L2" s="329" t="s">
        <v>850</v>
      </c>
      <c r="M2" s="329" t="s">
        <v>850</v>
      </c>
      <c r="N2" s="329" t="s">
        <v>850</v>
      </c>
      <c r="O2" s="329" t="s">
        <v>850</v>
      </c>
      <c r="P2" s="50"/>
      <c r="Q2" s="46"/>
      <c r="R2" s="56"/>
      <c r="S2" s="56"/>
      <c r="T2" s="429"/>
      <c r="U2" s="3"/>
      <c r="V2" s="123"/>
      <c r="W2" s="329" t="s">
        <v>850</v>
      </c>
      <c r="X2" s="329" t="s">
        <v>850</v>
      </c>
      <c r="Y2" s="121"/>
      <c r="Z2" s="329" t="s">
        <v>850</v>
      </c>
      <c r="AA2" s="329" t="s">
        <v>850</v>
      </c>
      <c r="AB2" s="3"/>
      <c r="AC2" s="3"/>
    </row>
    <row r="3" spans="1:29" ht="117" customHeight="1" x14ac:dyDescent="0.2">
      <c r="A3" s="382"/>
      <c r="B3" s="17"/>
      <c r="C3" s="17"/>
      <c r="D3" s="17"/>
      <c r="E3" s="17"/>
      <c r="F3" s="129" t="s">
        <v>945</v>
      </c>
      <c r="G3" s="133" t="s">
        <v>788</v>
      </c>
      <c r="H3" s="280" t="s">
        <v>793</v>
      </c>
      <c r="I3" s="280" t="s">
        <v>792</v>
      </c>
      <c r="J3" s="280" t="s">
        <v>795</v>
      </c>
      <c r="K3" s="280" t="s">
        <v>794</v>
      </c>
      <c r="L3" s="30" t="s">
        <v>1030</v>
      </c>
      <c r="M3" s="30" t="s">
        <v>1031</v>
      </c>
      <c r="N3" s="30" t="s">
        <v>1028</v>
      </c>
      <c r="O3" s="30" t="s">
        <v>1029</v>
      </c>
      <c r="P3" s="73" t="s">
        <v>990</v>
      </c>
      <c r="Q3" s="74" t="s">
        <v>837</v>
      </c>
      <c r="R3" s="57" t="s">
        <v>836</v>
      </c>
      <c r="S3" s="525" t="s">
        <v>1095</v>
      </c>
      <c r="T3" s="458" t="s">
        <v>1096</v>
      </c>
      <c r="U3" s="280" t="s">
        <v>797</v>
      </c>
      <c r="V3" s="282" t="s">
        <v>796</v>
      </c>
      <c r="W3" s="30" t="s">
        <v>647</v>
      </c>
      <c r="X3" s="30" t="s">
        <v>648</v>
      </c>
      <c r="Y3" s="281" t="s">
        <v>798</v>
      </c>
      <c r="Z3" s="30" t="s">
        <v>647</v>
      </c>
      <c r="AA3" s="30" t="s">
        <v>648</v>
      </c>
      <c r="AB3" s="157" t="s">
        <v>1032</v>
      </c>
      <c r="AC3" s="157" t="s">
        <v>1033</v>
      </c>
    </row>
    <row r="4" spans="1:29" x14ac:dyDescent="0.2">
      <c r="A4" s="380"/>
      <c r="B4" s="15"/>
      <c r="C4" s="15"/>
      <c r="D4" s="15" t="s">
        <v>2</v>
      </c>
      <c r="E4" s="15"/>
      <c r="F4" s="51">
        <f>SUBTOTAL(109,F$15:INDEX(F:F,COUNTA($B:$B)+14-COUNTA($B$1:$B$14)))</f>
        <v>0</v>
      </c>
      <c r="G4" s="524">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51">
        <f>SUBTOTAL(109,S$15:INDEX(S:S,COUNTA($B:$B)+14-COUNTA($B$1:$B$14)))</f>
        <v>0</v>
      </c>
      <c r="T4" s="432" t="str">
        <f>IF(SUM($F4)=0,"",MIN($S4/$F4,1))</f>
        <v/>
      </c>
      <c r="U4" s="18" t="str">
        <f>IF(SUM($M$4)*SUM($T$4)=0,"",SUM($W$4)/(SUM($M$4)*SUM($T$4)))</f>
        <v/>
      </c>
      <c r="V4" s="125" t="str">
        <f>IF(SUM($O$4)=0,"",$X$4/$O$4)</f>
        <v/>
      </c>
      <c r="W4" s="32">
        <f>SUBTOTAL(109,W$15:INDEX(W:W,COUNTA($B:$B)+14-COUNTA($B$1:$B$14)))</f>
        <v>0</v>
      </c>
      <c r="X4" s="32">
        <f>SUBTOTAL(109,X$15:INDEX(X:X,COUNTA($B:$B)+14-COUNTA($B$1:$B$14)))</f>
        <v>0</v>
      </c>
      <c r="Y4" s="81"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s="377" t="s">
        <v>60</v>
      </c>
      <c r="B5" s="5" t="s">
        <v>60</v>
      </c>
      <c r="C5" s="5" t="s">
        <v>60</v>
      </c>
      <c r="D5" s="5" t="s">
        <v>60</v>
      </c>
      <c r="E5" s="5" t="s">
        <v>60</v>
      </c>
      <c r="F5" s="47" t="s">
        <v>60</v>
      </c>
      <c r="G5" s="389" t="s">
        <v>60</v>
      </c>
      <c r="H5" s="11" t="s">
        <v>60</v>
      </c>
      <c r="I5" s="11" t="s">
        <v>60</v>
      </c>
      <c r="J5" s="11" t="s">
        <v>60</v>
      </c>
      <c r="K5" s="11" t="s">
        <v>60</v>
      </c>
      <c r="L5" s="33" t="s">
        <v>71</v>
      </c>
      <c r="M5" s="33" t="s">
        <v>71</v>
      </c>
      <c r="N5" s="33" t="s">
        <v>71</v>
      </c>
      <c r="O5" s="33" t="s">
        <v>71</v>
      </c>
      <c r="P5" s="47" t="s">
        <v>60</v>
      </c>
      <c r="Q5" s="36" t="s">
        <v>71</v>
      </c>
      <c r="R5" s="36" t="s">
        <v>71</v>
      </c>
      <c r="S5" s="58" t="s">
        <v>60</v>
      </c>
      <c r="T5" s="432" t="s">
        <v>60</v>
      </c>
      <c r="U5" s="11" t="s">
        <v>60</v>
      </c>
      <c r="V5" s="126" t="s">
        <v>60</v>
      </c>
      <c r="W5" s="33" t="s">
        <v>71</v>
      </c>
      <c r="X5" s="33" t="s">
        <v>71</v>
      </c>
      <c r="Y5" s="82" t="s">
        <v>60</v>
      </c>
      <c r="Z5" s="33" t="s">
        <v>71</v>
      </c>
      <c r="AA5" s="33" t="s">
        <v>71</v>
      </c>
      <c r="AB5" s="11" t="s">
        <v>60</v>
      </c>
      <c r="AC5" s="11" t="s">
        <v>60</v>
      </c>
    </row>
    <row r="6" spans="1:29" x14ac:dyDescent="0.2">
      <c r="A6" s="377" t="s">
        <v>138</v>
      </c>
      <c r="B6" s="5" t="s">
        <v>138</v>
      </c>
      <c r="C6" s="5" t="s">
        <v>138</v>
      </c>
      <c r="D6" s="5" t="s">
        <v>138</v>
      </c>
      <c r="E6" s="5" t="s">
        <v>138</v>
      </c>
      <c r="F6" s="47" t="s">
        <v>55</v>
      </c>
      <c r="G6" s="389" t="s">
        <v>55</v>
      </c>
      <c r="H6" s="11" t="s">
        <v>74</v>
      </c>
      <c r="I6" s="11" t="s">
        <v>74</v>
      </c>
      <c r="J6" s="11" t="s">
        <v>73</v>
      </c>
      <c r="K6" s="11" t="s">
        <v>73</v>
      </c>
      <c r="L6" s="33" t="s">
        <v>54</v>
      </c>
      <c r="M6" s="33" t="s">
        <v>54</v>
      </c>
      <c r="N6" s="33" t="s">
        <v>54</v>
      </c>
      <c r="O6" s="33" t="s">
        <v>54</v>
      </c>
      <c r="P6" s="47" t="s">
        <v>73</v>
      </c>
      <c r="Q6" s="36" t="s">
        <v>72</v>
      </c>
      <c r="R6" s="36" t="s">
        <v>72</v>
      </c>
      <c r="S6" s="58" t="s">
        <v>74</v>
      </c>
      <c r="T6" s="432" t="s">
        <v>74</v>
      </c>
      <c r="U6" s="11" t="s">
        <v>74</v>
      </c>
      <c r="V6" s="126" t="s">
        <v>74</v>
      </c>
      <c r="W6" s="33" t="s">
        <v>54</v>
      </c>
      <c r="X6" s="33" t="s">
        <v>54</v>
      </c>
      <c r="Y6" s="82" t="s">
        <v>74</v>
      </c>
      <c r="Z6" s="33" t="s">
        <v>54</v>
      </c>
      <c r="AA6" s="33" t="s">
        <v>54</v>
      </c>
      <c r="AB6" s="11" t="s">
        <v>55</v>
      </c>
      <c r="AC6" s="11" t="s">
        <v>55</v>
      </c>
    </row>
    <row r="7" spans="1:29" x14ac:dyDescent="0.2">
      <c r="A7" s="377" t="s">
        <v>70</v>
      </c>
      <c r="B7" s="5" t="s">
        <v>70</v>
      </c>
      <c r="C7" s="5" t="s">
        <v>70</v>
      </c>
      <c r="D7" s="5" t="s">
        <v>70</v>
      </c>
      <c r="E7" s="5" t="s">
        <v>70</v>
      </c>
      <c r="F7" s="47" t="s">
        <v>56</v>
      </c>
      <c r="G7" s="389" t="s">
        <v>56</v>
      </c>
      <c r="H7" s="11" t="s">
        <v>57</v>
      </c>
      <c r="I7" s="11" t="s">
        <v>57</v>
      </c>
      <c r="J7" s="11" t="s">
        <v>57</v>
      </c>
      <c r="K7" s="11" t="s">
        <v>57</v>
      </c>
      <c r="L7" s="33" t="s">
        <v>56</v>
      </c>
      <c r="M7" s="33" t="s">
        <v>56</v>
      </c>
      <c r="N7" s="33" t="s">
        <v>56</v>
      </c>
      <c r="O7" s="33" t="s">
        <v>56</v>
      </c>
      <c r="P7" s="47" t="s">
        <v>56</v>
      </c>
      <c r="Q7" s="36" t="s">
        <v>56</v>
      </c>
      <c r="R7" s="36" t="s">
        <v>56</v>
      </c>
      <c r="S7" s="58" t="s">
        <v>56</v>
      </c>
      <c r="T7" s="432" t="s">
        <v>57</v>
      </c>
      <c r="U7" s="11" t="s">
        <v>57</v>
      </c>
      <c r="V7" s="126" t="s">
        <v>57</v>
      </c>
      <c r="W7" s="33" t="s">
        <v>56</v>
      </c>
      <c r="X7" s="33" t="s">
        <v>56</v>
      </c>
      <c r="Y7" s="82" t="s">
        <v>57</v>
      </c>
      <c r="Z7" s="33" t="s">
        <v>56</v>
      </c>
      <c r="AA7" s="33" t="s">
        <v>56</v>
      </c>
      <c r="AB7" s="11" t="s">
        <v>57</v>
      </c>
      <c r="AC7" s="11" t="s">
        <v>57</v>
      </c>
    </row>
    <row r="8" spans="1:29" x14ac:dyDescent="0.2">
      <c r="L8" s="338" t="s">
        <v>108</v>
      </c>
      <c r="M8" s="338" t="s">
        <v>108</v>
      </c>
      <c r="N8" s="338" t="s">
        <v>108</v>
      </c>
      <c r="O8" s="338" t="s">
        <v>108</v>
      </c>
      <c r="Q8" s="344" t="s">
        <v>144</v>
      </c>
      <c r="R8" s="344" t="s">
        <v>144</v>
      </c>
      <c r="S8" s="336"/>
      <c r="T8" s="526"/>
      <c r="U8" s="147"/>
      <c r="V8" s="335"/>
      <c r="W8" s="338" t="s">
        <v>143</v>
      </c>
      <c r="X8" s="338" t="s">
        <v>143</v>
      </c>
      <c r="Y8" s="146"/>
      <c r="Z8" s="338" t="s">
        <v>144</v>
      </c>
      <c r="AA8" s="338" t="s">
        <v>144</v>
      </c>
      <c r="AB8" s="147"/>
      <c r="AC8" s="147"/>
    </row>
    <row r="9" spans="1:29" x14ac:dyDescent="0.2">
      <c r="L9" s="338" t="s">
        <v>109</v>
      </c>
      <c r="M9" s="338" t="s">
        <v>109</v>
      </c>
      <c r="N9" s="338" t="s">
        <v>109</v>
      </c>
      <c r="O9" s="338" t="s">
        <v>109</v>
      </c>
      <c r="Q9" s="344" t="s">
        <v>145</v>
      </c>
      <c r="R9" s="344" t="s">
        <v>145</v>
      </c>
      <c r="S9" s="336"/>
      <c r="T9" s="526"/>
      <c r="U9" s="147"/>
      <c r="V9" s="335"/>
      <c r="W9" s="338" t="s">
        <v>142</v>
      </c>
      <c r="X9" s="338" t="s">
        <v>142</v>
      </c>
      <c r="Y9" s="146"/>
      <c r="Z9" s="338" t="s">
        <v>145</v>
      </c>
      <c r="AA9" s="338" t="s">
        <v>145</v>
      </c>
      <c r="AB9" s="147"/>
      <c r="AC9" s="147"/>
    </row>
    <row r="10" spans="1:29" x14ac:dyDescent="0.2">
      <c r="L10" s="338" t="s">
        <v>112</v>
      </c>
      <c r="M10" s="338" t="s">
        <v>113</v>
      </c>
      <c r="N10" s="338" t="s">
        <v>110</v>
      </c>
      <c r="O10" s="338" t="s">
        <v>111</v>
      </c>
      <c r="Q10" s="344" t="s">
        <v>82</v>
      </c>
      <c r="R10" s="344" t="s">
        <v>81</v>
      </c>
      <c r="S10" s="336"/>
      <c r="T10" s="526"/>
      <c r="U10" s="147"/>
      <c r="V10" s="335"/>
      <c r="W10" s="338" t="s">
        <v>82</v>
      </c>
      <c r="X10" s="338" t="s">
        <v>81</v>
      </c>
      <c r="Y10" s="146"/>
      <c r="Z10" s="338" t="s">
        <v>82</v>
      </c>
      <c r="AA10" s="338" t="s">
        <v>81</v>
      </c>
      <c r="AB10" s="147"/>
      <c r="AC10" s="147"/>
    </row>
    <row r="11" spans="1:29" x14ac:dyDescent="0.2">
      <c r="F11" s="47" t="s">
        <v>463</v>
      </c>
      <c r="G11" s="389" t="s">
        <v>463</v>
      </c>
      <c r="H11" s="11" t="s">
        <v>463</v>
      </c>
      <c r="I11" s="11" t="s">
        <v>463</v>
      </c>
      <c r="J11" s="11" t="s">
        <v>463</v>
      </c>
      <c r="K11" s="11" t="s">
        <v>463</v>
      </c>
      <c r="L11" s="33" t="s">
        <v>463</v>
      </c>
      <c r="M11" s="33" t="s">
        <v>463</v>
      </c>
      <c r="N11" s="33" t="s">
        <v>463</v>
      </c>
      <c r="O11" s="33" t="s">
        <v>463</v>
      </c>
      <c r="P11" s="47" t="s">
        <v>463</v>
      </c>
      <c r="Q11" s="36" t="s">
        <v>463</v>
      </c>
      <c r="R11" s="36" t="s">
        <v>463</v>
      </c>
      <c r="S11" s="58" t="s">
        <v>463</v>
      </c>
      <c r="T11" s="432" t="s">
        <v>463</v>
      </c>
      <c r="U11" s="11" t="s">
        <v>463</v>
      </c>
      <c r="V11" s="126" t="s">
        <v>463</v>
      </c>
      <c r="W11" s="33" t="s">
        <v>463</v>
      </c>
      <c r="X11" s="33" t="s">
        <v>463</v>
      </c>
      <c r="Y11" s="82" t="s">
        <v>463</v>
      </c>
      <c r="Z11" s="33" t="s">
        <v>463</v>
      </c>
      <c r="AA11" s="33" t="s">
        <v>463</v>
      </c>
      <c r="AB11" s="11" t="s">
        <v>463</v>
      </c>
      <c r="AC11" s="11" t="s">
        <v>463</v>
      </c>
    </row>
    <row r="12" spans="1:29" x14ac:dyDescent="0.2">
      <c r="F12" s="47" t="s">
        <v>139</v>
      </c>
      <c r="G12" s="389" t="s">
        <v>139</v>
      </c>
      <c r="H12" s="11" t="s">
        <v>139</v>
      </c>
      <c r="I12" s="11" t="s">
        <v>139</v>
      </c>
      <c r="J12" s="11" t="s">
        <v>139</v>
      </c>
      <c r="K12" s="11" t="s">
        <v>139</v>
      </c>
      <c r="L12" s="33" t="s">
        <v>139</v>
      </c>
      <c r="M12" s="33" t="s">
        <v>139</v>
      </c>
      <c r="N12" s="33" t="s">
        <v>139</v>
      </c>
      <c r="O12" s="33" t="s">
        <v>139</v>
      </c>
      <c r="P12" s="47" t="s">
        <v>139</v>
      </c>
      <c r="Q12" s="36" t="s">
        <v>139</v>
      </c>
      <c r="R12" s="36" t="s">
        <v>139</v>
      </c>
      <c r="S12" s="58" t="s">
        <v>139</v>
      </c>
      <c r="T12" s="432" t="s">
        <v>139</v>
      </c>
      <c r="U12" s="11" t="s">
        <v>139</v>
      </c>
      <c r="V12" s="126" t="s">
        <v>139</v>
      </c>
      <c r="W12" s="33" t="s">
        <v>139</v>
      </c>
      <c r="X12" s="33" t="s">
        <v>139</v>
      </c>
      <c r="Y12" s="82" t="s">
        <v>139</v>
      </c>
      <c r="Z12" s="33" t="s">
        <v>139</v>
      </c>
      <c r="AA12" s="33" t="s">
        <v>139</v>
      </c>
      <c r="AB12" s="11" t="s">
        <v>139</v>
      </c>
      <c r="AC12" s="11" t="s">
        <v>139</v>
      </c>
    </row>
    <row r="14" spans="1:29" x14ac:dyDescent="0.2">
      <c r="A14" s="383" t="s">
        <v>44</v>
      </c>
      <c r="B14" s="263" t="s">
        <v>3</v>
      </c>
      <c r="C14" s="245" t="s">
        <v>25</v>
      </c>
      <c r="D14" s="245" t="s">
        <v>4</v>
      </c>
      <c r="E14" s="245" t="s">
        <v>48</v>
      </c>
      <c r="F14" s="274" t="s">
        <v>201</v>
      </c>
      <c r="G14" s="247" t="s">
        <v>203</v>
      </c>
      <c r="H14" s="251" t="s">
        <v>563</v>
      </c>
      <c r="I14" s="251" t="s">
        <v>562</v>
      </c>
      <c r="J14" s="251" t="s">
        <v>247</v>
      </c>
      <c r="K14" s="251" t="s">
        <v>246</v>
      </c>
      <c r="L14" s="273" t="s">
        <v>250</v>
      </c>
      <c r="M14" s="273" t="s">
        <v>251</v>
      </c>
      <c r="N14" s="273" t="s">
        <v>248</v>
      </c>
      <c r="O14" s="273" t="s">
        <v>249</v>
      </c>
      <c r="P14" s="274" t="s">
        <v>583</v>
      </c>
      <c r="Q14" s="250" t="s">
        <v>257</v>
      </c>
      <c r="R14" s="247" t="s">
        <v>256</v>
      </c>
      <c r="S14" s="247" t="s">
        <v>1018</v>
      </c>
      <c r="T14" s="434" t="s">
        <v>1019</v>
      </c>
      <c r="U14" s="251" t="s">
        <v>253</v>
      </c>
      <c r="V14" s="252" t="s">
        <v>252</v>
      </c>
      <c r="W14" s="273" t="s">
        <v>255</v>
      </c>
      <c r="X14" s="273" t="s">
        <v>254</v>
      </c>
      <c r="Y14" s="279" t="s">
        <v>1020</v>
      </c>
      <c r="Z14" s="273" t="s">
        <v>259</v>
      </c>
      <c r="AA14" s="273" t="s">
        <v>258</v>
      </c>
      <c r="AB14" s="251" t="s">
        <v>1022</v>
      </c>
      <c r="AC14" s="251" t="s">
        <v>1021</v>
      </c>
    </row>
    <row r="15" spans="1:29" x14ac:dyDescent="0.2">
      <c r="A15" s="377" t="e">
        <f>INDEX(Prioritization!$D:$D,MATCH($B15,Prioritization!$A:$A,0))</f>
        <v>#N/A</v>
      </c>
      <c r="E15" s="5" t="str">
        <f>B15&amp;"|"&amp;C15&amp;"|"&amp;D15</f>
        <v>||</v>
      </c>
      <c r="F15" s="47" t="str" cm="1">
        <f t="array" ref="F15">IFERROR(1/(1/SUM(SUMIFS(Cascade!$O:$O,Cascade!$B:$B,$B15,Cascade!$C:$C,IF($C15="&lt;15",{"=&lt;01","01-09","10-14"},{"15-24","25-34","35-49","50+"}),Cascade!$D:$D,$D15))),"")</f>
        <v/>
      </c>
      <c r="G15" s="389" t="str" cm="1">
        <f t="array" ref="G15">IFERROR(1/(1/SUM(SUMIFS(Cascade!$AU:$AU,Cascade!$B:$B,$B15,Cascade!$C:$C,IF($C15="&lt;15",{"=&lt;01","01-09","10-14"},{"15-24","25-34","35-49","50+"}),Cascade!$D:$D,$D15))),"")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8" t="str">
        <f>IFERROR(1/(1/SUM($P15,$R15,$Q15)),"")</f>
        <v/>
      </c>
      <c r="T15" s="432" t="str">
        <f>IF(SUM($F15)=0,"",MIN($S15/$F15,1))</f>
        <v/>
      </c>
      <c r="U15" s="11">
        <v>1</v>
      </c>
      <c r="V15" s="126">
        <v>1</v>
      </c>
      <c r="W15" s="33" t="str">
        <f>IF(SUM($M15)=0,"",IF($T15="","ENTER ELIGIBILITY RATE",IF($U15 = "","ENTER INITIATION RATE",ROUND($M15*$T15*$U15,0))))</f>
        <v/>
      </c>
      <c r="X15" s="33" t="str">
        <f>IF(SUM($O15)=0,"",IF($V15="","ENTER INITIATION RATE",ROUND($O15*$V15,0)))</f>
        <v/>
      </c>
      <c r="Y15" s="82">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17" priority="3853">
      <formula>AND(ISNUMBER(Y1),ROUND(SUM(Y1),2)&lt;90%)</formula>
    </cfRule>
    <cfRule type="expression" dxfId="16" priority="1">
      <formula>OR(Z1="ENTER COMPLETION RATE",AA1="ENTER COMPLETION RATE")</formula>
    </cfRule>
  </conditionalFormatting>
  <conditionalFormatting sqref="H1:K1048576 T1:V1048576 Y1:Y1048576">
    <cfRule type="expression" dxfId="15" priority="4">
      <formula>AND(ISNUMBER(H1),H1&gt;1)</formula>
    </cfRule>
  </conditionalFormatting>
  <conditionalFormatting sqref="H1:H1048576 J1:J1048576">
    <cfRule type="expression" dxfId="14" priority="5">
      <formula>AND(SUM($F1)&gt;0,H1="",ROW(H1)&gt;14)</formula>
    </cfRule>
  </conditionalFormatting>
  <conditionalFormatting sqref="H1:I1048576 U1:V1048576">
    <cfRule type="expression" dxfId="13" priority="3849">
      <formula>AND(ISNUMBER(H1),ROUND(SUM(H1),2)&lt;100%)</formula>
    </cfRule>
  </conditionalFormatting>
  <conditionalFormatting sqref="F1:AA1048576">
    <cfRule type="expression" dxfId="12" priority="2">
      <formula>AND(ISNUMBER(F1),F1&lt;0)</formula>
    </cfRule>
  </conditionalFormatting>
  <conditionalFormatting sqref="U1:V1048576">
    <cfRule type="expression" dxfId="11" priority="2167">
      <formula>W1="ENTER INITIATION RATE"</formula>
    </cfRule>
  </conditionalFormatting>
  <conditionalFormatting sqref="T1:T1048576">
    <cfRule type="expression" dxfId="10" priority="3285">
      <formula>W1="ENTER ELIGIBILITY RATE"</formula>
    </cfRule>
  </conditionalFormatting>
  <conditionalFormatting sqref="K1:K1048576 I1:I1048576">
    <cfRule type="expression" dxfId="9"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 workbookViewId="1"/>
  </sheetViews>
  <sheetFormatPr baseColWidth="10" defaultRowHeight="16" x14ac:dyDescent="0.2"/>
  <cols>
    <col min="1" max="1" width="16.1640625" style="377"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79" t="s">
        <v>9</v>
      </c>
      <c r="B1" s="4"/>
      <c r="C1" s="1"/>
      <c r="D1" s="1"/>
      <c r="E1" s="1"/>
      <c r="F1" s="271" t="s">
        <v>32</v>
      </c>
      <c r="G1" s="239"/>
      <c r="H1" s="236"/>
    </row>
    <row r="2" spans="1:8" s="21" customFormat="1" ht="19" x14ac:dyDescent="0.25">
      <c r="A2" s="385"/>
      <c r="B2" s="2"/>
      <c r="C2" s="2"/>
      <c r="D2" s="2"/>
      <c r="E2" s="2"/>
      <c r="F2" s="50"/>
      <c r="G2" s="3"/>
      <c r="H2" s="329" t="s">
        <v>850</v>
      </c>
    </row>
    <row r="3" spans="1:8" ht="117" customHeight="1" x14ac:dyDescent="0.2">
      <c r="A3" s="382"/>
      <c r="B3" s="17"/>
      <c r="C3" s="17"/>
      <c r="D3" s="17"/>
      <c r="E3" s="17"/>
      <c r="F3" s="73" t="s">
        <v>957</v>
      </c>
      <c r="G3" s="280" t="s">
        <v>156</v>
      </c>
      <c r="H3" s="30" t="s">
        <v>799</v>
      </c>
    </row>
    <row r="4" spans="1:8" x14ac:dyDescent="0.2">
      <c r="A4" s="380"/>
      <c r="B4" s="15"/>
      <c r="C4" s="15"/>
      <c r="D4" s="15" t="s">
        <v>2</v>
      </c>
      <c r="E4" s="15"/>
      <c r="F4" s="51">
        <f>SUBTOTAL(109,F$15:INDEX(F:F,COUNTA($B:$B)+14-COUNTA($B$1:$B$14)))</f>
        <v>0</v>
      </c>
      <c r="G4" s="18" t="str">
        <f>IF($F$4=0,"",$H$4/$F$4-1)</f>
        <v/>
      </c>
      <c r="H4" s="32">
        <f>SUBTOTAL(109,H$15:INDEX(H:H,COUNTA($B:$B)+14-COUNTA($B$1:$B$14)))</f>
        <v>0</v>
      </c>
    </row>
    <row r="5" spans="1:8" x14ac:dyDescent="0.2">
      <c r="A5" s="377" t="s">
        <v>60</v>
      </c>
      <c r="B5" s="5" t="s">
        <v>60</v>
      </c>
      <c r="C5" s="5" t="s">
        <v>60</v>
      </c>
      <c r="D5" s="5" t="s">
        <v>60</v>
      </c>
      <c r="E5" s="5" t="s">
        <v>60</v>
      </c>
      <c r="F5" s="47" t="s">
        <v>71</v>
      </c>
      <c r="G5" s="11" t="s">
        <v>60</v>
      </c>
      <c r="H5" s="33" t="s">
        <v>71</v>
      </c>
    </row>
    <row r="6" spans="1:8" x14ac:dyDescent="0.2">
      <c r="A6" s="377" t="s">
        <v>138</v>
      </c>
      <c r="B6" s="5" t="s">
        <v>138</v>
      </c>
      <c r="C6" s="5" t="s">
        <v>138</v>
      </c>
      <c r="D6" s="5" t="s">
        <v>138</v>
      </c>
      <c r="E6" s="5" t="s">
        <v>138</v>
      </c>
      <c r="F6" s="47" t="s">
        <v>72</v>
      </c>
      <c r="G6" s="11" t="s">
        <v>74</v>
      </c>
      <c r="H6" s="33" t="s">
        <v>54</v>
      </c>
    </row>
    <row r="7" spans="1:8" x14ac:dyDescent="0.2">
      <c r="A7" s="377" t="s">
        <v>70</v>
      </c>
      <c r="B7" s="5" t="s">
        <v>70</v>
      </c>
      <c r="C7" s="5" t="s">
        <v>70</v>
      </c>
      <c r="D7" s="5" t="s">
        <v>70</v>
      </c>
      <c r="E7" s="5" t="s">
        <v>70</v>
      </c>
      <c r="F7" s="47" t="s">
        <v>56</v>
      </c>
      <c r="G7" s="11" t="s">
        <v>57</v>
      </c>
      <c r="H7" s="33" t="s">
        <v>56</v>
      </c>
    </row>
    <row r="8" spans="1:8" x14ac:dyDescent="0.2">
      <c r="F8" s="346" t="s">
        <v>130</v>
      </c>
      <c r="G8" s="147"/>
      <c r="H8" s="338" t="s">
        <v>130</v>
      </c>
    </row>
    <row r="9" spans="1:8" x14ac:dyDescent="0.2">
      <c r="F9" s="346" t="s">
        <v>131</v>
      </c>
      <c r="G9" s="147"/>
      <c r="H9" s="338" t="s">
        <v>131</v>
      </c>
    </row>
    <row r="10" spans="1:8" x14ac:dyDescent="0.2">
      <c r="F10" s="346"/>
      <c r="G10" s="147"/>
      <c r="H10" s="338"/>
    </row>
    <row r="11" spans="1:8" x14ac:dyDescent="0.2">
      <c r="F11" s="47" t="s">
        <v>994</v>
      </c>
      <c r="G11" s="19" t="s">
        <v>994</v>
      </c>
      <c r="H11" s="33" t="s">
        <v>994</v>
      </c>
    </row>
    <row r="12" spans="1:8" x14ac:dyDescent="0.2">
      <c r="F12" s="47" t="s">
        <v>139</v>
      </c>
      <c r="G12" s="11" t="s">
        <v>139</v>
      </c>
      <c r="H12" s="33" t="s">
        <v>139</v>
      </c>
    </row>
    <row r="14" spans="1:8" x14ac:dyDescent="0.2">
      <c r="A14" s="381" t="s">
        <v>44</v>
      </c>
      <c r="B14" s="245" t="s">
        <v>3</v>
      </c>
      <c r="C14" s="245" t="s">
        <v>25</v>
      </c>
      <c r="D14" s="245" t="s">
        <v>4</v>
      </c>
      <c r="E14" s="245" t="s">
        <v>48</v>
      </c>
      <c r="F14" s="274" t="s">
        <v>276</v>
      </c>
      <c r="G14" s="251" t="s">
        <v>345</v>
      </c>
      <c r="H14" s="273" t="s">
        <v>277</v>
      </c>
    </row>
    <row r="15" spans="1:8" x14ac:dyDescent="0.2">
      <c r="A15" s="377" t="e">
        <f>INDEX(Prioritization!$D:$D,MATCH($B15,Prioritization!$A:$A,0))</f>
        <v>#N/A</v>
      </c>
      <c r="E15" s="5" t="str">
        <f>B15&amp;"|"&amp;C15&amp;"|"&amp;D15</f>
        <v>||</v>
      </c>
      <c r="G15" s="11" t="str">
        <f>IF(SUM($F15)=0,"",0%)</f>
        <v/>
      </c>
      <c r="H15" s="33" t="str">
        <f>IF(SUM($F15)=0,"",ROUND($F15*(1+$G15),0))</f>
        <v/>
      </c>
    </row>
  </sheetData>
  <conditionalFormatting sqref="F1:F1048576 H1:H1048576">
    <cfRule type="expression" dxfId="271" priority="2">
      <formula>AND(ISNUMBER(D1),F1&lt;0)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F15" sqref="F15"/>
    </sheetView>
    <sheetView workbookViewId="1"/>
  </sheetViews>
  <sheetFormatPr baseColWidth="10" defaultRowHeight="16" x14ac:dyDescent="0.2"/>
  <cols>
    <col min="1" max="1" width="16.1640625" style="377" customWidth="1"/>
    <col min="2" max="2" width="30.83203125" customWidth="1"/>
    <col min="3" max="3" width="10.83203125" customWidth="1"/>
    <col min="4" max="4" width="7.83203125" customWidth="1"/>
    <col min="5" max="5" width="7" hidden="1" customWidth="1"/>
    <col min="6" max="6" width="11.83203125" style="36" customWidth="1"/>
    <col min="7" max="7" width="11.83203125" style="377" customWidth="1"/>
    <col min="8" max="9" width="11.83203125" style="36" customWidth="1"/>
    <col min="10" max="14" width="11.83203125" style="19" customWidth="1"/>
    <col min="15" max="19" width="11.83203125" style="36" customWidth="1"/>
    <col min="20" max="20" width="11.83203125" style="19" customWidth="1"/>
    <col min="21" max="21" width="11.83203125" style="36" customWidth="1"/>
  </cols>
  <sheetData>
    <row r="1" spans="1:21" s="22" customFormat="1" ht="31" customHeight="1" x14ac:dyDescent="0.3">
      <c r="A1" s="379" t="s">
        <v>8</v>
      </c>
      <c r="B1" s="4"/>
      <c r="C1" s="1"/>
      <c r="D1" s="1"/>
      <c r="E1" s="363"/>
      <c r="F1" s="287" t="s">
        <v>31</v>
      </c>
      <c r="G1" s="489"/>
      <c r="H1" s="287"/>
      <c r="I1" s="236"/>
      <c r="J1" s="418"/>
      <c r="K1" s="418"/>
      <c r="L1" s="418"/>
      <c r="M1" s="418"/>
      <c r="N1" s="418"/>
      <c r="O1" s="236"/>
      <c r="P1" s="236"/>
      <c r="Q1" s="236"/>
      <c r="R1" s="236"/>
      <c r="S1" s="236"/>
      <c r="T1" s="437" t="s">
        <v>33</v>
      </c>
      <c r="U1" s="236"/>
    </row>
    <row r="2" spans="1:21" s="21" customFormat="1" ht="19" x14ac:dyDescent="0.25">
      <c r="A2" s="385"/>
      <c r="B2" s="2"/>
      <c r="C2" s="2"/>
      <c r="D2" s="2"/>
      <c r="E2" s="13"/>
      <c r="F2" s="85"/>
      <c r="G2" s="490"/>
      <c r="H2" s="85"/>
      <c r="I2" s="34"/>
      <c r="J2" s="419"/>
      <c r="K2" s="419"/>
      <c r="L2" s="419"/>
      <c r="M2" s="419"/>
      <c r="N2" s="419"/>
      <c r="O2" s="29"/>
      <c r="P2" s="329" t="s">
        <v>850</v>
      </c>
      <c r="Q2" s="329" t="s">
        <v>850</v>
      </c>
      <c r="R2" s="329" t="s">
        <v>850</v>
      </c>
      <c r="S2" s="329" t="s">
        <v>850</v>
      </c>
      <c r="T2" s="438"/>
      <c r="U2" s="329" t="s">
        <v>850</v>
      </c>
    </row>
    <row r="3" spans="1:21" ht="117" customHeight="1" x14ac:dyDescent="0.2">
      <c r="A3" s="382"/>
      <c r="B3" s="17"/>
      <c r="C3" s="17"/>
      <c r="D3" s="17"/>
      <c r="E3" s="364"/>
      <c r="F3" s="130" t="s">
        <v>872</v>
      </c>
      <c r="G3" s="491" t="s">
        <v>304</v>
      </c>
      <c r="H3" s="69" t="s">
        <v>1034</v>
      </c>
      <c r="I3" s="69" t="s">
        <v>1035</v>
      </c>
      <c r="J3" s="454" t="s">
        <v>1036</v>
      </c>
      <c r="K3" s="454" t="s">
        <v>800</v>
      </c>
      <c r="L3" s="454" t="s">
        <v>801</v>
      </c>
      <c r="M3" s="488" t="s">
        <v>804</v>
      </c>
      <c r="N3" s="454" t="s">
        <v>802</v>
      </c>
      <c r="O3" s="322" t="s">
        <v>1037</v>
      </c>
      <c r="P3" s="322" t="s">
        <v>1038</v>
      </c>
      <c r="Q3" s="322" t="s">
        <v>1039</v>
      </c>
      <c r="R3" s="322" t="s">
        <v>1040</v>
      </c>
      <c r="S3" s="322" t="s">
        <v>1041</v>
      </c>
      <c r="T3" s="487" t="s">
        <v>803</v>
      </c>
      <c r="U3" s="30" t="s">
        <v>805</v>
      </c>
    </row>
    <row r="4" spans="1:21" x14ac:dyDescent="0.2">
      <c r="A4" s="380"/>
      <c r="B4" s="15"/>
      <c r="C4" s="15"/>
      <c r="D4" s="15" t="s">
        <v>2</v>
      </c>
      <c r="E4" s="365"/>
      <c r="F4" s="44">
        <f>SUBTOTAL(109,F$15:INDEX(F:F,COUNTA($B:$B)+14-COUNTA($B$1:$B$14)))</f>
        <v>0</v>
      </c>
      <c r="G4" s="492"/>
      <c r="H4" s="35">
        <f>SUBTOTAL(109,H$15:INDEX(H:H,COUNTA($B:$B)+14-COUNTA($B$1:$B$14)))</f>
        <v>0</v>
      </c>
      <c r="I4" s="35">
        <f>SUBTOTAL(109,I$15:INDEX(I:I,COUNTA($B:$B)+14-COUNTA($B$1:$B$14)))</f>
        <v>0</v>
      </c>
      <c r="J4" s="455" t="str">
        <f>IF($I$4=0,"",$O$4/$I$4-1)</f>
        <v/>
      </c>
      <c r="K4" s="455" t="str">
        <f>IF($O$4=0,"",$P$4/$O$4)</f>
        <v/>
      </c>
      <c r="L4" s="455" t="str">
        <f>IF($O$4=0,"",$Q$4/$O$4)</f>
        <v/>
      </c>
      <c r="M4" s="455" t="str">
        <f>IF($O$4=0,"",SUM($R$4,$S$4)/$O$4)</f>
        <v/>
      </c>
      <c r="N4" s="455" t="str">
        <f>IF(SUM($R$4,$S$4)=0,"",$R$4/SUM($R$4,$S$4))</f>
        <v/>
      </c>
      <c r="O4" s="32">
        <f>SUBTOTAL(109,O$15:INDEX(O:O,COUNTA($B:$B)+14-COUNTA($B$1:$B$14)))</f>
        <v>0</v>
      </c>
      <c r="P4" s="32">
        <f>SUBTOTAL(109,P$15:INDEX(P:P,COUNTA($B:$B)+14-COUNTA($B$1:$B$14)))</f>
        <v>0</v>
      </c>
      <c r="Q4" s="32">
        <f>SUBTOTAL(109,Q$15:INDEX(Q:Q,COUNTA($B:$B)+14-COUNTA($B$1:$B$14)))</f>
        <v>0</v>
      </c>
      <c r="R4" s="32">
        <f>SUBTOTAL(109,R$15:INDEX(R:R,COUNTA($B:$B)+14-COUNTA($B$1:$B$14)))</f>
        <v>0</v>
      </c>
      <c r="S4" s="32">
        <f>SUBTOTAL(109,S$15:INDEX(S:S,COUNTA($B:$B)+14-COUNTA($B$1:$B$14)))</f>
        <v>0</v>
      </c>
      <c r="T4" s="449" t="str">
        <f>IF(SUM($R$4,$S$4)=0,"",$U$4/SUM($R$4,$S$4))</f>
        <v/>
      </c>
      <c r="U4" s="32">
        <f>SUBTOTAL(109,U$15:INDEX(U:U,COUNTA($B:$B)+14-COUNTA($B$1:$B$14)))</f>
        <v>0</v>
      </c>
    </row>
    <row r="5" spans="1:21" x14ac:dyDescent="0.2">
      <c r="A5" s="377" t="s">
        <v>60</v>
      </c>
      <c r="B5" s="5" t="s">
        <v>60</v>
      </c>
      <c r="C5" s="5" t="s">
        <v>60</v>
      </c>
      <c r="D5" s="5" t="s">
        <v>60</v>
      </c>
      <c r="E5" t="s">
        <v>60</v>
      </c>
      <c r="F5" s="100" t="s">
        <v>60</v>
      </c>
      <c r="G5" s="493" t="s">
        <v>60</v>
      </c>
      <c r="H5" s="100" t="s">
        <v>71</v>
      </c>
      <c r="I5" s="100" t="s">
        <v>71</v>
      </c>
      <c r="J5" s="422" t="s">
        <v>60</v>
      </c>
      <c r="K5" s="422" t="s">
        <v>60</v>
      </c>
      <c r="L5" s="422" t="s">
        <v>60</v>
      </c>
      <c r="M5" s="422" t="s">
        <v>60</v>
      </c>
      <c r="N5" s="422" t="s">
        <v>60</v>
      </c>
      <c r="O5" s="33" t="s">
        <v>60</v>
      </c>
      <c r="P5" s="33" t="s">
        <v>71</v>
      </c>
      <c r="Q5" s="33" t="s">
        <v>71</v>
      </c>
      <c r="R5" s="33" t="s">
        <v>71</v>
      </c>
      <c r="S5" s="33" t="s">
        <v>71</v>
      </c>
      <c r="T5" s="441" t="s">
        <v>60</v>
      </c>
      <c r="U5" s="33" t="s">
        <v>71</v>
      </c>
    </row>
    <row r="6" spans="1:21" x14ac:dyDescent="0.2">
      <c r="A6" s="377" t="s">
        <v>138</v>
      </c>
      <c r="B6" s="5" t="s">
        <v>138</v>
      </c>
      <c r="C6" s="5" t="s">
        <v>138</v>
      </c>
      <c r="D6" s="5" t="s">
        <v>138</v>
      </c>
      <c r="E6" t="s">
        <v>138</v>
      </c>
      <c r="F6" s="100" t="s">
        <v>55</v>
      </c>
      <c r="G6" s="493" t="s">
        <v>73</v>
      </c>
      <c r="H6" s="100" t="s">
        <v>72</v>
      </c>
      <c r="I6" s="100" t="s">
        <v>72</v>
      </c>
      <c r="J6" s="422" t="s">
        <v>74</v>
      </c>
      <c r="K6" s="422" t="s">
        <v>74</v>
      </c>
      <c r="L6" s="422" t="s">
        <v>74</v>
      </c>
      <c r="M6" s="422" t="s">
        <v>74</v>
      </c>
      <c r="N6" s="422" t="s">
        <v>74</v>
      </c>
      <c r="O6" s="33" t="s">
        <v>74</v>
      </c>
      <c r="P6" s="33" t="s">
        <v>54</v>
      </c>
      <c r="Q6" s="33" t="s">
        <v>54</v>
      </c>
      <c r="R6" s="33" t="s">
        <v>54</v>
      </c>
      <c r="S6" s="33" t="s">
        <v>54</v>
      </c>
      <c r="T6" s="441" t="s">
        <v>74</v>
      </c>
      <c r="U6" s="33" t="s">
        <v>54</v>
      </c>
    </row>
    <row r="7" spans="1:21" x14ac:dyDescent="0.2">
      <c r="A7" s="377" t="s">
        <v>70</v>
      </c>
      <c r="B7" s="5" t="s">
        <v>70</v>
      </c>
      <c r="C7" s="5" t="s">
        <v>70</v>
      </c>
      <c r="D7" s="5" t="s">
        <v>70</v>
      </c>
      <c r="E7" t="s">
        <v>70</v>
      </c>
      <c r="F7" s="100" t="s">
        <v>56</v>
      </c>
      <c r="G7" s="493" t="s">
        <v>70</v>
      </c>
      <c r="H7" s="100" t="s">
        <v>56</v>
      </c>
      <c r="I7" s="36" t="s">
        <v>56</v>
      </c>
      <c r="J7" s="422" t="s">
        <v>57</v>
      </c>
      <c r="K7" s="422" t="s">
        <v>57</v>
      </c>
      <c r="L7" s="422" t="s">
        <v>57</v>
      </c>
      <c r="M7" s="422" t="s">
        <v>57</v>
      </c>
      <c r="N7" s="422" t="s">
        <v>57</v>
      </c>
      <c r="O7" s="33" t="s">
        <v>56</v>
      </c>
      <c r="P7" s="33" t="s">
        <v>56</v>
      </c>
      <c r="Q7" s="33" t="s">
        <v>56</v>
      </c>
      <c r="R7" s="33" t="s">
        <v>56</v>
      </c>
      <c r="S7" s="33" t="s">
        <v>56</v>
      </c>
      <c r="T7" s="441" t="s">
        <v>57</v>
      </c>
      <c r="U7" s="33" t="s">
        <v>56</v>
      </c>
    </row>
    <row r="8" spans="1:21" x14ac:dyDescent="0.2">
      <c r="B8" s="5"/>
      <c r="C8" s="5"/>
      <c r="D8" s="5"/>
      <c r="F8" s="100"/>
      <c r="G8" s="492"/>
      <c r="H8" s="361" t="s">
        <v>1014</v>
      </c>
      <c r="I8" s="353" t="s">
        <v>476</v>
      </c>
      <c r="J8" s="456"/>
      <c r="K8" s="456"/>
      <c r="L8" s="456"/>
      <c r="M8" s="456"/>
      <c r="N8" s="456"/>
      <c r="O8" s="33"/>
      <c r="P8" s="352" t="s">
        <v>474</v>
      </c>
      <c r="Q8" s="352" t="s">
        <v>472</v>
      </c>
      <c r="R8" s="338" t="s">
        <v>476</v>
      </c>
      <c r="S8" s="338" t="s">
        <v>476</v>
      </c>
      <c r="T8" s="462"/>
      <c r="U8" s="338" t="s">
        <v>116</v>
      </c>
    </row>
    <row r="9" spans="1:21" x14ac:dyDescent="0.2">
      <c r="B9" s="5"/>
      <c r="C9" s="5"/>
      <c r="D9" s="5"/>
      <c r="F9" s="100"/>
      <c r="G9" s="492"/>
      <c r="H9" s="361" t="s">
        <v>1015</v>
      </c>
      <c r="I9" s="353" t="s">
        <v>477</v>
      </c>
      <c r="J9" s="456"/>
      <c r="K9" s="456"/>
      <c r="L9" s="456"/>
      <c r="M9" s="456"/>
      <c r="N9" s="456"/>
      <c r="O9" s="33"/>
      <c r="P9" s="352" t="s">
        <v>475</v>
      </c>
      <c r="Q9" s="352" t="s">
        <v>473</v>
      </c>
      <c r="R9" s="338" t="s">
        <v>477</v>
      </c>
      <c r="S9" s="338" t="s">
        <v>477</v>
      </c>
      <c r="T9" s="462"/>
      <c r="U9" s="338" t="s">
        <v>117</v>
      </c>
    </row>
    <row r="10" spans="1:21" x14ac:dyDescent="0.2">
      <c r="B10" s="5"/>
      <c r="C10" s="5"/>
      <c r="D10" s="5"/>
      <c r="F10" s="100"/>
      <c r="G10" s="492"/>
      <c r="H10" s="362"/>
      <c r="I10" s="344"/>
      <c r="J10" s="456"/>
      <c r="K10" s="456"/>
      <c r="L10" s="456"/>
      <c r="M10" s="456"/>
      <c r="N10" s="456"/>
      <c r="O10" s="33"/>
      <c r="P10" s="338"/>
      <c r="Q10" s="338"/>
      <c r="R10" s="338" t="s">
        <v>115</v>
      </c>
      <c r="S10" s="338" t="s">
        <v>114</v>
      </c>
      <c r="T10" s="462"/>
      <c r="U10" s="338"/>
    </row>
    <row r="11" spans="1:21" x14ac:dyDescent="0.2">
      <c r="B11" s="5"/>
      <c r="C11" s="5"/>
      <c r="D11" s="5"/>
      <c r="F11" s="100" t="s">
        <v>464</v>
      </c>
      <c r="G11" s="492"/>
      <c r="H11" s="100" t="s">
        <v>464</v>
      </c>
      <c r="I11" s="36" t="s">
        <v>464</v>
      </c>
      <c r="J11" s="19" t="s">
        <v>464</v>
      </c>
      <c r="K11" s="19" t="s">
        <v>465</v>
      </c>
      <c r="L11" s="19" t="s">
        <v>466</v>
      </c>
      <c r="M11" s="19" t="s">
        <v>464</v>
      </c>
      <c r="N11" s="422" t="s">
        <v>464</v>
      </c>
      <c r="O11" s="33" t="s">
        <v>464</v>
      </c>
      <c r="P11" s="33" t="s">
        <v>465</v>
      </c>
      <c r="Q11" s="33" t="s">
        <v>466</v>
      </c>
      <c r="R11" s="33" t="s">
        <v>464</v>
      </c>
      <c r="S11" s="33" t="s">
        <v>464</v>
      </c>
      <c r="T11" s="441" t="s">
        <v>467</v>
      </c>
      <c r="U11" s="33" t="s">
        <v>467</v>
      </c>
    </row>
    <row r="12" spans="1:21" x14ac:dyDescent="0.2">
      <c r="B12" s="5"/>
      <c r="C12" s="5"/>
      <c r="D12" s="5"/>
      <c r="F12" s="100" t="s">
        <v>139</v>
      </c>
      <c r="G12" s="492"/>
      <c r="H12" s="100" t="s">
        <v>139</v>
      </c>
      <c r="I12" s="36" t="s">
        <v>139</v>
      </c>
      <c r="J12" s="19" t="s">
        <v>139</v>
      </c>
      <c r="K12" s="19" t="s">
        <v>461</v>
      </c>
      <c r="L12" s="19" t="s">
        <v>139</v>
      </c>
      <c r="M12" s="19" t="s">
        <v>139</v>
      </c>
      <c r="N12" s="422" t="s">
        <v>139</v>
      </c>
      <c r="O12" s="33" t="s">
        <v>139</v>
      </c>
      <c r="P12" s="33" t="s">
        <v>461</v>
      </c>
      <c r="Q12" s="33" t="s">
        <v>139</v>
      </c>
      <c r="R12" s="33" t="s">
        <v>139</v>
      </c>
      <c r="S12" s="33" t="s">
        <v>139</v>
      </c>
      <c r="T12" s="441" t="s">
        <v>139</v>
      </c>
      <c r="U12" s="33" t="s">
        <v>139</v>
      </c>
    </row>
    <row r="13" spans="1:21" x14ac:dyDescent="0.2">
      <c r="B13" s="5"/>
      <c r="C13" s="5"/>
      <c r="D13" s="5"/>
      <c r="F13" s="100"/>
      <c r="G13" s="492"/>
      <c r="H13" s="100"/>
      <c r="J13" s="422"/>
      <c r="K13" s="422"/>
      <c r="L13" s="422"/>
      <c r="M13" s="422"/>
      <c r="N13" s="422"/>
      <c r="O13" s="33"/>
      <c r="P13" s="33"/>
      <c r="Q13" s="33"/>
      <c r="R13" s="33"/>
      <c r="S13" s="33"/>
      <c r="T13" s="441"/>
      <c r="U13" s="33"/>
    </row>
    <row r="14" spans="1:21" x14ac:dyDescent="0.2">
      <c r="A14" s="383" t="s">
        <v>44</v>
      </c>
      <c r="B14" s="263" t="s">
        <v>3</v>
      </c>
      <c r="C14" s="263" t="s">
        <v>25</v>
      </c>
      <c r="D14" s="263" t="s">
        <v>4</v>
      </c>
      <c r="E14" s="366" t="s">
        <v>48</v>
      </c>
      <c r="F14" s="297" t="s">
        <v>190</v>
      </c>
      <c r="G14" s="494" t="s">
        <v>349</v>
      </c>
      <c r="H14" s="297" t="s">
        <v>370</v>
      </c>
      <c r="I14" s="250" t="s">
        <v>278</v>
      </c>
      <c r="J14" s="423" t="s">
        <v>352</v>
      </c>
      <c r="K14" s="423" t="s">
        <v>353</v>
      </c>
      <c r="L14" s="423" t="s">
        <v>355</v>
      </c>
      <c r="M14" s="423" t="s">
        <v>354</v>
      </c>
      <c r="N14" s="423" t="s">
        <v>356</v>
      </c>
      <c r="O14" s="273" t="s">
        <v>358</v>
      </c>
      <c r="P14" s="273" t="s">
        <v>303</v>
      </c>
      <c r="Q14" s="273" t="s">
        <v>359</v>
      </c>
      <c r="R14" s="273" t="s">
        <v>357</v>
      </c>
      <c r="S14" s="273" t="s">
        <v>279</v>
      </c>
      <c r="T14" s="442" t="s">
        <v>360</v>
      </c>
      <c r="U14" s="273" t="s">
        <v>280</v>
      </c>
    </row>
    <row r="15" spans="1:21" x14ac:dyDescent="0.2">
      <c r="A15" s="377" t="e">
        <f>INDEX(Prioritization!$D:$D,MATCH($B15,Prioritization!$A:$A,0))</f>
        <v>#N/A</v>
      </c>
      <c r="B15" s="5"/>
      <c r="C15" s="5"/>
      <c r="D15" s="5"/>
      <c r="E15" t="str">
        <f>$B15&amp;"|"&amp;$C15&amp;"|"&amp;$D15</f>
        <v>||</v>
      </c>
      <c r="F15" s="36" t="str" cm="1">
        <f t="array" ref="F15">IF(
LEFT($B15,4)="_Mil",
"",
IFERROR(
1/(
1/
IF(OR($C15="15-17",$C15="18-20"),ROUND(INDEX(Cascade!$U:$U,MATCH($B15&amp;"|"&amp;"15-19"&amp;"|"&amp;$D15,Cascade!$E:$E,0))/2,0),IF($C15="18+",SUM(SUMIFS(Cascade!$U:$U,Cascade!$B:$B,$B15,Cascade!$C:$C,{"20-24","25-29","30-34","35-39","40-44","45-49","50-54","55-59","60-64","65+"},Cascade!$D:$D,$D15)),INDEX(Cascade!$U:$U,MATCH($E15,Cascade!$E:$E,0))))
),
""))</f>
        <v/>
      </c>
      <c r="G15" s="492"/>
      <c r="H15" s="84"/>
      <c r="J15" s="422" t="str">
        <f>IF(SUM($I15)=0,"",0%)</f>
        <v/>
      </c>
      <c r="K15" s="422"/>
      <c r="L15" s="422"/>
      <c r="M15" s="422">
        <f>1-IF(NOT(AND($D15="Female",OR($C15="10-14",$C15="15-17",$G15="Y"))),0,$K15)-IF(NOT(OR($C15="05-09",$C15="10-14")),0,$L15)</f>
        <v>1</v>
      </c>
      <c r="N15" s="422">
        <f>IF(SUM($M15)=0,"",20%)</f>
        <v>0.2</v>
      </c>
      <c r="O15" s="33" t="str">
        <f>IF(SUM($I15)=0,"",ROUND($I15*(1+$J15),0))</f>
        <v/>
      </c>
      <c r="P15" s="33" t="str">
        <f>IF(OR(SUM($O15)=0,SUM($K15)=0,NOT(AND($D15="Female",$G15="Y",OR($C15="10-14",$C15="15-17")))),"",ROUND($O15*$K15,0))</f>
        <v/>
      </c>
      <c r="Q15" s="33" t="str">
        <f>IF(OR(SUM($O15)=0,SUM($L15)=0,NOT(OR($C15="10-14",$C15="05-09"))),"",ROUND($O15*$L15,0))</f>
        <v/>
      </c>
      <c r="R15" s="33" t="str">
        <f>IFERROR(1/(1/ROUND($O15*$M15*$N15,0)),"")</f>
        <v/>
      </c>
      <c r="S15" s="33" t="str">
        <f>IFERROR(1/(1/ROUND($O15*$M15,0)-$R15),"")</f>
        <v/>
      </c>
      <c r="T15" s="441" t="str">
        <f>IF(OR($C15="18+",$C15="18-20",SUM($R15,$S15)=0),"",100%)</f>
        <v/>
      </c>
      <c r="U15" s="40" t="str">
        <f>IF(OR($C15="18+",$C15="18-20",SUM($R15,$S15)=0),"",ROUND(SUM($R15,$S15)*$T15,0))</f>
        <v/>
      </c>
    </row>
  </sheetData>
  <conditionalFormatting sqref="T1:U1048576">
    <cfRule type="expression" dxfId="270" priority="26">
      <formula>OR($C1="18-20",$C1="18+")</formula>
    </cfRule>
  </conditionalFormatting>
  <conditionalFormatting sqref="N1:N1048576">
    <cfRule type="expression" dxfId="269" priority="24">
      <formula>AND(ISNUMBER($N1),ROUND(SUM($N1),2)&lt;20%)</formula>
    </cfRule>
  </conditionalFormatting>
  <conditionalFormatting sqref="K1:K1048576 P1:P1048576">
    <cfRule type="expression" dxfId="268" priority="18">
      <formula>AND($B1&lt;&gt;"",ROW(K1)&gt;14,NOT(AND($D1="Female",$G1="Y",OR($C1="10-14",$C1="15-17"))))</formula>
    </cfRule>
  </conditionalFormatting>
  <conditionalFormatting sqref="Q1:Q1048576 L1:L1048576">
    <cfRule type="expression" dxfId="267" priority="17">
      <formula>AND($E1&lt;&gt;"",ROW(L1)&gt;14,NOT(OR($C1="05-09",$C1="10-14")))</formula>
    </cfRule>
  </conditionalFormatting>
  <conditionalFormatting sqref="F1:F1048576">
    <cfRule type="expression" dxfId="266" priority="4">
      <formula>AND(ROW(F1)&gt;14,LEFT(B1,4)="_Mil")</formula>
    </cfRule>
  </conditionalFormatting>
  <conditionalFormatting sqref="F1:I1048576 K1:U1048576">
    <cfRule type="expression" dxfId="265" priority="1">
      <formula>AND(ISNUMBER(F1),F1&lt;0)</formula>
    </cfRule>
  </conditionalFormatting>
  <conditionalFormatting sqref="K1:N1048576 T1:T1048576">
    <cfRule type="expression" dxfId="264" priority="2">
      <formula>AND(ISNUMBER(K1),OR(ROUND(SUM(K1),2)&lt;0,ROUND(SUM(K1),2)&gt;1))</formula>
    </cfRule>
  </conditionalFormatting>
  <conditionalFormatting sqref="T1:T1048576">
    <cfRule type="expression" dxfId="263"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 workbookViewId="1"/>
  </sheetViews>
  <sheetFormatPr baseColWidth="10" defaultRowHeight="16" x14ac:dyDescent="0.2"/>
  <cols>
    <col min="1" max="1" width="16.1640625" style="377"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388" t="s">
        <v>11</v>
      </c>
      <c r="B1" s="16"/>
      <c r="C1" s="288" t="s">
        <v>22</v>
      </c>
      <c r="D1" s="287"/>
      <c r="E1" s="289"/>
      <c r="F1" s="289"/>
      <c r="G1" s="287"/>
      <c r="H1" s="287"/>
    </row>
    <row r="2" spans="1:8" s="13" customFormat="1" ht="19" x14ac:dyDescent="0.25">
      <c r="A2" s="385"/>
      <c r="B2" s="2"/>
      <c r="C2" s="50"/>
      <c r="D2" s="34"/>
      <c r="E2" s="3"/>
      <c r="F2" s="3"/>
      <c r="G2" s="329" t="s">
        <v>850</v>
      </c>
      <c r="H2" s="329" t="s">
        <v>850</v>
      </c>
    </row>
    <row r="3" spans="1:8" ht="117" customHeight="1" x14ac:dyDescent="0.2">
      <c r="C3" s="73" t="s">
        <v>808</v>
      </c>
      <c r="D3" s="69" t="s">
        <v>809</v>
      </c>
      <c r="E3" s="280" t="s">
        <v>564</v>
      </c>
      <c r="F3" s="280" t="s">
        <v>565</v>
      </c>
      <c r="G3" s="30" t="s">
        <v>806</v>
      </c>
      <c r="H3" s="30" t="s">
        <v>807</v>
      </c>
    </row>
    <row r="4" spans="1:8" x14ac:dyDescent="0.2">
      <c r="A4" s="38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380" t="s">
        <v>60</v>
      </c>
      <c r="B5" s="15" t="s">
        <v>60</v>
      </c>
      <c r="C5" s="47" t="s">
        <v>71</v>
      </c>
      <c r="D5" s="36" t="s">
        <v>71</v>
      </c>
      <c r="E5" s="11" t="s">
        <v>60</v>
      </c>
      <c r="F5" s="11" t="s">
        <v>60</v>
      </c>
      <c r="G5" s="33" t="s">
        <v>71</v>
      </c>
      <c r="H5" s="33" t="s">
        <v>71</v>
      </c>
    </row>
    <row r="6" spans="1:8" x14ac:dyDescent="0.2">
      <c r="A6" s="380" t="s">
        <v>138</v>
      </c>
      <c r="B6" s="15" t="s">
        <v>138</v>
      </c>
      <c r="C6" s="47" t="s">
        <v>72</v>
      </c>
      <c r="D6" s="36" t="s">
        <v>72</v>
      </c>
      <c r="E6" s="11" t="s">
        <v>74</v>
      </c>
      <c r="F6" s="11" t="s">
        <v>74</v>
      </c>
      <c r="G6" s="33" t="s">
        <v>54</v>
      </c>
      <c r="H6" s="33" t="s">
        <v>54</v>
      </c>
    </row>
    <row r="7" spans="1:8" x14ac:dyDescent="0.2">
      <c r="A7" s="380" t="s">
        <v>70</v>
      </c>
      <c r="B7" s="15" t="s">
        <v>70</v>
      </c>
      <c r="C7" s="47" t="s">
        <v>56</v>
      </c>
      <c r="D7" s="36" t="s">
        <v>56</v>
      </c>
      <c r="E7" s="11" t="s">
        <v>57</v>
      </c>
      <c r="F7" s="11" t="s">
        <v>57</v>
      </c>
      <c r="G7" s="33" t="s">
        <v>56</v>
      </c>
      <c r="H7" s="33" t="s">
        <v>56</v>
      </c>
    </row>
    <row r="8" spans="1:8" x14ac:dyDescent="0.2">
      <c r="A8" s="380"/>
      <c r="B8" s="15"/>
      <c r="C8" s="346" t="s">
        <v>134</v>
      </c>
      <c r="D8" s="344" t="s">
        <v>134</v>
      </c>
      <c r="E8" s="147"/>
      <c r="F8" s="147"/>
      <c r="G8" s="338" t="s">
        <v>134</v>
      </c>
      <c r="H8" s="338" t="s">
        <v>134</v>
      </c>
    </row>
    <row r="9" spans="1:8" x14ac:dyDescent="0.2">
      <c r="A9" s="380"/>
      <c r="B9" s="15"/>
      <c r="C9" s="346" t="s">
        <v>135</v>
      </c>
      <c r="D9" s="344" t="s">
        <v>135</v>
      </c>
      <c r="E9" s="147"/>
      <c r="F9" s="147"/>
      <c r="G9" s="338" t="s">
        <v>135</v>
      </c>
      <c r="H9" s="338" t="s">
        <v>135</v>
      </c>
    </row>
    <row r="10" spans="1:8" x14ac:dyDescent="0.2">
      <c r="A10" s="380"/>
      <c r="B10" s="15"/>
      <c r="C10" s="346" t="s">
        <v>136</v>
      </c>
      <c r="D10" s="344" t="s">
        <v>137</v>
      </c>
      <c r="E10" s="147"/>
      <c r="F10" s="147"/>
      <c r="G10" s="338" t="s">
        <v>136</v>
      </c>
      <c r="H10" s="338" t="s">
        <v>137</v>
      </c>
    </row>
    <row r="11" spans="1:8" x14ac:dyDescent="0.2">
      <c r="A11" s="380"/>
      <c r="B11" s="15"/>
    </row>
    <row r="12" spans="1:8" x14ac:dyDescent="0.2">
      <c r="A12" s="380"/>
      <c r="B12" s="15"/>
    </row>
    <row r="13" spans="1:8" x14ac:dyDescent="0.2">
      <c r="A13" s="380"/>
      <c r="B13" s="15"/>
    </row>
    <row r="14" spans="1:8" x14ac:dyDescent="0.2">
      <c r="A14" s="383" t="s">
        <v>44</v>
      </c>
      <c r="B14" s="263" t="s">
        <v>3</v>
      </c>
      <c r="C14" s="274" t="s">
        <v>283</v>
      </c>
      <c r="D14" s="276" t="s">
        <v>284</v>
      </c>
      <c r="E14" s="275" t="s">
        <v>347</v>
      </c>
      <c r="F14" s="275" t="s">
        <v>348</v>
      </c>
      <c r="G14" s="277" t="s">
        <v>285</v>
      </c>
      <c r="H14" s="277" t="s">
        <v>286</v>
      </c>
    </row>
    <row r="15" spans="1:8" x14ac:dyDescent="0.2">
      <c r="A15" s="377"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262" priority="2">
      <formula>AND(ISNUMBER(C1),C1&lt;0)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pane="topRight"/>
      <selection pane="bottomLeft"/>
      <selection pane="bottomRight"/>
    </sheetView>
    <sheetView workbookViewId="1"/>
  </sheetViews>
  <sheetFormatPr baseColWidth="10" defaultRowHeight="16" x14ac:dyDescent="0.2"/>
  <cols>
    <col min="1" max="1" width="16.1640625" style="377"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9" customWidth="1"/>
    <col min="16" max="17" width="12.6640625" style="33" customWidth="1"/>
  </cols>
  <sheetData>
    <row r="1" spans="1:17" s="22" customFormat="1" ht="31" customHeight="1" thickBot="1" x14ac:dyDescent="0.35">
      <c r="A1" s="379" t="s">
        <v>292</v>
      </c>
      <c r="B1" s="4"/>
      <c r="C1" s="1"/>
      <c r="D1" s="1"/>
      <c r="E1" s="1"/>
      <c r="F1" s="271" t="s">
        <v>293</v>
      </c>
      <c r="G1" s="235"/>
      <c r="H1" s="235"/>
      <c r="I1" s="235"/>
      <c r="J1" s="235"/>
      <c r="K1" s="235"/>
      <c r="L1" s="235"/>
      <c r="M1" s="240"/>
      <c r="N1" s="240"/>
      <c r="O1" s="240"/>
      <c r="P1" s="236"/>
      <c r="Q1" s="236"/>
    </row>
    <row r="2" spans="1:17" s="21" customFormat="1" ht="19" x14ac:dyDescent="0.25">
      <c r="A2" s="374" t="s">
        <v>566</v>
      </c>
      <c r="B2" s="371"/>
      <c r="C2" s="2"/>
      <c r="D2" s="2"/>
      <c r="E2" s="2"/>
      <c r="F2" s="50"/>
      <c r="G2" s="34"/>
      <c r="H2" s="34"/>
      <c r="I2" s="34"/>
      <c r="J2" s="34"/>
      <c r="K2" s="34"/>
      <c r="L2" s="34"/>
      <c r="M2" s="3"/>
      <c r="N2" s="3"/>
      <c r="O2" s="3"/>
      <c r="P2" s="329" t="s">
        <v>850</v>
      </c>
      <c r="Q2" s="329" t="s">
        <v>850</v>
      </c>
    </row>
    <row r="3" spans="1:17" ht="117" customHeight="1" thickBot="1" x14ac:dyDescent="0.25">
      <c r="A3" s="372"/>
      <c r="B3" s="373"/>
      <c r="C3" s="17"/>
      <c r="D3" s="17"/>
      <c r="E3" s="17"/>
      <c r="F3" s="129" t="s">
        <v>870</v>
      </c>
      <c r="G3" s="302" t="s">
        <v>961</v>
      </c>
      <c r="H3" s="69" t="s">
        <v>813</v>
      </c>
      <c r="I3" s="69" t="s">
        <v>814</v>
      </c>
      <c r="J3" s="69" t="s">
        <v>815</v>
      </c>
      <c r="K3" s="69" t="s">
        <v>816</v>
      </c>
      <c r="L3" s="69" t="s">
        <v>817</v>
      </c>
      <c r="M3" s="150" t="s">
        <v>818</v>
      </c>
      <c r="N3" s="258" t="s">
        <v>810</v>
      </c>
      <c r="O3" s="258" t="s">
        <v>819</v>
      </c>
      <c r="P3" s="322" t="s">
        <v>811</v>
      </c>
      <c r="Q3" s="322" t="s">
        <v>812</v>
      </c>
    </row>
    <row r="4" spans="1:17" x14ac:dyDescent="0.2">
      <c r="A4" s="380"/>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7" t="str">
        <f>IF($L$4=0,"",SUM($J$4,$K$4)/$L$4)</f>
        <v/>
      </c>
      <c r="N4" s="97" t="str">
        <f>IF($P$4=0,"",$Q$4/$P$4)</f>
        <v/>
      </c>
      <c r="O4" s="97" t="str">
        <f>IF($L$4=0,"",$P$4/$L$4-1)</f>
        <v/>
      </c>
      <c r="P4" s="32">
        <f>SUBTOTAL(109,P$15:INDEX(P:P,COUNTA($B:$B)+14-COUNTA($B$1:$B$14)))</f>
        <v>0</v>
      </c>
      <c r="Q4" s="32">
        <f>SUBTOTAL(109,Q$15:INDEX(Q:Q,COUNTA($B:$B)+14-COUNTA($B$1:$B$14)))</f>
        <v>0</v>
      </c>
    </row>
    <row r="5" spans="1:17" x14ac:dyDescent="0.2">
      <c r="A5" s="377" t="s">
        <v>60</v>
      </c>
      <c r="B5" s="5" t="s">
        <v>60</v>
      </c>
      <c r="C5" s="5" t="s">
        <v>60</v>
      </c>
      <c r="D5" s="5" t="s">
        <v>60</v>
      </c>
      <c r="E5" s="5" t="s">
        <v>60</v>
      </c>
      <c r="F5" s="47" t="s">
        <v>60</v>
      </c>
      <c r="G5" s="36" t="s">
        <v>60</v>
      </c>
      <c r="H5" s="36" t="s">
        <v>71</v>
      </c>
      <c r="I5" s="36" t="s">
        <v>71</v>
      </c>
      <c r="J5" s="36" t="s">
        <v>71</v>
      </c>
      <c r="K5" s="36" t="s">
        <v>71</v>
      </c>
      <c r="L5" s="36" t="s">
        <v>60</v>
      </c>
      <c r="M5" s="99" t="s">
        <v>60</v>
      </c>
      <c r="N5" s="99" t="s">
        <v>60</v>
      </c>
      <c r="O5" s="99" t="s">
        <v>60</v>
      </c>
      <c r="P5" s="33" t="s">
        <v>71</v>
      </c>
      <c r="Q5" s="33" t="s">
        <v>71</v>
      </c>
    </row>
    <row r="6" spans="1:17" x14ac:dyDescent="0.2">
      <c r="A6" s="377" t="s">
        <v>138</v>
      </c>
      <c r="B6" s="5" t="s">
        <v>138</v>
      </c>
      <c r="C6" s="5" t="s">
        <v>138</v>
      </c>
      <c r="D6" s="5" t="s">
        <v>138</v>
      </c>
      <c r="E6" s="5" t="s">
        <v>138</v>
      </c>
      <c r="F6" s="47" t="s">
        <v>55</v>
      </c>
      <c r="G6" s="36" t="s">
        <v>74</v>
      </c>
      <c r="H6" s="36" t="s">
        <v>72</v>
      </c>
      <c r="I6" s="36" t="s">
        <v>72</v>
      </c>
      <c r="J6" s="36" t="s">
        <v>72</v>
      </c>
      <c r="K6" s="36" t="s">
        <v>72</v>
      </c>
      <c r="L6" s="36" t="s">
        <v>55</v>
      </c>
      <c r="M6" s="99" t="s">
        <v>55</v>
      </c>
      <c r="N6" s="99" t="s">
        <v>74</v>
      </c>
      <c r="O6" s="99" t="s">
        <v>74</v>
      </c>
      <c r="P6" s="33" t="s">
        <v>54</v>
      </c>
      <c r="Q6" s="33" t="s">
        <v>54</v>
      </c>
    </row>
    <row r="7" spans="1:17" x14ac:dyDescent="0.2">
      <c r="A7" s="377" t="s">
        <v>70</v>
      </c>
      <c r="B7" s="5" t="s">
        <v>70</v>
      </c>
      <c r="C7" s="5" t="s">
        <v>70</v>
      </c>
      <c r="D7" s="5" t="s">
        <v>70</v>
      </c>
      <c r="E7" s="5" t="s">
        <v>70</v>
      </c>
      <c r="F7" s="47" t="s">
        <v>56</v>
      </c>
      <c r="G7" s="36" t="s">
        <v>56</v>
      </c>
      <c r="H7" s="36" t="s">
        <v>56</v>
      </c>
      <c r="I7" s="36" t="s">
        <v>56</v>
      </c>
      <c r="J7" s="36" t="s">
        <v>56</v>
      </c>
      <c r="K7" s="36" t="s">
        <v>56</v>
      </c>
      <c r="L7" s="36" t="s">
        <v>56</v>
      </c>
      <c r="M7" s="99" t="s">
        <v>57</v>
      </c>
      <c r="N7" s="99" t="s">
        <v>57</v>
      </c>
      <c r="O7" s="99" t="s">
        <v>57</v>
      </c>
      <c r="P7" s="33" t="s">
        <v>56</v>
      </c>
      <c r="Q7" s="33" t="s">
        <v>56</v>
      </c>
    </row>
    <row r="8" spans="1:17" x14ac:dyDescent="0.2">
      <c r="H8" s="344" t="s">
        <v>298</v>
      </c>
      <c r="I8" s="344" t="s">
        <v>297</v>
      </c>
      <c r="J8" s="344" t="s">
        <v>296</v>
      </c>
      <c r="K8" s="344" t="s">
        <v>295</v>
      </c>
      <c r="M8" s="169"/>
      <c r="N8" s="169"/>
      <c r="O8" s="169"/>
      <c r="P8" s="338" t="s">
        <v>478</v>
      </c>
      <c r="Q8" s="338" t="s">
        <v>479</v>
      </c>
    </row>
    <row r="9" spans="1:17" x14ac:dyDescent="0.2">
      <c r="H9" s="353"/>
      <c r="I9" s="353"/>
      <c r="J9" s="353"/>
      <c r="K9" s="353"/>
      <c r="L9" s="102"/>
      <c r="M9" s="168"/>
      <c r="N9" s="169"/>
      <c r="O9" s="169"/>
      <c r="P9" s="338"/>
      <c r="Q9" s="338"/>
    </row>
    <row r="10" spans="1:17" x14ac:dyDescent="0.2">
      <c r="H10" s="344" t="s">
        <v>569</v>
      </c>
      <c r="I10" s="344" t="s">
        <v>567</v>
      </c>
      <c r="J10" s="344" t="s">
        <v>570</v>
      </c>
      <c r="K10" s="344" t="s">
        <v>568</v>
      </c>
      <c r="M10" s="169"/>
      <c r="N10" s="169"/>
      <c r="O10" s="169"/>
      <c r="P10" s="338" t="s">
        <v>487</v>
      </c>
      <c r="Q10" s="338" t="s">
        <v>488</v>
      </c>
    </row>
    <row r="11" spans="1:17" x14ac:dyDescent="0.2">
      <c r="F11" s="47" t="s">
        <v>294</v>
      </c>
      <c r="G11" s="36" t="s">
        <v>294</v>
      </c>
      <c r="H11" s="36" t="s">
        <v>294</v>
      </c>
      <c r="I11" s="36" t="s">
        <v>294</v>
      </c>
      <c r="J11" s="36" t="s">
        <v>294</v>
      </c>
      <c r="K11" s="36" t="s">
        <v>294</v>
      </c>
      <c r="L11" s="36" t="s">
        <v>294</v>
      </c>
      <c r="M11" s="99" t="s">
        <v>294</v>
      </c>
      <c r="N11" s="19" t="s">
        <v>294</v>
      </c>
      <c r="O11" s="19" t="s">
        <v>294</v>
      </c>
      <c r="P11" s="33" t="s">
        <v>294</v>
      </c>
      <c r="Q11" s="33" t="s">
        <v>294</v>
      </c>
    </row>
    <row r="12" spans="1:17" x14ac:dyDescent="0.2">
      <c r="F12" s="47" t="s">
        <v>461</v>
      </c>
      <c r="G12" s="36" t="s">
        <v>461</v>
      </c>
      <c r="H12" s="36" t="s">
        <v>461</v>
      </c>
      <c r="I12" s="36" t="s">
        <v>461</v>
      </c>
      <c r="J12" s="36" t="s">
        <v>461</v>
      </c>
      <c r="K12" s="36" t="s">
        <v>461</v>
      </c>
      <c r="L12" s="36" t="s">
        <v>461</v>
      </c>
      <c r="M12" s="99" t="s">
        <v>461</v>
      </c>
      <c r="N12" s="19" t="s">
        <v>461</v>
      </c>
      <c r="O12" s="19" t="s">
        <v>461</v>
      </c>
      <c r="P12" s="33" t="s">
        <v>461</v>
      </c>
      <c r="Q12" s="33" t="s">
        <v>461</v>
      </c>
    </row>
    <row r="14" spans="1:17" x14ac:dyDescent="0.2">
      <c r="A14" s="381" t="s">
        <v>44</v>
      </c>
      <c r="B14" s="245" t="s">
        <v>3</v>
      </c>
      <c r="C14" s="245" t="s">
        <v>25</v>
      </c>
      <c r="D14" s="245" t="s">
        <v>4</v>
      </c>
      <c r="E14" s="245" t="s">
        <v>48</v>
      </c>
      <c r="F14" s="274" t="s">
        <v>189</v>
      </c>
      <c r="G14" s="250" t="s">
        <v>350</v>
      </c>
      <c r="H14" s="250" t="s">
        <v>299</v>
      </c>
      <c r="I14" s="250" t="s">
        <v>300</v>
      </c>
      <c r="J14" s="250" t="s">
        <v>301</v>
      </c>
      <c r="K14" s="250" t="s">
        <v>302</v>
      </c>
      <c r="L14" s="250" t="s">
        <v>493</v>
      </c>
      <c r="M14" s="251" t="s">
        <v>492</v>
      </c>
      <c r="N14" s="251" t="s">
        <v>351</v>
      </c>
      <c r="O14" s="251" t="s">
        <v>494</v>
      </c>
      <c r="P14" s="273" t="s">
        <v>305</v>
      </c>
      <c r="Q14" s="273" t="s">
        <v>306</v>
      </c>
    </row>
    <row r="15" spans="1:17" x14ac:dyDescent="0.2">
      <c r="A15" s="377" t="e">
        <f>INDEX(Prioritization!$D:$D,MATCH($B15,Prioritization!$A:$A,0))</f>
        <v>#N/A</v>
      </c>
      <c r="E15" s="5" t="str">
        <f>B15&amp;"|"&amp;C15&amp;"|"&amp;D15</f>
        <v>||</v>
      </c>
      <c r="F15" s="47" t="str">
        <f>IF(LEFT($B15,4)="_Mil","",INDEX(Cascade!$T:$T,MATCH($E15,Cascade!$E:$E,0)))</f>
        <v/>
      </c>
      <c r="L15" s="36" t="str">
        <f>IF(SUM($H15:$K15)=0,"",SUM($H15:$K15))</f>
        <v/>
      </c>
      <c r="M15" s="99" t="str">
        <f>IF(SUM($L15)=0,"",SUM($J15,$K15)/SUM($L15))</f>
        <v/>
      </c>
      <c r="N15" s="99" t="str">
        <f>IF(SUM($L15)=0,"",MAX(60%,SUM($M15)))</f>
        <v/>
      </c>
      <c r="O15" s="99"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261" priority="14">
      <formula>AND(ISNUMBER(P1),SUM($Q1)&gt;SUM($P1))</formula>
    </cfRule>
  </conditionalFormatting>
  <conditionalFormatting sqref="F1:G1048576">
    <cfRule type="expression" dxfId="260" priority="1">
      <formula>AND(ROW(F1)&gt;14,LEFT(B1,4)="_Mil")</formula>
    </cfRule>
  </conditionalFormatting>
  <conditionalFormatting sqref="F1:N1048576 P1:Q1048576">
    <cfRule type="expression" dxfId="259" priority="2">
      <formula>AND(ISNUMBER(F1),F1&lt;0)</formula>
    </cfRule>
  </conditionalFormatting>
  <conditionalFormatting sqref="M1:N1048576">
    <cfRule type="expression" dxfId="258" priority="3">
      <formula>AND(ISNUMBER(M1),M1&gt;1)</formula>
    </cfRule>
  </conditionalFormatting>
  <conditionalFormatting sqref="N1:N1048576">
    <cfRule type="expression" dxfId="257"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 workbookViewId="1"/>
  </sheetViews>
  <sheetFormatPr baseColWidth="10" defaultRowHeight="16" x14ac:dyDescent="0.2"/>
  <cols>
    <col min="1" max="1" width="16.1640625" style="377"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79" t="s">
        <v>20</v>
      </c>
      <c r="B1" s="4"/>
      <c r="C1" s="1"/>
      <c r="D1" s="1"/>
      <c r="E1" s="271" t="s">
        <v>20</v>
      </c>
      <c r="F1" s="236"/>
      <c r="G1" s="285"/>
      <c r="H1" s="239"/>
      <c r="I1" s="239"/>
      <c r="J1" s="236"/>
      <c r="K1" s="236"/>
    </row>
    <row r="2" spans="1:11" ht="19" x14ac:dyDescent="0.25">
      <c r="A2" s="385"/>
      <c r="B2" s="2"/>
      <c r="C2" s="2"/>
      <c r="D2" s="2"/>
      <c r="E2" s="52"/>
      <c r="F2" s="46"/>
      <c r="G2" s="3"/>
      <c r="H2" s="3"/>
      <c r="I2" s="3"/>
      <c r="J2" s="329" t="s">
        <v>850</v>
      </c>
      <c r="K2" s="329" t="s">
        <v>850</v>
      </c>
    </row>
    <row r="3" spans="1:11" ht="117" customHeight="1" x14ac:dyDescent="0.2">
      <c r="D3" s="26"/>
      <c r="E3" s="301" t="s">
        <v>958</v>
      </c>
      <c r="F3" s="76" t="s">
        <v>822</v>
      </c>
      <c r="G3" s="95" t="s">
        <v>823</v>
      </c>
      <c r="H3" s="258" t="s">
        <v>820</v>
      </c>
      <c r="I3" s="258" t="s">
        <v>960</v>
      </c>
      <c r="J3" s="322" t="s">
        <v>821</v>
      </c>
      <c r="K3" s="322" t="s">
        <v>959</v>
      </c>
    </row>
    <row r="4" spans="1:11" x14ac:dyDescent="0.2">
      <c r="A4" s="386"/>
      <c r="B4" s="27"/>
      <c r="C4" s="27" t="s">
        <v>2</v>
      </c>
      <c r="D4" s="27"/>
      <c r="E4" s="51">
        <f>SUBTOTAL(109,E$15:INDEX(E:E,COUNTA($B:$B)+14-COUNTA($B$1:$B$14)))</f>
        <v>0</v>
      </c>
      <c r="F4" s="70">
        <f>SUBTOTAL(109,F$15:INDEX(F:F,COUNTA($B:$B)+14-COUNTA($B$1:$B$14)))</f>
        <v>0</v>
      </c>
      <c r="G4" s="96" t="str">
        <f>IF($E$4=0,"",$F$4/$E$4)</f>
        <v/>
      </c>
      <c r="H4" s="97" t="str">
        <f>IF($K$4=0,"",$J$4/$K$4)</f>
        <v/>
      </c>
      <c r="I4" s="97" t="str">
        <f>IF($F$4=0,"",$J$4/$F$4-1)</f>
        <v/>
      </c>
      <c r="J4" s="32">
        <f>SUBTOTAL(109,J$15:INDEX(J:J,COUNTA($B:$B)+14-COUNTA($B$1:$B$14)))</f>
        <v>0</v>
      </c>
      <c r="K4" s="32">
        <f>SUBTOTAL(109,K$15:INDEX(K:K,COUNTA($B:$B)+14-COUNTA($B$1:$B$14)))</f>
        <v>0</v>
      </c>
    </row>
    <row r="5" spans="1:11" x14ac:dyDescent="0.2">
      <c r="A5" s="387" t="s">
        <v>60</v>
      </c>
      <c r="B5" s="28" t="s">
        <v>60</v>
      </c>
      <c r="C5" s="28" t="s">
        <v>60</v>
      </c>
      <c r="D5" s="28" t="s">
        <v>60</v>
      </c>
      <c r="E5" s="47" t="s">
        <v>69</v>
      </c>
      <c r="F5" s="71" t="s">
        <v>71</v>
      </c>
      <c r="G5" s="98" t="s">
        <v>60</v>
      </c>
      <c r="H5" s="99" t="s">
        <v>60</v>
      </c>
      <c r="I5" s="99" t="s">
        <v>60</v>
      </c>
      <c r="J5" s="33" t="s">
        <v>71</v>
      </c>
      <c r="K5" s="33" t="s">
        <v>69</v>
      </c>
    </row>
    <row r="6" spans="1:11" x14ac:dyDescent="0.2">
      <c r="A6" s="387" t="s">
        <v>138</v>
      </c>
      <c r="B6" s="28" t="s">
        <v>138</v>
      </c>
      <c r="C6" s="28" t="s">
        <v>138</v>
      </c>
      <c r="D6" s="28" t="s">
        <v>138</v>
      </c>
      <c r="E6" s="47" t="s">
        <v>54</v>
      </c>
      <c r="F6" s="71" t="s">
        <v>72</v>
      </c>
      <c r="G6" s="98" t="s">
        <v>55</v>
      </c>
      <c r="H6" s="99" t="s">
        <v>74</v>
      </c>
      <c r="I6" s="99" t="s">
        <v>74</v>
      </c>
      <c r="J6" s="33" t="s">
        <v>54</v>
      </c>
      <c r="K6" s="33" t="s">
        <v>54</v>
      </c>
    </row>
    <row r="7" spans="1:11" x14ac:dyDescent="0.2">
      <c r="A7" s="387" t="s">
        <v>70</v>
      </c>
      <c r="B7" s="28" t="s">
        <v>70</v>
      </c>
      <c r="C7" s="28" t="s">
        <v>70</v>
      </c>
      <c r="D7" s="28" t="s">
        <v>70</v>
      </c>
      <c r="E7" s="47" t="s">
        <v>56</v>
      </c>
      <c r="F7" s="71" t="s">
        <v>56</v>
      </c>
      <c r="G7" s="98" t="s">
        <v>57</v>
      </c>
      <c r="H7" s="99" t="s">
        <v>57</v>
      </c>
      <c r="I7" s="99" t="s">
        <v>57</v>
      </c>
      <c r="J7" s="33" t="s">
        <v>56</v>
      </c>
      <c r="K7" s="33" t="s">
        <v>56</v>
      </c>
    </row>
    <row r="8" spans="1:11" x14ac:dyDescent="0.2">
      <c r="A8" s="387"/>
      <c r="B8" s="28"/>
      <c r="C8" s="28"/>
      <c r="D8" s="28"/>
      <c r="E8" s="346" t="s">
        <v>121</v>
      </c>
      <c r="F8" s="354" t="s">
        <v>122</v>
      </c>
      <c r="G8" s="98"/>
      <c r="H8" s="169"/>
      <c r="I8" s="169"/>
      <c r="J8" s="338" t="s">
        <v>122</v>
      </c>
      <c r="K8" s="338" t="s">
        <v>121</v>
      </c>
    </row>
    <row r="9" spans="1:11" x14ac:dyDescent="0.2">
      <c r="A9" s="387"/>
      <c r="B9" s="28"/>
      <c r="C9" s="28"/>
      <c r="D9" s="28"/>
      <c r="E9" s="346"/>
      <c r="F9" s="354" t="s">
        <v>123</v>
      </c>
      <c r="G9" s="98"/>
      <c r="H9" s="169"/>
      <c r="I9" s="169"/>
      <c r="J9" s="338" t="s">
        <v>123</v>
      </c>
      <c r="K9" s="338"/>
    </row>
    <row r="10" spans="1:11" x14ac:dyDescent="0.2">
      <c r="A10" s="387"/>
      <c r="B10" s="28"/>
      <c r="C10" s="28"/>
      <c r="D10" s="28"/>
      <c r="E10" s="346"/>
      <c r="F10" s="354"/>
      <c r="G10" s="98"/>
      <c r="H10" s="169"/>
      <c r="I10" s="169"/>
      <c r="J10" s="338"/>
      <c r="K10" s="338"/>
    </row>
    <row r="11" spans="1:11" x14ac:dyDescent="0.2">
      <c r="A11" s="387"/>
      <c r="B11" s="28"/>
      <c r="C11" s="28"/>
      <c r="D11" s="28"/>
      <c r="F11" s="71"/>
      <c r="G11" s="98"/>
      <c r="H11" s="99"/>
      <c r="I11" s="99"/>
    </row>
    <row r="12" spans="1:11" x14ac:dyDescent="0.2">
      <c r="A12" s="387"/>
      <c r="B12" s="28"/>
      <c r="C12" s="28"/>
      <c r="D12" s="28"/>
      <c r="E12" s="47" t="s">
        <v>139</v>
      </c>
      <c r="F12" s="71" t="s">
        <v>139</v>
      </c>
      <c r="G12" s="98" t="s">
        <v>139</v>
      </c>
      <c r="H12" s="99" t="s">
        <v>139</v>
      </c>
      <c r="I12" s="99" t="s">
        <v>139</v>
      </c>
      <c r="J12" s="33" t="s">
        <v>139</v>
      </c>
      <c r="K12" s="33" t="s">
        <v>139</v>
      </c>
    </row>
    <row r="13" spans="1:11" x14ac:dyDescent="0.2">
      <c r="A13" s="387"/>
      <c r="B13" s="28"/>
      <c r="C13" s="28"/>
      <c r="D13" s="28"/>
      <c r="F13" s="71"/>
      <c r="G13" s="98"/>
      <c r="H13" s="99"/>
      <c r="I13" s="99"/>
    </row>
    <row r="14" spans="1:11" x14ac:dyDescent="0.2">
      <c r="A14" s="383" t="s">
        <v>44</v>
      </c>
      <c r="B14" s="263" t="s">
        <v>3</v>
      </c>
      <c r="C14" s="263" t="s">
        <v>4</v>
      </c>
      <c r="D14" s="263" t="s">
        <v>48</v>
      </c>
      <c r="E14" s="274" t="s">
        <v>344</v>
      </c>
      <c r="F14" s="250" t="s">
        <v>262</v>
      </c>
      <c r="G14" s="251" t="s">
        <v>363</v>
      </c>
      <c r="H14" s="251" t="s">
        <v>368</v>
      </c>
      <c r="I14" s="251" t="s">
        <v>369</v>
      </c>
      <c r="J14" s="273" t="s">
        <v>263</v>
      </c>
      <c r="K14" s="273" t="s">
        <v>364</v>
      </c>
    </row>
    <row r="15" spans="1:11" x14ac:dyDescent="0.2">
      <c r="A15" s="378" t="e">
        <f>INDEX(Prioritization!$D:$D,MATCH($B15,Prioritization!$A:$A,0))</f>
        <v>#N/A</v>
      </c>
      <c r="B15" s="20"/>
      <c r="C15" s="20"/>
      <c r="D15" s="20" t="str">
        <f>B15&amp;"|"&amp;C15</f>
        <v>|</v>
      </c>
      <c r="E15" s="53"/>
      <c r="G15" s="19" t="str">
        <f>IF(SUM($E15,$F15)=0,"",SUM($F15)/IF(SUM($E15)=0,1,$E15))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256" priority="1">
      <formula>LEFT($B1,4)="_Mil"</formula>
    </cfRule>
  </conditionalFormatting>
  <conditionalFormatting sqref="H1:H1048576">
    <cfRule type="expression" dxfId="255" priority="7">
      <formula>AND(ISNUMBER(H1),H1&lt;&gt;G1)</formula>
    </cfRule>
  </conditionalFormatting>
  <conditionalFormatting sqref="E1:H1048576 J1:K1048576">
    <cfRule type="expression" dxfId="254" priority="2">
      <formula>AND(ISNUMBER(E1),E1&lt;0)</formula>
    </cfRule>
  </conditionalFormatting>
  <conditionalFormatting sqref="G1:H1048576">
    <cfRule type="expression" dxfId="253" priority="3">
      <formula>AND(ISNUMBER(G1),G1&gt;1)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C15" sqref="C15"/>
    </sheetView>
    <sheetView workbookViewId="1"/>
  </sheetViews>
  <sheetFormatPr baseColWidth="10" defaultRowHeight="16" x14ac:dyDescent="0.2"/>
  <cols>
    <col min="1" max="1" width="16.1640625" style="387" customWidth="1"/>
    <col min="2" max="2" width="30.83203125" style="28" customWidth="1"/>
    <col min="3" max="3" width="11.83203125" style="108" customWidth="1"/>
    <col min="4" max="4" width="11.83203125" style="138" customWidth="1"/>
    <col min="5" max="5" width="11.83203125" style="119" customWidth="1"/>
    <col min="6" max="6" width="11.83203125" style="112" customWidth="1"/>
    <col min="7" max="10" width="11.83203125" style="33" customWidth="1"/>
    <col min="11" max="11" width="11.83203125" style="108" customWidth="1"/>
    <col min="12" max="12" width="11.83203125" style="138" customWidth="1"/>
    <col min="13" max="13" width="11.83203125" style="119" customWidth="1"/>
    <col min="14" max="14" width="11.83203125" style="112" customWidth="1"/>
    <col min="15" max="18" width="11.83203125" style="33" customWidth="1"/>
    <col min="19" max="19" width="11.83203125" style="108" customWidth="1"/>
    <col min="20" max="20" width="11.83203125" style="119" customWidth="1"/>
    <col min="21" max="21" width="11.83203125" style="112" customWidth="1"/>
    <col min="22" max="25" width="11.83203125" style="33" customWidth="1"/>
    <col min="26" max="26" width="11.83203125" style="108" customWidth="1"/>
    <col min="27" max="27" width="11.83203125" style="119" customWidth="1"/>
    <col min="28" max="28" width="11.83203125" style="112" customWidth="1"/>
    <col min="29" max="32" width="11.83203125" style="33" customWidth="1"/>
    <col min="33" max="33" width="11.83203125" style="108" customWidth="1"/>
    <col min="34" max="34" width="11.83203125" style="119" customWidth="1"/>
    <col min="35" max="35" width="11.83203125" style="112" customWidth="1"/>
    <col min="36" max="39" width="11.83203125" style="33" customWidth="1"/>
    <col min="40" max="40" width="11.83203125" style="108" customWidth="1"/>
    <col min="41" max="41" width="11.83203125" style="119" customWidth="1"/>
    <col min="42" max="42" width="11.83203125" style="112" customWidth="1"/>
    <col min="43" max="46" width="11.83203125" style="33" customWidth="1"/>
    <col min="47" max="47" width="11.83203125" style="108" customWidth="1"/>
    <col min="48" max="48" width="11.83203125" style="119" customWidth="1"/>
    <col min="49" max="49" width="11.83203125" style="112" customWidth="1"/>
    <col min="50" max="53" width="11.83203125" style="33" customWidth="1"/>
    <col min="54" max="54" width="11.83203125" style="108" customWidth="1"/>
    <col min="55" max="55" width="11.83203125" style="119" customWidth="1"/>
    <col min="56" max="56" width="11.83203125" style="112" customWidth="1"/>
    <col min="57" max="60" width="11.83203125" style="33" customWidth="1"/>
    <col min="61" max="61" width="11.83203125" style="108" customWidth="1"/>
    <col min="62" max="62" width="11.83203125" style="119" customWidth="1"/>
    <col min="63" max="63" width="11.83203125" style="112" customWidth="1"/>
    <col min="64" max="67" width="11.83203125" style="33" customWidth="1"/>
    <col min="68" max="68" width="11.83203125" style="108" customWidth="1"/>
    <col min="69" max="69" width="11.83203125" style="119" customWidth="1"/>
    <col min="70" max="70" width="11.83203125" style="112" customWidth="1"/>
    <col min="71" max="74" width="11.83203125" style="33" customWidth="1"/>
    <col min="75" max="16384" width="10.83203125" style="25"/>
  </cols>
  <sheetData>
    <row r="1" spans="1:74" s="22" customFormat="1" ht="31" customHeight="1" thickBot="1" x14ac:dyDescent="0.35">
      <c r="A1" s="379" t="s">
        <v>527</v>
      </c>
      <c r="B1" s="4"/>
      <c r="C1" s="271" t="s">
        <v>536</v>
      </c>
      <c r="D1" s="236"/>
      <c r="E1" s="290"/>
      <c r="F1" s="291"/>
      <c r="G1" s="236"/>
      <c r="H1" s="236"/>
      <c r="I1" s="236"/>
      <c r="J1" s="236"/>
      <c r="K1" s="271" t="s">
        <v>21</v>
      </c>
      <c r="L1" s="236"/>
      <c r="M1" s="290"/>
      <c r="N1" s="291"/>
      <c r="O1" s="236"/>
      <c r="P1" s="236"/>
      <c r="Q1" s="236"/>
      <c r="R1" s="236"/>
      <c r="S1" s="271" t="s">
        <v>0</v>
      </c>
      <c r="T1" s="290"/>
      <c r="U1" s="291"/>
      <c r="V1" s="236"/>
      <c r="W1" s="236"/>
      <c r="X1" s="236"/>
      <c r="Y1" s="236"/>
      <c r="Z1" s="271" t="s">
        <v>1</v>
      </c>
      <c r="AA1" s="290"/>
      <c r="AB1" s="291"/>
      <c r="AC1" s="236"/>
      <c r="AD1" s="236"/>
      <c r="AE1" s="236"/>
      <c r="AF1" s="236"/>
      <c r="AG1" s="271" t="s">
        <v>36</v>
      </c>
      <c r="AH1" s="290"/>
      <c r="AI1" s="291"/>
      <c r="AJ1" s="236"/>
      <c r="AK1" s="236"/>
      <c r="AL1" s="236"/>
      <c r="AM1" s="236"/>
      <c r="AN1" s="271" t="s">
        <v>35</v>
      </c>
      <c r="AO1" s="290"/>
      <c r="AP1" s="291"/>
      <c r="AQ1" s="236"/>
      <c r="AR1" s="236"/>
      <c r="AS1" s="236"/>
      <c r="AT1" s="236"/>
      <c r="AU1" s="271" t="s">
        <v>386</v>
      </c>
      <c r="AV1" s="290"/>
      <c r="AW1" s="291"/>
      <c r="AX1" s="236"/>
      <c r="AY1" s="236"/>
      <c r="AZ1" s="236"/>
      <c r="BA1" s="236"/>
      <c r="BB1" s="271" t="s">
        <v>387</v>
      </c>
      <c r="BC1" s="290"/>
      <c r="BD1" s="291"/>
      <c r="BE1" s="236"/>
      <c r="BF1" s="236"/>
      <c r="BG1" s="236"/>
      <c r="BH1" s="236"/>
      <c r="BI1" s="271" t="s">
        <v>140</v>
      </c>
      <c r="BJ1" s="290"/>
      <c r="BK1" s="291"/>
      <c r="BL1" s="236"/>
      <c r="BM1" s="236"/>
      <c r="BN1" s="236"/>
      <c r="BO1" s="236"/>
      <c r="BP1" s="271" t="s">
        <v>146</v>
      </c>
      <c r="BQ1" s="290"/>
      <c r="BR1" s="291"/>
      <c r="BS1" s="236"/>
      <c r="BT1" s="236"/>
      <c r="BU1" s="236"/>
      <c r="BV1" s="236"/>
    </row>
    <row r="2" spans="1:74" s="21" customFormat="1" ht="19" x14ac:dyDescent="0.25">
      <c r="A2" s="374" t="s">
        <v>584</v>
      </c>
      <c r="B2" s="371"/>
      <c r="C2" s="52" t="s">
        <v>489</v>
      </c>
      <c r="D2" s="56"/>
      <c r="E2" s="117"/>
      <c r="F2" s="110" t="s">
        <v>385</v>
      </c>
      <c r="G2" s="29"/>
      <c r="H2" s="29"/>
      <c r="I2" s="127"/>
      <c r="J2" s="29"/>
      <c r="K2" s="52" t="s">
        <v>489</v>
      </c>
      <c r="L2" s="56"/>
      <c r="M2" s="117"/>
      <c r="N2" s="110" t="s">
        <v>385</v>
      </c>
      <c r="O2" s="29"/>
      <c r="P2" s="29"/>
      <c r="Q2" s="127"/>
      <c r="R2" s="29"/>
      <c r="S2" s="52" t="s">
        <v>489</v>
      </c>
      <c r="T2" s="117"/>
      <c r="U2" s="110" t="s">
        <v>385</v>
      </c>
      <c r="V2" s="29"/>
      <c r="W2" s="29"/>
      <c r="X2" s="127"/>
      <c r="Y2" s="29"/>
      <c r="Z2" s="52" t="s">
        <v>489</v>
      </c>
      <c r="AA2" s="117"/>
      <c r="AB2" s="110" t="s">
        <v>385</v>
      </c>
      <c r="AC2" s="29"/>
      <c r="AD2" s="29"/>
      <c r="AE2" s="127"/>
      <c r="AF2" s="29"/>
      <c r="AG2" s="52" t="s">
        <v>489</v>
      </c>
      <c r="AH2" s="117"/>
      <c r="AI2" s="110" t="s">
        <v>385</v>
      </c>
      <c r="AJ2" s="29"/>
      <c r="AK2" s="29"/>
      <c r="AL2" s="127"/>
      <c r="AM2" s="29"/>
      <c r="AN2" s="52" t="s">
        <v>489</v>
      </c>
      <c r="AO2" s="117"/>
      <c r="AP2" s="110" t="s">
        <v>385</v>
      </c>
      <c r="AQ2" s="29"/>
      <c r="AR2" s="29"/>
      <c r="AS2" s="127"/>
      <c r="AT2" s="29"/>
      <c r="AU2" s="52" t="s">
        <v>489</v>
      </c>
      <c r="AV2" s="117"/>
      <c r="AW2" s="110" t="s">
        <v>385</v>
      </c>
      <c r="AX2" s="29"/>
      <c r="AY2" s="29"/>
      <c r="AZ2" s="127"/>
      <c r="BA2" s="29"/>
      <c r="BB2" s="52" t="s">
        <v>489</v>
      </c>
      <c r="BC2" s="117"/>
      <c r="BD2" s="110" t="s">
        <v>385</v>
      </c>
      <c r="BE2" s="29"/>
      <c r="BF2" s="29"/>
      <c r="BG2" s="127"/>
      <c r="BH2" s="29"/>
      <c r="BI2" s="52" t="s">
        <v>489</v>
      </c>
      <c r="BJ2" s="117"/>
      <c r="BK2" s="110" t="s">
        <v>385</v>
      </c>
      <c r="BL2" s="29"/>
      <c r="BM2" s="29"/>
      <c r="BN2" s="127"/>
      <c r="BO2" s="29"/>
      <c r="BP2" s="52" t="s">
        <v>489</v>
      </c>
      <c r="BQ2" s="117"/>
      <c r="BR2" s="110" t="s">
        <v>385</v>
      </c>
      <c r="BS2" s="29"/>
      <c r="BT2" s="29"/>
      <c r="BU2" s="127"/>
      <c r="BV2" s="29"/>
    </row>
    <row r="3" spans="1:74" ht="117" customHeight="1" thickBot="1" x14ac:dyDescent="0.25">
      <c r="A3" s="372"/>
      <c r="B3" s="373"/>
      <c r="C3" s="129" t="s">
        <v>824</v>
      </c>
      <c r="D3" s="133" t="s">
        <v>1045</v>
      </c>
      <c r="E3" s="136" t="s">
        <v>825</v>
      </c>
      <c r="F3" s="173" t="s">
        <v>373</v>
      </c>
      <c r="G3" s="162" t="s">
        <v>374</v>
      </c>
      <c r="H3" s="162" t="s">
        <v>377</v>
      </c>
      <c r="I3" s="31" t="s">
        <v>375</v>
      </c>
      <c r="J3" s="31" t="s">
        <v>376</v>
      </c>
      <c r="K3" s="129" t="s">
        <v>824</v>
      </c>
      <c r="L3" s="133" t="s">
        <v>1045</v>
      </c>
      <c r="M3" s="136" t="s">
        <v>825</v>
      </c>
      <c r="N3" s="173" t="s">
        <v>373</v>
      </c>
      <c r="O3" s="162" t="s">
        <v>374</v>
      </c>
      <c r="P3" s="162" t="s">
        <v>377</v>
      </c>
      <c r="Q3" s="31" t="s">
        <v>375</v>
      </c>
      <c r="R3" s="31" t="s">
        <v>376</v>
      </c>
      <c r="S3" s="129" t="s">
        <v>824</v>
      </c>
      <c r="T3" s="136" t="s">
        <v>825</v>
      </c>
      <c r="U3" s="173" t="s">
        <v>373</v>
      </c>
      <c r="V3" s="162" t="s">
        <v>374</v>
      </c>
      <c r="W3" s="162" t="s">
        <v>377</v>
      </c>
      <c r="X3" s="31" t="s">
        <v>375</v>
      </c>
      <c r="Y3" s="31" t="s">
        <v>376</v>
      </c>
      <c r="Z3" s="129" t="s">
        <v>824</v>
      </c>
      <c r="AA3" s="136" t="s">
        <v>825</v>
      </c>
      <c r="AB3" s="173" t="s">
        <v>373</v>
      </c>
      <c r="AC3" s="162" t="s">
        <v>374</v>
      </c>
      <c r="AD3" s="162" t="s">
        <v>377</v>
      </c>
      <c r="AE3" s="31" t="s">
        <v>375</v>
      </c>
      <c r="AF3" s="31" t="s">
        <v>376</v>
      </c>
      <c r="AG3" s="129" t="s">
        <v>824</v>
      </c>
      <c r="AH3" s="136" t="s">
        <v>825</v>
      </c>
      <c r="AI3" s="173" t="s">
        <v>373</v>
      </c>
      <c r="AJ3" s="162" t="s">
        <v>374</v>
      </c>
      <c r="AK3" s="162" t="s">
        <v>377</v>
      </c>
      <c r="AL3" s="31" t="s">
        <v>375</v>
      </c>
      <c r="AM3" s="31" t="s">
        <v>376</v>
      </c>
      <c r="AN3" s="129" t="s">
        <v>824</v>
      </c>
      <c r="AO3" s="136" t="s">
        <v>825</v>
      </c>
      <c r="AP3" s="173" t="s">
        <v>373</v>
      </c>
      <c r="AQ3" s="162" t="s">
        <v>374</v>
      </c>
      <c r="AR3" s="162" t="s">
        <v>377</v>
      </c>
      <c r="AS3" s="31" t="s">
        <v>375</v>
      </c>
      <c r="AT3" s="31" t="s">
        <v>376</v>
      </c>
      <c r="AU3" s="129" t="s">
        <v>824</v>
      </c>
      <c r="AV3" s="136" t="s">
        <v>825</v>
      </c>
      <c r="AW3" s="173" t="s">
        <v>373</v>
      </c>
      <c r="AX3" s="162" t="s">
        <v>374</v>
      </c>
      <c r="AY3" s="162" t="s">
        <v>377</v>
      </c>
      <c r="AZ3" s="31" t="s">
        <v>375</v>
      </c>
      <c r="BA3" s="31" t="s">
        <v>376</v>
      </c>
      <c r="BB3" s="129" t="s">
        <v>824</v>
      </c>
      <c r="BC3" s="136" t="s">
        <v>825</v>
      </c>
      <c r="BD3" s="173" t="s">
        <v>373</v>
      </c>
      <c r="BE3" s="162" t="s">
        <v>374</v>
      </c>
      <c r="BF3" s="162" t="s">
        <v>377</v>
      </c>
      <c r="BG3" s="31" t="s">
        <v>375</v>
      </c>
      <c r="BH3" s="31" t="s">
        <v>376</v>
      </c>
      <c r="BI3" s="129" t="s">
        <v>824</v>
      </c>
      <c r="BJ3" s="136" t="s">
        <v>825</v>
      </c>
      <c r="BK3" s="173" t="s">
        <v>373</v>
      </c>
      <c r="BL3" s="162" t="s">
        <v>374</v>
      </c>
      <c r="BM3" s="162" t="s">
        <v>377</v>
      </c>
      <c r="BN3" s="31" t="s">
        <v>375</v>
      </c>
      <c r="BO3" s="31" t="s">
        <v>376</v>
      </c>
      <c r="BP3" s="129" t="s">
        <v>824</v>
      </c>
      <c r="BQ3" s="136" t="s">
        <v>825</v>
      </c>
      <c r="BR3" s="173" t="s">
        <v>373</v>
      </c>
      <c r="BS3" s="162" t="s">
        <v>374</v>
      </c>
      <c r="BT3" s="162" t="s">
        <v>377</v>
      </c>
      <c r="BU3" s="31" t="s">
        <v>375</v>
      </c>
      <c r="BV3" s="31" t="s">
        <v>376</v>
      </c>
    </row>
    <row r="4" spans="1:74" x14ac:dyDescent="0.2">
      <c r="A4" s="386"/>
      <c r="B4" s="27" t="s">
        <v>2</v>
      </c>
      <c r="C4" s="107">
        <f>SUBTOTAL(109,C$15:INDEX(C:C,COUNTA($B:$B)+14-COUNTA($B$1:$B$14)))</f>
        <v>0</v>
      </c>
      <c r="D4" s="137">
        <f>SUBTOTAL(109,D$15:INDEX(D:D,COUNTA($B:$B)+14-COUNTA($B$1:$B$14)))</f>
        <v>0</v>
      </c>
      <c r="E4" s="118">
        <f>SUBTOTAL(109,E$15:INDEX(E:E,COUNTA($B:$B)+14-COUNTA($B$1:$B$14)))</f>
        <v>0</v>
      </c>
      <c r="F4" s="111">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7">
        <f>SUBTOTAL(109,K$15:INDEX(K:K,COUNTA($B:$B)+14-COUNTA($B$1:$B$14)))</f>
        <v>0</v>
      </c>
      <c r="L4" s="137">
        <f>SUBTOTAL(109,L$15:INDEX(L:L,COUNTA($B:$B)+14-COUNTA($B$1:$B$14)))</f>
        <v>0</v>
      </c>
      <c r="M4" s="118">
        <f>SUBTOTAL(109,M$15:INDEX(M:M,COUNTA($B:$B)+14-COUNTA($B$1:$B$14)))</f>
        <v>0</v>
      </c>
      <c r="N4" s="111">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7">
        <f>SUBTOTAL(109,S$15:INDEX(S:S,COUNTA($B:$B)+14-COUNTA($B$1:$B$14)))</f>
        <v>0</v>
      </c>
      <c r="T4" s="118">
        <f>SUBTOTAL(109,T$15:INDEX(T:T,COUNTA($B:$B)+14-COUNTA($B$1:$B$14)))</f>
        <v>0</v>
      </c>
      <c r="U4" s="111">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7">
        <f>SUBTOTAL(109,Z$15:INDEX(Z:Z,COUNTA($B:$B)+14-COUNTA($B$1:$B$14)))</f>
        <v>0</v>
      </c>
      <c r="AA4" s="118">
        <f>SUBTOTAL(109,AA$15:INDEX(AA:AA,COUNTA($B:$B)+14-COUNTA($B$1:$B$14)))</f>
        <v>0</v>
      </c>
      <c r="AB4" s="111">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7">
        <f>SUBTOTAL(109,AG$15:INDEX(AG:AG,COUNTA($B:$B)+14-COUNTA($B$1:$B$14)))</f>
        <v>0</v>
      </c>
      <c r="AH4" s="118">
        <f>SUBTOTAL(109,AH$15:INDEX(AH:AH,COUNTA($B:$B)+14-COUNTA($B$1:$B$14)))</f>
        <v>0</v>
      </c>
      <c r="AI4" s="111">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7">
        <f>SUBTOTAL(109,AN$15:INDEX(AN:AN,COUNTA($B:$B)+14-COUNTA($B$1:$B$14)))</f>
        <v>0</v>
      </c>
      <c r="AO4" s="118">
        <f>SUBTOTAL(109,AO$15:INDEX(AO:AO,COUNTA($B:$B)+14-COUNTA($B$1:$B$14)))</f>
        <v>0</v>
      </c>
      <c r="AP4" s="111">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7">
        <f>SUBTOTAL(109,AU$15:INDEX(AU:AU,COUNTA($B:$B)+14-COUNTA($B$1:$B$14)))</f>
        <v>0</v>
      </c>
      <c r="AV4" s="118">
        <f>SUBTOTAL(109,AV$15:INDEX(AV:AV,COUNTA($B:$B)+14-COUNTA($B$1:$B$14)))</f>
        <v>0</v>
      </c>
      <c r="AW4" s="111">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7">
        <f>SUBTOTAL(109,BB$15:INDEX(BB:BB,COUNTA($B:$B)+14-COUNTA($B$1:$B$14)))</f>
        <v>0</v>
      </c>
      <c r="BC4" s="118">
        <f>SUBTOTAL(109,BC$15:INDEX(BC:BC,COUNTA($B:$B)+14-COUNTA($B$1:$B$14)))</f>
        <v>0</v>
      </c>
      <c r="BD4" s="111">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7">
        <f>SUBTOTAL(109,BI$15:INDEX(BI:BI,COUNTA($B:$B)+14-COUNTA($B$1:$B$14)))</f>
        <v>0</v>
      </c>
      <c r="BJ4" s="118">
        <f>SUBTOTAL(109,BJ$15:INDEX(BJ:BJ,COUNTA($B:$B)+14-COUNTA($B$1:$B$14)))</f>
        <v>0</v>
      </c>
      <c r="BK4" s="111">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7">
        <f>SUBTOTAL(109,BP$15:INDEX(BP:BP,COUNTA($B:$B)+14-COUNTA($B$1:$B$14)))</f>
        <v>0</v>
      </c>
      <c r="BQ4" s="118">
        <f>SUBTOTAL(109,BQ$15:INDEX(BQ:BQ,COUNTA($B:$B)+14-COUNTA($B$1:$B$14)))</f>
        <v>0</v>
      </c>
      <c r="BR4" s="111">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387" t="s">
        <v>60</v>
      </c>
      <c r="B5" s="28" t="s">
        <v>60</v>
      </c>
      <c r="C5" s="108" t="s">
        <v>60</v>
      </c>
      <c r="D5" s="138" t="s">
        <v>60</v>
      </c>
      <c r="E5" s="119" t="s">
        <v>60</v>
      </c>
      <c r="F5" s="112" t="s">
        <v>60</v>
      </c>
      <c r="G5" s="33" t="s">
        <v>60</v>
      </c>
      <c r="H5" s="33" t="s">
        <v>60</v>
      </c>
      <c r="I5" s="33" t="s">
        <v>60</v>
      </c>
      <c r="J5" s="33" t="s">
        <v>60</v>
      </c>
      <c r="K5" s="108" t="s">
        <v>60</v>
      </c>
      <c r="L5" s="138" t="s">
        <v>60</v>
      </c>
      <c r="M5" s="119" t="s">
        <v>60</v>
      </c>
      <c r="N5" s="112" t="s">
        <v>60</v>
      </c>
      <c r="O5" s="33" t="s">
        <v>60</v>
      </c>
      <c r="P5" s="33" t="s">
        <v>60</v>
      </c>
      <c r="Q5" s="33" t="s">
        <v>60</v>
      </c>
      <c r="R5" s="33" t="s">
        <v>60</v>
      </c>
      <c r="S5" s="108" t="s">
        <v>60</v>
      </c>
      <c r="T5" s="119" t="s">
        <v>60</v>
      </c>
      <c r="U5" s="112" t="s">
        <v>60</v>
      </c>
      <c r="V5" s="33" t="s">
        <v>60</v>
      </c>
      <c r="W5" s="33" t="s">
        <v>60</v>
      </c>
      <c r="X5" s="33" t="s">
        <v>60</v>
      </c>
      <c r="Y5" s="33" t="s">
        <v>60</v>
      </c>
      <c r="Z5" s="108" t="s">
        <v>60</v>
      </c>
      <c r="AA5" s="119" t="s">
        <v>60</v>
      </c>
      <c r="AB5" s="112" t="s">
        <v>60</v>
      </c>
      <c r="AC5" s="33" t="s">
        <v>60</v>
      </c>
      <c r="AD5" s="33" t="s">
        <v>60</v>
      </c>
      <c r="AE5" s="33" t="s">
        <v>60</v>
      </c>
      <c r="AF5" s="33" t="s">
        <v>60</v>
      </c>
      <c r="AG5" s="108" t="s">
        <v>60</v>
      </c>
      <c r="AH5" s="119" t="s">
        <v>60</v>
      </c>
      <c r="AI5" s="112" t="s">
        <v>60</v>
      </c>
      <c r="AJ5" s="33" t="s">
        <v>60</v>
      </c>
      <c r="AK5" s="33" t="s">
        <v>60</v>
      </c>
      <c r="AL5" s="33" t="s">
        <v>60</v>
      </c>
      <c r="AM5" s="33" t="s">
        <v>60</v>
      </c>
      <c r="AN5" s="108" t="s">
        <v>60</v>
      </c>
      <c r="AO5" s="119" t="s">
        <v>60</v>
      </c>
      <c r="AP5" s="112" t="s">
        <v>60</v>
      </c>
      <c r="AQ5" s="33" t="s">
        <v>60</v>
      </c>
      <c r="AR5" s="33" t="s">
        <v>60</v>
      </c>
      <c r="AS5" s="33" t="s">
        <v>60</v>
      </c>
      <c r="AT5" s="33" t="s">
        <v>60</v>
      </c>
      <c r="AU5" s="108" t="s">
        <v>60</v>
      </c>
      <c r="AV5" s="119" t="s">
        <v>60</v>
      </c>
      <c r="AW5" s="112" t="s">
        <v>60</v>
      </c>
      <c r="AX5" s="33" t="s">
        <v>60</v>
      </c>
      <c r="AY5" s="33" t="s">
        <v>60</v>
      </c>
      <c r="AZ5" s="33" t="s">
        <v>60</v>
      </c>
      <c r="BA5" s="33" t="s">
        <v>60</v>
      </c>
      <c r="BB5" s="108" t="s">
        <v>60</v>
      </c>
      <c r="BC5" s="119" t="s">
        <v>60</v>
      </c>
      <c r="BD5" s="112" t="s">
        <v>60</v>
      </c>
      <c r="BE5" s="33" t="s">
        <v>60</v>
      </c>
      <c r="BF5" s="33" t="s">
        <v>60</v>
      </c>
      <c r="BG5" s="33" t="s">
        <v>60</v>
      </c>
      <c r="BH5" s="33" t="s">
        <v>60</v>
      </c>
      <c r="BI5" s="108" t="s">
        <v>60</v>
      </c>
      <c r="BJ5" s="119" t="s">
        <v>60</v>
      </c>
      <c r="BK5" s="112" t="s">
        <v>60</v>
      </c>
      <c r="BL5" s="33" t="s">
        <v>60</v>
      </c>
      <c r="BM5" s="33" t="s">
        <v>60</v>
      </c>
      <c r="BN5" s="33" t="s">
        <v>60</v>
      </c>
      <c r="BO5" s="33" t="s">
        <v>60</v>
      </c>
      <c r="BP5" s="108" t="s">
        <v>60</v>
      </c>
      <c r="BQ5" s="119" t="s">
        <v>60</v>
      </c>
      <c r="BR5" s="112" t="s">
        <v>60</v>
      </c>
      <c r="BS5" s="33" t="s">
        <v>60</v>
      </c>
      <c r="BT5" s="33" t="s">
        <v>60</v>
      </c>
      <c r="BU5" s="33" t="s">
        <v>60</v>
      </c>
      <c r="BV5" s="33" t="s">
        <v>60</v>
      </c>
    </row>
    <row r="6" spans="1:74" x14ac:dyDescent="0.2">
      <c r="A6" s="387" t="s">
        <v>138</v>
      </c>
      <c r="B6" s="28" t="s">
        <v>138</v>
      </c>
      <c r="C6" s="108" t="s">
        <v>55</v>
      </c>
      <c r="D6" s="138" t="s">
        <v>55</v>
      </c>
      <c r="E6" s="119" t="s">
        <v>55</v>
      </c>
      <c r="F6" s="112" t="s">
        <v>55</v>
      </c>
      <c r="G6" s="33" t="s">
        <v>55</v>
      </c>
      <c r="H6" s="33" t="s">
        <v>55</v>
      </c>
      <c r="I6" s="33" t="s">
        <v>55</v>
      </c>
      <c r="J6" s="33" t="s">
        <v>55</v>
      </c>
      <c r="K6" s="108" t="s">
        <v>55</v>
      </c>
      <c r="L6" s="138" t="s">
        <v>55</v>
      </c>
      <c r="M6" s="119" t="s">
        <v>55</v>
      </c>
      <c r="N6" s="112" t="s">
        <v>55</v>
      </c>
      <c r="O6" s="33" t="s">
        <v>55</v>
      </c>
      <c r="P6" s="33" t="s">
        <v>55</v>
      </c>
      <c r="Q6" s="33" t="s">
        <v>55</v>
      </c>
      <c r="R6" s="33" t="s">
        <v>55</v>
      </c>
      <c r="S6" s="108" t="s">
        <v>55</v>
      </c>
      <c r="T6" s="119" t="s">
        <v>55</v>
      </c>
      <c r="U6" s="112" t="s">
        <v>55</v>
      </c>
      <c r="V6" s="33" t="s">
        <v>55</v>
      </c>
      <c r="W6" s="33" t="s">
        <v>55</v>
      </c>
      <c r="X6" s="33" t="s">
        <v>55</v>
      </c>
      <c r="Y6" s="33" t="s">
        <v>55</v>
      </c>
      <c r="Z6" s="108" t="s">
        <v>55</v>
      </c>
      <c r="AA6" s="119" t="s">
        <v>55</v>
      </c>
      <c r="AB6" s="112" t="s">
        <v>55</v>
      </c>
      <c r="AC6" s="33" t="s">
        <v>55</v>
      </c>
      <c r="AD6" s="33" t="s">
        <v>55</v>
      </c>
      <c r="AE6" s="33" t="s">
        <v>55</v>
      </c>
      <c r="AF6" s="33" t="s">
        <v>55</v>
      </c>
      <c r="AG6" s="108" t="s">
        <v>55</v>
      </c>
      <c r="AH6" s="119" t="s">
        <v>55</v>
      </c>
      <c r="AI6" s="112" t="s">
        <v>55</v>
      </c>
      <c r="AJ6" s="33" t="s">
        <v>55</v>
      </c>
      <c r="AK6" s="33" t="s">
        <v>55</v>
      </c>
      <c r="AL6" s="33" t="s">
        <v>55</v>
      </c>
      <c r="AM6" s="33" t="s">
        <v>55</v>
      </c>
      <c r="AN6" s="108" t="s">
        <v>55</v>
      </c>
      <c r="AO6" s="119" t="s">
        <v>55</v>
      </c>
      <c r="AP6" s="112" t="s">
        <v>55</v>
      </c>
      <c r="AQ6" s="33" t="s">
        <v>55</v>
      </c>
      <c r="AR6" s="33" t="s">
        <v>55</v>
      </c>
      <c r="AS6" s="33" t="s">
        <v>55</v>
      </c>
      <c r="AT6" s="33" t="s">
        <v>55</v>
      </c>
      <c r="AU6" s="108" t="s">
        <v>55</v>
      </c>
      <c r="AV6" s="119" t="s">
        <v>55</v>
      </c>
      <c r="AW6" s="112" t="s">
        <v>55</v>
      </c>
      <c r="AX6" s="33" t="s">
        <v>55</v>
      </c>
      <c r="AY6" s="33" t="s">
        <v>55</v>
      </c>
      <c r="AZ6" s="33" t="s">
        <v>55</v>
      </c>
      <c r="BA6" s="33" t="s">
        <v>55</v>
      </c>
      <c r="BB6" s="108" t="s">
        <v>55</v>
      </c>
      <c r="BC6" s="119" t="s">
        <v>55</v>
      </c>
      <c r="BD6" s="112" t="s">
        <v>55</v>
      </c>
      <c r="BE6" s="33" t="s">
        <v>55</v>
      </c>
      <c r="BF6" s="33" t="s">
        <v>55</v>
      </c>
      <c r="BG6" s="33" t="s">
        <v>55</v>
      </c>
      <c r="BH6" s="33" t="s">
        <v>55</v>
      </c>
      <c r="BI6" s="108" t="s">
        <v>55</v>
      </c>
      <c r="BJ6" s="119" t="s">
        <v>55</v>
      </c>
      <c r="BK6" s="112" t="s">
        <v>55</v>
      </c>
      <c r="BL6" s="33" t="s">
        <v>55</v>
      </c>
      <c r="BM6" s="33" t="s">
        <v>55</v>
      </c>
      <c r="BN6" s="33" t="s">
        <v>55</v>
      </c>
      <c r="BO6" s="33" t="s">
        <v>55</v>
      </c>
      <c r="BP6" s="108" t="s">
        <v>55</v>
      </c>
      <c r="BQ6" s="119" t="s">
        <v>55</v>
      </c>
      <c r="BR6" s="112" t="s">
        <v>55</v>
      </c>
      <c r="BS6" s="33" t="s">
        <v>55</v>
      </c>
      <c r="BT6" s="33" t="s">
        <v>55</v>
      </c>
      <c r="BU6" s="33" t="s">
        <v>55</v>
      </c>
      <c r="BV6" s="33" t="s">
        <v>55</v>
      </c>
    </row>
    <row r="7" spans="1:74" x14ac:dyDescent="0.2">
      <c r="A7" s="387" t="s">
        <v>70</v>
      </c>
      <c r="B7" s="28" t="s">
        <v>70</v>
      </c>
      <c r="C7" s="109" t="s">
        <v>56</v>
      </c>
      <c r="D7" s="139" t="s">
        <v>56</v>
      </c>
      <c r="E7" s="120" t="s">
        <v>56</v>
      </c>
      <c r="F7" s="112" t="s">
        <v>56</v>
      </c>
      <c r="G7" s="33" t="s">
        <v>56</v>
      </c>
      <c r="H7" s="33" t="s">
        <v>56</v>
      </c>
      <c r="I7" s="33" t="s">
        <v>56</v>
      </c>
      <c r="J7" s="33" t="s">
        <v>56</v>
      </c>
      <c r="K7" s="109" t="s">
        <v>56</v>
      </c>
      <c r="L7" s="139" t="s">
        <v>56</v>
      </c>
      <c r="M7" s="120" t="s">
        <v>56</v>
      </c>
      <c r="N7" s="112" t="s">
        <v>56</v>
      </c>
      <c r="O7" s="33" t="s">
        <v>56</v>
      </c>
      <c r="P7" s="33" t="s">
        <v>56</v>
      </c>
      <c r="Q7" s="33" t="s">
        <v>56</v>
      </c>
      <c r="R7" s="33" t="s">
        <v>56</v>
      </c>
      <c r="S7" s="109" t="s">
        <v>56</v>
      </c>
      <c r="T7" s="120" t="s">
        <v>56</v>
      </c>
      <c r="U7" s="112" t="s">
        <v>56</v>
      </c>
      <c r="V7" s="33" t="s">
        <v>56</v>
      </c>
      <c r="W7" s="33" t="s">
        <v>56</v>
      </c>
      <c r="X7" s="33" t="s">
        <v>56</v>
      </c>
      <c r="Y7" s="33" t="s">
        <v>56</v>
      </c>
      <c r="Z7" s="109" t="s">
        <v>56</v>
      </c>
      <c r="AA7" s="120" t="s">
        <v>56</v>
      </c>
      <c r="AB7" s="112" t="s">
        <v>56</v>
      </c>
      <c r="AC7" s="33" t="s">
        <v>56</v>
      </c>
      <c r="AD7" s="33" t="s">
        <v>56</v>
      </c>
      <c r="AE7" s="33" t="s">
        <v>56</v>
      </c>
      <c r="AF7" s="33" t="s">
        <v>56</v>
      </c>
      <c r="AG7" s="109" t="s">
        <v>56</v>
      </c>
      <c r="AH7" s="120" t="s">
        <v>56</v>
      </c>
      <c r="AI7" s="112" t="s">
        <v>56</v>
      </c>
      <c r="AJ7" s="33" t="s">
        <v>56</v>
      </c>
      <c r="AK7" s="33" t="s">
        <v>56</v>
      </c>
      <c r="AL7" s="33" t="s">
        <v>56</v>
      </c>
      <c r="AM7" s="33" t="s">
        <v>56</v>
      </c>
      <c r="AN7" s="109" t="s">
        <v>56</v>
      </c>
      <c r="AO7" s="120" t="s">
        <v>56</v>
      </c>
      <c r="AP7" s="112" t="s">
        <v>56</v>
      </c>
      <c r="AQ7" s="33" t="s">
        <v>56</v>
      </c>
      <c r="AR7" s="33" t="s">
        <v>56</v>
      </c>
      <c r="AS7" s="33" t="s">
        <v>56</v>
      </c>
      <c r="AT7" s="33" t="s">
        <v>56</v>
      </c>
      <c r="AU7" s="109" t="s">
        <v>56</v>
      </c>
      <c r="AV7" s="120" t="s">
        <v>56</v>
      </c>
      <c r="AW7" s="112" t="s">
        <v>56</v>
      </c>
      <c r="AX7" s="33" t="s">
        <v>56</v>
      </c>
      <c r="AY7" s="33" t="s">
        <v>56</v>
      </c>
      <c r="AZ7" s="33" t="s">
        <v>56</v>
      </c>
      <c r="BA7" s="33" t="s">
        <v>56</v>
      </c>
      <c r="BB7" s="109" t="s">
        <v>56</v>
      </c>
      <c r="BC7" s="120" t="s">
        <v>56</v>
      </c>
      <c r="BD7" s="112" t="s">
        <v>56</v>
      </c>
      <c r="BE7" s="33" t="s">
        <v>56</v>
      </c>
      <c r="BF7" s="33" t="s">
        <v>56</v>
      </c>
      <c r="BG7" s="33" t="s">
        <v>56</v>
      </c>
      <c r="BH7" s="33" t="s">
        <v>56</v>
      </c>
      <c r="BI7" s="109" t="s">
        <v>56</v>
      </c>
      <c r="BJ7" s="120" t="s">
        <v>56</v>
      </c>
      <c r="BK7" s="112" t="s">
        <v>56</v>
      </c>
      <c r="BL7" s="33" t="s">
        <v>56</v>
      </c>
      <c r="BM7" s="33" t="s">
        <v>56</v>
      </c>
      <c r="BN7" s="33" t="s">
        <v>56</v>
      </c>
      <c r="BO7" s="33" t="s">
        <v>56</v>
      </c>
      <c r="BP7" s="109" t="s">
        <v>56</v>
      </c>
      <c r="BQ7" s="120" t="s">
        <v>56</v>
      </c>
      <c r="BR7" s="112" t="s">
        <v>56</v>
      </c>
      <c r="BS7" s="33" t="s">
        <v>56</v>
      </c>
      <c r="BT7" s="33" t="s">
        <v>56</v>
      </c>
      <c r="BU7" s="33" t="s">
        <v>56</v>
      </c>
      <c r="BV7" s="33" t="s">
        <v>56</v>
      </c>
    </row>
    <row r="8" spans="1:74" x14ac:dyDescent="0.2">
      <c r="C8" s="109"/>
      <c r="D8" s="139"/>
      <c r="E8" s="120"/>
      <c r="K8" s="109"/>
      <c r="L8" s="139"/>
      <c r="M8" s="120"/>
      <c r="S8" s="109"/>
      <c r="T8" s="120"/>
      <c r="Z8" s="109"/>
      <c r="AA8" s="120"/>
      <c r="AG8" s="109"/>
      <c r="AH8" s="120"/>
      <c r="AN8" s="109"/>
      <c r="AO8" s="120"/>
      <c r="AU8" s="109"/>
      <c r="AV8" s="120"/>
      <c r="BB8" s="109"/>
      <c r="BC8" s="120"/>
      <c r="BI8" s="109"/>
      <c r="BJ8" s="120"/>
      <c r="BP8" s="109"/>
      <c r="BQ8" s="120"/>
    </row>
    <row r="9" spans="1:74" x14ac:dyDescent="0.2">
      <c r="C9" s="109"/>
      <c r="D9" s="139"/>
      <c r="E9" s="120"/>
      <c r="K9" s="109"/>
      <c r="L9" s="139"/>
      <c r="M9" s="120"/>
      <c r="S9" s="109"/>
      <c r="T9" s="120"/>
      <c r="Z9" s="109"/>
      <c r="AA9" s="120"/>
      <c r="AG9" s="109"/>
      <c r="AH9" s="120"/>
      <c r="AN9" s="109"/>
      <c r="AO9" s="120"/>
      <c r="AU9" s="109"/>
      <c r="AV9" s="120"/>
      <c r="BB9" s="109"/>
      <c r="BC9" s="120"/>
      <c r="BI9" s="109"/>
      <c r="BJ9" s="120"/>
      <c r="BP9" s="109"/>
      <c r="BQ9" s="120"/>
    </row>
    <row r="10" spans="1:74" x14ac:dyDescent="0.2">
      <c r="C10" s="109"/>
      <c r="D10" s="139"/>
      <c r="E10" s="120"/>
      <c r="K10" s="109"/>
      <c r="L10" s="139"/>
      <c r="M10" s="120"/>
      <c r="S10" s="109"/>
      <c r="T10" s="120"/>
      <c r="Z10" s="109"/>
      <c r="AA10" s="120"/>
      <c r="AG10" s="109"/>
      <c r="AH10" s="120"/>
      <c r="AN10" s="109"/>
      <c r="AO10" s="120"/>
      <c r="AU10" s="109"/>
      <c r="AV10" s="120"/>
      <c r="BB10" s="109"/>
      <c r="BC10" s="120"/>
      <c r="BI10" s="109"/>
      <c r="BJ10" s="120"/>
      <c r="BP10" s="109"/>
      <c r="BQ10" s="120"/>
    </row>
    <row r="11" spans="1:74" x14ac:dyDescent="0.2">
      <c r="C11" s="109"/>
      <c r="D11" s="139"/>
      <c r="E11" s="120"/>
      <c r="K11" s="109"/>
      <c r="L11" s="139"/>
      <c r="M11" s="120"/>
      <c r="S11" s="109"/>
      <c r="T11" s="120"/>
      <c r="Z11" s="109"/>
      <c r="AA11" s="120"/>
      <c r="AG11" s="109"/>
      <c r="AH11" s="120"/>
      <c r="AN11" s="109"/>
      <c r="AO11" s="120"/>
      <c r="AU11" s="109"/>
      <c r="AV11" s="120"/>
      <c r="BB11" s="109"/>
      <c r="BC11" s="120"/>
      <c r="BI11" s="109"/>
      <c r="BJ11" s="120"/>
      <c r="BP11" s="109"/>
      <c r="BQ11" s="120"/>
    </row>
    <row r="14" spans="1:74" x14ac:dyDescent="0.2">
      <c r="A14" s="383" t="s">
        <v>44</v>
      </c>
      <c r="B14" s="263" t="s">
        <v>3</v>
      </c>
      <c r="C14" s="274" t="s">
        <v>539</v>
      </c>
      <c r="D14" s="247" t="s">
        <v>540</v>
      </c>
      <c r="E14" s="298" t="s">
        <v>541</v>
      </c>
      <c r="F14" s="299" t="s">
        <v>542</v>
      </c>
      <c r="G14" s="253" t="s">
        <v>543</v>
      </c>
      <c r="H14" s="253" t="s">
        <v>544</v>
      </c>
      <c r="I14" s="273" t="s">
        <v>545</v>
      </c>
      <c r="J14" s="273" t="s">
        <v>546</v>
      </c>
      <c r="K14" s="274" t="s">
        <v>403</v>
      </c>
      <c r="L14" s="247" t="s">
        <v>498</v>
      </c>
      <c r="M14" s="298" t="s">
        <v>404</v>
      </c>
      <c r="N14" s="299" t="s">
        <v>405</v>
      </c>
      <c r="O14" s="253" t="s">
        <v>406</v>
      </c>
      <c r="P14" s="253" t="s">
        <v>407</v>
      </c>
      <c r="Q14" s="273" t="s">
        <v>408</v>
      </c>
      <c r="R14" s="273" t="s">
        <v>409</v>
      </c>
      <c r="S14" s="274" t="s">
        <v>410</v>
      </c>
      <c r="T14" s="298" t="s">
        <v>411</v>
      </c>
      <c r="U14" s="299" t="s">
        <v>398</v>
      </c>
      <c r="V14" s="253" t="s">
        <v>399</v>
      </c>
      <c r="W14" s="253" t="s">
        <v>400</v>
      </c>
      <c r="X14" s="273" t="s">
        <v>401</v>
      </c>
      <c r="Y14" s="273" t="s">
        <v>402</v>
      </c>
      <c r="Z14" s="274" t="s">
        <v>412</v>
      </c>
      <c r="AA14" s="298" t="s">
        <v>413</v>
      </c>
      <c r="AB14" s="299" t="s">
        <v>414</v>
      </c>
      <c r="AC14" s="253" t="s">
        <v>415</v>
      </c>
      <c r="AD14" s="253" t="s">
        <v>416</v>
      </c>
      <c r="AE14" s="273" t="s">
        <v>417</v>
      </c>
      <c r="AF14" s="273" t="s">
        <v>418</v>
      </c>
      <c r="AG14" s="274" t="s">
        <v>419</v>
      </c>
      <c r="AH14" s="298" t="s">
        <v>420</v>
      </c>
      <c r="AI14" s="299" t="s">
        <v>421</v>
      </c>
      <c r="AJ14" s="253" t="s">
        <v>422</v>
      </c>
      <c r="AK14" s="253" t="s">
        <v>423</v>
      </c>
      <c r="AL14" s="273" t="s">
        <v>424</v>
      </c>
      <c r="AM14" s="273" t="s">
        <v>425</v>
      </c>
      <c r="AN14" s="274" t="s">
        <v>426</v>
      </c>
      <c r="AO14" s="298" t="s">
        <v>427</v>
      </c>
      <c r="AP14" s="299" t="s">
        <v>428</v>
      </c>
      <c r="AQ14" s="253" t="s">
        <v>429</v>
      </c>
      <c r="AR14" s="253" t="s">
        <v>430</v>
      </c>
      <c r="AS14" s="273" t="s">
        <v>431</v>
      </c>
      <c r="AT14" s="273" t="s">
        <v>432</v>
      </c>
      <c r="AU14" s="274" t="s">
        <v>433</v>
      </c>
      <c r="AV14" s="298" t="s">
        <v>434</v>
      </c>
      <c r="AW14" s="299" t="s">
        <v>435</v>
      </c>
      <c r="AX14" s="253" t="s">
        <v>436</v>
      </c>
      <c r="AY14" s="253" t="s">
        <v>437</v>
      </c>
      <c r="AZ14" s="273" t="s">
        <v>438</v>
      </c>
      <c r="BA14" s="273" t="s">
        <v>439</v>
      </c>
      <c r="BB14" s="274" t="s">
        <v>440</v>
      </c>
      <c r="BC14" s="298" t="s">
        <v>441</v>
      </c>
      <c r="BD14" s="299" t="s">
        <v>442</v>
      </c>
      <c r="BE14" s="253" t="s">
        <v>443</v>
      </c>
      <c r="BF14" s="253" t="s">
        <v>444</v>
      </c>
      <c r="BG14" s="273" t="s">
        <v>445</v>
      </c>
      <c r="BH14" s="273" t="s">
        <v>446</v>
      </c>
      <c r="BI14" s="274" t="s">
        <v>447</v>
      </c>
      <c r="BJ14" s="298" t="s">
        <v>448</v>
      </c>
      <c r="BK14" s="299" t="s">
        <v>449</v>
      </c>
      <c r="BL14" s="253" t="s">
        <v>450</v>
      </c>
      <c r="BM14" s="253" t="s">
        <v>451</v>
      </c>
      <c r="BN14" s="273" t="s">
        <v>452</v>
      </c>
      <c r="BO14" s="273" t="s">
        <v>453</v>
      </c>
      <c r="BP14" s="274" t="s">
        <v>454</v>
      </c>
      <c r="BQ14" s="298" t="s">
        <v>455</v>
      </c>
      <c r="BR14" s="299" t="s">
        <v>456</v>
      </c>
      <c r="BS14" s="253" t="s">
        <v>457</v>
      </c>
      <c r="BT14" s="253" t="s">
        <v>458</v>
      </c>
      <c r="BU14" s="273" t="s">
        <v>459</v>
      </c>
      <c r="BV14" s="273" t="s">
        <v>460</v>
      </c>
    </row>
    <row r="15" spans="1:74" customFormat="1" x14ac:dyDescent="0.2">
      <c r="A15" s="378" t="e">
        <f>INDEX(Prioritization!$D:$D,MATCH($B15,Prioritization!$A:$A,0))</f>
        <v>#N/A</v>
      </c>
      <c r="B15" s="20"/>
      <c r="C15" s="53" cm="1">
        <f t="array" ref="C15">SUM(SUMIFS(PrEP!$O:$O,PrEP!$B:$B,$B15,PrEP!$C:$C,{"15-24","25-34","35-49","50+"},PrEP!$D:$D,"Female"))</f>
        <v>0</v>
      </c>
      <c r="D15" s="58" cm="1">
        <f t="array" ref="D15">SUM(SUMIFS(PrEP!$O:$O,PrEP!$B:$B,$B15,PrEP!$C:$C,{"15-24","25-34"},PrEP!$D:$D,"Female"))</f>
        <v>0</v>
      </c>
      <c r="E15" s="163" cm="1">
        <f t="array" ref="E15">SUM(SUMIFS(PrEP!$O:$O,PrEP!$B:$B,$B15,PrEP!$C:$C,{"15-24","25-34","35-49","50+"},PrEP!$D:$D,"Male"))</f>
        <v>0</v>
      </c>
      <c r="F15" s="112"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8" cm="1">
        <f t="array" ref="L15">SUM(SUMIFS(PrEP!$L:$L,PrEP!$B:$B,$B15,PrEP!$C:$C,{"15-24","25-34"},PrEP!$D:$D,"Female"))</f>
        <v>0</v>
      </c>
      <c r="M15" s="163" cm="1">
        <f t="array" ref="M15">SUM(SUMIFS(PrEP!$L:$L,PrEP!$B:$B,$B15,PrEP!$C:$C,{"15-24","25-34","35-49","50+"},PrEP!$D:$D,"Male"))</f>
        <v>0</v>
      </c>
      <c r="N15" s="112"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SUM(SUMIFS(Cascade!$AM:$AM,Cascade!$B:$B,$B15,Cascade!$C:$C,{"15-24","25-34","35-49","50+"},Cascade!$D:$D,"Female"))</f>
        <v>0</v>
      </c>
      <c r="T15" s="163" cm="1">
        <f t="array" ref="T15">SUM(SUMIFS(Cascade!$AM:$AM,Cascade!$B:$B,$B15,Cascade!$C:$C,{"15-24","25-34","35-49","50+"},Cascade!$D:$D,"Male"))</f>
        <v>0</v>
      </c>
      <c r="U15" s="112"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SUM(SUMIFS(Cascade!$AU:$AU,Cascade!$B:$B,$B15,Cascade!$C:$C,{"15-24","25-34","35-49","50+"},Cascade!$D:$D,"Female"))</f>
        <v>0</v>
      </c>
      <c r="AA15" s="163" cm="1">
        <f t="array" ref="AA15">SUM(SUMIFS(Cascade!$AU:$AU,Cascade!$B:$B,$B15,Cascade!$C:$C,{"15-24","25-34","35-49","50+"},Cascade!$D:$D,"Male"))</f>
        <v>0</v>
      </c>
      <c r="AB15" s="112" t="str">
        <f>_xlfn.IFNA(INDEX(KP!$X:$X,MATCH(($B15&amp;"|"&amp;AB$3),KP!$D:$D,0)),"")</f>
        <v/>
      </c>
      <c r="AC15" s="33" t="str">
        <f>_xlfn.IFNA(INDEX(KP!$X:$X,MATCH(($B15&amp;"|"&amp;AC$3),KP!$D:$D,0)),"")</f>
        <v/>
      </c>
      <c r="AD15" s="33" t="str">
        <f>_xlfn.IFNA(INDEX(KP!$X:$X,MATCH(($B15&amp;"|"&amp;AD$3),KP!$D:$D,0)),"")</f>
        <v/>
      </c>
      <c r="AE15" s="33" t="str">
        <f>_xlfn.IFNA(INDEX(KP!$X:$X,MATCH(($B15&amp;"|"&amp;AE$3),KP!$D:$D,0)),"")</f>
        <v/>
      </c>
      <c r="AF15" s="33" t="str">
        <f>_xlfn.IFNA(INDEX(KP!$X:$X,MATCH(($B15&amp;"|"&amp;AF$3),KP!$D:$D,0)),"")</f>
        <v/>
      </c>
      <c r="AG15" s="53" cm="1">
        <f t="array" ref="AG15">SUM(SUMIFS(Cascade!$AY:$AY,Cascade!$B:$B,$B15,Cascade!$C:$C,{"15-24","25-34","35-49","50+"},Cascade!$D:$D,"Female"))</f>
        <v>0</v>
      </c>
      <c r="AH15" s="163" cm="1">
        <f t="array" ref="AH15">SUM(SUMIFS(Cascade!$AY:$AY,Cascade!$B:$B,$B15,Cascade!$C:$C,{"15-24","25-34","35-49","50+"},Cascade!$D:$D,"Male"))</f>
        <v>0</v>
      </c>
      <c r="AI15" s="112" t="str">
        <f>_xlfn.IFNA(INDEX(KP!$AB:$AB,MATCH(($B15&amp;"|"&amp;AI$3),KP!$D:$D,0)),"")</f>
        <v/>
      </c>
      <c r="AJ15" s="33" t="str">
        <f>_xlfn.IFNA(INDEX(KP!$AB:$AB,MATCH(($B15&amp;"|"&amp;AJ$3),KP!$D:$D,0)),"")</f>
        <v/>
      </c>
      <c r="AK15" s="33" t="str">
        <f>_xlfn.IFNA(INDEX(KP!$AB:$AB,MATCH(($B15&amp;"|"&amp;AK$3),KP!$D:$D,0)),"")</f>
        <v/>
      </c>
      <c r="AL15" s="33" t="str">
        <f>_xlfn.IFNA(INDEX(KP!$AB:$AB,MATCH(($B15&amp;"|"&amp;AL$3),KP!$D:$D,0)),"")</f>
        <v/>
      </c>
      <c r="AM15" s="33" t="str">
        <f>_xlfn.IFNA(INDEX(KP!$AB:$AB,MATCH(($B15&amp;"|"&amp;AM$3),KP!$D:$D,0)),"")</f>
        <v/>
      </c>
      <c r="AN15" s="53" cm="1">
        <f t="array" ref="AN15">SUM(SUMIFS(Cascade!$BB:$BB,Cascade!$B:$B,$B15,Cascade!$C:$C,{"15-24","25-34","35-49","50+"},Cascade!$D:$D,"Female"))</f>
        <v>0</v>
      </c>
      <c r="AO15" s="163" cm="1">
        <f t="array" ref="AO15">SUM(SUMIFS(Cascade!$BB:$BB,Cascade!$B:$B,$B15,Cascade!$C:$C,{"15-24","25-34","35-49","50+"},Cascade!$D:$D,"Male"))</f>
        <v>0</v>
      </c>
      <c r="AP15" s="112" t="str">
        <f>_xlfn.IFNA(INDEX(KP!$AD:$AD,MATCH(($B15&amp;"|"&amp;AP$3),KP!$D:$D,0)),"")</f>
        <v/>
      </c>
      <c r="AQ15" s="33" t="str">
        <f>_xlfn.IFNA(INDEX(KP!$AD:$AD,MATCH(($B15&amp;"|"&amp;AQ$3),KP!$D:$D,0)),"")</f>
        <v/>
      </c>
      <c r="AR15" s="33" t="str">
        <f>_xlfn.IFNA(INDEX(KP!$AD:$AD,MATCH(($B15&amp;"|"&amp;AR$3),KP!$D:$D,0)),"")</f>
        <v/>
      </c>
      <c r="AS15" s="33" t="str">
        <f>_xlfn.IFNA(INDEX(KP!$AD:$AD,MATCH(($B15&amp;"|"&amp;AS$3),KP!$D:$D,0)),"")</f>
        <v/>
      </c>
      <c r="AT15" s="33" t="str">
        <f>_xlfn.IFNA(INDEX(KP!$AD:$AD,MATCH(($B15&amp;"|"&amp;AT$3),KP!$D:$D,0)),"")</f>
        <v/>
      </c>
      <c r="AU15" s="53" cm="1">
        <f t="array" ref="AU15">SUM(SUMIFS(HTS!$AM:$AM,HTS!$B:$B,$B15,HTS!$C:$C,{"15-24","25-34","35-49","50+"},HTS!$D:$D,"Female"))</f>
        <v>0</v>
      </c>
      <c r="AV15" s="163" cm="1">
        <f t="array" ref="AV15">SUM(SUMIFS(HTS!$AM:$AM,HTS!$B:$B,$B15,HTS!$C:$C,{"15-24","25-34","35-49","50+"},HTS!$D:$D,"Male"))</f>
        <v>0</v>
      </c>
      <c r="AW15" s="112" t="str">
        <f>_xlfn.IFNA(INDEX(KP!$AI:$AI,MATCH(($B15&amp;"|"&amp;AW$3),KP!$D:$D,0)),"")</f>
        <v/>
      </c>
      <c r="AX15" s="33" t="str">
        <f>_xlfn.IFNA(INDEX(KP!$AI:$AI,MATCH(($B15&amp;"|"&amp;AX$3),KP!$D:$D,0)),"")</f>
        <v/>
      </c>
      <c r="AY15" s="33" t="str">
        <f>_xlfn.IFNA(INDEX(KP!$AI:$AI,MATCH(($B15&amp;"|"&amp;AY$3),KP!$D:$D,0)),"")</f>
        <v/>
      </c>
      <c r="AZ15" s="33" t="str">
        <f>_xlfn.IFNA(INDEX(KP!$AI:$AI,MATCH(($B15&amp;"|"&amp;AZ$3),KP!$D:$D,0)),"")</f>
        <v/>
      </c>
      <c r="BA15" s="33" t="str">
        <f>_xlfn.IFNA(INDEX(KP!$AI:$AI,MATCH(($B15&amp;"|"&amp;BA$3),KP!$D:$D,0)),"")</f>
        <v/>
      </c>
      <c r="BB15" s="53" cm="1">
        <f t="array" ref="BB15">SUM(SUMIFS(HTS!$AT:$AT,HTS!$B:$B,$B15,HTS!$C:$C,{"15-24","25-34","35-49","50+"},HTS!$D:$D,"Female"))</f>
        <v>0</v>
      </c>
      <c r="BC15" s="163" cm="1">
        <f t="array" ref="BC15">SUM(SUMIFS(HTS!$AT:$AT,HTS!$B:$B,$B15,HTS!$C:$C,{"15-24","25-34","35-49","50+"},HTS!$D:$D,"Male"))</f>
        <v>0</v>
      </c>
      <c r="BD15" s="112" t="str">
        <f>_xlfn.IFNA(INDEX(KP!$AJ:$AJ,MATCH(($B15&amp;"|"&amp;BD$3),KP!$D:$D,0)),"")</f>
        <v/>
      </c>
      <c r="BE15" s="33" t="str">
        <f>_xlfn.IFNA(INDEX(KP!$AJ:$AJ,MATCH(($B15&amp;"|"&amp;BE$3),KP!$D:$D,0)),"")</f>
        <v/>
      </c>
      <c r="BF15" s="33" t="str">
        <f>_xlfn.IFNA(INDEX(KP!$AJ:$AJ,MATCH(($B15&amp;"|"&amp;BF$3),KP!$D:$D,0)),"")</f>
        <v/>
      </c>
      <c r="BG15" s="33" t="str">
        <f>_xlfn.IFNA(INDEX(KP!$AJ:$AJ,MATCH(($B15&amp;"|"&amp;BG$3),KP!$D:$D,0)),"")</f>
        <v/>
      </c>
      <c r="BH15" s="33" t="str">
        <f>_xlfn.IFNA(INDEX(KP!$AJ:$AJ,MATCH(($B15&amp;"|"&amp;BH$3),KP!$D:$D,0)),"")</f>
        <v/>
      </c>
      <c r="BI15" s="53" cm="1">
        <f t="array" ref="BI15">SUM(SUMIFS(HTS!$BA:$BA,HTS!$B:$B,$B15,HTS!$C:$C,{"15-24","25-34","35-49","50+"},HTS!$D:$D,"Female"))</f>
        <v>0</v>
      </c>
      <c r="BJ15" s="163" cm="1">
        <f t="array" ref="BJ15">SUM(SUMIFS(HTS!$BA:$BA,HTS!$B:$B,$B15,HTS!$C:$C,{"15-24","25-34","35-49","50+"},HTS!$D:$D,"Male"))</f>
        <v>0</v>
      </c>
      <c r="BK15" s="112" t="str">
        <f>_xlfn.IFNA(INDEX(KP!$AL:$AL,MATCH(($B15&amp;"|"&amp;BK$3),KP!$D:$D,0)),"")</f>
        <v/>
      </c>
      <c r="BL15" s="33" t="str">
        <f>_xlfn.IFNA(INDEX(KP!$AL:$AL,MATCH(($B15&amp;"|"&amp;BL$3),KP!$D:$D,0)),"")</f>
        <v/>
      </c>
      <c r="BM15" s="33" t="str">
        <f>_xlfn.IFNA(INDEX(KP!$AL:$AL,MATCH(($B15&amp;"|"&amp;BM$3),KP!$D:$D,0)),"")</f>
        <v/>
      </c>
      <c r="BN15" s="33" t="str">
        <f>_xlfn.IFNA(INDEX(KP!$AL:$AL,MATCH(($B15&amp;"|"&amp;BN$3),KP!$D:$D,0)),"")</f>
        <v/>
      </c>
      <c r="BO15" s="33" t="str">
        <f>_xlfn.IFNA(INDEX(KP!$AL:$AL,MATCH(($B15&amp;"|"&amp;BO$3),KP!$D:$D,0)),"")</f>
        <v/>
      </c>
      <c r="BP15" s="53" cm="1">
        <f t="array" ref="BP15">SUM(SUMIFS(HTS!$AY:$AY,HTS!$B:$B,$B15,HTS!$C:$C,{"15-24","25-34","35-49","50+"},HTS!$D:$D,"Female"))</f>
        <v>0</v>
      </c>
      <c r="BQ15" s="163" cm="1">
        <f t="array" ref="BQ15">SUM(SUMIFS(HTS!$AY:$AY,HTS!$B:$B,$B15,HTS!$C:$C,{"15-24","25-34","35-49","50+"},HTS!$D:$D,"Male"))</f>
        <v>0</v>
      </c>
      <c r="BR15" s="112" t="str">
        <f>_xlfn.IFNA(INDEX(KP!$AN:$AN,MATCH(($B15&amp;"|"&amp;BR$3),KP!$D:$D,0)),"")</f>
        <v/>
      </c>
      <c r="BS15" s="33" t="str">
        <f>_xlfn.IFNA(INDEX(KP!$AN:$AN,MATCH(($B15&amp;"|"&amp;BS$3),KP!$D:$D,0)),"")</f>
        <v/>
      </c>
      <c r="BT15" s="33" t="str">
        <f>_xlfn.IFNA(INDEX(KP!$AN:$AN,MATCH(($B15&amp;"|"&amp;BT$3),KP!$D:$D,0)),"")</f>
        <v/>
      </c>
      <c r="BU15" s="33" t="str">
        <f>_xlfn.IFNA(INDEX(KP!$AN:$AN,MATCH(($B15&amp;"|"&amp;BU$3),KP!$D:$D,0)),"")</f>
        <v/>
      </c>
      <c r="BV15" s="33" t="str">
        <f>_xlfn.IFNA(INDEX(KP!$AN:$AN,MATCH(($B15&amp;"|"&amp;BV$3),KP!$D:$D,0)),"")</f>
        <v/>
      </c>
    </row>
    <row r="16" spans="1:74" x14ac:dyDescent="0.2">
      <c r="A16" s="378"/>
      <c r="B16" s="20"/>
    </row>
    <row r="17" spans="1:2" x14ac:dyDescent="0.2">
      <c r="A17" s="378"/>
      <c r="B17" s="20"/>
    </row>
    <row r="18" spans="1:2" x14ac:dyDescent="0.2">
      <c r="A18" s="378"/>
      <c r="B18" s="20"/>
    </row>
    <row r="19" spans="1:2" x14ac:dyDescent="0.2">
      <c r="A19" s="378"/>
      <c r="B19" s="20"/>
    </row>
    <row r="20" spans="1:2" x14ac:dyDescent="0.2">
      <c r="A20" s="378"/>
      <c r="B20" s="20"/>
    </row>
    <row r="21" spans="1:2" x14ac:dyDescent="0.2">
      <c r="A21" s="378"/>
      <c r="B21" s="20"/>
    </row>
    <row r="22" spans="1:2" x14ac:dyDescent="0.2">
      <c r="A22" s="378"/>
      <c r="B22" s="20"/>
    </row>
    <row r="23" spans="1:2" x14ac:dyDescent="0.2">
      <c r="A23" s="378"/>
      <c r="B23" s="20"/>
    </row>
    <row r="24" spans="1:2" x14ac:dyDescent="0.2">
      <c r="A24" s="378"/>
      <c r="B24" s="20"/>
    </row>
    <row r="25" spans="1:2" x14ac:dyDescent="0.2">
      <c r="A25" s="378"/>
      <c r="B25" s="20"/>
    </row>
    <row r="26" spans="1:2" x14ac:dyDescent="0.2">
      <c r="A26" s="378"/>
      <c r="B26" s="20"/>
    </row>
    <row r="27" spans="1:2" x14ac:dyDescent="0.2">
      <c r="A27" s="378"/>
      <c r="B27" s="20"/>
    </row>
    <row r="28" spans="1:2" x14ac:dyDescent="0.2">
      <c r="A28" s="378"/>
      <c r="B28" s="20"/>
    </row>
    <row r="29" spans="1:2" x14ac:dyDescent="0.2">
      <c r="A29" s="378"/>
      <c r="B29" s="20"/>
    </row>
    <row r="30" spans="1:2" x14ac:dyDescent="0.2">
      <c r="A30" s="378"/>
      <c r="B30" s="20"/>
    </row>
    <row r="31" spans="1:2" x14ac:dyDescent="0.2">
      <c r="A31" s="378"/>
      <c r="B31" s="20"/>
    </row>
    <row r="32" spans="1:2" x14ac:dyDescent="0.2">
      <c r="A32" s="378"/>
      <c r="B32" s="20"/>
    </row>
    <row r="33" spans="1:2" x14ac:dyDescent="0.2">
      <c r="A33" s="378"/>
      <c r="B33" s="20"/>
    </row>
    <row r="34" spans="1:2" x14ac:dyDescent="0.2">
      <c r="A34" s="378"/>
      <c r="B34" s="20"/>
    </row>
    <row r="35" spans="1:2" x14ac:dyDescent="0.2">
      <c r="A35" s="378"/>
      <c r="B35" s="20"/>
    </row>
    <row r="36" spans="1:2" x14ac:dyDescent="0.2">
      <c r="A36" s="378"/>
      <c r="B36" s="20"/>
    </row>
    <row r="37" spans="1:2" x14ac:dyDescent="0.2">
      <c r="A37" s="378"/>
      <c r="B37" s="20"/>
    </row>
    <row r="38" spans="1:2" x14ac:dyDescent="0.2">
      <c r="A38" s="378"/>
      <c r="B38" s="20"/>
    </row>
    <row r="39" spans="1:2" x14ac:dyDescent="0.2">
      <c r="A39" s="378"/>
      <c r="B39" s="20"/>
    </row>
    <row r="40" spans="1:2" x14ac:dyDescent="0.2">
      <c r="A40" s="378"/>
      <c r="B40" s="20"/>
    </row>
    <row r="41" spans="1:2" x14ac:dyDescent="0.2">
      <c r="A41" s="378"/>
      <c r="B41" s="20"/>
    </row>
    <row r="42" spans="1:2" x14ac:dyDescent="0.2">
      <c r="A42" s="378"/>
      <c r="B42" s="20"/>
    </row>
    <row r="43" spans="1:2" x14ac:dyDescent="0.2">
      <c r="A43" s="378"/>
      <c r="B43" s="20"/>
    </row>
    <row r="44" spans="1:2" x14ac:dyDescent="0.2">
      <c r="A44" s="378"/>
      <c r="B44" s="20"/>
    </row>
    <row r="45" spans="1:2" x14ac:dyDescent="0.2">
      <c r="A45" s="378"/>
      <c r="B45" s="20"/>
    </row>
    <row r="46" spans="1:2" x14ac:dyDescent="0.2">
      <c r="A46" s="378"/>
      <c r="B46" s="20"/>
    </row>
    <row r="47" spans="1:2" x14ac:dyDescent="0.2">
      <c r="A47" s="378"/>
      <c r="B47" s="20"/>
    </row>
    <row r="48" spans="1:2" x14ac:dyDescent="0.2">
      <c r="A48" s="378"/>
      <c r="B48" s="20"/>
    </row>
    <row r="49" spans="1:2" x14ac:dyDescent="0.2">
      <c r="A49" s="378"/>
      <c r="B49" s="20"/>
    </row>
    <row r="50" spans="1:2" x14ac:dyDescent="0.2">
      <c r="A50" s="378"/>
      <c r="B50" s="20"/>
    </row>
    <row r="51" spans="1:2" x14ac:dyDescent="0.2">
      <c r="A51" s="378"/>
      <c r="B51" s="20"/>
    </row>
    <row r="52" spans="1:2" x14ac:dyDescent="0.2">
      <c r="A52" s="378"/>
      <c r="B52" s="20"/>
    </row>
    <row r="53" spans="1:2" x14ac:dyDescent="0.2">
      <c r="A53" s="378"/>
      <c r="B53" s="20"/>
    </row>
    <row r="54" spans="1:2" x14ac:dyDescent="0.2">
      <c r="A54" s="378"/>
      <c r="B54" s="20"/>
    </row>
    <row r="55" spans="1:2" x14ac:dyDescent="0.2">
      <c r="A55" s="378"/>
      <c r="B55" s="20"/>
    </row>
    <row r="56" spans="1:2" x14ac:dyDescent="0.2">
      <c r="A56" s="378"/>
      <c r="B56" s="20"/>
    </row>
    <row r="57" spans="1:2" x14ac:dyDescent="0.2">
      <c r="A57" s="378"/>
      <c r="B57" s="20"/>
    </row>
    <row r="58" spans="1:2" x14ac:dyDescent="0.2">
      <c r="A58" s="378"/>
      <c r="B58" s="20"/>
    </row>
    <row r="59" spans="1:2" x14ac:dyDescent="0.2">
      <c r="A59" s="378"/>
      <c r="B59" s="20"/>
    </row>
    <row r="60" spans="1:2" x14ac:dyDescent="0.2">
      <c r="A60" s="378"/>
      <c r="B60" s="20"/>
    </row>
    <row r="61" spans="1:2" x14ac:dyDescent="0.2">
      <c r="A61" s="378"/>
      <c r="B61" s="20"/>
    </row>
    <row r="62" spans="1:2" x14ac:dyDescent="0.2">
      <c r="A62" s="378"/>
      <c r="B62" s="20"/>
    </row>
    <row r="63" spans="1:2" x14ac:dyDescent="0.2">
      <c r="A63" s="378"/>
      <c r="B63" s="20"/>
    </row>
  </sheetData>
  <mergeCells count="1">
    <mergeCell ref="A2:B3"/>
  </mergeCells>
  <conditionalFormatting sqref="S1:S1048576 U1:U1048576">
    <cfRule type="expression" dxfId="252" priority="10">
      <formula>AND(ROW($U1)&gt;14,SUM($U1)&gt;$S1)</formula>
    </cfRule>
  </conditionalFormatting>
  <conditionalFormatting sqref="T1:T1048576 V1:V1048576">
    <cfRule type="expression" dxfId="251" priority="9">
      <formula>AND(ROW($V1)&gt;14,SUM($V1)&gt;$T1)</formula>
    </cfRule>
  </conditionalFormatting>
  <conditionalFormatting sqref="S1:T1048576 W1:Y1048576">
    <cfRule type="expression" dxfId="250" priority="12">
      <formula>(($S1-$U1)+($T1-$V1))&lt;SUM($W1:$Y1)</formula>
    </cfRule>
  </conditionalFormatting>
  <conditionalFormatting sqref="Z1:Z1048576 AB1:AB1048576">
    <cfRule type="expression" dxfId="249" priority="13">
      <formula>AND(ROW($AB1)&gt;14,SUM($AB1)&gt;$Z1)</formula>
    </cfRule>
  </conditionalFormatting>
  <conditionalFormatting sqref="AA1:AA1048576 AC1:AC1048576">
    <cfRule type="expression" dxfId="248" priority="14">
      <formula>AND(ROW($AC1)&gt;14,SUM($AC1)&gt;$AA1)</formula>
    </cfRule>
  </conditionalFormatting>
  <conditionalFormatting sqref="Z1:AA1048576 AD1:AF1048576">
    <cfRule type="expression" dxfId="247" priority="16">
      <formula>(($Z1-$AB1)+($AA1-$AC1))&lt;SUM($AD1:$AF1)</formula>
    </cfRule>
  </conditionalFormatting>
  <conditionalFormatting sqref="AG1:AG1048576 AI1:AI1048576">
    <cfRule type="expression" dxfId="246" priority="17">
      <formula>AND(ROW($AI1)&gt;14,SUM($AI1)&gt;$AG1)</formula>
    </cfRule>
  </conditionalFormatting>
  <conditionalFormatting sqref="AH1:AH1048576 AJ1:AJ1048576">
    <cfRule type="expression" dxfId="245" priority="18">
      <formula>AND(ROW($AJ1)&gt;14,SUM($AJ1)&gt;$AH1)</formula>
    </cfRule>
  </conditionalFormatting>
  <conditionalFormatting sqref="AG1:AH1048576 AK1:AM1048576">
    <cfRule type="expression" dxfId="244" priority="20">
      <formula>(($AG1-$AI1)+($AH1-$AJ1))&lt;SUM($AK1:$AM1)</formula>
    </cfRule>
  </conditionalFormatting>
  <conditionalFormatting sqref="AN1:AN1048576 AP1:AP1048576">
    <cfRule type="expression" dxfId="243" priority="21">
      <formula>AND(ROW($AP1)&gt;14,SUM($AP1)&gt;$AN1)</formula>
    </cfRule>
  </conditionalFormatting>
  <conditionalFormatting sqref="AO1:AO1048576 AQ1:AQ1048576">
    <cfRule type="expression" dxfId="242" priority="22">
      <formula>AND(ROW($AQ1)&gt;14,SUM($AQ1)&gt;$AO1)</formula>
    </cfRule>
  </conditionalFormatting>
  <conditionalFormatting sqref="AN1:AO1048576 AR1:AT1048576">
    <cfRule type="expression" dxfId="241" priority="24">
      <formula>(($AN1-$AP1)+($AO1-$AQ1))&lt;SUM($AR1:$AT1)</formula>
    </cfRule>
  </conditionalFormatting>
  <conditionalFormatting sqref="AU1:AU1048576 AW1:AW1048576">
    <cfRule type="expression" dxfId="240" priority="25">
      <formula>AND(ROW($AW1)&gt;14,SUM($AW1)&gt;$AU1)</formula>
    </cfRule>
  </conditionalFormatting>
  <conditionalFormatting sqref="AV1:AV1048576 AX1:AX1048576">
    <cfRule type="expression" dxfId="239" priority="26">
      <formula>AND(ROW($AX1)&gt;14,SUM($AX1)&gt;$AV1)</formula>
    </cfRule>
  </conditionalFormatting>
  <conditionalFormatting sqref="AU1:AV1048576 AY1:BA1048576">
    <cfRule type="expression" dxfId="238" priority="28">
      <formula>(($AU1-$AW1)+($AV1-$AX1))&lt;SUM($AY1:$BA1)</formula>
    </cfRule>
  </conditionalFormatting>
  <conditionalFormatting sqref="BB1:BB1048576 BD1:BD1048576">
    <cfRule type="expression" dxfId="237" priority="29">
      <formula>AND(ROW($BD1)&gt;14,SUM($BD1)&gt;$BB1)</formula>
    </cfRule>
  </conditionalFormatting>
  <conditionalFormatting sqref="BC1:BC1048576 BE1:BE1048576">
    <cfRule type="expression" dxfId="236" priority="30">
      <formula>AND(ROW($BE1)&gt;14,SUM($BE1)&gt;$BC1)</formula>
    </cfRule>
  </conditionalFormatting>
  <conditionalFormatting sqref="BB1:BC1048576 BF1:BH1048576">
    <cfRule type="expression" dxfId="235" priority="32">
      <formula>(($BB1-$BD1)+($BC1-$BE1))&lt;SUM($BF1:$BH1)</formula>
    </cfRule>
  </conditionalFormatting>
  <conditionalFormatting sqref="BI1:BI1048576 BK1:BK1048576">
    <cfRule type="expression" dxfId="234" priority="33">
      <formula>AND(ROW($BK1)&gt;14,SUM($BK1)&gt;$BI1)</formula>
    </cfRule>
  </conditionalFormatting>
  <conditionalFormatting sqref="BL1:BL1048576 BJ1:BJ1048576">
    <cfRule type="expression" dxfId="233" priority="34">
      <formula>AND(ROW($BL1)&gt;14,SUM($BL1)&gt;$BJ1)</formula>
    </cfRule>
  </conditionalFormatting>
  <conditionalFormatting sqref="BI1:BJ1048576 BM1:BO1048576">
    <cfRule type="expression" dxfId="232" priority="36">
      <formula>(($BI1-$BK1)+($BJ1-$BL1))&lt;SUM($BM1:$BO1)</formula>
    </cfRule>
  </conditionalFormatting>
  <conditionalFormatting sqref="BP1:BP1048576 BR1:BR1048576">
    <cfRule type="expression" dxfId="231" priority="45">
      <formula>AND(ROW($BR1)&gt;14,SUM($BR1)&gt;$BP1)</formula>
    </cfRule>
  </conditionalFormatting>
  <conditionalFormatting sqref="BQ1:BQ1048576 BS1:BS1048576">
    <cfRule type="expression" dxfId="230" priority="1135">
      <formula>AND(ROW($BS1)&gt;14,SUM($BS1)&gt;$BQ1)</formula>
    </cfRule>
  </conditionalFormatting>
  <conditionalFormatting sqref="BP1:BQ1048576 BT1:BV1048576">
    <cfRule type="expression" dxfId="229" priority="1136">
      <formula>(($BP1-$BR1)+($BQ1-$BS1))&lt;SUM($BT1:$BV1)</formula>
    </cfRule>
  </conditionalFormatting>
  <conditionalFormatting sqref="C1:D1048576 F1:F1048576">
    <cfRule type="expression" dxfId="228" priority="2">
      <formula>AND(ISNUMBER($F1),SUM($F1)&gt;$C1)</formula>
    </cfRule>
  </conditionalFormatting>
  <conditionalFormatting sqref="G1:G1048576 E1:E1048576">
    <cfRule type="expression" dxfId="227" priority="1">
      <formula>AND(ISNUMBER($G1),SUM($G1)&gt;$E1)</formula>
    </cfRule>
  </conditionalFormatting>
  <conditionalFormatting sqref="H1:J1048576 C1:E1048576">
    <cfRule type="expression" dxfId="226" priority="4">
      <formula>(($C1-$F1)+($E1-$G1))&lt;SUM($H1:$J1)</formula>
    </cfRule>
  </conditionalFormatting>
  <conditionalFormatting sqref="K1:L1048576 N1:N1048576">
    <cfRule type="expression" dxfId="225" priority="6">
      <formula>AND(ROW($N1)&gt;14,SUM($N1)&gt;$K1)</formula>
    </cfRule>
  </conditionalFormatting>
  <conditionalFormatting sqref="M1:M1048576 O1:O1048576">
    <cfRule type="expression" dxfId="224" priority="5">
      <formula>AND(ROW($O1)&gt;14,SUM($O1)&gt;$M1)</formula>
    </cfRule>
  </conditionalFormatting>
  <conditionalFormatting sqref="K1:M1048576 P1:R1048576">
    <cfRule type="expression" dxfId="223"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 workbookViewId="1"/>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6" customWidth="1"/>
    <col min="8" max="8" width="12.83203125" style="227" customWidth="1"/>
    <col min="9" max="9" width="6.1640625" style="19"/>
    <col min="10" max="82" width="6.1640625" style="19" customWidth="1"/>
    <col min="83" max="83" width="6.1640625" style="226" customWidth="1"/>
    <col min="84" max="86" width="11.83203125" customWidth="1"/>
    <col min="87" max="87" width="14.83203125" customWidth="1"/>
    <col min="88" max="88" width="11.83203125" style="227" customWidth="1"/>
    <col min="89" max="92" width="11.83203125" customWidth="1"/>
    <col min="93" max="93" width="14.83203125" customWidth="1"/>
    <col min="94" max="94" width="11.83203125" style="227" customWidth="1"/>
    <col min="95" max="98" width="11.83203125" customWidth="1"/>
    <col min="99" max="99" width="14.83203125" customWidth="1"/>
    <col min="100" max="100" width="11.83203125" style="227" customWidth="1"/>
    <col min="101" max="175" width="8.83203125" customWidth="1"/>
  </cols>
  <sheetData>
    <row r="1" spans="1:175" ht="31" customHeight="1" x14ac:dyDescent="0.2">
      <c r="A1" s="4" t="s">
        <v>587</v>
      </c>
      <c r="B1" s="4"/>
      <c r="C1" s="176"/>
      <c r="D1" s="176"/>
      <c r="E1" s="176"/>
      <c r="F1" s="8"/>
      <c r="G1" s="177"/>
      <c r="H1" s="178"/>
      <c r="I1" s="122" t="s">
        <v>588</v>
      </c>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79"/>
      <c r="CF1" s="55" t="s">
        <v>589</v>
      </c>
      <c r="CG1" s="55"/>
      <c r="CH1" s="180"/>
      <c r="CI1" s="122"/>
      <c r="CJ1" s="181"/>
      <c r="CK1" s="55"/>
      <c r="CL1" s="55"/>
      <c r="CM1" s="55"/>
      <c r="CN1" s="180"/>
      <c r="CO1" s="122"/>
      <c r="CP1" s="181"/>
      <c r="CQ1" s="55"/>
      <c r="CR1" s="55"/>
      <c r="CS1" s="55"/>
      <c r="CT1" s="180"/>
      <c r="CU1" s="122"/>
      <c r="CV1" s="181"/>
      <c r="CW1" s="55" t="s">
        <v>590</v>
      </c>
      <c r="CX1" s="55"/>
      <c r="CY1" s="55"/>
      <c r="CZ1" s="55"/>
      <c r="DA1" s="55"/>
      <c r="DB1" s="55"/>
      <c r="DC1" s="55"/>
      <c r="DD1" s="55"/>
      <c r="DE1" s="55"/>
      <c r="DF1" s="55"/>
      <c r="DG1" s="55"/>
      <c r="DH1" s="55"/>
      <c r="DI1" s="55"/>
      <c r="DJ1" s="55"/>
      <c r="DK1" s="55"/>
      <c r="DL1" s="55"/>
      <c r="DM1" s="55"/>
      <c r="DN1" s="55"/>
      <c r="DO1" s="55"/>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row>
    <row r="2" spans="1:175" ht="20" thickBot="1" x14ac:dyDescent="0.3">
      <c r="A2" s="2"/>
      <c r="B2" s="2"/>
      <c r="C2" s="182"/>
      <c r="D2" s="182"/>
      <c r="E2" s="182"/>
      <c r="F2" s="183"/>
      <c r="G2" s="85" t="s">
        <v>46</v>
      </c>
      <c r="H2" s="184"/>
      <c r="I2" s="123" t="s">
        <v>591</v>
      </c>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3"/>
      <c r="BM2" s="123"/>
      <c r="BN2" s="123"/>
      <c r="BO2" s="123"/>
      <c r="BP2" s="123"/>
      <c r="BQ2" s="123"/>
      <c r="BR2" s="123"/>
      <c r="BS2" s="123"/>
      <c r="BT2" s="123"/>
      <c r="BU2" s="123"/>
      <c r="BV2" s="123"/>
      <c r="BW2" s="123"/>
      <c r="BX2" s="123"/>
      <c r="BY2" s="123"/>
      <c r="BZ2" s="123"/>
      <c r="CA2" s="123"/>
      <c r="CB2" s="123"/>
      <c r="CC2" s="123"/>
      <c r="CD2" s="123"/>
      <c r="CE2" s="185"/>
      <c r="CF2" s="56" t="s">
        <v>592</v>
      </c>
      <c r="CG2" s="56"/>
      <c r="CH2" s="186"/>
      <c r="CI2" s="123"/>
      <c r="CJ2" s="187"/>
      <c r="CK2" s="56" t="s">
        <v>593</v>
      </c>
      <c r="CL2" s="56"/>
      <c r="CM2" s="56"/>
      <c r="CN2" s="186"/>
      <c r="CO2" s="123"/>
      <c r="CP2" s="187"/>
      <c r="CQ2" s="56" t="s">
        <v>594</v>
      </c>
      <c r="CR2" s="56"/>
      <c r="CS2" s="56"/>
      <c r="CT2" s="186"/>
      <c r="CU2" s="123"/>
      <c r="CV2" s="187"/>
      <c r="CW2" s="34" t="s">
        <v>595</v>
      </c>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row>
    <row r="3" spans="1:175" ht="118" customHeight="1" thickBot="1" x14ac:dyDescent="0.3">
      <c r="A3" s="375" t="s">
        <v>596</v>
      </c>
      <c r="B3" s="376"/>
      <c r="C3" s="182"/>
      <c r="D3" s="182"/>
      <c r="E3" s="182"/>
      <c r="F3" s="183"/>
      <c r="G3" s="188"/>
      <c r="H3" s="184"/>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123"/>
      <c r="BC3" s="123"/>
      <c r="BD3" s="123"/>
      <c r="BE3" s="123"/>
      <c r="BF3" s="123"/>
      <c r="BG3" s="123"/>
      <c r="BH3" s="123"/>
      <c r="BI3" s="123"/>
      <c r="BJ3" s="123"/>
      <c r="BK3" s="123"/>
      <c r="BL3" s="123"/>
      <c r="BM3" s="123"/>
      <c r="BN3" s="123"/>
      <c r="BO3" s="123"/>
      <c r="BP3" s="123"/>
      <c r="BQ3" s="123"/>
      <c r="BR3" s="123"/>
      <c r="BS3" s="123"/>
      <c r="BT3" s="123"/>
      <c r="BU3" s="123"/>
      <c r="BV3" s="123"/>
      <c r="BW3" s="123"/>
      <c r="BX3" s="123"/>
      <c r="BY3" s="123"/>
      <c r="BZ3" s="123"/>
      <c r="CA3" s="123"/>
      <c r="CB3" s="123"/>
      <c r="CC3" s="123"/>
      <c r="CD3" s="123"/>
      <c r="CE3" s="185"/>
      <c r="CF3" s="56"/>
      <c r="CG3" s="56"/>
      <c r="CH3" s="189" t="s">
        <v>597</v>
      </c>
      <c r="CI3" s="190" t="s">
        <v>598</v>
      </c>
      <c r="CJ3" s="187"/>
      <c r="CK3" s="56"/>
      <c r="CL3" s="56"/>
      <c r="CM3" s="56"/>
      <c r="CN3" s="189" t="s">
        <v>597</v>
      </c>
      <c r="CO3" s="190" t="s">
        <v>598</v>
      </c>
      <c r="CP3" s="187"/>
      <c r="CQ3" s="56"/>
      <c r="CR3" s="56"/>
      <c r="CS3" s="56"/>
      <c r="CT3" s="189" t="s">
        <v>597</v>
      </c>
      <c r="CU3" s="190" t="s">
        <v>598</v>
      </c>
      <c r="CV3" s="187"/>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row>
    <row r="4" spans="1:175" x14ac:dyDescent="0.2">
      <c r="A4" s="191"/>
      <c r="B4" s="191"/>
      <c r="C4" s="191"/>
      <c r="D4" s="191"/>
      <c r="E4" s="191"/>
      <c r="F4" s="192"/>
      <c r="G4" s="193"/>
      <c r="H4" s="194"/>
      <c r="I4" s="195"/>
      <c r="J4" s="195"/>
      <c r="K4" s="195"/>
      <c r="L4" s="195"/>
      <c r="M4" s="195"/>
      <c r="N4" s="195"/>
      <c r="O4" s="195"/>
      <c r="P4" s="195"/>
      <c r="Q4" s="195"/>
      <c r="R4" s="195"/>
      <c r="S4" s="195"/>
      <c r="T4" s="195"/>
      <c r="U4" s="126"/>
      <c r="V4" s="126"/>
      <c r="W4" s="126"/>
      <c r="X4" s="126"/>
      <c r="Y4" s="126"/>
      <c r="Z4" s="126"/>
      <c r="AA4" s="126"/>
      <c r="AB4" s="126"/>
      <c r="AC4" s="126"/>
      <c r="AD4" s="126"/>
      <c r="AE4" s="126"/>
      <c r="AF4" s="126"/>
      <c r="AG4" s="126"/>
      <c r="AH4" s="126"/>
      <c r="AI4" s="126"/>
      <c r="AJ4" s="126"/>
      <c r="AK4" s="126"/>
      <c r="AL4" s="126"/>
      <c r="AM4" s="126"/>
      <c r="AN4" s="126"/>
      <c r="AO4" s="126"/>
      <c r="AP4" s="126"/>
      <c r="AQ4" s="126"/>
      <c r="AR4" s="126"/>
      <c r="AS4" s="126"/>
      <c r="AT4" s="126"/>
      <c r="AU4" s="126"/>
      <c r="AV4" s="126"/>
      <c r="AW4" s="126"/>
      <c r="AX4" s="126"/>
      <c r="AY4" s="126"/>
      <c r="AZ4" s="126"/>
      <c r="BA4" s="126"/>
      <c r="BB4" s="126"/>
      <c r="BC4" s="126"/>
      <c r="BD4" s="126"/>
      <c r="BE4" s="126"/>
      <c r="BF4" s="126"/>
      <c r="BG4" s="126"/>
      <c r="BH4" s="126"/>
      <c r="BI4" s="126"/>
      <c r="BJ4" s="126"/>
      <c r="BK4" s="126"/>
      <c r="BL4" s="126"/>
      <c r="BM4" s="126"/>
      <c r="BN4" s="126"/>
      <c r="BO4" s="126"/>
      <c r="BP4" s="126"/>
      <c r="BQ4" s="126"/>
      <c r="BR4" s="126"/>
      <c r="BS4" s="126"/>
      <c r="BT4" s="126"/>
      <c r="BU4" s="126"/>
      <c r="BV4" s="126"/>
      <c r="BW4" s="126"/>
      <c r="BX4" s="126"/>
      <c r="BY4" s="126"/>
      <c r="BZ4" s="126"/>
      <c r="CA4" s="126"/>
      <c r="CB4" s="126"/>
      <c r="CC4" s="126"/>
      <c r="CD4" s="126"/>
      <c r="CE4" s="196"/>
      <c r="CF4" s="138"/>
      <c r="CG4" s="138"/>
      <c r="CH4" s="197"/>
      <c r="CI4" s="143"/>
      <c r="CJ4" s="198"/>
      <c r="CK4" s="138"/>
      <c r="CL4" s="138"/>
      <c r="CM4" s="138"/>
      <c r="CN4" s="197"/>
      <c r="CO4" s="143"/>
      <c r="CP4" s="198"/>
      <c r="CQ4" s="138"/>
      <c r="CR4" s="138"/>
      <c r="CS4" s="138"/>
      <c r="CT4" s="197"/>
      <c r="CU4" s="143"/>
      <c r="CV4" s="198"/>
      <c r="CW4" s="36"/>
      <c r="CX4" s="36"/>
      <c r="CY4" s="36"/>
      <c r="CZ4" s="36"/>
      <c r="DA4" s="36"/>
      <c r="DB4" s="36"/>
      <c r="DC4" s="36"/>
      <c r="DD4" s="36"/>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c r="EN4" s="36"/>
      <c r="EO4" s="36"/>
      <c r="EP4" s="36"/>
      <c r="EQ4" s="36"/>
      <c r="ER4" s="36"/>
      <c r="ES4" s="36"/>
      <c r="ET4" s="36"/>
      <c r="EU4" s="36"/>
      <c r="EV4" s="36"/>
      <c r="EW4" s="36"/>
      <c r="EX4" s="36"/>
      <c r="EY4" s="36"/>
      <c r="EZ4" s="36"/>
      <c r="FA4" s="36"/>
      <c r="FB4" s="36"/>
      <c r="FC4" s="36"/>
      <c r="FD4" s="36"/>
      <c r="FE4" s="36"/>
      <c r="FF4" s="36"/>
      <c r="FG4" s="36"/>
      <c r="FH4" s="36"/>
      <c r="FI4" s="36"/>
      <c r="FJ4" s="36"/>
      <c r="FK4" s="36"/>
      <c r="FL4" s="36"/>
      <c r="FM4" s="36"/>
      <c r="FN4" s="36"/>
      <c r="FO4" s="36"/>
      <c r="FP4" s="36"/>
      <c r="FQ4" s="36"/>
      <c r="FR4" s="36"/>
      <c r="FS4" s="36"/>
    </row>
    <row r="5" spans="1:175" x14ac:dyDescent="0.2">
      <c r="A5" s="199" t="s">
        <v>60</v>
      </c>
      <c r="B5" s="199" t="s">
        <v>60</v>
      </c>
      <c r="C5" s="199" t="s">
        <v>60</v>
      </c>
      <c r="D5" s="199" t="s">
        <v>60</v>
      </c>
      <c r="E5" s="199" t="s">
        <v>60</v>
      </c>
      <c r="F5" s="200" t="s">
        <v>60</v>
      </c>
      <c r="G5" s="201" t="s">
        <v>60</v>
      </c>
      <c r="H5" s="202" t="s">
        <v>60</v>
      </c>
      <c r="I5" s="203" t="s">
        <v>60</v>
      </c>
      <c r="J5" s="203" t="s">
        <v>60</v>
      </c>
      <c r="K5" s="203" t="s">
        <v>60</v>
      </c>
      <c r="L5" s="203" t="s">
        <v>60</v>
      </c>
      <c r="M5" s="203" t="s">
        <v>60</v>
      </c>
      <c r="N5" s="203" t="s">
        <v>60</v>
      </c>
      <c r="O5" s="203" t="s">
        <v>60</v>
      </c>
      <c r="P5" s="203" t="s">
        <v>60</v>
      </c>
      <c r="Q5" s="203" t="s">
        <v>60</v>
      </c>
      <c r="R5" s="203" t="s">
        <v>60</v>
      </c>
      <c r="S5" s="203" t="s">
        <v>60</v>
      </c>
      <c r="T5" s="203" t="s">
        <v>60</v>
      </c>
      <c r="U5" s="204" t="s">
        <v>60</v>
      </c>
      <c r="V5" s="204" t="s">
        <v>60</v>
      </c>
      <c r="W5" s="204" t="s">
        <v>60</v>
      </c>
      <c r="X5" s="204" t="s">
        <v>60</v>
      </c>
      <c r="Y5" s="204" t="s">
        <v>60</v>
      </c>
      <c r="Z5" s="204" t="s">
        <v>60</v>
      </c>
      <c r="AA5" s="204" t="s">
        <v>60</v>
      </c>
      <c r="AB5" s="204" t="s">
        <v>60</v>
      </c>
      <c r="AC5" s="204" t="s">
        <v>60</v>
      </c>
      <c r="AD5" s="204" t="s">
        <v>60</v>
      </c>
      <c r="AE5" s="204" t="s">
        <v>60</v>
      </c>
      <c r="AF5" s="204" t="s">
        <v>60</v>
      </c>
      <c r="AG5" s="204" t="s">
        <v>60</v>
      </c>
      <c r="AH5" s="204" t="s">
        <v>60</v>
      </c>
      <c r="AI5" s="204" t="s">
        <v>60</v>
      </c>
      <c r="AJ5" s="204" t="s">
        <v>60</v>
      </c>
      <c r="AK5" s="204" t="s">
        <v>60</v>
      </c>
      <c r="AL5" s="204" t="s">
        <v>60</v>
      </c>
      <c r="AM5" s="204" t="s">
        <v>60</v>
      </c>
      <c r="AN5" s="204" t="s">
        <v>60</v>
      </c>
      <c r="AO5" s="204" t="s">
        <v>60</v>
      </c>
      <c r="AP5" s="204" t="s">
        <v>60</v>
      </c>
      <c r="AQ5" s="204" t="s">
        <v>60</v>
      </c>
      <c r="AR5" s="204" t="s">
        <v>60</v>
      </c>
      <c r="AS5" s="204" t="s">
        <v>60</v>
      </c>
      <c r="AT5" s="204" t="s">
        <v>60</v>
      </c>
      <c r="AU5" s="204" t="s">
        <v>60</v>
      </c>
      <c r="AV5" s="204" t="s">
        <v>60</v>
      </c>
      <c r="AW5" s="204" t="s">
        <v>60</v>
      </c>
      <c r="AX5" s="204" t="s">
        <v>60</v>
      </c>
      <c r="AY5" s="204" t="s">
        <v>60</v>
      </c>
      <c r="AZ5" s="204" t="s">
        <v>60</v>
      </c>
      <c r="BA5" s="204" t="s">
        <v>60</v>
      </c>
      <c r="BB5" s="204" t="s">
        <v>60</v>
      </c>
      <c r="BC5" s="204" t="s">
        <v>60</v>
      </c>
      <c r="BD5" s="204" t="s">
        <v>60</v>
      </c>
      <c r="BE5" s="204" t="s">
        <v>60</v>
      </c>
      <c r="BF5" s="204" t="s">
        <v>60</v>
      </c>
      <c r="BG5" s="204" t="s">
        <v>60</v>
      </c>
      <c r="BH5" s="204" t="s">
        <v>60</v>
      </c>
      <c r="BI5" s="204" t="s">
        <v>60</v>
      </c>
      <c r="BJ5" s="204" t="s">
        <v>60</v>
      </c>
      <c r="BK5" s="204" t="s">
        <v>60</v>
      </c>
      <c r="BL5" s="204" t="s">
        <v>60</v>
      </c>
      <c r="BM5" s="204" t="s">
        <v>60</v>
      </c>
      <c r="BN5" s="204" t="s">
        <v>60</v>
      </c>
      <c r="BO5" s="204" t="s">
        <v>60</v>
      </c>
      <c r="BP5" s="204" t="s">
        <v>60</v>
      </c>
      <c r="BQ5" s="204" t="s">
        <v>60</v>
      </c>
      <c r="BR5" s="204" t="s">
        <v>60</v>
      </c>
      <c r="BS5" s="204" t="s">
        <v>60</v>
      </c>
      <c r="BT5" s="204" t="s">
        <v>60</v>
      </c>
      <c r="BU5" s="204" t="s">
        <v>60</v>
      </c>
      <c r="BV5" s="204" t="s">
        <v>60</v>
      </c>
      <c r="BW5" s="204" t="s">
        <v>60</v>
      </c>
      <c r="BX5" s="204" t="s">
        <v>60</v>
      </c>
      <c r="BY5" s="204" t="s">
        <v>60</v>
      </c>
      <c r="BZ5" s="204" t="s">
        <v>60</v>
      </c>
      <c r="CA5" s="204" t="s">
        <v>60</v>
      </c>
      <c r="CB5" s="204" t="s">
        <v>60</v>
      </c>
      <c r="CC5" s="204" t="s">
        <v>60</v>
      </c>
      <c r="CD5" s="204" t="s">
        <v>60</v>
      </c>
      <c r="CE5" s="205" t="s">
        <v>60</v>
      </c>
      <c r="CF5" s="206" t="s">
        <v>60</v>
      </c>
      <c r="CG5" s="206" t="s">
        <v>60</v>
      </c>
      <c r="CH5" s="207" t="s">
        <v>60</v>
      </c>
      <c r="CI5" s="208" t="s">
        <v>60</v>
      </c>
      <c r="CJ5" s="209" t="s">
        <v>71</v>
      </c>
      <c r="CK5" s="206" t="s">
        <v>60</v>
      </c>
      <c r="CL5" s="206" t="s">
        <v>60</v>
      </c>
      <c r="CM5" s="206" t="s">
        <v>60</v>
      </c>
      <c r="CN5" s="207" t="s">
        <v>60</v>
      </c>
      <c r="CO5" s="208" t="s">
        <v>60</v>
      </c>
      <c r="CP5" s="209" t="s">
        <v>71</v>
      </c>
      <c r="CQ5" s="206" t="s">
        <v>60</v>
      </c>
      <c r="CR5" s="206" t="s">
        <v>60</v>
      </c>
      <c r="CS5" s="206" t="s">
        <v>60</v>
      </c>
      <c r="CT5" s="207" t="s">
        <v>60</v>
      </c>
      <c r="CU5" s="208" t="s">
        <v>60</v>
      </c>
      <c r="CV5" s="209" t="s">
        <v>71</v>
      </c>
      <c r="CW5" s="100" t="s">
        <v>71</v>
      </c>
      <c r="CX5" s="100" t="s">
        <v>71</v>
      </c>
      <c r="CY5" s="100" t="s">
        <v>71</v>
      </c>
      <c r="CZ5" s="100" t="s">
        <v>71</v>
      </c>
      <c r="DA5" s="100" t="s">
        <v>71</v>
      </c>
      <c r="DB5" s="100" t="s">
        <v>71</v>
      </c>
      <c r="DC5" s="100" t="s">
        <v>71</v>
      </c>
      <c r="DD5" s="100" t="s">
        <v>71</v>
      </c>
      <c r="DE5" s="100" t="s">
        <v>71</v>
      </c>
      <c r="DF5" s="100" t="s">
        <v>71</v>
      </c>
      <c r="DG5" s="100" t="s">
        <v>71</v>
      </c>
      <c r="DH5" s="100" t="s">
        <v>71</v>
      </c>
      <c r="DI5" s="100" t="s">
        <v>71</v>
      </c>
      <c r="DJ5" s="100" t="s">
        <v>71</v>
      </c>
      <c r="DK5" s="100" t="s">
        <v>71</v>
      </c>
      <c r="DL5" s="100" t="s">
        <v>71</v>
      </c>
      <c r="DM5" s="100" t="s">
        <v>71</v>
      </c>
      <c r="DN5" s="100" t="s">
        <v>71</v>
      </c>
      <c r="DO5" s="100" t="s">
        <v>71</v>
      </c>
      <c r="DP5" s="100" t="s">
        <v>71</v>
      </c>
      <c r="DQ5" s="100" t="s">
        <v>71</v>
      </c>
      <c r="DR5" s="100" t="s">
        <v>71</v>
      </c>
      <c r="DS5" s="100" t="s">
        <v>71</v>
      </c>
      <c r="DT5" s="100" t="s">
        <v>71</v>
      </c>
      <c r="DU5" s="100" t="s">
        <v>71</v>
      </c>
      <c r="DV5" s="100" t="s">
        <v>71</v>
      </c>
      <c r="DW5" s="100" t="s">
        <v>71</v>
      </c>
      <c r="DX5" s="100" t="s">
        <v>71</v>
      </c>
      <c r="DY5" s="100" t="s">
        <v>71</v>
      </c>
      <c r="DZ5" s="100" t="s">
        <v>71</v>
      </c>
      <c r="EA5" s="100" t="s">
        <v>71</v>
      </c>
      <c r="EB5" s="100" t="s">
        <v>71</v>
      </c>
      <c r="EC5" s="100" t="s">
        <v>71</v>
      </c>
      <c r="ED5" s="100" t="s">
        <v>71</v>
      </c>
      <c r="EE5" s="100" t="s">
        <v>71</v>
      </c>
      <c r="EF5" s="100" t="s">
        <v>71</v>
      </c>
      <c r="EG5" s="100" t="s">
        <v>71</v>
      </c>
      <c r="EH5" s="100" t="s">
        <v>71</v>
      </c>
      <c r="EI5" s="100" t="s">
        <v>71</v>
      </c>
      <c r="EJ5" s="100" t="s">
        <v>71</v>
      </c>
      <c r="EK5" s="100" t="s">
        <v>71</v>
      </c>
      <c r="EL5" s="100" t="s">
        <v>71</v>
      </c>
      <c r="EM5" s="100" t="s">
        <v>71</v>
      </c>
      <c r="EN5" s="100" t="s">
        <v>71</v>
      </c>
      <c r="EO5" s="100" t="s">
        <v>71</v>
      </c>
      <c r="EP5" s="100" t="s">
        <v>71</v>
      </c>
      <c r="EQ5" s="100" t="s">
        <v>71</v>
      </c>
      <c r="ER5" s="100" t="s">
        <v>71</v>
      </c>
      <c r="ES5" s="100" t="s">
        <v>71</v>
      </c>
      <c r="ET5" s="100" t="s">
        <v>71</v>
      </c>
      <c r="EU5" s="100" t="s">
        <v>71</v>
      </c>
      <c r="EV5" s="100" t="s">
        <v>71</v>
      </c>
      <c r="EW5" s="100" t="s">
        <v>71</v>
      </c>
      <c r="EX5" s="100" t="s">
        <v>71</v>
      </c>
      <c r="EY5" s="100" t="s">
        <v>71</v>
      </c>
      <c r="EZ5" s="100" t="s">
        <v>71</v>
      </c>
      <c r="FA5" s="100" t="s">
        <v>71</v>
      </c>
      <c r="FB5" s="100" t="s">
        <v>71</v>
      </c>
      <c r="FC5" s="100" t="s">
        <v>71</v>
      </c>
      <c r="FD5" s="100" t="s">
        <v>71</v>
      </c>
      <c r="FE5" s="100" t="s">
        <v>71</v>
      </c>
      <c r="FF5" s="100" t="s">
        <v>71</v>
      </c>
      <c r="FG5" s="100" t="s">
        <v>71</v>
      </c>
      <c r="FH5" s="100" t="s">
        <v>71</v>
      </c>
      <c r="FI5" s="100" t="s">
        <v>71</v>
      </c>
      <c r="FJ5" s="100" t="s">
        <v>71</v>
      </c>
      <c r="FK5" s="100" t="s">
        <v>71</v>
      </c>
      <c r="FL5" s="100" t="s">
        <v>71</v>
      </c>
      <c r="FM5" s="100" t="s">
        <v>71</v>
      </c>
      <c r="FN5" s="100" t="s">
        <v>71</v>
      </c>
      <c r="FO5" s="100" t="s">
        <v>71</v>
      </c>
      <c r="FP5" s="100" t="s">
        <v>71</v>
      </c>
      <c r="FQ5" s="100" t="s">
        <v>71</v>
      </c>
      <c r="FR5" s="100" t="s">
        <v>71</v>
      </c>
      <c r="FS5" s="100" t="s">
        <v>71</v>
      </c>
    </row>
    <row r="6" spans="1:175" x14ac:dyDescent="0.2">
      <c r="A6" s="199" t="s">
        <v>138</v>
      </c>
      <c r="B6" s="199" t="s">
        <v>138</v>
      </c>
      <c r="C6" s="199" t="s">
        <v>138</v>
      </c>
      <c r="D6" s="199" t="s">
        <v>138</v>
      </c>
      <c r="E6" s="199" t="s">
        <v>138</v>
      </c>
      <c r="F6" s="200" t="s">
        <v>138</v>
      </c>
      <c r="G6" s="201" t="s">
        <v>55</v>
      </c>
      <c r="H6" s="202" t="s">
        <v>55</v>
      </c>
      <c r="I6" s="203" t="s">
        <v>599</v>
      </c>
      <c r="J6" s="203" t="s">
        <v>599</v>
      </c>
      <c r="K6" s="203" t="s">
        <v>599</v>
      </c>
      <c r="L6" s="203" t="s">
        <v>599</v>
      </c>
      <c r="M6" s="203" t="s">
        <v>599</v>
      </c>
      <c r="N6" s="203" t="s">
        <v>599</v>
      </c>
      <c r="O6" s="203" t="s">
        <v>599</v>
      </c>
      <c r="P6" s="203" t="s">
        <v>599</v>
      </c>
      <c r="Q6" s="203" t="s">
        <v>599</v>
      </c>
      <c r="R6" s="203" t="s">
        <v>599</v>
      </c>
      <c r="S6" s="203" t="s">
        <v>599</v>
      </c>
      <c r="T6" s="203" t="s">
        <v>599</v>
      </c>
      <c r="U6" s="204" t="s">
        <v>599</v>
      </c>
      <c r="V6" s="204" t="s">
        <v>599</v>
      </c>
      <c r="W6" s="204" t="s">
        <v>599</v>
      </c>
      <c r="X6" s="204" t="s">
        <v>599</v>
      </c>
      <c r="Y6" s="204" t="s">
        <v>599</v>
      </c>
      <c r="Z6" s="204" t="s">
        <v>599</v>
      </c>
      <c r="AA6" s="204" t="s">
        <v>599</v>
      </c>
      <c r="AB6" s="204" t="s">
        <v>599</v>
      </c>
      <c r="AC6" s="204" t="s">
        <v>599</v>
      </c>
      <c r="AD6" s="204" t="s">
        <v>599</v>
      </c>
      <c r="AE6" s="204" t="s">
        <v>599</v>
      </c>
      <c r="AF6" s="204" t="s">
        <v>599</v>
      </c>
      <c r="AG6" s="204" t="s">
        <v>599</v>
      </c>
      <c r="AH6" s="204" t="s">
        <v>599</v>
      </c>
      <c r="AI6" s="204" t="s">
        <v>599</v>
      </c>
      <c r="AJ6" s="204" t="s">
        <v>599</v>
      </c>
      <c r="AK6" s="204" t="s">
        <v>599</v>
      </c>
      <c r="AL6" s="204" t="s">
        <v>599</v>
      </c>
      <c r="AM6" s="204" t="s">
        <v>599</v>
      </c>
      <c r="AN6" s="204" t="s">
        <v>599</v>
      </c>
      <c r="AO6" s="204" t="s">
        <v>599</v>
      </c>
      <c r="AP6" s="204" t="s">
        <v>599</v>
      </c>
      <c r="AQ6" s="204" t="s">
        <v>599</v>
      </c>
      <c r="AR6" s="204" t="s">
        <v>599</v>
      </c>
      <c r="AS6" s="204" t="s">
        <v>599</v>
      </c>
      <c r="AT6" s="204" t="s">
        <v>599</v>
      </c>
      <c r="AU6" s="204" t="s">
        <v>599</v>
      </c>
      <c r="AV6" s="204" t="s">
        <v>599</v>
      </c>
      <c r="AW6" s="204" t="s">
        <v>599</v>
      </c>
      <c r="AX6" s="204" t="s">
        <v>599</v>
      </c>
      <c r="AY6" s="204" t="s">
        <v>599</v>
      </c>
      <c r="AZ6" s="204" t="s">
        <v>599</v>
      </c>
      <c r="BA6" s="204" t="s">
        <v>599</v>
      </c>
      <c r="BB6" s="204" t="s">
        <v>599</v>
      </c>
      <c r="BC6" s="204" t="s">
        <v>599</v>
      </c>
      <c r="BD6" s="204" t="s">
        <v>599</v>
      </c>
      <c r="BE6" s="204" t="s">
        <v>599</v>
      </c>
      <c r="BF6" s="204" t="s">
        <v>599</v>
      </c>
      <c r="BG6" s="204" t="s">
        <v>599</v>
      </c>
      <c r="BH6" s="204" t="s">
        <v>599</v>
      </c>
      <c r="BI6" s="204" t="s">
        <v>599</v>
      </c>
      <c r="BJ6" s="204" t="s">
        <v>599</v>
      </c>
      <c r="BK6" s="204" t="s">
        <v>599</v>
      </c>
      <c r="BL6" s="204" t="s">
        <v>599</v>
      </c>
      <c r="BM6" s="204" t="s">
        <v>599</v>
      </c>
      <c r="BN6" s="204" t="s">
        <v>599</v>
      </c>
      <c r="BO6" s="204" t="s">
        <v>599</v>
      </c>
      <c r="BP6" s="204" t="s">
        <v>599</v>
      </c>
      <c r="BQ6" s="204" t="s">
        <v>599</v>
      </c>
      <c r="BR6" s="204" t="s">
        <v>599</v>
      </c>
      <c r="BS6" s="204" t="s">
        <v>599</v>
      </c>
      <c r="BT6" s="204" t="s">
        <v>599</v>
      </c>
      <c r="BU6" s="204" t="s">
        <v>599</v>
      </c>
      <c r="BV6" s="204" t="s">
        <v>599</v>
      </c>
      <c r="BW6" s="204" t="s">
        <v>599</v>
      </c>
      <c r="BX6" s="204" t="s">
        <v>599</v>
      </c>
      <c r="BY6" s="204" t="s">
        <v>599</v>
      </c>
      <c r="BZ6" s="204" t="s">
        <v>599</v>
      </c>
      <c r="CA6" s="204" t="s">
        <v>599</v>
      </c>
      <c r="CB6" s="204" t="s">
        <v>599</v>
      </c>
      <c r="CC6" s="204" t="s">
        <v>599</v>
      </c>
      <c r="CD6" s="204" t="s">
        <v>599</v>
      </c>
      <c r="CE6" s="205" t="s">
        <v>599</v>
      </c>
      <c r="CF6" s="206" t="s">
        <v>55</v>
      </c>
      <c r="CG6" s="206" t="s">
        <v>55</v>
      </c>
      <c r="CH6" s="207" t="s">
        <v>74</v>
      </c>
      <c r="CI6" s="208" t="s">
        <v>74</v>
      </c>
      <c r="CJ6" s="209" t="s">
        <v>54</v>
      </c>
      <c r="CK6" s="206" t="s">
        <v>55</v>
      </c>
      <c r="CL6" s="206" t="s">
        <v>55</v>
      </c>
      <c r="CM6" s="206" t="s">
        <v>55</v>
      </c>
      <c r="CN6" s="207" t="s">
        <v>74</v>
      </c>
      <c r="CO6" s="208" t="s">
        <v>74</v>
      </c>
      <c r="CP6" s="209" t="s">
        <v>54</v>
      </c>
      <c r="CQ6" s="206" t="s">
        <v>55</v>
      </c>
      <c r="CR6" s="206" t="s">
        <v>55</v>
      </c>
      <c r="CS6" s="206" t="s">
        <v>55</v>
      </c>
      <c r="CT6" s="207" t="s">
        <v>74</v>
      </c>
      <c r="CU6" s="208" t="s">
        <v>74</v>
      </c>
      <c r="CV6" s="209" t="s">
        <v>54</v>
      </c>
      <c r="CW6" s="100" t="s">
        <v>54</v>
      </c>
      <c r="CX6" s="100" t="s">
        <v>54</v>
      </c>
      <c r="CY6" s="100" t="s">
        <v>54</v>
      </c>
      <c r="CZ6" s="100" t="s">
        <v>54</v>
      </c>
      <c r="DA6" s="100" t="s">
        <v>54</v>
      </c>
      <c r="DB6" s="100" t="s">
        <v>54</v>
      </c>
      <c r="DC6" s="100" t="s">
        <v>54</v>
      </c>
      <c r="DD6" s="100" t="s">
        <v>54</v>
      </c>
      <c r="DE6" s="100" t="s">
        <v>54</v>
      </c>
      <c r="DF6" s="100" t="s">
        <v>54</v>
      </c>
      <c r="DG6" s="100" t="s">
        <v>54</v>
      </c>
      <c r="DH6" s="100" t="s">
        <v>54</v>
      </c>
      <c r="DI6" s="100" t="s">
        <v>54</v>
      </c>
      <c r="DJ6" s="100" t="s">
        <v>54</v>
      </c>
      <c r="DK6" s="100" t="s">
        <v>54</v>
      </c>
      <c r="DL6" s="100" t="s">
        <v>54</v>
      </c>
      <c r="DM6" s="100" t="s">
        <v>54</v>
      </c>
      <c r="DN6" s="100" t="s">
        <v>54</v>
      </c>
      <c r="DO6" s="100" t="s">
        <v>54</v>
      </c>
      <c r="DP6" s="100" t="s">
        <v>54</v>
      </c>
      <c r="DQ6" s="100" t="s">
        <v>54</v>
      </c>
      <c r="DR6" s="100" t="s">
        <v>54</v>
      </c>
      <c r="DS6" s="100" t="s">
        <v>54</v>
      </c>
      <c r="DT6" s="100" t="s">
        <v>54</v>
      </c>
      <c r="DU6" s="100" t="s">
        <v>54</v>
      </c>
      <c r="DV6" s="100" t="s">
        <v>54</v>
      </c>
      <c r="DW6" s="100" t="s">
        <v>54</v>
      </c>
      <c r="DX6" s="100" t="s">
        <v>54</v>
      </c>
      <c r="DY6" s="100" t="s">
        <v>54</v>
      </c>
      <c r="DZ6" s="100" t="s">
        <v>54</v>
      </c>
      <c r="EA6" s="100" t="s">
        <v>54</v>
      </c>
      <c r="EB6" s="100" t="s">
        <v>54</v>
      </c>
      <c r="EC6" s="100" t="s">
        <v>54</v>
      </c>
      <c r="ED6" s="100" t="s">
        <v>54</v>
      </c>
      <c r="EE6" s="100" t="s">
        <v>54</v>
      </c>
      <c r="EF6" s="100" t="s">
        <v>54</v>
      </c>
      <c r="EG6" s="100" t="s">
        <v>54</v>
      </c>
      <c r="EH6" s="100" t="s">
        <v>54</v>
      </c>
      <c r="EI6" s="100" t="s">
        <v>54</v>
      </c>
      <c r="EJ6" s="100" t="s">
        <v>54</v>
      </c>
      <c r="EK6" s="100" t="s">
        <v>54</v>
      </c>
      <c r="EL6" s="100" t="s">
        <v>54</v>
      </c>
      <c r="EM6" s="100" t="s">
        <v>54</v>
      </c>
      <c r="EN6" s="100" t="s">
        <v>54</v>
      </c>
      <c r="EO6" s="100" t="s">
        <v>54</v>
      </c>
      <c r="EP6" s="100" t="s">
        <v>54</v>
      </c>
      <c r="EQ6" s="100" t="s">
        <v>54</v>
      </c>
      <c r="ER6" s="100" t="s">
        <v>54</v>
      </c>
      <c r="ES6" s="100" t="s">
        <v>54</v>
      </c>
      <c r="ET6" s="100" t="s">
        <v>54</v>
      </c>
      <c r="EU6" s="100" t="s">
        <v>54</v>
      </c>
      <c r="EV6" s="100" t="s">
        <v>54</v>
      </c>
      <c r="EW6" s="100" t="s">
        <v>54</v>
      </c>
      <c r="EX6" s="100" t="s">
        <v>54</v>
      </c>
      <c r="EY6" s="100" t="s">
        <v>54</v>
      </c>
      <c r="EZ6" s="100" t="s">
        <v>54</v>
      </c>
      <c r="FA6" s="100" t="s">
        <v>54</v>
      </c>
      <c r="FB6" s="100" t="s">
        <v>54</v>
      </c>
      <c r="FC6" s="100" t="s">
        <v>54</v>
      </c>
      <c r="FD6" s="100" t="s">
        <v>54</v>
      </c>
      <c r="FE6" s="100" t="s">
        <v>54</v>
      </c>
      <c r="FF6" s="100" t="s">
        <v>54</v>
      </c>
      <c r="FG6" s="100" t="s">
        <v>54</v>
      </c>
      <c r="FH6" s="100" t="s">
        <v>54</v>
      </c>
      <c r="FI6" s="100" t="s">
        <v>54</v>
      </c>
      <c r="FJ6" s="100" t="s">
        <v>54</v>
      </c>
      <c r="FK6" s="100" t="s">
        <v>54</v>
      </c>
      <c r="FL6" s="100" t="s">
        <v>54</v>
      </c>
      <c r="FM6" s="100" t="s">
        <v>54</v>
      </c>
      <c r="FN6" s="100" t="s">
        <v>54</v>
      </c>
      <c r="FO6" s="100" t="s">
        <v>54</v>
      </c>
      <c r="FP6" s="100" t="s">
        <v>54</v>
      </c>
      <c r="FQ6" s="100" t="s">
        <v>54</v>
      </c>
      <c r="FR6" s="100" t="s">
        <v>54</v>
      </c>
      <c r="FS6" s="100" t="s">
        <v>54</v>
      </c>
    </row>
    <row r="7" spans="1:175" x14ac:dyDescent="0.2">
      <c r="A7" s="199" t="s">
        <v>70</v>
      </c>
      <c r="B7" s="199" t="s">
        <v>70</v>
      </c>
      <c r="C7" s="199" t="s">
        <v>70</v>
      </c>
      <c r="D7" s="199" t="s">
        <v>70</v>
      </c>
      <c r="E7" s="199" t="s">
        <v>70</v>
      </c>
      <c r="F7" s="200" t="s">
        <v>70</v>
      </c>
      <c r="G7" s="201" t="s">
        <v>56</v>
      </c>
      <c r="H7" s="202" t="s">
        <v>56</v>
      </c>
      <c r="I7" s="203" t="s">
        <v>57</v>
      </c>
      <c r="J7" s="203" t="s">
        <v>57</v>
      </c>
      <c r="K7" s="203" t="s">
        <v>57</v>
      </c>
      <c r="L7" s="203" t="s">
        <v>57</v>
      </c>
      <c r="M7" s="203" t="s">
        <v>57</v>
      </c>
      <c r="N7" s="203" t="s">
        <v>57</v>
      </c>
      <c r="O7" s="203" t="s">
        <v>57</v>
      </c>
      <c r="P7" s="203" t="s">
        <v>57</v>
      </c>
      <c r="Q7" s="203" t="s">
        <v>57</v>
      </c>
      <c r="R7" s="203" t="s">
        <v>57</v>
      </c>
      <c r="S7" s="203" t="s">
        <v>57</v>
      </c>
      <c r="T7" s="203" t="s">
        <v>57</v>
      </c>
      <c r="U7" s="204" t="s">
        <v>57</v>
      </c>
      <c r="V7" s="204" t="s">
        <v>57</v>
      </c>
      <c r="W7" s="204" t="s">
        <v>57</v>
      </c>
      <c r="X7" s="204" t="s">
        <v>57</v>
      </c>
      <c r="Y7" s="204" t="s">
        <v>57</v>
      </c>
      <c r="Z7" s="204" t="s">
        <v>57</v>
      </c>
      <c r="AA7" s="204" t="s">
        <v>57</v>
      </c>
      <c r="AB7" s="204" t="s">
        <v>57</v>
      </c>
      <c r="AC7" s="204" t="s">
        <v>57</v>
      </c>
      <c r="AD7" s="204" t="s">
        <v>57</v>
      </c>
      <c r="AE7" s="204" t="s">
        <v>57</v>
      </c>
      <c r="AF7" s="204" t="s">
        <v>57</v>
      </c>
      <c r="AG7" s="204" t="s">
        <v>57</v>
      </c>
      <c r="AH7" s="204" t="s">
        <v>57</v>
      </c>
      <c r="AI7" s="204" t="s">
        <v>57</v>
      </c>
      <c r="AJ7" s="204" t="s">
        <v>57</v>
      </c>
      <c r="AK7" s="204" t="s">
        <v>57</v>
      </c>
      <c r="AL7" s="204" t="s">
        <v>57</v>
      </c>
      <c r="AM7" s="204" t="s">
        <v>57</v>
      </c>
      <c r="AN7" s="204" t="s">
        <v>57</v>
      </c>
      <c r="AO7" s="204" t="s">
        <v>57</v>
      </c>
      <c r="AP7" s="204" t="s">
        <v>57</v>
      </c>
      <c r="AQ7" s="204" t="s">
        <v>57</v>
      </c>
      <c r="AR7" s="204" t="s">
        <v>57</v>
      </c>
      <c r="AS7" s="204" t="s">
        <v>57</v>
      </c>
      <c r="AT7" s="204" t="s">
        <v>57</v>
      </c>
      <c r="AU7" s="204" t="s">
        <v>57</v>
      </c>
      <c r="AV7" s="204" t="s">
        <v>57</v>
      </c>
      <c r="AW7" s="204" t="s">
        <v>57</v>
      </c>
      <c r="AX7" s="204" t="s">
        <v>57</v>
      </c>
      <c r="AY7" s="204" t="s">
        <v>57</v>
      </c>
      <c r="AZ7" s="204" t="s">
        <v>57</v>
      </c>
      <c r="BA7" s="204" t="s">
        <v>57</v>
      </c>
      <c r="BB7" s="204" t="s">
        <v>57</v>
      </c>
      <c r="BC7" s="204" t="s">
        <v>57</v>
      </c>
      <c r="BD7" s="204" t="s">
        <v>57</v>
      </c>
      <c r="BE7" s="204" t="s">
        <v>57</v>
      </c>
      <c r="BF7" s="204" t="s">
        <v>57</v>
      </c>
      <c r="BG7" s="204" t="s">
        <v>57</v>
      </c>
      <c r="BH7" s="204" t="s">
        <v>57</v>
      </c>
      <c r="BI7" s="204" t="s">
        <v>57</v>
      </c>
      <c r="BJ7" s="204" t="s">
        <v>57</v>
      </c>
      <c r="BK7" s="204" t="s">
        <v>57</v>
      </c>
      <c r="BL7" s="204" t="s">
        <v>57</v>
      </c>
      <c r="BM7" s="204" t="s">
        <v>57</v>
      </c>
      <c r="BN7" s="204" t="s">
        <v>57</v>
      </c>
      <c r="BO7" s="204" t="s">
        <v>57</v>
      </c>
      <c r="BP7" s="204" t="s">
        <v>57</v>
      </c>
      <c r="BQ7" s="204" t="s">
        <v>57</v>
      </c>
      <c r="BR7" s="204" t="s">
        <v>57</v>
      </c>
      <c r="BS7" s="204" t="s">
        <v>57</v>
      </c>
      <c r="BT7" s="204" t="s">
        <v>57</v>
      </c>
      <c r="BU7" s="204" t="s">
        <v>57</v>
      </c>
      <c r="BV7" s="204" t="s">
        <v>57</v>
      </c>
      <c r="BW7" s="204" t="s">
        <v>57</v>
      </c>
      <c r="BX7" s="204" t="s">
        <v>57</v>
      </c>
      <c r="BY7" s="204" t="s">
        <v>57</v>
      </c>
      <c r="BZ7" s="204" t="s">
        <v>57</v>
      </c>
      <c r="CA7" s="204" t="s">
        <v>57</v>
      </c>
      <c r="CB7" s="204" t="s">
        <v>57</v>
      </c>
      <c r="CC7" s="204" t="s">
        <v>57</v>
      </c>
      <c r="CD7" s="204" t="s">
        <v>57</v>
      </c>
      <c r="CE7" s="205" t="s">
        <v>57</v>
      </c>
      <c r="CF7" s="206" t="s">
        <v>56</v>
      </c>
      <c r="CG7" s="206" t="s">
        <v>56</v>
      </c>
      <c r="CH7" s="207" t="s">
        <v>70</v>
      </c>
      <c r="CI7" s="208" t="s">
        <v>57</v>
      </c>
      <c r="CJ7" s="209" t="s">
        <v>56</v>
      </c>
      <c r="CK7" s="206" t="s">
        <v>56</v>
      </c>
      <c r="CL7" s="206" t="s">
        <v>56</v>
      </c>
      <c r="CM7" s="206" t="s">
        <v>56</v>
      </c>
      <c r="CN7" s="207" t="s">
        <v>70</v>
      </c>
      <c r="CO7" s="208" t="s">
        <v>57</v>
      </c>
      <c r="CP7" s="209" t="s">
        <v>56</v>
      </c>
      <c r="CQ7" s="206" t="s">
        <v>56</v>
      </c>
      <c r="CR7" s="206" t="s">
        <v>56</v>
      </c>
      <c r="CS7" s="206" t="s">
        <v>56</v>
      </c>
      <c r="CT7" s="207" t="s">
        <v>70</v>
      </c>
      <c r="CU7" s="208" t="s">
        <v>57</v>
      </c>
      <c r="CV7" s="209" t="s">
        <v>56</v>
      </c>
      <c r="CW7" s="100" t="s">
        <v>56</v>
      </c>
      <c r="CX7" s="100" t="s">
        <v>56</v>
      </c>
      <c r="CY7" s="100" t="s">
        <v>56</v>
      </c>
      <c r="CZ7" s="100" t="s">
        <v>56</v>
      </c>
      <c r="DA7" s="100" t="s">
        <v>56</v>
      </c>
      <c r="DB7" s="100" t="s">
        <v>56</v>
      </c>
      <c r="DC7" s="100" t="s">
        <v>56</v>
      </c>
      <c r="DD7" s="100" t="s">
        <v>56</v>
      </c>
      <c r="DE7" s="100" t="s">
        <v>56</v>
      </c>
      <c r="DF7" s="100" t="s">
        <v>56</v>
      </c>
      <c r="DG7" s="100" t="s">
        <v>56</v>
      </c>
      <c r="DH7" s="100" t="s">
        <v>56</v>
      </c>
      <c r="DI7" s="100" t="s">
        <v>56</v>
      </c>
      <c r="DJ7" s="100" t="s">
        <v>56</v>
      </c>
      <c r="DK7" s="100" t="s">
        <v>56</v>
      </c>
      <c r="DL7" s="100" t="s">
        <v>56</v>
      </c>
      <c r="DM7" s="100" t="s">
        <v>56</v>
      </c>
      <c r="DN7" s="100" t="s">
        <v>56</v>
      </c>
      <c r="DO7" s="100" t="s">
        <v>56</v>
      </c>
      <c r="DP7" s="100" t="s">
        <v>56</v>
      </c>
      <c r="DQ7" s="100" t="s">
        <v>56</v>
      </c>
      <c r="DR7" s="100" t="s">
        <v>56</v>
      </c>
      <c r="DS7" s="100" t="s">
        <v>56</v>
      </c>
      <c r="DT7" s="100" t="s">
        <v>56</v>
      </c>
      <c r="DU7" s="100" t="s">
        <v>56</v>
      </c>
      <c r="DV7" s="100" t="s">
        <v>56</v>
      </c>
      <c r="DW7" s="100" t="s">
        <v>56</v>
      </c>
      <c r="DX7" s="100" t="s">
        <v>56</v>
      </c>
      <c r="DY7" s="100" t="s">
        <v>56</v>
      </c>
      <c r="DZ7" s="100" t="s">
        <v>56</v>
      </c>
      <c r="EA7" s="100" t="s">
        <v>56</v>
      </c>
      <c r="EB7" s="100" t="s">
        <v>56</v>
      </c>
      <c r="EC7" s="100" t="s">
        <v>56</v>
      </c>
      <c r="ED7" s="100" t="s">
        <v>56</v>
      </c>
      <c r="EE7" s="100" t="s">
        <v>56</v>
      </c>
      <c r="EF7" s="100" t="s">
        <v>56</v>
      </c>
      <c r="EG7" s="100" t="s">
        <v>56</v>
      </c>
      <c r="EH7" s="100" t="s">
        <v>56</v>
      </c>
      <c r="EI7" s="100" t="s">
        <v>56</v>
      </c>
      <c r="EJ7" s="100" t="s">
        <v>56</v>
      </c>
      <c r="EK7" s="100" t="s">
        <v>56</v>
      </c>
      <c r="EL7" s="100" t="s">
        <v>56</v>
      </c>
      <c r="EM7" s="100" t="s">
        <v>56</v>
      </c>
      <c r="EN7" s="100" t="s">
        <v>56</v>
      </c>
      <c r="EO7" s="100" t="s">
        <v>56</v>
      </c>
      <c r="EP7" s="100" t="s">
        <v>56</v>
      </c>
      <c r="EQ7" s="100" t="s">
        <v>56</v>
      </c>
      <c r="ER7" s="100" t="s">
        <v>56</v>
      </c>
      <c r="ES7" s="100" t="s">
        <v>56</v>
      </c>
      <c r="ET7" s="100" t="s">
        <v>56</v>
      </c>
      <c r="EU7" s="100" t="s">
        <v>56</v>
      </c>
      <c r="EV7" s="100" t="s">
        <v>56</v>
      </c>
      <c r="EW7" s="100" t="s">
        <v>56</v>
      </c>
      <c r="EX7" s="100" t="s">
        <v>56</v>
      </c>
      <c r="EY7" s="100" t="s">
        <v>56</v>
      </c>
      <c r="EZ7" s="100" t="s">
        <v>56</v>
      </c>
      <c r="FA7" s="100" t="s">
        <v>56</v>
      </c>
      <c r="FB7" s="100" t="s">
        <v>56</v>
      </c>
      <c r="FC7" s="100" t="s">
        <v>56</v>
      </c>
      <c r="FD7" s="100" t="s">
        <v>56</v>
      </c>
      <c r="FE7" s="100" t="s">
        <v>56</v>
      </c>
      <c r="FF7" s="100" t="s">
        <v>56</v>
      </c>
      <c r="FG7" s="100" t="s">
        <v>56</v>
      </c>
      <c r="FH7" s="100" t="s">
        <v>56</v>
      </c>
      <c r="FI7" s="100" t="s">
        <v>56</v>
      </c>
      <c r="FJ7" s="100" t="s">
        <v>56</v>
      </c>
      <c r="FK7" s="100" t="s">
        <v>56</v>
      </c>
      <c r="FL7" s="100" t="s">
        <v>56</v>
      </c>
      <c r="FM7" s="100" t="s">
        <v>56</v>
      </c>
      <c r="FN7" s="100" t="s">
        <v>56</v>
      </c>
      <c r="FO7" s="100" t="s">
        <v>56</v>
      </c>
      <c r="FP7" s="100" t="s">
        <v>56</v>
      </c>
      <c r="FQ7" s="100" t="s">
        <v>56</v>
      </c>
      <c r="FR7" s="100" t="s">
        <v>56</v>
      </c>
      <c r="FS7" s="100" t="s">
        <v>56</v>
      </c>
    </row>
    <row r="8" spans="1:175" x14ac:dyDescent="0.2">
      <c r="A8" s="199" t="s">
        <v>600</v>
      </c>
      <c r="B8" s="199" t="s">
        <v>600</v>
      </c>
      <c r="C8" s="199" t="s">
        <v>600</v>
      </c>
      <c r="D8" s="199" t="s">
        <v>600</v>
      </c>
      <c r="E8" s="210" t="s">
        <v>600</v>
      </c>
      <c r="F8" s="200" t="s">
        <v>600</v>
      </c>
      <c r="G8" s="201" t="s">
        <v>600</v>
      </c>
      <c r="H8" s="202" t="s">
        <v>600</v>
      </c>
      <c r="I8" s="203" t="s">
        <v>600</v>
      </c>
      <c r="J8" s="203" t="s">
        <v>600</v>
      </c>
      <c r="K8" s="203" t="s">
        <v>600</v>
      </c>
      <c r="L8" s="203" t="s">
        <v>600</v>
      </c>
      <c r="M8" s="203" t="s">
        <v>600</v>
      </c>
      <c r="N8" s="203" t="s">
        <v>600</v>
      </c>
      <c r="O8" s="203" t="s">
        <v>600</v>
      </c>
      <c r="P8" s="203" t="s">
        <v>600</v>
      </c>
      <c r="Q8" s="203" t="s">
        <v>600</v>
      </c>
      <c r="R8" s="203" t="s">
        <v>600</v>
      </c>
      <c r="S8" s="203" t="s">
        <v>600</v>
      </c>
      <c r="T8" s="203" t="s">
        <v>600</v>
      </c>
      <c r="U8" s="204" t="s">
        <v>600</v>
      </c>
      <c r="V8" s="204" t="s">
        <v>600</v>
      </c>
      <c r="W8" s="204" t="s">
        <v>600</v>
      </c>
      <c r="X8" s="204" t="s">
        <v>600</v>
      </c>
      <c r="Y8" s="204" t="s">
        <v>600</v>
      </c>
      <c r="Z8" s="204" t="s">
        <v>600</v>
      </c>
      <c r="AA8" s="204" t="s">
        <v>600</v>
      </c>
      <c r="AB8" s="204" t="s">
        <v>600</v>
      </c>
      <c r="AC8" s="204" t="s">
        <v>600</v>
      </c>
      <c r="AD8" s="204" t="s">
        <v>600</v>
      </c>
      <c r="AE8" s="204" t="s">
        <v>600</v>
      </c>
      <c r="AF8" s="204" t="s">
        <v>600</v>
      </c>
      <c r="AG8" s="204" t="s">
        <v>600</v>
      </c>
      <c r="AH8" s="204" t="s">
        <v>600</v>
      </c>
      <c r="AI8" s="204" t="s">
        <v>600</v>
      </c>
      <c r="AJ8" s="204" t="s">
        <v>600</v>
      </c>
      <c r="AK8" s="204" t="s">
        <v>600</v>
      </c>
      <c r="AL8" s="204" t="s">
        <v>600</v>
      </c>
      <c r="AM8" s="204" t="s">
        <v>600</v>
      </c>
      <c r="AN8" s="204" t="s">
        <v>600</v>
      </c>
      <c r="AO8" s="204" t="s">
        <v>600</v>
      </c>
      <c r="AP8" s="204" t="s">
        <v>600</v>
      </c>
      <c r="AQ8" s="204" t="s">
        <v>600</v>
      </c>
      <c r="AR8" s="204" t="s">
        <v>600</v>
      </c>
      <c r="AS8" s="204" t="s">
        <v>600</v>
      </c>
      <c r="AT8" s="204" t="s">
        <v>600</v>
      </c>
      <c r="AU8" s="204" t="s">
        <v>600</v>
      </c>
      <c r="AV8" s="204" t="s">
        <v>600</v>
      </c>
      <c r="AW8" s="204" t="s">
        <v>600</v>
      </c>
      <c r="AX8" s="204" t="s">
        <v>600</v>
      </c>
      <c r="AY8" s="204" t="s">
        <v>600</v>
      </c>
      <c r="AZ8" s="204" t="s">
        <v>600</v>
      </c>
      <c r="BA8" s="204" t="s">
        <v>600</v>
      </c>
      <c r="BB8" s="204" t="s">
        <v>600</v>
      </c>
      <c r="BC8" s="204" t="s">
        <v>600</v>
      </c>
      <c r="BD8" s="204" t="s">
        <v>600</v>
      </c>
      <c r="BE8" s="204" t="s">
        <v>600</v>
      </c>
      <c r="BF8" s="204" t="s">
        <v>600</v>
      </c>
      <c r="BG8" s="204" t="s">
        <v>600</v>
      </c>
      <c r="BH8" s="204" t="s">
        <v>600</v>
      </c>
      <c r="BI8" s="204" t="s">
        <v>600</v>
      </c>
      <c r="BJ8" s="204" t="s">
        <v>600</v>
      </c>
      <c r="BK8" s="204" t="s">
        <v>600</v>
      </c>
      <c r="BL8" s="204" t="s">
        <v>600</v>
      </c>
      <c r="BM8" s="204" t="s">
        <v>600</v>
      </c>
      <c r="BN8" s="204" t="s">
        <v>600</v>
      </c>
      <c r="BO8" s="204" t="s">
        <v>600</v>
      </c>
      <c r="BP8" s="204" t="s">
        <v>600</v>
      </c>
      <c r="BQ8" s="204" t="s">
        <v>600</v>
      </c>
      <c r="BR8" s="204" t="s">
        <v>600</v>
      </c>
      <c r="BS8" s="204" t="s">
        <v>600</v>
      </c>
      <c r="BT8" s="204" t="s">
        <v>600</v>
      </c>
      <c r="BU8" s="204" t="s">
        <v>600</v>
      </c>
      <c r="BV8" s="204" t="s">
        <v>600</v>
      </c>
      <c r="BW8" s="204" t="s">
        <v>600</v>
      </c>
      <c r="BX8" s="204" t="s">
        <v>600</v>
      </c>
      <c r="BY8" s="204" t="s">
        <v>600</v>
      </c>
      <c r="BZ8" s="204" t="s">
        <v>600</v>
      </c>
      <c r="CA8" s="204" t="s">
        <v>600</v>
      </c>
      <c r="CB8" s="204" t="s">
        <v>600</v>
      </c>
      <c r="CC8" s="204" t="s">
        <v>600</v>
      </c>
      <c r="CD8" s="204" t="s">
        <v>600</v>
      </c>
      <c r="CE8" s="205" t="s">
        <v>600</v>
      </c>
      <c r="CF8" s="206" t="s">
        <v>600</v>
      </c>
      <c r="CG8" s="206" t="s">
        <v>600</v>
      </c>
      <c r="CH8" s="207" t="s">
        <v>600</v>
      </c>
      <c r="CI8" s="208" t="s">
        <v>600</v>
      </c>
      <c r="CJ8" s="209" t="s">
        <v>600</v>
      </c>
      <c r="CK8" s="206" t="s">
        <v>600</v>
      </c>
      <c r="CL8" s="206" t="s">
        <v>600</v>
      </c>
      <c r="CM8" s="206" t="s">
        <v>600</v>
      </c>
      <c r="CN8" s="207" t="s">
        <v>600</v>
      </c>
      <c r="CO8" s="208" t="s">
        <v>600</v>
      </c>
      <c r="CP8" s="209" t="s">
        <v>600</v>
      </c>
      <c r="CQ8" s="206" t="s">
        <v>600</v>
      </c>
      <c r="CR8" s="206" t="s">
        <v>600</v>
      </c>
      <c r="CS8" s="206" t="s">
        <v>600</v>
      </c>
      <c r="CT8" s="207" t="s">
        <v>600</v>
      </c>
      <c r="CU8" s="208" t="s">
        <v>600</v>
      </c>
      <c r="CV8" s="209" t="s">
        <v>600</v>
      </c>
      <c r="CW8" s="100" t="s">
        <v>600</v>
      </c>
      <c r="CX8" s="100" t="s">
        <v>600</v>
      </c>
      <c r="CY8" s="100" t="s">
        <v>600</v>
      </c>
      <c r="CZ8" s="100" t="s">
        <v>600</v>
      </c>
      <c r="DA8" s="100" t="s">
        <v>600</v>
      </c>
      <c r="DB8" s="100" t="s">
        <v>600</v>
      </c>
      <c r="DC8" s="100" t="s">
        <v>600</v>
      </c>
      <c r="DD8" s="100" t="s">
        <v>600</v>
      </c>
      <c r="DE8" s="100" t="s">
        <v>600</v>
      </c>
      <c r="DF8" s="100" t="s">
        <v>600</v>
      </c>
      <c r="DG8" s="100" t="s">
        <v>600</v>
      </c>
      <c r="DH8" s="100" t="s">
        <v>600</v>
      </c>
      <c r="DI8" s="100" t="s">
        <v>600</v>
      </c>
      <c r="DJ8" s="100" t="s">
        <v>600</v>
      </c>
      <c r="DK8" s="100" t="s">
        <v>600</v>
      </c>
      <c r="DL8" s="100" t="s">
        <v>600</v>
      </c>
      <c r="DM8" s="100" t="s">
        <v>600</v>
      </c>
      <c r="DN8" s="100" t="s">
        <v>600</v>
      </c>
      <c r="DO8" s="100" t="s">
        <v>600</v>
      </c>
      <c r="DP8" s="100" t="s">
        <v>600</v>
      </c>
      <c r="DQ8" s="100" t="s">
        <v>600</v>
      </c>
      <c r="DR8" s="100" t="s">
        <v>600</v>
      </c>
      <c r="DS8" s="100" t="s">
        <v>600</v>
      </c>
      <c r="DT8" s="100" t="s">
        <v>600</v>
      </c>
      <c r="DU8" s="100" t="s">
        <v>600</v>
      </c>
      <c r="DV8" s="100" t="s">
        <v>600</v>
      </c>
      <c r="DW8" s="100" t="s">
        <v>600</v>
      </c>
      <c r="DX8" s="100" t="s">
        <v>600</v>
      </c>
      <c r="DY8" s="100" t="s">
        <v>600</v>
      </c>
      <c r="DZ8" s="100" t="s">
        <v>600</v>
      </c>
      <c r="EA8" s="100" t="s">
        <v>600</v>
      </c>
      <c r="EB8" s="100" t="s">
        <v>600</v>
      </c>
      <c r="EC8" s="100" t="s">
        <v>600</v>
      </c>
      <c r="ED8" s="100" t="s">
        <v>600</v>
      </c>
      <c r="EE8" s="100" t="s">
        <v>600</v>
      </c>
      <c r="EF8" s="100" t="s">
        <v>600</v>
      </c>
      <c r="EG8" s="100" t="s">
        <v>600</v>
      </c>
      <c r="EH8" s="100" t="s">
        <v>600</v>
      </c>
      <c r="EI8" s="100" t="s">
        <v>600</v>
      </c>
      <c r="EJ8" s="100" t="s">
        <v>600</v>
      </c>
      <c r="EK8" s="100" t="s">
        <v>600</v>
      </c>
      <c r="EL8" s="100" t="s">
        <v>600</v>
      </c>
      <c r="EM8" s="100" t="s">
        <v>600</v>
      </c>
      <c r="EN8" s="100" t="s">
        <v>600</v>
      </c>
      <c r="EO8" s="100" t="s">
        <v>600</v>
      </c>
      <c r="EP8" s="100" t="s">
        <v>600</v>
      </c>
      <c r="EQ8" s="100" t="s">
        <v>600</v>
      </c>
      <c r="ER8" s="100" t="s">
        <v>600</v>
      </c>
      <c r="ES8" s="100" t="s">
        <v>600</v>
      </c>
      <c r="ET8" s="100" t="s">
        <v>600</v>
      </c>
      <c r="EU8" s="100" t="s">
        <v>600</v>
      </c>
      <c r="EV8" s="100" t="s">
        <v>600</v>
      </c>
      <c r="EW8" s="100" t="s">
        <v>600</v>
      </c>
      <c r="EX8" s="100" t="s">
        <v>600</v>
      </c>
      <c r="EY8" s="100" t="s">
        <v>600</v>
      </c>
      <c r="EZ8" s="100" t="s">
        <v>600</v>
      </c>
      <c r="FA8" s="100" t="s">
        <v>600</v>
      </c>
      <c r="FB8" s="100" t="s">
        <v>600</v>
      </c>
      <c r="FC8" s="100" t="s">
        <v>600</v>
      </c>
      <c r="FD8" s="100" t="s">
        <v>600</v>
      </c>
      <c r="FE8" s="100" t="s">
        <v>600</v>
      </c>
      <c r="FF8" s="100" t="s">
        <v>600</v>
      </c>
      <c r="FG8" s="100" t="s">
        <v>600</v>
      </c>
      <c r="FH8" s="100" t="s">
        <v>600</v>
      </c>
      <c r="FI8" s="100" t="s">
        <v>600</v>
      </c>
      <c r="FJ8" s="100" t="s">
        <v>600</v>
      </c>
      <c r="FK8" s="100" t="s">
        <v>600</v>
      </c>
      <c r="FL8" s="100" t="s">
        <v>600</v>
      </c>
      <c r="FM8" s="100" t="s">
        <v>600</v>
      </c>
      <c r="FN8" s="100" t="s">
        <v>600</v>
      </c>
      <c r="FO8" s="100" t="s">
        <v>600</v>
      </c>
      <c r="FP8" s="100" t="s">
        <v>600</v>
      </c>
      <c r="FQ8" s="100" t="s">
        <v>600</v>
      </c>
      <c r="FR8" s="100" t="s">
        <v>600</v>
      </c>
      <c r="FS8" s="100" t="s">
        <v>600</v>
      </c>
    </row>
    <row r="9" spans="1:175" x14ac:dyDescent="0.2">
      <c r="A9" s="199" t="s">
        <v>600</v>
      </c>
      <c r="B9" s="199" t="s">
        <v>600</v>
      </c>
      <c r="C9" s="199" t="s">
        <v>600</v>
      </c>
      <c r="D9" s="199" t="s">
        <v>600</v>
      </c>
      <c r="E9" s="210" t="s">
        <v>600</v>
      </c>
      <c r="F9" s="200" t="s">
        <v>600</v>
      </c>
      <c r="G9" s="201" t="s">
        <v>600</v>
      </c>
      <c r="H9" s="202" t="s">
        <v>600</v>
      </c>
      <c r="I9" s="203" t="s">
        <v>600</v>
      </c>
      <c r="J9" s="203" t="s">
        <v>600</v>
      </c>
      <c r="K9" s="203" t="s">
        <v>600</v>
      </c>
      <c r="L9" s="203" t="s">
        <v>600</v>
      </c>
      <c r="M9" s="203" t="s">
        <v>600</v>
      </c>
      <c r="N9" s="203" t="s">
        <v>600</v>
      </c>
      <c r="O9" s="203" t="s">
        <v>600</v>
      </c>
      <c r="P9" s="203" t="s">
        <v>600</v>
      </c>
      <c r="Q9" s="203" t="s">
        <v>600</v>
      </c>
      <c r="R9" s="203" t="s">
        <v>600</v>
      </c>
      <c r="S9" s="203" t="s">
        <v>600</v>
      </c>
      <c r="T9" s="203" t="s">
        <v>600</v>
      </c>
      <c r="U9" s="204" t="s">
        <v>600</v>
      </c>
      <c r="V9" s="204" t="s">
        <v>600</v>
      </c>
      <c r="W9" s="204" t="s">
        <v>600</v>
      </c>
      <c r="X9" s="204" t="s">
        <v>600</v>
      </c>
      <c r="Y9" s="204" t="s">
        <v>600</v>
      </c>
      <c r="Z9" s="204" t="s">
        <v>600</v>
      </c>
      <c r="AA9" s="204" t="s">
        <v>600</v>
      </c>
      <c r="AB9" s="204" t="s">
        <v>600</v>
      </c>
      <c r="AC9" s="204" t="s">
        <v>600</v>
      </c>
      <c r="AD9" s="204" t="s">
        <v>600</v>
      </c>
      <c r="AE9" s="204" t="s">
        <v>600</v>
      </c>
      <c r="AF9" s="204" t="s">
        <v>600</v>
      </c>
      <c r="AG9" s="204" t="s">
        <v>600</v>
      </c>
      <c r="AH9" s="204" t="s">
        <v>600</v>
      </c>
      <c r="AI9" s="204" t="s">
        <v>600</v>
      </c>
      <c r="AJ9" s="204" t="s">
        <v>600</v>
      </c>
      <c r="AK9" s="204" t="s">
        <v>600</v>
      </c>
      <c r="AL9" s="204" t="s">
        <v>600</v>
      </c>
      <c r="AM9" s="204" t="s">
        <v>600</v>
      </c>
      <c r="AN9" s="204" t="s">
        <v>600</v>
      </c>
      <c r="AO9" s="204" t="s">
        <v>600</v>
      </c>
      <c r="AP9" s="204" t="s">
        <v>600</v>
      </c>
      <c r="AQ9" s="204" t="s">
        <v>600</v>
      </c>
      <c r="AR9" s="204" t="s">
        <v>600</v>
      </c>
      <c r="AS9" s="204" t="s">
        <v>600</v>
      </c>
      <c r="AT9" s="204" t="s">
        <v>600</v>
      </c>
      <c r="AU9" s="204" t="s">
        <v>600</v>
      </c>
      <c r="AV9" s="204" t="s">
        <v>600</v>
      </c>
      <c r="AW9" s="204" t="s">
        <v>600</v>
      </c>
      <c r="AX9" s="204" t="s">
        <v>600</v>
      </c>
      <c r="AY9" s="204" t="s">
        <v>600</v>
      </c>
      <c r="AZ9" s="204" t="s">
        <v>600</v>
      </c>
      <c r="BA9" s="204" t="s">
        <v>600</v>
      </c>
      <c r="BB9" s="204" t="s">
        <v>600</v>
      </c>
      <c r="BC9" s="204" t="s">
        <v>600</v>
      </c>
      <c r="BD9" s="204" t="s">
        <v>600</v>
      </c>
      <c r="BE9" s="204" t="s">
        <v>600</v>
      </c>
      <c r="BF9" s="204" t="s">
        <v>600</v>
      </c>
      <c r="BG9" s="204" t="s">
        <v>600</v>
      </c>
      <c r="BH9" s="204" t="s">
        <v>600</v>
      </c>
      <c r="BI9" s="204" t="s">
        <v>600</v>
      </c>
      <c r="BJ9" s="204" t="s">
        <v>600</v>
      </c>
      <c r="BK9" s="204" t="s">
        <v>600</v>
      </c>
      <c r="BL9" s="204" t="s">
        <v>600</v>
      </c>
      <c r="BM9" s="204" t="s">
        <v>600</v>
      </c>
      <c r="BN9" s="204" t="s">
        <v>600</v>
      </c>
      <c r="BO9" s="204" t="s">
        <v>600</v>
      </c>
      <c r="BP9" s="204" t="s">
        <v>600</v>
      </c>
      <c r="BQ9" s="204" t="s">
        <v>600</v>
      </c>
      <c r="BR9" s="204" t="s">
        <v>600</v>
      </c>
      <c r="BS9" s="204" t="s">
        <v>600</v>
      </c>
      <c r="BT9" s="204" t="s">
        <v>600</v>
      </c>
      <c r="BU9" s="204" t="s">
        <v>600</v>
      </c>
      <c r="BV9" s="204" t="s">
        <v>600</v>
      </c>
      <c r="BW9" s="204" t="s">
        <v>600</v>
      </c>
      <c r="BX9" s="204" t="s">
        <v>600</v>
      </c>
      <c r="BY9" s="204" t="s">
        <v>600</v>
      </c>
      <c r="BZ9" s="204" t="s">
        <v>600</v>
      </c>
      <c r="CA9" s="204" t="s">
        <v>600</v>
      </c>
      <c r="CB9" s="204" t="s">
        <v>600</v>
      </c>
      <c r="CC9" s="204" t="s">
        <v>600</v>
      </c>
      <c r="CD9" s="204" t="s">
        <v>600</v>
      </c>
      <c r="CE9" s="205" t="s">
        <v>600</v>
      </c>
      <c r="CF9" s="206" t="s">
        <v>600</v>
      </c>
      <c r="CG9" s="206" t="s">
        <v>600</v>
      </c>
      <c r="CH9" s="207" t="s">
        <v>600</v>
      </c>
      <c r="CI9" s="208" t="s">
        <v>600</v>
      </c>
      <c r="CJ9" s="209" t="s">
        <v>600</v>
      </c>
      <c r="CK9" s="206" t="s">
        <v>600</v>
      </c>
      <c r="CL9" s="206" t="s">
        <v>600</v>
      </c>
      <c r="CM9" s="206" t="s">
        <v>600</v>
      </c>
      <c r="CN9" s="207" t="s">
        <v>600</v>
      </c>
      <c r="CO9" s="208" t="s">
        <v>600</v>
      </c>
      <c r="CP9" s="209" t="s">
        <v>600</v>
      </c>
      <c r="CQ9" s="206" t="s">
        <v>600</v>
      </c>
      <c r="CR9" s="206" t="s">
        <v>600</v>
      </c>
      <c r="CS9" s="206" t="s">
        <v>600</v>
      </c>
      <c r="CT9" s="207" t="s">
        <v>600</v>
      </c>
      <c r="CU9" s="208" t="s">
        <v>600</v>
      </c>
      <c r="CV9" s="209" t="s">
        <v>600</v>
      </c>
      <c r="CW9" s="100" t="s">
        <v>600</v>
      </c>
      <c r="CX9" s="100" t="s">
        <v>600</v>
      </c>
      <c r="CY9" s="100" t="s">
        <v>600</v>
      </c>
      <c r="CZ9" s="100" t="s">
        <v>600</v>
      </c>
      <c r="DA9" s="100" t="s">
        <v>600</v>
      </c>
      <c r="DB9" s="100" t="s">
        <v>600</v>
      </c>
      <c r="DC9" s="100" t="s">
        <v>600</v>
      </c>
      <c r="DD9" s="100" t="s">
        <v>600</v>
      </c>
      <c r="DE9" s="100" t="s">
        <v>600</v>
      </c>
      <c r="DF9" s="100" t="s">
        <v>600</v>
      </c>
      <c r="DG9" s="100" t="s">
        <v>600</v>
      </c>
      <c r="DH9" s="100" t="s">
        <v>600</v>
      </c>
      <c r="DI9" s="100" t="s">
        <v>600</v>
      </c>
      <c r="DJ9" s="100" t="s">
        <v>600</v>
      </c>
      <c r="DK9" s="100" t="s">
        <v>600</v>
      </c>
      <c r="DL9" s="100" t="s">
        <v>600</v>
      </c>
      <c r="DM9" s="100" t="s">
        <v>600</v>
      </c>
      <c r="DN9" s="100" t="s">
        <v>600</v>
      </c>
      <c r="DO9" s="100" t="s">
        <v>600</v>
      </c>
      <c r="DP9" s="100" t="s">
        <v>600</v>
      </c>
      <c r="DQ9" s="100" t="s">
        <v>600</v>
      </c>
      <c r="DR9" s="100" t="s">
        <v>600</v>
      </c>
      <c r="DS9" s="100" t="s">
        <v>600</v>
      </c>
      <c r="DT9" s="100" t="s">
        <v>600</v>
      </c>
      <c r="DU9" s="100" t="s">
        <v>600</v>
      </c>
      <c r="DV9" s="100" t="s">
        <v>600</v>
      </c>
      <c r="DW9" s="100" t="s">
        <v>600</v>
      </c>
      <c r="DX9" s="100" t="s">
        <v>600</v>
      </c>
      <c r="DY9" s="100" t="s">
        <v>600</v>
      </c>
      <c r="DZ9" s="100" t="s">
        <v>600</v>
      </c>
      <c r="EA9" s="100" t="s">
        <v>600</v>
      </c>
      <c r="EB9" s="100" t="s">
        <v>600</v>
      </c>
      <c r="EC9" s="100" t="s">
        <v>600</v>
      </c>
      <c r="ED9" s="100" t="s">
        <v>600</v>
      </c>
      <c r="EE9" s="100" t="s">
        <v>600</v>
      </c>
      <c r="EF9" s="100" t="s">
        <v>600</v>
      </c>
      <c r="EG9" s="100" t="s">
        <v>600</v>
      </c>
      <c r="EH9" s="100" t="s">
        <v>600</v>
      </c>
      <c r="EI9" s="100" t="s">
        <v>600</v>
      </c>
      <c r="EJ9" s="100" t="s">
        <v>600</v>
      </c>
      <c r="EK9" s="100" t="s">
        <v>600</v>
      </c>
      <c r="EL9" s="100" t="s">
        <v>600</v>
      </c>
      <c r="EM9" s="100" t="s">
        <v>600</v>
      </c>
      <c r="EN9" s="100" t="s">
        <v>600</v>
      </c>
      <c r="EO9" s="100" t="s">
        <v>600</v>
      </c>
      <c r="EP9" s="100" t="s">
        <v>600</v>
      </c>
      <c r="EQ9" s="100" t="s">
        <v>600</v>
      </c>
      <c r="ER9" s="100" t="s">
        <v>600</v>
      </c>
      <c r="ES9" s="100" t="s">
        <v>600</v>
      </c>
      <c r="ET9" s="100" t="s">
        <v>600</v>
      </c>
      <c r="EU9" s="100" t="s">
        <v>600</v>
      </c>
      <c r="EV9" s="100" t="s">
        <v>600</v>
      </c>
      <c r="EW9" s="100" t="s">
        <v>600</v>
      </c>
      <c r="EX9" s="100" t="s">
        <v>600</v>
      </c>
      <c r="EY9" s="100" t="s">
        <v>600</v>
      </c>
      <c r="EZ9" s="100" t="s">
        <v>600</v>
      </c>
      <c r="FA9" s="100" t="s">
        <v>600</v>
      </c>
      <c r="FB9" s="100" t="s">
        <v>600</v>
      </c>
      <c r="FC9" s="100" t="s">
        <v>600</v>
      </c>
      <c r="FD9" s="100" t="s">
        <v>600</v>
      </c>
      <c r="FE9" s="100" t="s">
        <v>600</v>
      </c>
      <c r="FF9" s="100" t="s">
        <v>600</v>
      </c>
      <c r="FG9" s="100" t="s">
        <v>600</v>
      </c>
      <c r="FH9" s="100" t="s">
        <v>600</v>
      </c>
      <c r="FI9" s="100" t="s">
        <v>600</v>
      </c>
      <c r="FJ9" s="100" t="s">
        <v>600</v>
      </c>
      <c r="FK9" s="100" t="s">
        <v>600</v>
      </c>
      <c r="FL9" s="100" t="s">
        <v>600</v>
      </c>
      <c r="FM9" s="100" t="s">
        <v>600</v>
      </c>
      <c r="FN9" s="100" t="s">
        <v>600</v>
      </c>
      <c r="FO9" s="100" t="s">
        <v>600</v>
      </c>
      <c r="FP9" s="100" t="s">
        <v>600</v>
      </c>
      <c r="FQ9" s="100" t="s">
        <v>600</v>
      </c>
      <c r="FR9" s="100" t="s">
        <v>600</v>
      </c>
      <c r="FS9" s="100" t="s">
        <v>600</v>
      </c>
    </row>
    <row r="10" spans="1:175" x14ac:dyDescent="0.2">
      <c r="A10" s="199" t="s">
        <v>600</v>
      </c>
      <c r="B10" s="199" t="s">
        <v>600</v>
      </c>
      <c r="C10" s="199" t="s">
        <v>600</v>
      </c>
      <c r="D10" s="199" t="s">
        <v>600</v>
      </c>
      <c r="E10" s="210" t="s">
        <v>600</v>
      </c>
      <c r="F10" s="200" t="s">
        <v>600</v>
      </c>
      <c r="G10" s="201" t="s">
        <v>600</v>
      </c>
      <c r="H10" s="202" t="s">
        <v>600</v>
      </c>
      <c r="I10" s="203" t="s">
        <v>600</v>
      </c>
      <c r="J10" s="203" t="s">
        <v>600</v>
      </c>
      <c r="K10" s="203" t="s">
        <v>600</v>
      </c>
      <c r="L10" s="203" t="s">
        <v>600</v>
      </c>
      <c r="M10" s="203" t="s">
        <v>600</v>
      </c>
      <c r="N10" s="203" t="s">
        <v>600</v>
      </c>
      <c r="O10" s="203" t="s">
        <v>600</v>
      </c>
      <c r="P10" s="203" t="s">
        <v>600</v>
      </c>
      <c r="Q10" s="203" t="s">
        <v>600</v>
      </c>
      <c r="R10" s="203" t="s">
        <v>600</v>
      </c>
      <c r="S10" s="203" t="s">
        <v>600</v>
      </c>
      <c r="T10" s="203" t="s">
        <v>600</v>
      </c>
      <c r="U10" s="204" t="s">
        <v>600</v>
      </c>
      <c r="V10" s="204" t="s">
        <v>600</v>
      </c>
      <c r="W10" s="204" t="s">
        <v>600</v>
      </c>
      <c r="X10" s="204" t="s">
        <v>600</v>
      </c>
      <c r="Y10" s="204" t="s">
        <v>600</v>
      </c>
      <c r="Z10" s="204" t="s">
        <v>600</v>
      </c>
      <c r="AA10" s="204" t="s">
        <v>600</v>
      </c>
      <c r="AB10" s="204" t="s">
        <v>600</v>
      </c>
      <c r="AC10" s="204" t="s">
        <v>600</v>
      </c>
      <c r="AD10" s="204" t="s">
        <v>600</v>
      </c>
      <c r="AE10" s="204" t="s">
        <v>600</v>
      </c>
      <c r="AF10" s="204" t="s">
        <v>600</v>
      </c>
      <c r="AG10" s="204" t="s">
        <v>600</v>
      </c>
      <c r="AH10" s="204" t="s">
        <v>600</v>
      </c>
      <c r="AI10" s="204" t="s">
        <v>600</v>
      </c>
      <c r="AJ10" s="204" t="s">
        <v>600</v>
      </c>
      <c r="AK10" s="204" t="s">
        <v>600</v>
      </c>
      <c r="AL10" s="204" t="s">
        <v>600</v>
      </c>
      <c r="AM10" s="204" t="s">
        <v>600</v>
      </c>
      <c r="AN10" s="204" t="s">
        <v>600</v>
      </c>
      <c r="AO10" s="204" t="s">
        <v>600</v>
      </c>
      <c r="AP10" s="204" t="s">
        <v>600</v>
      </c>
      <c r="AQ10" s="204" t="s">
        <v>600</v>
      </c>
      <c r="AR10" s="204" t="s">
        <v>600</v>
      </c>
      <c r="AS10" s="204" t="s">
        <v>600</v>
      </c>
      <c r="AT10" s="204" t="s">
        <v>600</v>
      </c>
      <c r="AU10" s="204" t="s">
        <v>600</v>
      </c>
      <c r="AV10" s="204" t="s">
        <v>600</v>
      </c>
      <c r="AW10" s="204" t="s">
        <v>600</v>
      </c>
      <c r="AX10" s="204" t="s">
        <v>600</v>
      </c>
      <c r="AY10" s="204" t="s">
        <v>600</v>
      </c>
      <c r="AZ10" s="204" t="s">
        <v>600</v>
      </c>
      <c r="BA10" s="204" t="s">
        <v>600</v>
      </c>
      <c r="BB10" s="204" t="s">
        <v>600</v>
      </c>
      <c r="BC10" s="204" t="s">
        <v>600</v>
      </c>
      <c r="BD10" s="204" t="s">
        <v>600</v>
      </c>
      <c r="BE10" s="204" t="s">
        <v>600</v>
      </c>
      <c r="BF10" s="204" t="s">
        <v>600</v>
      </c>
      <c r="BG10" s="204" t="s">
        <v>600</v>
      </c>
      <c r="BH10" s="204" t="s">
        <v>600</v>
      </c>
      <c r="BI10" s="204" t="s">
        <v>600</v>
      </c>
      <c r="BJ10" s="204" t="s">
        <v>600</v>
      </c>
      <c r="BK10" s="204" t="s">
        <v>600</v>
      </c>
      <c r="BL10" s="204" t="s">
        <v>600</v>
      </c>
      <c r="BM10" s="204" t="s">
        <v>600</v>
      </c>
      <c r="BN10" s="204" t="s">
        <v>600</v>
      </c>
      <c r="BO10" s="204" t="s">
        <v>600</v>
      </c>
      <c r="BP10" s="204" t="s">
        <v>600</v>
      </c>
      <c r="BQ10" s="204" t="s">
        <v>600</v>
      </c>
      <c r="BR10" s="204" t="s">
        <v>600</v>
      </c>
      <c r="BS10" s="204" t="s">
        <v>600</v>
      </c>
      <c r="BT10" s="204" t="s">
        <v>600</v>
      </c>
      <c r="BU10" s="204" t="s">
        <v>600</v>
      </c>
      <c r="BV10" s="204" t="s">
        <v>600</v>
      </c>
      <c r="BW10" s="204" t="s">
        <v>600</v>
      </c>
      <c r="BX10" s="204" t="s">
        <v>600</v>
      </c>
      <c r="BY10" s="204" t="s">
        <v>600</v>
      </c>
      <c r="BZ10" s="204" t="s">
        <v>600</v>
      </c>
      <c r="CA10" s="204" t="s">
        <v>600</v>
      </c>
      <c r="CB10" s="204" t="s">
        <v>600</v>
      </c>
      <c r="CC10" s="204" t="s">
        <v>600</v>
      </c>
      <c r="CD10" s="204" t="s">
        <v>600</v>
      </c>
      <c r="CE10" s="205" t="s">
        <v>600</v>
      </c>
      <c r="CF10" s="206" t="s">
        <v>600</v>
      </c>
      <c r="CG10" s="206" t="s">
        <v>600</v>
      </c>
      <c r="CH10" s="207" t="s">
        <v>600</v>
      </c>
      <c r="CI10" s="208" t="s">
        <v>600</v>
      </c>
      <c r="CJ10" s="209" t="s">
        <v>600</v>
      </c>
      <c r="CK10" s="206" t="s">
        <v>600</v>
      </c>
      <c r="CL10" s="206" t="s">
        <v>600</v>
      </c>
      <c r="CM10" s="206" t="s">
        <v>600</v>
      </c>
      <c r="CN10" s="207" t="s">
        <v>600</v>
      </c>
      <c r="CO10" s="208" t="s">
        <v>600</v>
      </c>
      <c r="CP10" s="209" t="s">
        <v>600</v>
      </c>
      <c r="CQ10" s="206" t="s">
        <v>600</v>
      </c>
      <c r="CR10" s="206" t="s">
        <v>600</v>
      </c>
      <c r="CS10" s="206" t="s">
        <v>600</v>
      </c>
      <c r="CT10" s="207" t="s">
        <v>600</v>
      </c>
      <c r="CU10" s="208" t="s">
        <v>600</v>
      </c>
      <c r="CV10" s="209" t="s">
        <v>600</v>
      </c>
      <c r="CW10" s="100" t="s">
        <v>600</v>
      </c>
      <c r="CX10" s="100" t="s">
        <v>600</v>
      </c>
      <c r="CY10" s="100" t="s">
        <v>600</v>
      </c>
      <c r="CZ10" s="100" t="s">
        <v>600</v>
      </c>
      <c r="DA10" s="100" t="s">
        <v>600</v>
      </c>
      <c r="DB10" s="100" t="s">
        <v>600</v>
      </c>
      <c r="DC10" s="100" t="s">
        <v>600</v>
      </c>
      <c r="DD10" s="100" t="s">
        <v>600</v>
      </c>
      <c r="DE10" s="100" t="s">
        <v>600</v>
      </c>
      <c r="DF10" s="100" t="s">
        <v>600</v>
      </c>
      <c r="DG10" s="100" t="s">
        <v>600</v>
      </c>
      <c r="DH10" s="100" t="s">
        <v>600</v>
      </c>
      <c r="DI10" s="100" t="s">
        <v>600</v>
      </c>
      <c r="DJ10" s="100" t="s">
        <v>600</v>
      </c>
      <c r="DK10" s="100" t="s">
        <v>600</v>
      </c>
      <c r="DL10" s="100" t="s">
        <v>600</v>
      </c>
      <c r="DM10" s="100" t="s">
        <v>600</v>
      </c>
      <c r="DN10" s="100" t="s">
        <v>600</v>
      </c>
      <c r="DO10" s="100" t="s">
        <v>600</v>
      </c>
      <c r="DP10" s="100" t="s">
        <v>600</v>
      </c>
      <c r="DQ10" s="100" t="s">
        <v>600</v>
      </c>
      <c r="DR10" s="100" t="s">
        <v>600</v>
      </c>
      <c r="DS10" s="100" t="s">
        <v>600</v>
      </c>
      <c r="DT10" s="100" t="s">
        <v>600</v>
      </c>
      <c r="DU10" s="100" t="s">
        <v>600</v>
      </c>
      <c r="DV10" s="100" t="s">
        <v>600</v>
      </c>
      <c r="DW10" s="100" t="s">
        <v>600</v>
      </c>
      <c r="DX10" s="100" t="s">
        <v>600</v>
      </c>
      <c r="DY10" s="100" t="s">
        <v>600</v>
      </c>
      <c r="DZ10" s="100" t="s">
        <v>600</v>
      </c>
      <c r="EA10" s="100" t="s">
        <v>600</v>
      </c>
      <c r="EB10" s="100" t="s">
        <v>600</v>
      </c>
      <c r="EC10" s="100" t="s">
        <v>600</v>
      </c>
      <c r="ED10" s="100" t="s">
        <v>600</v>
      </c>
      <c r="EE10" s="100" t="s">
        <v>600</v>
      </c>
      <c r="EF10" s="100" t="s">
        <v>600</v>
      </c>
      <c r="EG10" s="100" t="s">
        <v>600</v>
      </c>
      <c r="EH10" s="100" t="s">
        <v>600</v>
      </c>
      <c r="EI10" s="100" t="s">
        <v>600</v>
      </c>
      <c r="EJ10" s="100" t="s">
        <v>600</v>
      </c>
      <c r="EK10" s="100" t="s">
        <v>600</v>
      </c>
      <c r="EL10" s="100" t="s">
        <v>600</v>
      </c>
      <c r="EM10" s="100" t="s">
        <v>600</v>
      </c>
      <c r="EN10" s="100" t="s">
        <v>600</v>
      </c>
      <c r="EO10" s="100" t="s">
        <v>600</v>
      </c>
      <c r="EP10" s="100" t="s">
        <v>600</v>
      </c>
      <c r="EQ10" s="100" t="s">
        <v>600</v>
      </c>
      <c r="ER10" s="100" t="s">
        <v>600</v>
      </c>
      <c r="ES10" s="100" t="s">
        <v>600</v>
      </c>
      <c r="ET10" s="100" t="s">
        <v>600</v>
      </c>
      <c r="EU10" s="100" t="s">
        <v>600</v>
      </c>
      <c r="EV10" s="100" t="s">
        <v>600</v>
      </c>
      <c r="EW10" s="100" t="s">
        <v>600</v>
      </c>
      <c r="EX10" s="100" t="s">
        <v>600</v>
      </c>
      <c r="EY10" s="100" t="s">
        <v>600</v>
      </c>
      <c r="EZ10" s="100" t="s">
        <v>600</v>
      </c>
      <c r="FA10" s="100" t="s">
        <v>600</v>
      </c>
      <c r="FB10" s="100" t="s">
        <v>600</v>
      </c>
      <c r="FC10" s="100" t="s">
        <v>600</v>
      </c>
      <c r="FD10" s="100" t="s">
        <v>600</v>
      </c>
      <c r="FE10" s="100" t="s">
        <v>600</v>
      </c>
      <c r="FF10" s="100" t="s">
        <v>600</v>
      </c>
      <c r="FG10" s="100" t="s">
        <v>600</v>
      </c>
      <c r="FH10" s="100" t="s">
        <v>600</v>
      </c>
      <c r="FI10" s="100" t="s">
        <v>600</v>
      </c>
      <c r="FJ10" s="100" t="s">
        <v>600</v>
      </c>
      <c r="FK10" s="100" t="s">
        <v>600</v>
      </c>
      <c r="FL10" s="100" t="s">
        <v>600</v>
      </c>
      <c r="FM10" s="100" t="s">
        <v>600</v>
      </c>
      <c r="FN10" s="100" t="s">
        <v>600</v>
      </c>
      <c r="FO10" s="100" t="s">
        <v>600</v>
      </c>
      <c r="FP10" s="100" t="s">
        <v>600</v>
      </c>
      <c r="FQ10" s="100" t="s">
        <v>600</v>
      </c>
      <c r="FR10" s="100" t="s">
        <v>600</v>
      </c>
      <c r="FS10" s="100" t="s">
        <v>600</v>
      </c>
    </row>
    <row r="11" spans="1:175" x14ac:dyDescent="0.2">
      <c r="A11" s="199" t="s">
        <v>600</v>
      </c>
      <c r="B11" s="199" t="s">
        <v>600</v>
      </c>
      <c r="C11" s="199" t="s">
        <v>600</v>
      </c>
      <c r="D11" s="199" t="s">
        <v>600</v>
      </c>
      <c r="E11" s="210" t="s">
        <v>600</v>
      </c>
      <c r="F11" s="200" t="s">
        <v>600</v>
      </c>
      <c r="G11" s="201" t="s">
        <v>600</v>
      </c>
      <c r="H11" s="202" t="s">
        <v>600</v>
      </c>
      <c r="I11" s="203" t="s">
        <v>600</v>
      </c>
      <c r="J11" s="203" t="s">
        <v>600</v>
      </c>
      <c r="K11" s="203" t="s">
        <v>600</v>
      </c>
      <c r="L11" s="203" t="s">
        <v>600</v>
      </c>
      <c r="M11" s="203" t="s">
        <v>600</v>
      </c>
      <c r="N11" s="203" t="s">
        <v>600</v>
      </c>
      <c r="O11" s="203" t="s">
        <v>600</v>
      </c>
      <c r="P11" s="203" t="s">
        <v>600</v>
      </c>
      <c r="Q11" s="203" t="s">
        <v>600</v>
      </c>
      <c r="R11" s="203" t="s">
        <v>600</v>
      </c>
      <c r="S11" s="203" t="s">
        <v>600</v>
      </c>
      <c r="T11" s="203" t="s">
        <v>600</v>
      </c>
      <c r="U11" s="204" t="s">
        <v>600</v>
      </c>
      <c r="V11" s="204" t="s">
        <v>600</v>
      </c>
      <c r="W11" s="204" t="s">
        <v>600</v>
      </c>
      <c r="X11" s="204" t="s">
        <v>600</v>
      </c>
      <c r="Y11" s="204" t="s">
        <v>600</v>
      </c>
      <c r="Z11" s="204" t="s">
        <v>600</v>
      </c>
      <c r="AA11" s="204" t="s">
        <v>600</v>
      </c>
      <c r="AB11" s="204" t="s">
        <v>600</v>
      </c>
      <c r="AC11" s="204" t="s">
        <v>600</v>
      </c>
      <c r="AD11" s="204" t="s">
        <v>600</v>
      </c>
      <c r="AE11" s="204" t="s">
        <v>600</v>
      </c>
      <c r="AF11" s="204" t="s">
        <v>600</v>
      </c>
      <c r="AG11" s="204" t="s">
        <v>600</v>
      </c>
      <c r="AH11" s="204" t="s">
        <v>600</v>
      </c>
      <c r="AI11" s="204" t="s">
        <v>600</v>
      </c>
      <c r="AJ11" s="204" t="s">
        <v>600</v>
      </c>
      <c r="AK11" s="204" t="s">
        <v>600</v>
      </c>
      <c r="AL11" s="204" t="s">
        <v>600</v>
      </c>
      <c r="AM11" s="204" t="s">
        <v>600</v>
      </c>
      <c r="AN11" s="204" t="s">
        <v>600</v>
      </c>
      <c r="AO11" s="204" t="s">
        <v>600</v>
      </c>
      <c r="AP11" s="204" t="s">
        <v>600</v>
      </c>
      <c r="AQ11" s="204" t="s">
        <v>600</v>
      </c>
      <c r="AR11" s="204" t="s">
        <v>600</v>
      </c>
      <c r="AS11" s="204" t="s">
        <v>600</v>
      </c>
      <c r="AT11" s="204" t="s">
        <v>600</v>
      </c>
      <c r="AU11" s="204" t="s">
        <v>600</v>
      </c>
      <c r="AV11" s="204" t="s">
        <v>600</v>
      </c>
      <c r="AW11" s="204" t="s">
        <v>600</v>
      </c>
      <c r="AX11" s="204" t="s">
        <v>600</v>
      </c>
      <c r="AY11" s="204" t="s">
        <v>600</v>
      </c>
      <c r="AZ11" s="204" t="s">
        <v>600</v>
      </c>
      <c r="BA11" s="204" t="s">
        <v>600</v>
      </c>
      <c r="BB11" s="204" t="s">
        <v>600</v>
      </c>
      <c r="BC11" s="204" t="s">
        <v>600</v>
      </c>
      <c r="BD11" s="204" t="s">
        <v>600</v>
      </c>
      <c r="BE11" s="204" t="s">
        <v>600</v>
      </c>
      <c r="BF11" s="204" t="s">
        <v>600</v>
      </c>
      <c r="BG11" s="204" t="s">
        <v>600</v>
      </c>
      <c r="BH11" s="204" t="s">
        <v>600</v>
      </c>
      <c r="BI11" s="204" t="s">
        <v>600</v>
      </c>
      <c r="BJ11" s="204" t="s">
        <v>600</v>
      </c>
      <c r="BK11" s="204" t="s">
        <v>600</v>
      </c>
      <c r="BL11" s="204" t="s">
        <v>600</v>
      </c>
      <c r="BM11" s="204" t="s">
        <v>600</v>
      </c>
      <c r="BN11" s="204" t="s">
        <v>600</v>
      </c>
      <c r="BO11" s="204" t="s">
        <v>600</v>
      </c>
      <c r="BP11" s="204" t="s">
        <v>600</v>
      </c>
      <c r="BQ11" s="204" t="s">
        <v>600</v>
      </c>
      <c r="BR11" s="204" t="s">
        <v>600</v>
      </c>
      <c r="BS11" s="204" t="s">
        <v>600</v>
      </c>
      <c r="BT11" s="204" t="s">
        <v>600</v>
      </c>
      <c r="BU11" s="204" t="s">
        <v>600</v>
      </c>
      <c r="BV11" s="204" t="s">
        <v>600</v>
      </c>
      <c r="BW11" s="204" t="s">
        <v>600</v>
      </c>
      <c r="BX11" s="204" t="s">
        <v>600</v>
      </c>
      <c r="BY11" s="204" t="s">
        <v>600</v>
      </c>
      <c r="BZ11" s="204" t="s">
        <v>600</v>
      </c>
      <c r="CA11" s="204" t="s">
        <v>600</v>
      </c>
      <c r="CB11" s="204" t="s">
        <v>600</v>
      </c>
      <c r="CC11" s="204" t="s">
        <v>600</v>
      </c>
      <c r="CD11" s="204" t="s">
        <v>600</v>
      </c>
      <c r="CE11" s="205" t="s">
        <v>600</v>
      </c>
      <c r="CF11" s="206" t="s">
        <v>600</v>
      </c>
      <c r="CG11" s="206" t="s">
        <v>600</v>
      </c>
      <c r="CH11" s="207" t="s">
        <v>600</v>
      </c>
      <c r="CI11" s="208" t="s">
        <v>600</v>
      </c>
      <c r="CJ11" s="209" t="s">
        <v>600</v>
      </c>
      <c r="CK11" s="206" t="s">
        <v>600</v>
      </c>
      <c r="CL11" s="206" t="s">
        <v>600</v>
      </c>
      <c r="CM11" s="206" t="s">
        <v>600</v>
      </c>
      <c r="CN11" s="207" t="s">
        <v>600</v>
      </c>
      <c r="CO11" s="208" t="s">
        <v>600</v>
      </c>
      <c r="CP11" s="209" t="s">
        <v>600</v>
      </c>
      <c r="CQ11" s="206" t="s">
        <v>600</v>
      </c>
      <c r="CR11" s="206" t="s">
        <v>600</v>
      </c>
      <c r="CS11" s="206" t="s">
        <v>600</v>
      </c>
      <c r="CT11" s="207" t="s">
        <v>600</v>
      </c>
      <c r="CU11" s="208" t="s">
        <v>600</v>
      </c>
      <c r="CV11" s="209" t="s">
        <v>600</v>
      </c>
      <c r="CW11" s="100" t="s">
        <v>600</v>
      </c>
      <c r="CX11" s="100" t="s">
        <v>600</v>
      </c>
      <c r="CY11" s="100" t="s">
        <v>600</v>
      </c>
      <c r="CZ11" s="100" t="s">
        <v>600</v>
      </c>
      <c r="DA11" s="100" t="s">
        <v>600</v>
      </c>
      <c r="DB11" s="100" t="s">
        <v>600</v>
      </c>
      <c r="DC11" s="100" t="s">
        <v>600</v>
      </c>
      <c r="DD11" s="100" t="s">
        <v>600</v>
      </c>
      <c r="DE11" s="100" t="s">
        <v>600</v>
      </c>
      <c r="DF11" s="100" t="s">
        <v>600</v>
      </c>
      <c r="DG11" s="100" t="s">
        <v>600</v>
      </c>
      <c r="DH11" s="100" t="s">
        <v>600</v>
      </c>
      <c r="DI11" s="100" t="s">
        <v>600</v>
      </c>
      <c r="DJ11" s="100" t="s">
        <v>600</v>
      </c>
      <c r="DK11" s="100" t="s">
        <v>600</v>
      </c>
      <c r="DL11" s="100" t="s">
        <v>600</v>
      </c>
      <c r="DM11" s="100" t="s">
        <v>600</v>
      </c>
      <c r="DN11" s="100" t="s">
        <v>600</v>
      </c>
      <c r="DO11" s="100" t="s">
        <v>600</v>
      </c>
      <c r="DP11" s="100" t="s">
        <v>600</v>
      </c>
      <c r="DQ11" s="100" t="s">
        <v>600</v>
      </c>
      <c r="DR11" s="100" t="s">
        <v>600</v>
      </c>
      <c r="DS11" s="100" t="s">
        <v>600</v>
      </c>
      <c r="DT11" s="100" t="s">
        <v>600</v>
      </c>
      <c r="DU11" s="100" t="s">
        <v>600</v>
      </c>
      <c r="DV11" s="100" t="s">
        <v>600</v>
      </c>
      <c r="DW11" s="100" t="s">
        <v>600</v>
      </c>
      <c r="DX11" s="100" t="s">
        <v>600</v>
      </c>
      <c r="DY11" s="100" t="s">
        <v>600</v>
      </c>
      <c r="DZ11" s="100" t="s">
        <v>600</v>
      </c>
      <c r="EA11" s="100" t="s">
        <v>600</v>
      </c>
      <c r="EB11" s="100" t="s">
        <v>600</v>
      </c>
      <c r="EC11" s="100" t="s">
        <v>600</v>
      </c>
      <c r="ED11" s="100" t="s">
        <v>600</v>
      </c>
      <c r="EE11" s="100" t="s">
        <v>600</v>
      </c>
      <c r="EF11" s="100" t="s">
        <v>600</v>
      </c>
      <c r="EG11" s="100" t="s">
        <v>600</v>
      </c>
      <c r="EH11" s="100" t="s">
        <v>600</v>
      </c>
      <c r="EI11" s="100" t="s">
        <v>600</v>
      </c>
      <c r="EJ11" s="100" t="s">
        <v>600</v>
      </c>
      <c r="EK11" s="100" t="s">
        <v>600</v>
      </c>
      <c r="EL11" s="100" t="s">
        <v>600</v>
      </c>
      <c r="EM11" s="100" t="s">
        <v>600</v>
      </c>
      <c r="EN11" s="100" t="s">
        <v>600</v>
      </c>
      <c r="EO11" s="100" t="s">
        <v>600</v>
      </c>
      <c r="EP11" s="100" t="s">
        <v>600</v>
      </c>
      <c r="EQ11" s="100" t="s">
        <v>600</v>
      </c>
      <c r="ER11" s="100" t="s">
        <v>600</v>
      </c>
      <c r="ES11" s="100" t="s">
        <v>600</v>
      </c>
      <c r="ET11" s="100" t="s">
        <v>600</v>
      </c>
      <c r="EU11" s="100" t="s">
        <v>600</v>
      </c>
      <c r="EV11" s="100" t="s">
        <v>600</v>
      </c>
      <c r="EW11" s="100" t="s">
        <v>600</v>
      </c>
      <c r="EX11" s="100" t="s">
        <v>600</v>
      </c>
      <c r="EY11" s="100" t="s">
        <v>600</v>
      </c>
      <c r="EZ11" s="100" t="s">
        <v>600</v>
      </c>
      <c r="FA11" s="100" t="s">
        <v>600</v>
      </c>
      <c r="FB11" s="100" t="s">
        <v>600</v>
      </c>
      <c r="FC11" s="100" t="s">
        <v>600</v>
      </c>
      <c r="FD11" s="100" t="s">
        <v>600</v>
      </c>
      <c r="FE11" s="100" t="s">
        <v>600</v>
      </c>
      <c r="FF11" s="100" t="s">
        <v>600</v>
      </c>
      <c r="FG11" s="100" t="s">
        <v>600</v>
      </c>
      <c r="FH11" s="100" t="s">
        <v>600</v>
      </c>
      <c r="FI11" s="100" t="s">
        <v>600</v>
      </c>
      <c r="FJ11" s="100" t="s">
        <v>600</v>
      </c>
      <c r="FK11" s="100" t="s">
        <v>600</v>
      </c>
      <c r="FL11" s="100" t="s">
        <v>600</v>
      </c>
      <c r="FM11" s="100" t="s">
        <v>600</v>
      </c>
      <c r="FN11" s="100" t="s">
        <v>600</v>
      </c>
      <c r="FO11" s="100" t="s">
        <v>600</v>
      </c>
      <c r="FP11" s="100" t="s">
        <v>600</v>
      </c>
      <c r="FQ11" s="100" t="s">
        <v>600</v>
      </c>
      <c r="FR11" s="100" t="s">
        <v>600</v>
      </c>
      <c r="FS11" s="100" t="s">
        <v>600</v>
      </c>
    </row>
    <row r="12" spans="1:175" x14ac:dyDescent="0.2">
      <c r="A12" s="199" t="s">
        <v>600</v>
      </c>
      <c r="B12" s="199" t="s">
        <v>600</v>
      </c>
      <c r="C12" s="199" t="s">
        <v>600</v>
      </c>
      <c r="D12" s="199" t="s">
        <v>600</v>
      </c>
      <c r="E12" s="210" t="s">
        <v>600</v>
      </c>
      <c r="F12" s="200" t="s">
        <v>600</v>
      </c>
      <c r="G12" s="201" t="s">
        <v>600</v>
      </c>
      <c r="H12" s="202" t="s">
        <v>600</v>
      </c>
      <c r="I12" s="203" t="s">
        <v>600</v>
      </c>
      <c r="J12" s="203" t="s">
        <v>600</v>
      </c>
      <c r="K12" s="203" t="s">
        <v>600</v>
      </c>
      <c r="L12" s="203" t="s">
        <v>600</v>
      </c>
      <c r="M12" s="203" t="s">
        <v>600</v>
      </c>
      <c r="N12" s="203" t="s">
        <v>600</v>
      </c>
      <c r="O12" s="203" t="s">
        <v>600</v>
      </c>
      <c r="P12" s="203" t="s">
        <v>600</v>
      </c>
      <c r="Q12" s="203" t="s">
        <v>600</v>
      </c>
      <c r="R12" s="203" t="s">
        <v>600</v>
      </c>
      <c r="S12" s="203" t="s">
        <v>600</v>
      </c>
      <c r="T12" s="203" t="s">
        <v>600</v>
      </c>
      <c r="U12" s="204" t="s">
        <v>600</v>
      </c>
      <c r="V12" s="204" t="s">
        <v>600</v>
      </c>
      <c r="W12" s="204" t="s">
        <v>600</v>
      </c>
      <c r="X12" s="204" t="s">
        <v>600</v>
      </c>
      <c r="Y12" s="204" t="s">
        <v>600</v>
      </c>
      <c r="Z12" s="204" t="s">
        <v>600</v>
      </c>
      <c r="AA12" s="204" t="s">
        <v>600</v>
      </c>
      <c r="AB12" s="204" t="s">
        <v>600</v>
      </c>
      <c r="AC12" s="204" t="s">
        <v>600</v>
      </c>
      <c r="AD12" s="204" t="s">
        <v>600</v>
      </c>
      <c r="AE12" s="204" t="s">
        <v>600</v>
      </c>
      <c r="AF12" s="204" t="s">
        <v>600</v>
      </c>
      <c r="AG12" s="204" t="s">
        <v>600</v>
      </c>
      <c r="AH12" s="204" t="s">
        <v>600</v>
      </c>
      <c r="AI12" s="204" t="s">
        <v>600</v>
      </c>
      <c r="AJ12" s="204" t="s">
        <v>600</v>
      </c>
      <c r="AK12" s="204" t="s">
        <v>600</v>
      </c>
      <c r="AL12" s="204" t="s">
        <v>600</v>
      </c>
      <c r="AM12" s="204" t="s">
        <v>600</v>
      </c>
      <c r="AN12" s="204" t="s">
        <v>600</v>
      </c>
      <c r="AO12" s="204" t="s">
        <v>600</v>
      </c>
      <c r="AP12" s="204" t="s">
        <v>600</v>
      </c>
      <c r="AQ12" s="204" t="s">
        <v>600</v>
      </c>
      <c r="AR12" s="204" t="s">
        <v>600</v>
      </c>
      <c r="AS12" s="204" t="s">
        <v>600</v>
      </c>
      <c r="AT12" s="204" t="s">
        <v>600</v>
      </c>
      <c r="AU12" s="204" t="s">
        <v>600</v>
      </c>
      <c r="AV12" s="204" t="s">
        <v>600</v>
      </c>
      <c r="AW12" s="204" t="s">
        <v>600</v>
      </c>
      <c r="AX12" s="204" t="s">
        <v>600</v>
      </c>
      <c r="AY12" s="204" t="s">
        <v>600</v>
      </c>
      <c r="AZ12" s="204" t="s">
        <v>600</v>
      </c>
      <c r="BA12" s="204" t="s">
        <v>600</v>
      </c>
      <c r="BB12" s="204" t="s">
        <v>600</v>
      </c>
      <c r="BC12" s="204" t="s">
        <v>600</v>
      </c>
      <c r="BD12" s="204" t="s">
        <v>600</v>
      </c>
      <c r="BE12" s="204" t="s">
        <v>600</v>
      </c>
      <c r="BF12" s="204" t="s">
        <v>600</v>
      </c>
      <c r="BG12" s="204" t="s">
        <v>600</v>
      </c>
      <c r="BH12" s="204" t="s">
        <v>600</v>
      </c>
      <c r="BI12" s="204" t="s">
        <v>600</v>
      </c>
      <c r="BJ12" s="204" t="s">
        <v>600</v>
      </c>
      <c r="BK12" s="204" t="s">
        <v>600</v>
      </c>
      <c r="BL12" s="204" t="s">
        <v>600</v>
      </c>
      <c r="BM12" s="204" t="s">
        <v>600</v>
      </c>
      <c r="BN12" s="204" t="s">
        <v>600</v>
      </c>
      <c r="BO12" s="204" t="s">
        <v>600</v>
      </c>
      <c r="BP12" s="204" t="s">
        <v>600</v>
      </c>
      <c r="BQ12" s="204" t="s">
        <v>600</v>
      </c>
      <c r="BR12" s="204" t="s">
        <v>600</v>
      </c>
      <c r="BS12" s="204" t="s">
        <v>600</v>
      </c>
      <c r="BT12" s="204" t="s">
        <v>600</v>
      </c>
      <c r="BU12" s="204" t="s">
        <v>600</v>
      </c>
      <c r="BV12" s="204" t="s">
        <v>600</v>
      </c>
      <c r="BW12" s="204" t="s">
        <v>600</v>
      </c>
      <c r="BX12" s="204" t="s">
        <v>600</v>
      </c>
      <c r="BY12" s="204" t="s">
        <v>600</v>
      </c>
      <c r="BZ12" s="204" t="s">
        <v>600</v>
      </c>
      <c r="CA12" s="204" t="s">
        <v>600</v>
      </c>
      <c r="CB12" s="204" t="s">
        <v>600</v>
      </c>
      <c r="CC12" s="204" t="s">
        <v>600</v>
      </c>
      <c r="CD12" s="204" t="s">
        <v>600</v>
      </c>
      <c r="CE12" s="205" t="s">
        <v>600</v>
      </c>
      <c r="CF12" s="206" t="s">
        <v>600</v>
      </c>
      <c r="CG12" s="206" t="s">
        <v>600</v>
      </c>
      <c r="CH12" s="207" t="s">
        <v>600</v>
      </c>
      <c r="CI12" s="208" t="s">
        <v>600</v>
      </c>
      <c r="CJ12" s="209" t="s">
        <v>600</v>
      </c>
      <c r="CK12" s="206" t="s">
        <v>600</v>
      </c>
      <c r="CL12" s="206" t="s">
        <v>600</v>
      </c>
      <c r="CM12" s="206" t="s">
        <v>600</v>
      </c>
      <c r="CN12" s="207" t="s">
        <v>600</v>
      </c>
      <c r="CO12" s="208" t="s">
        <v>600</v>
      </c>
      <c r="CP12" s="209" t="s">
        <v>600</v>
      </c>
      <c r="CQ12" s="206" t="s">
        <v>600</v>
      </c>
      <c r="CR12" s="206" t="s">
        <v>600</v>
      </c>
      <c r="CS12" s="206" t="s">
        <v>600</v>
      </c>
      <c r="CT12" s="207" t="s">
        <v>600</v>
      </c>
      <c r="CU12" s="208" t="s">
        <v>600</v>
      </c>
      <c r="CV12" s="209" t="s">
        <v>600</v>
      </c>
      <c r="CW12" s="100" t="s">
        <v>600</v>
      </c>
      <c r="CX12" s="100" t="s">
        <v>600</v>
      </c>
      <c r="CY12" s="100" t="s">
        <v>600</v>
      </c>
      <c r="CZ12" s="100" t="s">
        <v>600</v>
      </c>
      <c r="DA12" s="100" t="s">
        <v>600</v>
      </c>
      <c r="DB12" s="100" t="s">
        <v>600</v>
      </c>
      <c r="DC12" s="100" t="s">
        <v>600</v>
      </c>
      <c r="DD12" s="100" t="s">
        <v>600</v>
      </c>
      <c r="DE12" s="100" t="s">
        <v>600</v>
      </c>
      <c r="DF12" s="100" t="s">
        <v>600</v>
      </c>
      <c r="DG12" s="100" t="s">
        <v>600</v>
      </c>
      <c r="DH12" s="100" t="s">
        <v>600</v>
      </c>
      <c r="DI12" s="100" t="s">
        <v>600</v>
      </c>
      <c r="DJ12" s="100" t="s">
        <v>600</v>
      </c>
      <c r="DK12" s="100" t="s">
        <v>600</v>
      </c>
      <c r="DL12" s="100" t="s">
        <v>600</v>
      </c>
      <c r="DM12" s="100" t="s">
        <v>600</v>
      </c>
      <c r="DN12" s="100" t="s">
        <v>600</v>
      </c>
      <c r="DO12" s="100" t="s">
        <v>600</v>
      </c>
      <c r="DP12" s="100" t="s">
        <v>600</v>
      </c>
      <c r="DQ12" s="100" t="s">
        <v>600</v>
      </c>
      <c r="DR12" s="100" t="s">
        <v>600</v>
      </c>
      <c r="DS12" s="100" t="s">
        <v>600</v>
      </c>
      <c r="DT12" s="100" t="s">
        <v>600</v>
      </c>
      <c r="DU12" s="100" t="s">
        <v>600</v>
      </c>
      <c r="DV12" s="100" t="s">
        <v>600</v>
      </c>
      <c r="DW12" s="100" t="s">
        <v>600</v>
      </c>
      <c r="DX12" s="100" t="s">
        <v>600</v>
      </c>
      <c r="DY12" s="100" t="s">
        <v>600</v>
      </c>
      <c r="DZ12" s="100" t="s">
        <v>600</v>
      </c>
      <c r="EA12" s="100" t="s">
        <v>600</v>
      </c>
      <c r="EB12" s="100" t="s">
        <v>600</v>
      </c>
      <c r="EC12" s="100" t="s">
        <v>600</v>
      </c>
      <c r="ED12" s="100" t="s">
        <v>600</v>
      </c>
      <c r="EE12" s="100" t="s">
        <v>600</v>
      </c>
      <c r="EF12" s="100" t="s">
        <v>600</v>
      </c>
      <c r="EG12" s="100" t="s">
        <v>600</v>
      </c>
      <c r="EH12" s="100" t="s">
        <v>600</v>
      </c>
      <c r="EI12" s="100" t="s">
        <v>600</v>
      </c>
      <c r="EJ12" s="100" t="s">
        <v>600</v>
      </c>
      <c r="EK12" s="100" t="s">
        <v>600</v>
      </c>
      <c r="EL12" s="100" t="s">
        <v>600</v>
      </c>
      <c r="EM12" s="100" t="s">
        <v>600</v>
      </c>
      <c r="EN12" s="100" t="s">
        <v>600</v>
      </c>
      <c r="EO12" s="100" t="s">
        <v>600</v>
      </c>
      <c r="EP12" s="100" t="s">
        <v>600</v>
      </c>
      <c r="EQ12" s="100" t="s">
        <v>600</v>
      </c>
      <c r="ER12" s="100" t="s">
        <v>600</v>
      </c>
      <c r="ES12" s="100" t="s">
        <v>600</v>
      </c>
      <c r="ET12" s="100" t="s">
        <v>600</v>
      </c>
      <c r="EU12" s="100" t="s">
        <v>600</v>
      </c>
      <c r="EV12" s="100" t="s">
        <v>600</v>
      </c>
      <c r="EW12" s="100" t="s">
        <v>600</v>
      </c>
      <c r="EX12" s="100" t="s">
        <v>600</v>
      </c>
      <c r="EY12" s="100" t="s">
        <v>600</v>
      </c>
      <c r="EZ12" s="100" t="s">
        <v>600</v>
      </c>
      <c r="FA12" s="100" t="s">
        <v>600</v>
      </c>
      <c r="FB12" s="100" t="s">
        <v>600</v>
      </c>
      <c r="FC12" s="100" t="s">
        <v>600</v>
      </c>
      <c r="FD12" s="100" t="s">
        <v>600</v>
      </c>
      <c r="FE12" s="100" t="s">
        <v>600</v>
      </c>
      <c r="FF12" s="100" t="s">
        <v>600</v>
      </c>
      <c r="FG12" s="100" t="s">
        <v>600</v>
      </c>
      <c r="FH12" s="100" t="s">
        <v>600</v>
      </c>
      <c r="FI12" s="100" t="s">
        <v>600</v>
      </c>
      <c r="FJ12" s="100" t="s">
        <v>600</v>
      </c>
      <c r="FK12" s="100" t="s">
        <v>600</v>
      </c>
      <c r="FL12" s="100" t="s">
        <v>600</v>
      </c>
      <c r="FM12" s="100" t="s">
        <v>600</v>
      </c>
      <c r="FN12" s="100" t="s">
        <v>600</v>
      </c>
      <c r="FO12" s="100" t="s">
        <v>600</v>
      </c>
      <c r="FP12" s="100" t="s">
        <v>600</v>
      </c>
      <c r="FQ12" s="100" t="s">
        <v>600</v>
      </c>
      <c r="FR12" s="100" t="s">
        <v>600</v>
      </c>
      <c r="FS12" s="100" t="s">
        <v>600</v>
      </c>
    </row>
    <row r="13" spans="1:175" x14ac:dyDescent="0.2">
      <c r="A13" s="199" t="s">
        <v>600</v>
      </c>
      <c r="B13" s="199" t="s">
        <v>600</v>
      </c>
      <c r="C13" s="199" t="s">
        <v>600</v>
      </c>
      <c r="D13" s="199" t="s">
        <v>600</v>
      </c>
      <c r="E13" s="210" t="s">
        <v>600</v>
      </c>
      <c r="F13" s="200" t="s">
        <v>600</v>
      </c>
      <c r="G13" s="201" t="s">
        <v>600</v>
      </c>
      <c r="H13" s="202" t="s">
        <v>600</v>
      </c>
      <c r="I13" s="203" t="s">
        <v>600</v>
      </c>
      <c r="J13" s="203" t="s">
        <v>600</v>
      </c>
      <c r="K13" s="203" t="s">
        <v>600</v>
      </c>
      <c r="L13" s="203" t="s">
        <v>600</v>
      </c>
      <c r="M13" s="203" t="s">
        <v>600</v>
      </c>
      <c r="N13" s="203" t="s">
        <v>600</v>
      </c>
      <c r="O13" s="203" t="s">
        <v>600</v>
      </c>
      <c r="P13" s="203" t="s">
        <v>600</v>
      </c>
      <c r="Q13" s="203" t="s">
        <v>600</v>
      </c>
      <c r="R13" s="203" t="s">
        <v>600</v>
      </c>
      <c r="S13" s="203" t="s">
        <v>600</v>
      </c>
      <c r="T13" s="203" t="s">
        <v>600</v>
      </c>
      <c r="U13" s="203" t="s">
        <v>600</v>
      </c>
      <c r="V13" s="203" t="s">
        <v>600</v>
      </c>
      <c r="W13" s="203" t="s">
        <v>600</v>
      </c>
      <c r="X13" s="203" t="s">
        <v>600</v>
      </c>
      <c r="Y13" s="203" t="s">
        <v>600</v>
      </c>
      <c r="Z13" s="203" t="s">
        <v>600</v>
      </c>
      <c r="AA13" s="203" t="s">
        <v>600</v>
      </c>
      <c r="AB13" s="203" t="s">
        <v>600</v>
      </c>
      <c r="AC13" s="203" t="s">
        <v>600</v>
      </c>
      <c r="AD13" s="203" t="s">
        <v>600</v>
      </c>
      <c r="AE13" s="203" t="s">
        <v>600</v>
      </c>
      <c r="AF13" s="203" t="s">
        <v>600</v>
      </c>
      <c r="AG13" s="203" t="s">
        <v>600</v>
      </c>
      <c r="AH13" s="203" t="s">
        <v>600</v>
      </c>
      <c r="AI13" s="203" t="s">
        <v>600</v>
      </c>
      <c r="AJ13" s="203" t="s">
        <v>600</v>
      </c>
      <c r="AK13" s="203" t="s">
        <v>600</v>
      </c>
      <c r="AL13" s="203" t="s">
        <v>600</v>
      </c>
      <c r="AM13" s="203" t="s">
        <v>600</v>
      </c>
      <c r="AN13" s="203" t="s">
        <v>600</v>
      </c>
      <c r="AO13" s="203" t="s">
        <v>600</v>
      </c>
      <c r="AP13" s="203" t="s">
        <v>600</v>
      </c>
      <c r="AQ13" s="203" t="s">
        <v>600</v>
      </c>
      <c r="AR13" s="203" t="s">
        <v>600</v>
      </c>
      <c r="AS13" s="203" t="s">
        <v>600</v>
      </c>
      <c r="AT13" s="203" t="s">
        <v>600</v>
      </c>
      <c r="AU13" s="203" t="s">
        <v>600</v>
      </c>
      <c r="AV13" s="203" t="s">
        <v>600</v>
      </c>
      <c r="AW13" s="203" t="s">
        <v>600</v>
      </c>
      <c r="AX13" s="203" t="s">
        <v>600</v>
      </c>
      <c r="AY13" s="203" t="s">
        <v>600</v>
      </c>
      <c r="AZ13" s="203" t="s">
        <v>600</v>
      </c>
      <c r="BA13" s="203" t="s">
        <v>600</v>
      </c>
      <c r="BB13" s="203" t="s">
        <v>600</v>
      </c>
      <c r="BC13" s="203" t="s">
        <v>600</v>
      </c>
      <c r="BD13" s="203" t="s">
        <v>600</v>
      </c>
      <c r="BE13" s="203" t="s">
        <v>600</v>
      </c>
      <c r="BF13" s="203" t="s">
        <v>600</v>
      </c>
      <c r="BG13" s="203" t="s">
        <v>600</v>
      </c>
      <c r="BH13" s="203" t="s">
        <v>600</v>
      </c>
      <c r="BI13" s="203" t="s">
        <v>600</v>
      </c>
      <c r="BJ13" s="203" t="s">
        <v>600</v>
      </c>
      <c r="BK13" s="203" t="s">
        <v>600</v>
      </c>
      <c r="BL13" s="203" t="s">
        <v>600</v>
      </c>
      <c r="BM13" s="203" t="s">
        <v>600</v>
      </c>
      <c r="BN13" s="203" t="s">
        <v>600</v>
      </c>
      <c r="BO13" s="203" t="s">
        <v>600</v>
      </c>
      <c r="BP13" s="203" t="s">
        <v>600</v>
      </c>
      <c r="BQ13" s="203" t="s">
        <v>600</v>
      </c>
      <c r="BR13" s="203" t="s">
        <v>600</v>
      </c>
      <c r="BS13" s="203" t="s">
        <v>600</v>
      </c>
      <c r="BT13" s="203" t="s">
        <v>600</v>
      </c>
      <c r="BU13" s="203" t="s">
        <v>600</v>
      </c>
      <c r="BV13" s="203" t="s">
        <v>600</v>
      </c>
      <c r="BW13" s="203" t="s">
        <v>600</v>
      </c>
      <c r="BX13" s="203" t="s">
        <v>600</v>
      </c>
      <c r="BY13" s="203" t="s">
        <v>600</v>
      </c>
      <c r="BZ13" s="203" t="s">
        <v>600</v>
      </c>
      <c r="CA13" s="203" t="s">
        <v>600</v>
      </c>
      <c r="CB13" s="203" t="s">
        <v>600</v>
      </c>
      <c r="CC13" s="203" t="s">
        <v>600</v>
      </c>
      <c r="CD13" s="203" t="s">
        <v>600</v>
      </c>
      <c r="CE13" s="211" t="s">
        <v>600</v>
      </c>
      <c r="CF13" s="206" t="s">
        <v>600</v>
      </c>
      <c r="CG13" s="206" t="s">
        <v>600</v>
      </c>
      <c r="CH13" s="207" t="s">
        <v>600</v>
      </c>
      <c r="CI13" s="208" t="s">
        <v>600</v>
      </c>
      <c r="CJ13" s="209" t="s">
        <v>600</v>
      </c>
      <c r="CK13" s="206" t="s">
        <v>600</v>
      </c>
      <c r="CL13" s="206" t="s">
        <v>600</v>
      </c>
      <c r="CM13" s="206" t="s">
        <v>600</v>
      </c>
      <c r="CN13" s="207" t="s">
        <v>600</v>
      </c>
      <c r="CO13" s="208" t="s">
        <v>600</v>
      </c>
      <c r="CP13" s="209" t="s">
        <v>600</v>
      </c>
      <c r="CQ13" s="206" t="s">
        <v>600</v>
      </c>
      <c r="CR13" s="206" t="s">
        <v>600</v>
      </c>
      <c r="CS13" s="206" t="s">
        <v>600</v>
      </c>
      <c r="CT13" s="207" t="s">
        <v>600</v>
      </c>
      <c r="CU13" s="208" t="s">
        <v>600</v>
      </c>
      <c r="CV13" s="209" t="s">
        <v>600</v>
      </c>
      <c r="CW13" s="100" t="s">
        <v>600</v>
      </c>
      <c r="CX13" s="100" t="s">
        <v>600</v>
      </c>
      <c r="CY13" s="100" t="s">
        <v>600</v>
      </c>
      <c r="CZ13" s="100" t="s">
        <v>600</v>
      </c>
      <c r="DA13" s="100" t="s">
        <v>600</v>
      </c>
      <c r="DB13" s="100" t="s">
        <v>600</v>
      </c>
      <c r="DC13" s="100" t="s">
        <v>600</v>
      </c>
      <c r="DD13" s="100" t="s">
        <v>600</v>
      </c>
      <c r="DE13" s="100" t="s">
        <v>600</v>
      </c>
      <c r="DF13" s="100" t="s">
        <v>600</v>
      </c>
      <c r="DG13" s="100" t="s">
        <v>600</v>
      </c>
      <c r="DH13" s="100" t="s">
        <v>600</v>
      </c>
      <c r="DI13" s="100" t="s">
        <v>600</v>
      </c>
      <c r="DJ13" s="100" t="s">
        <v>600</v>
      </c>
      <c r="DK13" s="100" t="s">
        <v>600</v>
      </c>
      <c r="DL13" s="100" t="s">
        <v>600</v>
      </c>
      <c r="DM13" s="100" t="s">
        <v>600</v>
      </c>
      <c r="DN13" s="100" t="s">
        <v>600</v>
      </c>
      <c r="DO13" s="100" t="s">
        <v>600</v>
      </c>
      <c r="DP13" s="100" t="s">
        <v>600</v>
      </c>
      <c r="DQ13" s="100" t="s">
        <v>600</v>
      </c>
      <c r="DR13" s="100" t="s">
        <v>600</v>
      </c>
      <c r="DS13" s="100" t="s">
        <v>600</v>
      </c>
      <c r="DT13" s="100" t="s">
        <v>600</v>
      </c>
      <c r="DU13" s="100" t="s">
        <v>600</v>
      </c>
      <c r="DV13" s="100" t="s">
        <v>600</v>
      </c>
      <c r="DW13" s="100" t="s">
        <v>600</v>
      </c>
      <c r="DX13" s="100" t="s">
        <v>600</v>
      </c>
      <c r="DY13" s="100" t="s">
        <v>600</v>
      </c>
      <c r="DZ13" s="100" t="s">
        <v>600</v>
      </c>
      <c r="EA13" s="100" t="s">
        <v>600</v>
      </c>
      <c r="EB13" s="100" t="s">
        <v>600</v>
      </c>
      <c r="EC13" s="100" t="s">
        <v>600</v>
      </c>
      <c r="ED13" s="100" t="s">
        <v>600</v>
      </c>
      <c r="EE13" s="100" t="s">
        <v>600</v>
      </c>
      <c r="EF13" s="100" t="s">
        <v>600</v>
      </c>
      <c r="EG13" s="100" t="s">
        <v>600</v>
      </c>
      <c r="EH13" s="100" t="s">
        <v>600</v>
      </c>
      <c r="EI13" s="100" t="s">
        <v>600</v>
      </c>
      <c r="EJ13" s="100" t="s">
        <v>600</v>
      </c>
      <c r="EK13" s="100" t="s">
        <v>600</v>
      </c>
      <c r="EL13" s="100" t="s">
        <v>600</v>
      </c>
      <c r="EM13" s="100" t="s">
        <v>600</v>
      </c>
      <c r="EN13" s="100" t="s">
        <v>600</v>
      </c>
      <c r="EO13" s="100" t="s">
        <v>600</v>
      </c>
      <c r="EP13" s="100" t="s">
        <v>600</v>
      </c>
      <c r="EQ13" s="100" t="s">
        <v>600</v>
      </c>
      <c r="ER13" s="100" t="s">
        <v>600</v>
      </c>
      <c r="ES13" s="100" t="s">
        <v>600</v>
      </c>
      <c r="ET13" s="100" t="s">
        <v>600</v>
      </c>
      <c r="EU13" s="100" t="s">
        <v>600</v>
      </c>
      <c r="EV13" s="100" t="s">
        <v>600</v>
      </c>
      <c r="EW13" s="100" t="s">
        <v>600</v>
      </c>
      <c r="EX13" s="100" t="s">
        <v>600</v>
      </c>
      <c r="EY13" s="100" t="s">
        <v>600</v>
      </c>
      <c r="EZ13" s="100" t="s">
        <v>600</v>
      </c>
      <c r="FA13" s="100" t="s">
        <v>600</v>
      </c>
      <c r="FB13" s="100" t="s">
        <v>600</v>
      </c>
      <c r="FC13" s="100" t="s">
        <v>600</v>
      </c>
      <c r="FD13" s="100" t="s">
        <v>600</v>
      </c>
      <c r="FE13" s="100" t="s">
        <v>600</v>
      </c>
      <c r="FF13" s="100" t="s">
        <v>600</v>
      </c>
      <c r="FG13" s="100" t="s">
        <v>600</v>
      </c>
      <c r="FH13" s="100" t="s">
        <v>600</v>
      </c>
      <c r="FI13" s="100" t="s">
        <v>600</v>
      </c>
      <c r="FJ13" s="100" t="s">
        <v>600</v>
      </c>
      <c r="FK13" s="100" t="s">
        <v>600</v>
      </c>
      <c r="FL13" s="100" t="s">
        <v>600</v>
      </c>
      <c r="FM13" s="100" t="s">
        <v>600</v>
      </c>
      <c r="FN13" s="100" t="s">
        <v>600</v>
      </c>
      <c r="FO13" s="100" t="s">
        <v>600</v>
      </c>
      <c r="FP13" s="100" t="s">
        <v>600</v>
      </c>
      <c r="FQ13" s="100" t="s">
        <v>600</v>
      </c>
      <c r="FR13" s="100" t="s">
        <v>600</v>
      </c>
      <c r="FS13" s="100" t="s">
        <v>600</v>
      </c>
    </row>
    <row r="14" spans="1:175" ht="117" customHeight="1" x14ac:dyDescent="0.2">
      <c r="A14" s="212" t="s">
        <v>3</v>
      </c>
      <c r="B14" s="213" t="s">
        <v>183</v>
      </c>
      <c r="C14" s="213" t="s">
        <v>25</v>
      </c>
      <c r="D14" s="213" t="s">
        <v>4</v>
      </c>
      <c r="E14" s="213" t="s">
        <v>45</v>
      </c>
      <c r="F14" s="214" t="s">
        <v>48</v>
      </c>
      <c r="G14" s="215" t="s">
        <v>601</v>
      </c>
      <c r="H14" s="216" t="s">
        <v>602</v>
      </c>
      <c r="I14" s="217" t="s">
        <v>613</v>
      </c>
      <c r="J14" s="218" t="s">
        <v>603</v>
      </c>
      <c r="K14" s="218"/>
      <c r="L14" s="218"/>
      <c r="M14" s="217"/>
      <c r="N14" s="218"/>
      <c r="O14" s="218"/>
      <c r="P14" s="218"/>
      <c r="Q14" s="218"/>
      <c r="R14" s="218"/>
      <c r="S14" s="218"/>
      <c r="T14" s="218"/>
      <c r="U14" s="218"/>
      <c r="V14" s="218"/>
      <c r="W14" s="218"/>
      <c r="X14" s="218"/>
      <c r="Y14" s="218"/>
      <c r="Z14" s="218"/>
      <c r="AA14" s="218"/>
      <c r="AB14" s="218"/>
      <c r="AC14" s="218"/>
      <c r="AD14" s="218"/>
      <c r="AE14" s="218"/>
      <c r="AF14" s="218"/>
      <c r="AG14" s="218"/>
      <c r="AH14" s="218"/>
      <c r="AI14" s="218"/>
      <c r="AJ14" s="218"/>
      <c r="AK14" s="218"/>
      <c r="AL14" s="219"/>
      <c r="AM14" s="219"/>
      <c r="AN14" s="219"/>
      <c r="AO14" s="219"/>
      <c r="AP14" s="219"/>
      <c r="AQ14" s="219"/>
      <c r="AR14" s="219"/>
      <c r="AS14" s="219"/>
      <c r="AT14" s="219"/>
      <c r="AU14" s="219"/>
      <c r="AV14" s="219"/>
      <c r="AW14" s="219"/>
      <c r="AX14" s="219"/>
      <c r="AY14" s="219"/>
      <c r="AZ14" s="219"/>
      <c r="BA14" s="219"/>
      <c r="BB14" s="219"/>
      <c r="BC14" s="219"/>
      <c r="BD14" s="219"/>
      <c r="BE14" s="219"/>
      <c r="BF14" s="219"/>
      <c r="BG14" s="219"/>
      <c r="BH14" s="219"/>
      <c r="BI14" s="219"/>
      <c r="BJ14" s="219"/>
      <c r="BK14" s="219"/>
      <c r="BL14" s="219"/>
      <c r="BM14" s="219"/>
      <c r="BN14" s="219"/>
      <c r="BO14" s="219"/>
      <c r="BP14" s="219"/>
      <c r="BQ14" s="219"/>
      <c r="BR14" s="219"/>
      <c r="BS14" s="219"/>
      <c r="BT14" s="219"/>
      <c r="BU14" s="219"/>
      <c r="BV14" s="219"/>
      <c r="BW14" s="219"/>
      <c r="BX14" s="219"/>
      <c r="BY14" s="219"/>
      <c r="BZ14" s="219"/>
      <c r="CA14" s="219"/>
      <c r="CB14" s="219"/>
      <c r="CC14" s="219"/>
      <c r="CD14" s="219"/>
      <c r="CE14" s="220"/>
      <c r="CF14" s="142" t="s">
        <v>604</v>
      </c>
      <c r="CG14" s="142" t="s">
        <v>605</v>
      </c>
      <c r="CH14" s="221" t="s">
        <v>614</v>
      </c>
      <c r="CI14" s="144" t="s">
        <v>615</v>
      </c>
      <c r="CJ14" s="222" t="s">
        <v>616</v>
      </c>
      <c r="CK14" s="142" t="s">
        <v>606</v>
      </c>
      <c r="CL14" s="142" t="s">
        <v>607</v>
      </c>
      <c r="CM14" s="142" t="s">
        <v>608</v>
      </c>
      <c r="CN14" s="221" t="s">
        <v>617</v>
      </c>
      <c r="CO14" s="144" t="s">
        <v>618</v>
      </c>
      <c r="CP14" s="222" t="s">
        <v>619</v>
      </c>
      <c r="CQ14" s="142" t="s">
        <v>609</v>
      </c>
      <c r="CR14" s="142" t="s">
        <v>610</v>
      </c>
      <c r="CS14" s="142" t="s">
        <v>611</v>
      </c>
      <c r="CT14" s="221" t="s">
        <v>622</v>
      </c>
      <c r="CU14" s="144" t="s">
        <v>621</v>
      </c>
      <c r="CV14" s="222" t="s">
        <v>620</v>
      </c>
      <c r="CW14" s="223" t="str">
        <f t="shared" ref="CW14:FH14" si="0">IF(I14="","",I$14)</f>
        <v>Not PEPFAR</v>
      </c>
      <c r="CX14" s="223" t="str">
        <f t="shared" si="0"/>
        <v>12345_DSD</v>
      </c>
      <c r="CY14" s="223" t="str">
        <f t="shared" si="0"/>
        <v/>
      </c>
      <c r="CZ14" s="223" t="str">
        <f t="shared" si="0"/>
        <v/>
      </c>
      <c r="DA14" s="223" t="str">
        <f t="shared" si="0"/>
        <v/>
      </c>
      <c r="DB14" s="223" t="str">
        <f t="shared" si="0"/>
        <v/>
      </c>
      <c r="DC14" s="223" t="str">
        <f t="shared" si="0"/>
        <v/>
      </c>
      <c r="DD14" s="223" t="str">
        <f t="shared" si="0"/>
        <v/>
      </c>
      <c r="DE14" s="223" t="str">
        <f t="shared" si="0"/>
        <v/>
      </c>
      <c r="DF14" s="223" t="str">
        <f t="shared" si="0"/>
        <v/>
      </c>
      <c r="DG14" s="223" t="str">
        <f t="shared" si="0"/>
        <v/>
      </c>
      <c r="DH14" s="223" t="str">
        <f t="shared" si="0"/>
        <v/>
      </c>
      <c r="DI14" s="223" t="str">
        <f t="shared" si="0"/>
        <v/>
      </c>
      <c r="DJ14" s="223" t="str">
        <f t="shared" si="0"/>
        <v/>
      </c>
      <c r="DK14" s="223" t="str">
        <f t="shared" si="0"/>
        <v/>
      </c>
      <c r="DL14" s="223" t="str">
        <f t="shared" si="0"/>
        <v/>
      </c>
      <c r="DM14" s="223" t="str">
        <f t="shared" si="0"/>
        <v/>
      </c>
      <c r="DN14" s="223" t="str">
        <f t="shared" si="0"/>
        <v/>
      </c>
      <c r="DO14" s="223" t="str">
        <f t="shared" si="0"/>
        <v/>
      </c>
      <c r="DP14" s="223" t="str">
        <f t="shared" si="0"/>
        <v/>
      </c>
      <c r="DQ14" s="223" t="str">
        <f t="shared" si="0"/>
        <v/>
      </c>
      <c r="DR14" s="223" t="str">
        <f t="shared" si="0"/>
        <v/>
      </c>
      <c r="DS14" s="223" t="str">
        <f t="shared" si="0"/>
        <v/>
      </c>
      <c r="DT14" s="223" t="str">
        <f t="shared" si="0"/>
        <v/>
      </c>
      <c r="DU14" s="223" t="str">
        <f t="shared" si="0"/>
        <v/>
      </c>
      <c r="DV14" s="223" t="str">
        <f t="shared" si="0"/>
        <v/>
      </c>
      <c r="DW14" s="223" t="str">
        <f t="shared" si="0"/>
        <v/>
      </c>
      <c r="DX14" s="223" t="str">
        <f t="shared" si="0"/>
        <v/>
      </c>
      <c r="DY14" s="223" t="str">
        <f t="shared" si="0"/>
        <v/>
      </c>
      <c r="DZ14" s="223" t="str">
        <f t="shared" si="0"/>
        <v/>
      </c>
      <c r="EA14" s="223" t="str">
        <f t="shared" si="0"/>
        <v/>
      </c>
      <c r="EB14" s="223" t="str">
        <f t="shared" si="0"/>
        <v/>
      </c>
      <c r="EC14" s="223" t="str">
        <f t="shared" si="0"/>
        <v/>
      </c>
      <c r="ED14" s="223" t="str">
        <f t="shared" si="0"/>
        <v/>
      </c>
      <c r="EE14" s="223" t="str">
        <f t="shared" si="0"/>
        <v/>
      </c>
      <c r="EF14" s="223" t="str">
        <f t="shared" si="0"/>
        <v/>
      </c>
      <c r="EG14" s="223" t="str">
        <f t="shared" si="0"/>
        <v/>
      </c>
      <c r="EH14" s="223" t="str">
        <f t="shared" si="0"/>
        <v/>
      </c>
      <c r="EI14" s="223" t="str">
        <f t="shared" si="0"/>
        <v/>
      </c>
      <c r="EJ14" s="223" t="str">
        <f t="shared" si="0"/>
        <v/>
      </c>
      <c r="EK14" s="223" t="str">
        <f t="shared" si="0"/>
        <v/>
      </c>
      <c r="EL14" s="223" t="str">
        <f t="shared" si="0"/>
        <v/>
      </c>
      <c r="EM14" s="223" t="str">
        <f t="shared" si="0"/>
        <v/>
      </c>
      <c r="EN14" s="223" t="str">
        <f t="shared" si="0"/>
        <v/>
      </c>
      <c r="EO14" s="223" t="str">
        <f t="shared" si="0"/>
        <v/>
      </c>
      <c r="EP14" s="223" t="str">
        <f t="shared" si="0"/>
        <v/>
      </c>
      <c r="EQ14" s="223" t="str">
        <f t="shared" si="0"/>
        <v/>
      </c>
      <c r="ER14" s="223" t="str">
        <f t="shared" si="0"/>
        <v/>
      </c>
      <c r="ES14" s="223" t="str">
        <f t="shared" si="0"/>
        <v/>
      </c>
      <c r="ET14" s="223" t="str">
        <f t="shared" si="0"/>
        <v/>
      </c>
      <c r="EU14" s="223" t="str">
        <f t="shared" si="0"/>
        <v/>
      </c>
      <c r="EV14" s="223" t="str">
        <f t="shared" si="0"/>
        <v/>
      </c>
      <c r="EW14" s="223" t="str">
        <f t="shared" si="0"/>
        <v/>
      </c>
      <c r="EX14" s="223" t="str">
        <f t="shared" si="0"/>
        <v/>
      </c>
      <c r="EY14" s="223" t="str">
        <f t="shared" si="0"/>
        <v/>
      </c>
      <c r="EZ14" s="223" t="str">
        <f t="shared" si="0"/>
        <v/>
      </c>
      <c r="FA14" s="223" t="str">
        <f t="shared" si="0"/>
        <v/>
      </c>
      <c r="FB14" s="223" t="str">
        <f t="shared" si="0"/>
        <v/>
      </c>
      <c r="FC14" s="223" t="str">
        <f t="shared" si="0"/>
        <v/>
      </c>
      <c r="FD14" s="223" t="str">
        <f t="shared" si="0"/>
        <v/>
      </c>
      <c r="FE14" s="223" t="str">
        <f t="shared" si="0"/>
        <v/>
      </c>
      <c r="FF14" s="223" t="str">
        <f t="shared" si="0"/>
        <v/>
      </c>
      <c r="FG14" s="223" t="str">
        <f t="shared" si="0"/>
        <v/>
      </c>
      <c r="FH14" s="223" t="str">
        <f t="shared" si="0"/>
        <v/>
      </c>
      <c r="FI14" s="223" t="str">
        <f t="shared" ref="FI14:FS14" si="1">IF(BU14="","",BU$14)</f>
        <v/>
      </c>
      <c r="FJ14" s="223" t="str">
        <f t="shared" si="1"/>
        <v/>
      </c>
      <c r="FK14" s="223" t="str">
        <f t="shared" si="1"/>
        <v/>
      </c>
      <c r="FL14" s="223" t="str">
        <f t="shared" si="1"/>
        <v/>
      </c>
      <c r="FM14" s="223" t="str">
        <f t="shared" si="1"/>
        <v/>
      </c>
      <c r="FN14" s="223" t="str">
        <f t="shared" si="1"/>
        <v/>
      </c>
      <c r="FO14" s="223" t="str">
        <f t="shared" si="1"/>
        <v/>
      </c>
      <c r="FP14" s="223" t="str">
        <f t="shared" si="1"/>
        <v/>
      </c>
      <c r="FQ14" s="223" t="str">
        <f t="shared" si="1"/>
        <v/>
      </c>
      <c r="FR14" s="223" t="str">
        <f t="shared" si="1"/>
        <v/>
      </c>
      <c r="FS14" s="223" t="str">
        <f t="shared" si="1"/>
        <v/>
      </c>
    </row>
    <row r="15" spans="1:175" x14ac:dyDescent="0.2">
      <c r="A15" s="5"/>
      <c r="B15" s="5"/>
      <c r="C15" s="5"/>
      <c r="D15" s="5"/>
      <c r="E15" s="5"/>
      <c r="F15" t="str">
        <f t="shared" ref="F15" si="2">$A15&amp;IF($C15&lt;&gt;"","|"&amp;$C15,"")&amp;IF($D15&lt;&gt;"","|"&amp;$D15,"")&amp;IF($E15&lt;&gt;"","|"&amp;$E15,"")</f>
        <v/>
      </c>
      <c r="G15" s="35"/>
      <c r="H15" s="198">
        <f>SUM($CJ15,$CW15)</f>
        <v>0</v>
      </c>
      <c r="I15" s="126"/>
      <c r="J15" s="11"/>
      <c r="K15" s="11"/>
      <c r="L15" s="11"/>
      <c r="M15" s="126"/>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96"/>
      <c r="CF15" s="138">
        <f>ROUND(SUM($CP15,$CV15),0)</f>
        <v>0</v>
      </c>
      <c r="CG15" s="138">
        <f>ROUND(MAX($CP15,$CV15),0)</f>
        <v>0</v>
      </c>
      <c r="CH15" s="224"/>
      <c r="CI15" s="143"/>
      <c r="CJ15" s="198" t="str">
        <f>IF(SUM($CF15)=0,"",IF(SUM($CF15)=SUM($CG15),SUM($CF15),IF(UPPER($CH15)="MAX",$CG15,IF(UPPER($CH15)="CUSTOM",MIN(MAX(ROUND($CF15+$G15*($CI15),0),$CG15),$CF15),$CF15))))</f>
        <v/>
      </c>
      <c r="CK15" s="138">
        <f>ROUND(SUMIFS($CW15:$FS15,$CW$14:$FS$14,"*DSD*"),0)</f>
        <v>0</v>
      </c>
      <c r="CL15" s="37" cm="1">
        <f t="array" ref="CL15">MIN_DSD</f>
        <v>0</v>
      </c>
      <c r="CM15" s="138">
        <f>COUNTIFS($CW$14:$FS$14,"*DSD*",$CW15:$FS15,"&gt;0")</f>
        <v>0</v>
      </c>
      <c r="CN15" s="225"/>
      <c r="CO15" s="99"/>
      <c r="CP15" s="198" t="str">
        <f>IF(SUM($CK15)=0,"",IF(OR(SUM($CK15)=SUM($CL15),AND(SUM($CK15)=ROUND(SUM($G15)*(1-SUM($I15)),0),SUM($CQ15)=0)),SUM($CK15),IF(UPPER($CN15)="MAX",$CL15,IF(UPPER($CN15)="CUSTOM",MIN(MAX(ROUND($CK15+$G15*($CO15),0),$CL15),$CK15),$CK15))))</f>
        <v/>
      </c>
      <c r="CQ15" s="138">
        <f>ROUND(SUMIFS($CW15:$FS15,$CW$14:$FS$14,"*TA*"),0)</f>
        <v>0</v>
      </c>
      <c r="CR15" s="37" cm="1">
        <f t="array" ref="CR15">MIN_TA</f>
        <v>0</v>
      </c>
      <c r="CS15" s="37">
        <f>COUNTIFS($CW$14:$FS$14,"*TA*",$CW15:$FS15,"&gt;0")</f>
        <v>0</v>
      </c>
      <c r="CT15" s="225"/>
      <c r="CU15" s="99"/>
      <c r="CV15" s="198" t="str">
        <f>IF(SUM($CQ15)=0,"",IF(OR(SUM($CQ15)=SUM($CR15),AND(SUM($CQ15)=ROUND(SUM($G15)*(1-SUM($I15)),0),SUM($CK15)=0)),SUM($CQ15),IF(UPPER($CT15)="MAX",$CR15,IF(UPPER($CT15)="CUSTOM",MIN(MAX(ROUND($CQ15+$G15*($CU15),0),$CR15),$CQ15),$CQ15))))</f>
        <v/>
      </c>
      <c r="CW15" s="36" t="str">
        <f>IF(OR(CW$14="",SUM($G15)=0,SUM(I15)=0),"",ROUND($G15*I15,0))</f>
        <v/>
      </c>
      <c r="CX15" s="36" t="str">
        <f t="shared" ref="CX15:FI15" si="3">IF(OR(CX$14="",SUM($G15)=0,SUM(J15)=0),"",ROUND($G15*J15,0))</f>
        <v/>
      </c>
      <c r="CY15" s="36" t="str">
        <f t="shared" si="3"/>
        <v/>
      </c>
      <c r="CZ15" s="36" t="str">
        <f t="shared" si="3"/>
        <v/>
      </c>
      <c r="DA15" s="36" t="str">
        <f t="shared" si="3"/>
        <v/>
      </c>
      <c r="DB15" s="36" t="str">
        <f t="shared" si="3"/>
        <v/>
      </c>
      <c r="DC15" s="36" t="str">
        <f t="shared" si="3"/>
        <v/>
      </c>
      <c r="DD15" s="36" t="str">
        <f t="shared" si="3"/>
        <v/>
      </c>
      <c r="DE15" s="36" t="str">
        <f t="shared" si="3"/>
        <v/>
      </c>
      <c r="DF15" s="36" t="str">
        <f t="shared" si="3"/>
        <v/>
      </c>
      <c r="DG15" s="36" t="str">
        <f t="shared" si="3"/>
        <v/>
      </c>
      <c r="DH15" s="36" t="str">
        <f t="shared" si="3"/>
        <v/>
      </c>
      <c r="DI15" s="36" t="str">
        <f t="shared" si="3"/>
        <v/>
      </c>
      <c r="DJ15" s="36" t="str">
        <f t="shared" si="3"/>
        <v/>
      </c>
      <c r="DK15" s="36" t="str">
        <f t="shared" si="3"/>
        <v/>
      </c>
      <c r="DL15" s="36" t="str">
        <f t="shared" si="3"/>
        <v/>
      </c>
      <c r="DM15" s="36" t="str">
        <f t="shared" si="3"/>
        <v/>
      </c>
      <c r="DN15" s="36" t="str">
        <f t="shared" si="3"/>
        <v/>
      </c>
      <c r="DO15" s="36" t="str">
        <f t="shared" si="3"/>
        <v/>
      </c>
      <c r="DP15" s="36" t="str">
        <f t="shared" si="3"/>
        <v/>
      </c>
      <c r="DQ15" s="36" t="str">
        <f t="shared" si="3"/>
        <v/>
      </c>
      <c r="DR15" s="36" t="str">
        <f t="shared" si="3"/>
        <v/>
      </c>
      <c r="DS15" s="36" t="str">
        <f t="shared" si="3"/>
        <v/>
      </c>
      <c r="DT15" s="36" t="str">
        <f t="shared" si="3"/>
        <v/>
      </c>
      <c r="DU15" s="36" t="str">
        <f t="shared" si="3"/>
        <v/>
      </c>
      <c r="DV15" s="36" t="str">
        <f t="shared" si="3"/>
        <v/>
      </c>
      <c r="DW15" s="36" t="str">
        <f t="shared" si="3"/>
        <v/>
      </c>
      <c r="DX15" s="36" t="str">
        <f t="shared" si="3"/>
        <v/>
      </c>
      <c r="DY15" s="36" t="str">
        <f t="shared" si="3"/>
        <v/>
      </c>
      <c r="DZ15" s="36" t="str">
        <f t="shared" si="3"/>
        <v/>
      </c>
      <c r="EA15" s="36" t="str">
        <f t="shared" si="3"/>
        <v/>
      </c>
      <c r="EB15" s="36" t="str">
        <f t="shared" si="3"/>
        <v/>
      </c>
      <c r="EC15" s="36" t="str">
        <f t="shared" si="3"/>
        <v/>
      </c>
      <c r="ED15" s="36" t="str">
        <f t="shared" si="3"/>
        <v/>
      </c>
      <c r="EE15" s="36" t="str">
        <f t="shared" si="3"/>
        <v/>
      </c>
      <c r="EF15" s="36" t="str">
        <f t="shared" si="3"/>
        <v/>
      </c>
      <c r="EG15" s="36" t="str">
        <f t="shared" si="3"/>
        <v/>
      </c>
      <c r="EH15" s="36" t="str">
        <f t="shared" si="3"/>
        <v/>
      </c>
      <c r="EI15" s="36" t="str">
        <f t="shared" si="3"/>
        <v/>
      </c>
      <c r="EJ15" s="36" t="str">
        <f t="shared" si="3"/>
        <v/>
      </c>
      <c r="EK15" s="36" t="str">
        <f t="shared" si="3"/>
        <v/>
      </c>
      <c r="EL15" s="36" t="str">
        <f t="shared" si="3"/>
        <v/>
      </c>
      <c r="EM15" s="36" t="str">
        <f t="shared" si="3"/>
        <v/>
      </c>
      <c r="EN15" s="36" t="str">
        <f t="shared" si="3"/>
        <v/>
      </c>
      <c r="EO15" s="36" t="str">
        <f t="shared" si="3"/>
        <v/>
      </c>
      <c r="EP15" s="36" t="str">
        <f t="shared" si="3"/>
        <v/>
      </c>
      <c r="EQ15" s="36" t="str">
        <f t="shared" si="3"/>
        <v/>
      </c>
      <c r="ER15" s="36" t="str">
        <f t="shared" si="3"/>
        <v/>
      </c>
      <c r="ES15" s="36" t="str">
        <f t="shared" si="3"/>
        <v/>
      </c>
      <c r="ET15" s="36" t="str">
        <f t="shared" si="3"/>
        <v/>
      </c>
      <c r="EU15" s="36" t="str">
        <f t="shared" si="3"/>
        <v/>
      </c>
      <c r="EV15" s="36" t="str">
        <f t="shared" si="3"/>
        <v/>
      </c>
      <c r="EW15" s="36" t="str">
        <f t="shared" si="3"/>
        <v/>
      </c>
      <c r="EX15" s="36" t="str">
        <f t="shared" si="3"/>
        <v/>
      </c>
      <c r="EY15" s="36" t="str">
        <f t="shared" si="3"/>
        <v/>
      </c>
      <c r="EZ15" s="36" t="str">
        <f t="shared" si="3"/>
        <v/>
      </c>
      <c r="FA15" s="36" t="str">
        <f t="shared" si="3"/>
        <v/>
      </c>
      <c r="FB15" s="36" t="str">
        <f t="shared" si="3"/>
        <v/>
      </c>
      <c r="FC15" s="36" t="str">
        <f t="shared" si="3"/>
        <v/>
      </c>
      <c r="FD15" s="36" t="str">
        <f t="shared" si="3"/>
        <v/>
      </c>
      <c r="FE15" s="36" t="str">
        <f t="shared" si="3"/>
        <v/>
      </c>
      <c r="FF15" s="36" t="str">
        <f t="shared" si="3"/>
        <v/>
      </c>
      <c r="FG15" s="36" t="str">
        <f t="shared" si="3"/>
        <v/>
      </c>
      <c r="FH15" s="36" t="str">
        <f t="shared" si="3"/>
        <v/>
      </c>
      <c r="FI15" s="36" t="str">
        <f t="shared" si="3"/>
        <v/>
      </c>
      <c r="FJ15" s="36" t="str">
        <f t="shared" ref="FJ15:FS15" si="4">IF(OR(FJ$14="",SUM($G15)=0,SUM(BV15)=0),"",ROUND($G15*BV15,0))</f>
        <v/>
      </c>
      <c r="FK15" s="36" t="str">
        <f t="shared" si="4"/>
        <v/>
      </c>
      <c r="FL15" s="36" t="str">
        <f t="shared" si="4"/>
        <v/>
      </c>
      <c r="FM15" s="36" t="str">
        <f t="shared" si="4"/>
        <v/>
      </c>
      <c r="FN15" s="36" t="str">
        <f t="shared" si="4"/>
        <v/>
      </c>
      <c r="FO15" s="36" t="str">
        <f t="shared" si="4"/>
        <v/>
      </c>
      <c r="FP15" s="36" t="str">
        <f t="shared" si="4"/>
        <v/>
      </c>
      <c r="FQ15" s="36" t="str">
        <f t="shared" si="4"/>
        <v/>
      </c>
      <c r="FR15" s="36" t="str">
        <f t="shared" si="4"/>
        <v/>
      </c>
      <c r="FS15" s="36" t="str">
        <f t="shared" si="4"/>
        <v/>
      </c>
    </row>
    <row r="16" spans="1:175" x14ac:dyDescent="0.2">
      <c r="H16" s="198"/>
      <c r="CF16" s="138"/>
      <c r="CG16" s="138"/>
      <c r="CH16" s="224"/>
      <c r="CI16" s="143"/>
      <c r="CJ16" s="198"/>
      <c r="CK16" s="138"/>
      <c r="CL16" s="37"/>
      <c r="CM16" s="138"/>
      <c r="CN16" s="225"/>
      <c r="CO16" s="99"/>
      <c r="CP16" s="198"/>
      <c r="CQ16" s="138"/>
      <c r="CR16" s="37"/>
      <c r="CS16" s="37"/>
      <c r="CT16" s="225"/>
      <c r="CU16" s="99"/>
      <c r="CV16" s="198"/>
      <c r="CW16" s="36"/>
      <c r="CX16" s="36"/>
      <c r="CY16" s="36"/>
      <c r="CZ16" s="36"/>
      <c r="DA16" s="36"/>
    </row>
    <row r="17" spans="8:105" x14ac:dyDescent="0.2">
      <c r="H17" s="198"/>
      <c r="CF17" s="138"/>
      <c r="CG17" s="138"/>
      <c r="CH17" s="224"/>
      <c r="CI17" s="143"/>
      <c r="CJ17" s="198"/>
      <c r="CK17" s="138"/>
      <c r="CL17" s="37"/>
      <c r="CM17" s="138"/>
      <c r="CN17" s="225"/>
      <c r="CO17" s="99"/>
      <c r="CP17" s="198"/>
      <c r="CQ17" s="138"/>
      <c r="CR17" s="37"/>
      <c r="CS17" s="37"/>
      <c r="CT17" s="225"/>
      <c r="CU17" s="99"/>
      <c r="CV17" s="198"/>
      <c r="CW17" s="36"/>
      <c r="CX17" s="36"/>
      <c r="CY17" s="36"/>
      <c r="CZ17" s="36"/>
      <c r="DA17" s="36"/>
    </row>
    <row r="18" spans="8:105" x14ac:dyDescent="0.2">
      <c r="H18" s="198"/>
      <c r="CF18" s="138"/>
      <c r="CG18" s="138"/>
      <c r="CH18" s="224"/>
      <c r="CI18" s="143"/>
      <c r="CJ18" s="198"/>
      <c r="CK18" s="138"/>
      <c r="CL18" s="37"/>
      <c r="CM18" s="138"/>
      <c r="CN18" s="225"/>
      <c r="CO18" s="99"/>
      <c r="CP18" s="198"/>
      <c r="CQ18" s="138"/>
      <c r="CR18" s="37"/>
      <c r="CS18" s="37"/>
      <c r="CT18" s="225"/>
      <c r="CU18" s="99"/>
      <c r="CV18" s="198"/>
      <c r="CW18" s="36"/>
      <c r="CX18" s="36"/>
      <c r="CY18" s="36"/>
      <c r="CZ18" s="36"/>
      <c r="DA18" s="36"/>
    </row>
    <row r="19" spans="8:105" x14ac:dyDescent="0.2">
      <c r="H19" s="198"/>
      <c r="CF19" s="138"/>
      <c r="CG19" s="138"/>
      <c r="CH19" s="224"/>
      <c r="CI19" s="143"/>
      <c r="CJ19" s="198"/>
      <c r="CK19" s="138"/>
      <c r="CL19" s="37"/>
      <c r="CM19" s="138"/>
      <c r="CN19" s="225"/>
      <c r="CO19" s="99"/>
      <c r="CP19" s="198"/>
      <c r="CQ19" s="138"/>
      <c r="CR19" s="37"/>
      <c r="CS19" s="37"/>
      <c r="CT19" s="225"/>
      <c r="CU19" s="99"/>
      <c r="CV19" s="198"/>
      <c r="CW19" s="36"/>
      <c r="CX19" s="36"/>
      <c r="CY19" s="36"/>
      <c r="CZ19" s="36"/>
      <c r="DA19" s="36"/>
    </row>
    <row r="20" spans="8:105" x14ac:dyDescent="0.2">
      <c r="H20" s="198"/>
      <c r="CF20" s="138"/>
      <c r="CG20" s="138"/>
      <c r="CH20" s="224"/>
      <c r="CI20" s="143"/>
      <c r="CJ20" s="198"/>
      <c r="CK20" s="138"/>
      <c r="CL20" s="37"/>
      <c r="CM20" s="138"/>
      <c r="CN20" s="225"/>
      <c r="CO20" s="99"/>
      <c r="CP20" s="198"/>
      <c r="CQ20" s="138"/>
      <c r="CR20" s="37"/>
      <c r="CS20" s="37"/>
      <c r="CT20" s="225"/>
      <c r="CU20" s="99"/>
      <c r="CV20" s="198"/>
      <c r="CW20" s="36"/>
      <c r="CX20" s="36"/>
      <c r="CY20" s="36"/>
      <c r="CZ20" s="36"/>
      <c r="DA20" s="36"/>
    </row>
    <row r="21" spans="8:105" x14ac:dyDescent="0.2">
      <c r="H21" s="198"/>
      <c r="CF21" s="138"/>
      <c r="CG21" s="138"/>
      <c r="CH21" s="224"/>
      <c r="CI21" s="143"/>
      <c r="CJ21" s="198"/>
      <c r="CK21" s="138"/>
      <c r="CL21" s="37"/>
      <c r="CM21" s="138"/>
      <c r="CN21" s="225"/>
      <c r="CO21" s="99"/>
      <c r="CP21" s="198"/>
      <c r="CQ21" s="138"/>
      <c r="CR21" s="37"/>
      <c r="CS21" s="37"/>
      <c r="CT21" s="225"/>
      <c r="CU21" s="99"/>
      <c r="CV21" s="198"/>
      <c r="CW21" s="36"/>
      <c r="CX21" s="36"/>
      <c r="CY21" s="36"/>
      <c r="CZ21" s="36"/>
      <c r="DA21" s="36"/>
    </row>
    <row r="22" spans="8:105" x14ac:dyDescent="0.2">
      <c r="H22" s="198"/>
      <c r="CF22" s="138"/>
      <c r="CG22" s="138"/>
      <c r="CH22" s="224"/>
      <c r="CI22" s="143"/>
      <c r="CJ22" s="198"/>
      <c r="CK22" s="138"/>
      <c r="CL22" s="37"/>
      <c r="CM22" s="138"/>
      <c r="CN22" s="225"/>
      <c r="CO22" s="99"/>
      <c r="CP22" s="198"/>
      <c r="CQ22" s="138"/>
      <c r="CR22" s="37"/>
      <c r="CS22" s="37"/>
      <c r="CT22" s="225"/>
      <c r="CU22" s="99"/>
      <c r="CV22" s="198"/>
      <c r="CW22" s="36"/>
      <c r="CX22" s="36"/>
      <c r="CY22" s="36"/>
      <c r="CZ22" s="36"/>
      <c r="DA22" s="36"/>
    </row>
    <row r="23" spans="8:105" x14ac:dyDescent="0.2">
      <c r="H23" s="198"/>
      <c r="CF23" s="138"/>
      <c r="CG23" s="138"/>
      <c r="CH23" s="224"/>
      <c r="CI23" s="143"/>
      <c r="CJ23" s="198"/>
      <c r="CK23" s="138"/>
      <c r="CL23" s="37"/>
      <c r="CM23" s="138"/>
      <c r="CN23" s="225"/>
      <c r="CO23" s="99"/>
      <c r="CP23" s="198"/>
      <c r="CQ23" s="138"/>
      <c r="CR23" s="37"/>
      <c r="CS23" s="37"/>
      <c r="CT23" s="225"/>
      <c r="CU23" s="99"/>
      <c r="CV23" s="198"/>
      <c r="CW23" s="36"/>
      <c r="CX23" s="36"/>
      <c r="CY23" s="36"/>
      <c r="CZ23" s="36"/>
      <c r="DA23" s="36"/>
    </row>
  </sheetData>
  <mergeCells count="1">
    <mergeCell ref="A3:B3"/>
  </mergeCells>
  <conditionalFormatting sqref="CH1:CH1048576 CN1:CN1048576 CT1:CT1048576">
    <cfRule type="expression" dxfId="222" priority="13">
      <formula>AND(ROW(CH1)&gt;14,UPPER(CH1)&lt;&gt;"CUSTOM",UPPER(CH1)&lt;&gt;"MAX",UPPER(CH1)&lt;&gt;"SUM",CH1&lt;&gt;"")</formula>
    </cfRule>
  </conditionalFormatting>
  <conditionalFormatting sqref="CV1:CV1048576">
    <cfRule type="expression" dxfId="221" priority="10">
      <formula>AND(ROW($CV1)&gt;14,OR(SUM($CV1)&gt;SUM($CQ1),SUM($CV1)&lt;SUM($CR1)))</formula>
    </cfRule>
  </conditionalFormatting>
  <conditionalFormatting sqref="CJ1:CJ1048576">
    <cfRule type="expression" dxfId="220" priority="11">
      <formula>AND(ROW(CJ1)&gt;14,OR(CJ1&gt;CF1,CJ1&lt;CG1))</formula>
    </cfRule>
  </conditionalFormatting>
  <conditionalFormatting sqref="I1:CE1048576">
    <cfRule type="expression" dxfId="219" priority="3">
      <formula>AND(ROW(I1)&gt;14,OR(SUM(I1)&gt;1,SUM(I1)&lt;0))</formula>
    </cfRule>
  </conditionalFormatting>
  <conditionalFormatting sqref="CO1:CO1048576 CU1:CU1048576 CI1:CI1048576">
    <cfRule type="expression" dxfId="218" priority="12">
      <formula>AND(ROW(CI1)&gt;14,SUM(CI1)&gt;0)</formula>
    </cfRule>
  </conditionalFormatting>
  <conditionalFormatting sqref="H1:H1048576">
    <cfRule type="expression" dxfId="217" priority="4">
      <formula>AND(ROW($H1)&gt;14,ABS(ROUND(SUM($H1),0)-ROUND(SUM($G1),0))&gt;2)</formula>
    </cfRule>
    <cfRule type="expression" dxfId="216" priority="6">
      <formula>AND(ROW($H1)&gt;14,ROUND(SUM($H1),0)&lt;&gt;ROUND(SUM($G1),0))</formula>
    </cfRule>
  </conditionalFormatting>
  <conditionalFormatting sqref="CP1:CP1048576">
    <cfRule type="expression" dxfId="215" priority="14">
      <formula>AND(ROW($CP1)&gt;14,OR(SUM($CP1)&gt;SUM($CK1),SUM($CP1)&lt;SUM($CL1)))</formula>
    </cfRule>
  </conditionalFormatting>
  <conditionalFormatting sqref="CQ1:CU1048576">
    <cfRule type="expression" dxfId="214" priority="7">
      <formula>AND(ROW($CQ1)&gt;14,$A1&lt;&gt;"",OR(SUM($CQ1)=0,$CS1&lt;=1,SUM($CQ1)=SUM($CR1),AND(SUM($G1)=SUM($CQ1),SUM($CK1)=0)))</formula>
    </cfRule>
  </conditionalFormatting>
  <conditionalFormatting sqref="CF1:CI1048576">
    <cfRule type="expression" dxfId="213" priority="8">
      <formula>AND(ROW($CF1)&gt;14,$A1&lt;&gt;"",OR(SUM($CP1)=0,SUM($CV1)=0,$CM1=0,$CS1=0,SUM($CF1)=SUM($CG1),SUM($G1)&gt;=SUM($CF1)))</formula>
    </cfRule>
  </conditionalFormatting>
  <conditionalFormatting sqref="CO1:CO1048576">
    <cfRule type="expression" dxfId="212" priority="9">
      <formula>AND(ROW($CO1)&gt;14,$A1&lt;&gt;"",UPPER($CN1)&lt;&gt;"CUSTOM")</formula>
    </cfRule>
  </conditionalFormatting>
  <conditionalFormatting sqref="CK1:CO1048576">
    <cfRule type="expression" dxfId="211" priority="5">
      <formula>AND(ROW($CK1)&gt;14,$A1&lt;&gt;"",OR(SUM($CK1)=0,$CM1&lt;=1,SUM($CK1)=SUM($CL1),AND(SUM($G1)=SUM($CK1),SUM($CQ1)=0)))</formula>
    </cfRule>
  </conditionalFormatting>
  <conditionalFormatting sqref="CU1:CU1048576">
    <cfRule type="expression" dxfId="210" priority="2">
      <formula>AND(ROW($CU1)&gt;14,$A1&lt;&gt;"",UPPER($CT1)&lt;&gt;"CUSTOM")</formula>
    </cfRule>
  </conditionalFormatting>
  <conditionalFormatting sqref="CI1:CI1048576">
    <cfRule type="expression" dxfId="209"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DC33"/>
  <sheetViews>
    <sheetView topLeftCell="BH1" zoomScale="160" zoomScaleNormal="160" workbookViewId="0">
      <selection activeCell="BR28" sqref="BR28"/>
    </sheetView>
    <sheetView workbookViewId="1"/>
  </sheetViews>
  <sheetFormatPr baseColWidth="10" defaultRowHeight="16" x14ac:dyDescent="0.2"/>
  <cols>
    <col min="1" max="1" width="10.83203125" style="5"/>
    <col min="5" max="5" width="11.83203125" style="503" customWidth="1"/>
    <col min="6" max="10" width="11.83203125" style="498" customWidth="1"/>
    <col min="11" max="11" width="11.83203125" style="503" customWidth="1"/>
    <col min="12" max="13" width="11.83203125" style="498" customWidth="1"/>
    <col min="14" max="14" width="11.83203125" style="395" customWidth="1"/>
    <col min="15" max="15" width="11.83203125" style="8" customWidth="1"/>
    <col min="16" max="16" width="11.83203125" style="498" customWidth="1"/>
    <col min="17" max="17" width="11.83203125" style="503" customWidth="1"/>
    <col min="18" max="20" width="11.83203125" style="498" customWidth="1"/>
    <col min="21" max="21" width="11.83203125" style="8" customWidth="1"/>
    <col min="22" max="22" width="11.83203125" style="503" customWidth="1"/>
    <col min="23" max="24" width="11.83203125" style="498" customWidth="1"/>
    <col min="25" max="25" width="11.83203125" style="8" customWidth="1"/>
    <col min="26" max="26" width="11.83203125" style="503" customWidth="1"/>
    <col min="27" max="27" width="11.83203125" style="8" customWidth="1"/>
    <col min="28" max="28" width="11.83203125" style="503" customWidth="1"/>
    <col min="29" max="29" width="11.83203125" style="8" customWidth="1"/>
    <col min="30" max="30" width="11.83203125" style="503" customWidth="1"/>
    <col min="31" max="31" width="11.83203125" style="498" customWidth="1"/>
    <col min="32" max="32" width="11.83203125" style="8" customWidth="1"/>
    <col min="33" max="34" width="11.83203125" style="498" customWidth="1"/>
    <col min="35" max="38" width="11.83203125" style="8" customWidth="1"/>
    <col min="39" max="39" width="11.83203125" style="503" customWidth="1"/>
    <col min="40" max="41" width="11.83203125" style="8" customWidth="1"/>
    <col min="42" max="42" width="11.83203125" style="503" customWidth="1"/>
    <col min="43" max="44" width="11.83203125" style="498" customWidth="1"/>
    <col min="45" max="46" width="11.83203125" style="8" customWidth="1"/>
    <col min="47" max="47" width="11.83203125" style="498" customWidth="1"/>
    <col min="48" max="48" width="11.83203125" style="503" customWidth="1"/>
    <col min="49" max="50" width="11.83203125" style="517" customWidth="1"/>
    <col min="51" max="52" width="11.83203125" style="520" customWidth="1"/>
    <col min="53" max="53" width="11.83203125" style="503" customWidth="1"/>
    <col min="54" max="67" width="11.83203125" style="517" customWidth="1"/>
    <col min="68" max="73" width="11.83203125" style="498" customWidth="1"/>
    <col min="74" max="74" width="11.83203125" style="503" customWidth="1"/>
    <col min="75" max="87" width="11.83203125" style="498" customWidth="1"/>
    <col min="88" max="88" width="11.83203125" style="11" customWidth="1"/>
    <col min="89" max="107" width="11.83203125" customWidth="1"/>
  </cols>
  <sheetData>
    <row r="1" spans="1:107" ht="24" x14ac:dyDescent="0.2">
      <c r="A1" s="4" t="s">
        <v>633</v>
      </c>
      <c r="B1" s="1"/>
      <c r="C1" s="1"/>
      <c r="D1" s="1"/>
      <c r="E1" s="268" t="s">
        <v>188</v>
      </c>
      <c r="F1" s="234"/>
      <c r="G1" s="234"/>
      <c r="H1" s="234"/>
      <c r="I1" s="234"/>
      <c r="J1" s="234"/>
      <c r="K1" s="234"/>
      <c r="L1" s="237"/>
      <c r="M1" s="234"/>
      <c r="N1" s="234"/>
      <c r="O1" s="234"/>
      <c r="P1" s="234"/>
      <c r="Q1" s="234"/>
      <c r="R1" s="234"/>
      <c r="S1" s="234"/>
      <c r="T1" s="234"/>
      <c r="U1" s="234"/>
      <c r="V1" s="234"/>
      <c r="W1" s="234"/>
      <c r="X1" s="234"/>
      <c r="Y1" s="234"/>
      <c r="Z1" s="234"/>
      <c r="AA1" s="234"/>
      <c r="AB1" s="234"/>
      <c r="AC1" s="234"/>
      <c r="AD1" s="268" t="s">
        <v>640</v>
      </c>
      <c r="AE1" s="234"/>
      <c r="AF1" s="234"/>
      <c r="AG1" s="234"/>
      <c r="AH1" s="234"/>
      <c r="AI1" s="234"/>
      <c r="AJ1" s="234"/>
      <c r="AK1" s="234"/>
      <c r="AL1" s="234"/>
      <c r="AM1" s="234"/>
      <c r="AN1" s="234"/>
      <c r="AO1" s="234"/>
      <c r="AP1" s="234"/>
      <c r="AQ1" s="234"/>
      <c r="AR1" s="234"/>
      <c r="AS1" s="234"/>
      <c r="AT1" s="234"/>
      <c r="AU1" s="234"/>
      <c r="AV1" s="268" t="s">
        <v>1084</v>
      </c>
      <c r="AW1" s="234"/>
      <c r="AX1" s="234"/>
      <c r="AY1" s="234"/>
      <c r="AZ1" s="234"/>
      <c r="BA1" s="268"/>
      <c r="BB1" s="234"/>
      <c r="BC1" s="234"/>
      <c r="BD1" s="234"/>
      <c r="BE1" s="234"/>
      <c r="BF1" s="234"/>
      <c r="BG1" s="234"/>
      <c r="BH1" s="234"/>
      <c r="BI1" s="234"/>
      <c r="BJ1" s="234"/>
      <c r="BK1" s="234"/>
      <c r="BL1" s="234"/>
      <c r="BM1" s="234"/>
      <c r="BN1" s="234"/>
      <c r="BO1" s="234"/>
      <c r="BP1" s="234"/>
      <c r="BQ1" s="234"/>
      <c r="BR1" s="237"/>
      <c r="BS1" s="237"/>
      <c r="BT1" s="237"/>
      <c r="BU1" s="237"/>
      <c r="BV1" s="495"/>
      <c r="BW1" s="237"/>
      <c r="BX1" s="237"/>
      <c r="BY1" s="237"/>
      <c r="BZ1" s="237"/>
      <c r="CA1" s="237"/>
      <c r="CB1" s="237"/>
      <c r="CC1" s="237"/>
      <c r="CD1" s="237"/>
      <c r="CE1" s="237"/>
      <c r="CF1" s="237"/>
      <c r="CG1" s="237"/>
      <c r="CH1" s="237"/>
      <c r="CI1" s="237"/>
      <c r="CJ1" s="241" t="s">
        <v>669</v>
      </c>
      <c r="CK1" s="234"/>
      <c r="CL1" s="234"/>
      <c r="CM1" s="234"/>
      <c r="CN1" s="234"/>
      <c r="CO1" s="234"/>
      <c r="CP1" s="234"/>
      <c r="CQ1" s="234"/>
      <c r="CR1" s="234"/>
      <c r="CS1" s="234"/>
      <c r="CT1" s="234"/>
      <c r="CU1" s="234"/>
      <c r="CV1" s="234"/>
      <c r="CW1" s="234"/>
      <c r="CX1" s="234"/>
      <c r="CY1" s="234"/>
      <c r="CZ1" s="234"/>
      <c r="DA1" s="234"/>
      <c r="DB1" s="234"/>
      <c r="DC1" s="234"/>
    </row>
    <row r="2" spans="1:107" s="21" customFormat="1" ht="19" customHeight="1" x14ac:dyDescent="0.25">
      <c r="A2" s="521"/>
      <c r="B2" s="521"/>
      <c r="C2" s="521"/>
      <c r="D2" s="2"/>
      <c r="E2" s="507" t="s">
        <v>1054</v>
      </c>
      <c r="F2" s="508"/>
      <c r="G2" s="508"/>
      <c r="H2" s="508"/>
      <c r="I2" s="508"/>
      <c r="J2" s="508"/>
      <c r="K2" s="507" t="s">
        <v>1053</v>
      </c>
      <c r="L2" s="509"/>
      <c r="M2" s="508"/>
      <c r="N2" s="507" t="s">
        <v>701</v>
      </c>
      <c r="O2" s="508"/>
      <c r="P2" s="508"/>
      <c r="Q2" s="507" t="s">
        <v>702</v>
      </c>
      <c r="R2" s="508"/>
      <c r="S2" s="508"/>
      <c r="T2" s="508"/>
      <c r="U2" s="508"/>
      <c r="V2" s="507" t="s">
        <v>700</v>
      </c>
      <c r="W2" s="508"/>
      <c r="X2" s="508"/>
      <c r="Y2" s="508"/>
      <c r="Z2" s="507" t="s">
        <v>1067</v>
      </c>
      <c r="AA2" s="508"/>
      <c r="AB2" s="507" t="s">
        <v>624</v>
      </c>
      <c r="AC2" s="508"/>
      <c r="AD2" s="507" t="s">
        <v>1068</v>
      </c>
      <c r="AE2" s="508"/>
      <c r="AF2" s="508"/>
      <c r="AG2" s="508"/>
      <c r="AH2" s="508"/>
      <c r="AI2" s="508"/>
      <c r="AJ2" s="508"/>
      <c r="AK2" s="508"/>
      <c r="AL2" s="508"/>
      <c r="AM2" s="507" t="s">
        <v>701</v>
      </c>
      <c r="AN2" s="508"/>
      <c r="AO2" s="508"/>
      <c r="AP2" s="507" t="s">
        <v>883</v>
      </c>
      <c r="AQ2" s="508"/>
      <c r="AR2" s="508"/>
      <c r="AS2" s="508"/>
      <c r="AT2" s="508"/>
      <c r="AU2" s="508"/>
      <c r="AV2" s="507" t="s">
        <v>24</v>
      </c>
      <c r="AW2" s="515"/>
      <c r="AX2" s="515"/>
      <c r="AY2" s="515"/>
      <c r="AZ2" s="515"/>
      <c r="BA2" s="507" t="s">
        <v>1090</v>
      </c>
      <c r="BB2" s="515"/>
      <c r="BC2" s="515"/>
      <c r="BD2" s="515"/>
      <c r="BE2" s="515"/>
      <c r="BF2" s="515"/>
      <c r="BG2" s="515"/>
      <c r="BH2" s="515"/>
      <c r="BI2" s="515"/>
      <c r="BJ2" s="515"/>
      <c r="BK2" s="515"/>
      <c r="BL2" s="515"/>
      <c r="BM2" s="515"/>
      <c r="BN2" s="515"/>
      <c r="BO2" s="515"/>
      <c r="BP2" s="508"/>
      <c r="BQ2" s="508"/>
      <c r="BR2" s="508"/>
      <c r="BS2" s="508"/>
      <c r="BT2" s="508"/>
      <c r="BU2" s="508"/>
      <c r="BV2" s="510" t="s">
        <v>640</v>
      </c>
      <c r="BW2" s="511"/>
      <c r="BX2" s="511"/>
      <c r="BY2" s="511"/>
      <c r="BZ2" s="511"/>
      <c r="CA2" s="511"/>
      <c r="CB2" s="511"/>
      <c r="CC2" s="511"/>
      <c r="CD2" s="511"/>
      <c r="CE2" s="511"/>
      <c r="CF2" s="511"/>
      <c r="CG2" s="511"/>
      <c r="CH2" s="511"/>
      <c r="CI2" s="512"/>
      <c r="CJ2" s="513"/>
      <c r="CK2" s="511" t="s">
        <v>188</v>
      </c>
      <c r="CL2" s="511"/>
      <c r="CM2" s="511"/>
      <c r="CN2" s="511"/>
      <c r="CO2" s="511"/>
      <c r="CP2" s="514"/>
      <c r="CQ2" s="510" t="s">
        <v>640</v>
      </c>
      <c r="CR2" s="511"/>
      <c r="CS2" s="511"/>
      <c r="CT2" s="511"/>
      <c r="CU2" s="511"/>
      <c r="CV2" s="511"/>
      <c r="CW2" s="511"/>
      <c r="CX2" s="511"/>
      <c r="CY2" s="511"/>
      <c r="CZ2" s="511"/>
      <c r="DA2" s="511"/>
      <c r="DB2" s="511"/>
      <c r="DC2" s="511"/>
    </row>
    <row r="3" spans="1:107" ht="105" customHeight="1" x14ac:dyDescent="0.2">
      <c r="A3" s="521"/>
      <c r="B3" s="521"/>
      <c r="C3" s="521"/>
      <c r="D3" s="17"/>
      <c r="E3" s="497" t="s">
        <v>626</v>
      </c>
      <c r="F3" s="496" t="s">
        <v>1052</v>
      </c>
      <c r="G3" s="496" t="s">
        <v>1048</v>
      </c>
      <c r="H3" s="496" t="s">
        <v>1050</v>
      </c>
      <c r="I3" s="504" t="s">
        <v>1046</v>
      </c>
      <c r="J3" s="504" t="s">
        <v>1047</v>
      </c>
      <c r="K3" s="505" t="s">
        <v>1049</v>
      </c>
      <c r="L3" s="496" t="s">
        <v>1051</v>
      </c>
      <c r="M3" s="504" t="s">
        <v>1079</v>
      </c>
      <c r="N3" s="506" t="s">
        <v>634</v>
      </c>
      <c r="O3" s="300" t="s">
        <v>1055</v>
      </c>
      <c r="P3" s="496" t="s">
        <v>1056</v>
      </c>
      <c r="Q3" s="505" t="s">
        <v>1059</v>
      </c>
      <c r="R3" s="504" t="s">
        <v>1058</v>
      </c>
      <c r="S3" s="496" t="s">
        <v>1057</v>
      </c>
      <c r="T3" s="504" t="s">
        <v>1078</v>
      </c>
      <c r="U3" s="48" t="s">
        <v>1060</v>
      </c>
      <c r="V3" s="505" t="s">
        <v>1061</v>
      </c>
      <c r="W3" s="496" t="s">
        <v>1062</v>
      </c>
      <c r="X3" s="504" t="s">
        <v>1063</v>
      </c>
      <c r="Y3" s="48" t="s">
        <v>636</v>
      </c>
      <c r="Z3" s="505" t="s">
        <v>1064</v>
      </c>
      <c r="AA3" s="48" t="s">
        <v>1065</v>
      </c>
      <c r="AB3" s="505" t="s">
        <v>1074</v>
      </c>
      <c r="AC3" s="48" t="s">
        <v>1066</v>
      </c>
      <c r="AD3" s="497" t="s">
        <v>641</v>
      </c>
      <c r="AE3" s="504" t="s">
        <v>157</v>
      </c>
      <c r="AF3" s="48" t="s">
        <v>654</v>
      </c>
      <c r="AG3" s="504" t="s">
        <v>1069</v>
      </c>
      <c r="AH3" s="504" t="s">
        <v>1070</v>
      </c>
      <c r="AI3" s="48" t="s">
        <v>656</v>
      </c>
      <c r="AJ3" s="48" t="s">
        <v>1071</v>
      </c>
      <c r="AK3" s="48" t="s">
        <v>1072</v>
      </c>
      <c r="AL3" s="48" t="s">
        <v>1073</v>
      </c>
      <c r="AM3" s="505" t="s">
        <v>1074</v>
      </c>
      <c r="AN3" s="48" t="s">
        <v>1075</v>
      </c>
      <c r="AO3" s="48" t="s">
        <v>1076</v>
      </c>
      <c r="AP3" s="505" t="s">
        <v>1077</v>
      </c>
      <c r="AQ3" s="504" t="s">
        <v>1080</v>
      </c>
      <c r="AR3" s="504" t="s">
        <v>1074</v>
      </c>
      <c r="AS3" s="48" t="s">
        <v>1081</v>
      </c>
      <c r="AT3" s="48" t="s">
        <v>1082</v>
      </c>
      <c r="AU3" s="496" t="s">
        <v>1083</v>
      </c>
      <c r="AV3" s="497" t="s">
        <v>1085</v>
      </c>
      <c r="AW3" s="518" t="s">
        <v>1086</v>
      </c>
      <c r="AX3" s="518" t="s">
        <v>1087</v>
      </c>
      <c r="AY3" s="519" t="s">
        <v>1088</v>
      </c>
      <c r="AZ3" s="519" t="s">
        <v>1089</v>
      </c>
      <c r="BA3" s="505" t="s">
        <v>1091</v>
      </c>
      <c r="BB3" s="518" t="s">
        <v>1092</v>
      </c>
      <c r="BC3" s="516" t="s">
        <v>1093</v>
      </c>
      <c r="BD3" s="516"/>
      <c r="BE3" s="516"/>
      <c r="BF3" s="516"/>
      <c r="BG3" s="516"/>
      <c r="BH3" s="516"/>
      <c r="BI3" s="516"/>
      <c r="BJ3" s="516"/>
      <c r="BK3" s="516"/>
      <c r="BL3" s="516"/>
      <c r="BM3" s="516"/>
      <c r="BN3" s="516"/>
      <c r="BO3" s="516"/>
      <c r="BP3" s="496"/>
      <c r="BQ3" s="496"/>
      <c r="BR3" s="496" t="s">
        <v>627</v>
      </c>
      <c r="BS3" s="496" t="s">
        <v>628</v>
      </c>
      <c r="BT3" s="496" t="s">
        <v>853</v>
      </c>
      <c r="BU3" s="496" t="s">
        <v>631</v>
      </c>
      <c r="BV3" s="497" t="s">
        <v>641</v>
      </c>
      <c r="BW3" s="496" t="s">
        <v>642</v>
      </c>
      <c r="BX3" s="496" t="s">
        <v>643</v>
      </c>
      <c r="BY3" s="496" t="s">
        <v>644</v>
      </c>
      <c r="BZ3" s="496" t="s">
        <v>645</v>
      </c>
      <c r="CA3" s="496" t="s">
        <v>646</v>
      </c>
      <c r="CB3" s="496" t="s">
        <v>647</v>
      </c>
      <c r="CC3" s="496" t="s">
        <v>648</v>
      </c>
      <c r="CD3" s="496" t="s">
        <v>649</v>
      </c>
      <c r="CE3" s="496" t="s">
        <v>650</v>
      </c>
      <c r="CF3" s="496" t="s">
        <v>651</v>
      </c>
      <c r="CG3" s="496" t="s">
        <v>652</v>
      </c>
      <c r="CH3" s="496" t="s">
        <v>653</v>
      </c>
      <c r="CI3" s="496"/>
      <c r="CJ3" s="341" t="s">
        <v>991</v>
      </c>
      <c r="CK3" s="300" t="s">
        <v>634</v>
      </c>
      <c r="CL3" s="300" t="s">
        <v>635</v>
      </c>
      <c r="CM3" s="300" t="s">
        <v>636</v>
      </c>
      <c r="CN3" s="300" t="s">
        <v>637</v>
      </c>
      <c r="CO3" s="300" t="s">
        <v>638</v>
      </c>
      <c r="CP3" s="300" t="s">
        <v>639</v>
      </c>
      <c r="CQ3" s="300" t="s">
        <v>654</v>
      </c>
      <c r="CR3" s="300" t="s">
        <v>655</v>
      </c>
      <c r="CS3" s="300" t="s">
        <v>656</v>
      </c>
      <c r="CT3" s="300" t="s">
        <v>657</v>
      </c>
      <c r="CU3" s="300" t="s">
        <v>658</v>
      </c>
      <c r="CV3" s="300" t="s">
        <v>659</v>
      </c>
      <c r="CW3" s="300" t="s">
        <v>660</v>
      </c>
      <c r="CX3" s="300" t="s">
        <v>661</v>
      </c>
      <c r="CY3" s="300" t="s">
        <v>662</v>
      </c>
      <c r="CZ3" s="300" t="s">
        <v>663</v>
      </c>
      <c r="DA3" s="300" t="s">
        <v>664</v>
      </c>
      <c r="DB3" s="300" t="s">
        <v>665</v>
      </c>
      <c r="DC3" s="300" t="s">
        <v>666</v>
      </c>
    </row>
    <row r="4" spans="1:107" x14ac:dyDescent="0.2">
      <c r="A4" s="15"/>
      <c r="C4" s="15" t="s">
        <v>2</v>
      </c>
      <c r="D4" s="15"/>
      <c r="BV4" s="65"/>
    </row>
    <row r="5" spans="1:107" x14ac:dyDescent="0.2">
      <c r="A5" s="5" t="s">
        <v>60</v>
      </c>
      <c r="B5" s="5" t="s">
        <v>60</v>
      </c>
      <c r="C5" s="5" t="s">
        <v>60</v>
      </c>
      <c r="D5" s="5" t="s">
        <v>60</v>
      </c>
      <c r="BV5" s="499"/>
    </row>
    <row r="6" spans="1:107" x14ac:dyDescent="0.2">
      <c r="A6" s="5" t="s">
        <v>138</v>
      </c>
      <c r="B6" s="5" t="s">
        <v>138</v>
      </c>
      <c r="C6" s="5" t="s">
        <v>138</v>
      </c>
      <c r="D6" s="5" t="s">
        <v>138</v>
      </c>
      <c r="BV6" s="499"/>
    </row>
    <row r="7" spans="1:107" x14ac:dyDescent="0.2">
      <c r="A7" s="5" t="s">
        <v>70</v>
      </c>
      <c r="B7" s="5" t="s">
        <v>70</v>
      </c>
      <c r="C7" s="5" t="s">
        <v>70</v>
      </c>
      <c r="D7" s="5" t="s">
        <v>70</v>
      </c>
      <c r="BV7" s="499"/>
    </row>
    <row r="8" spans="1:107" x14ac:dyDescent="0.2">
      <c r="B8" s="5"/>
      <c r="C8" s="5" t="s">
        <v>600</v>
      </c>
      <c r="D8" s="5"/>
      <c r="BV8" s="499"/>
    </row>
    <row r="9" spans="1:107" x14ac:dyDescent="0.2">
      <c r="B9" s="5"/>
      <c r="C9" s="5" t="s">
        <v>600</v>
      </c>
      <c r="D9" s="5"/>
      <c r="BV9" s="499"/>
    </row>
    <row r="10" spans="1:107" x14ac:dyDescent="0.2">
      <c r="B10" s="5"/>
      <c r="C10" s="5" t="s">
        <v>600</v>
      </c>
      <c r="D10" s="5"/>
      <c r="BV10" s="499"/>
    </row>
    <row r="11" spans="1:107" x14ac:dyDescent="0.2">
      <c r="B11" s="5"/>
      <c r="C11" s="5" t="s">
        <v>600</v>
      </c>
      <c r="D11" s="5"/>
      <c r="E11" s="503" t="s">
        <v>996</v>
      </c>
      <c r="BR11" s="498" t="s">
        <v>996</v>
      </c>
      <c r="BS11" s="500" t="s">
        <v>996</v>
      </c>
      <c r="BT11" s="500" t="s">
        <v>996</v>
      </c>
      <c r="BU11" s="500" t="s">
        <v>996</v>
      </c>
      <c r="BV11" s="499" t="s">
        <v>994</v>
      </c>
    </row>
    <row r="12" spans="1:107" x14ac:dyDescent="0.2">
      <c r="B12" s="5"/>
      <c r="C12" s="5" t="s">
        <v>600</v>
      </c>
      <c r="D12" s="5"/>
      <c r="E12" s="503" t="s">
        <v>139</v>
      </c>
      <c r="BR12" s="498" t="s">
        <v>139</v>
      </c>
      <c r="BS12" s="500" t="s">
        <v>139</v>
      </c>
      <c r="BT12" s="500" t="s">
        <v>139</v>
      </c>
      <c r="BU12" s="500" t="s">
        <v>139</v>
      </c>
      <c r="BV12" s="499" t="s">
        <v>461</v>
      </c>
    </row>
    <row r="13" spans="1:107" x14ac:dyDescent="0.2">
      <c r="B13" s="5"/>
      <c r="C13" s="5" t="s">
        <v>600</v>
      </c>
      <c r="D13" s="5"/>
      <c r="BV13" s="499"/>
    </row>
    <row r="14" spans="1:107" x14ac:dyDescent="0.2">
      <c r="A14" s="245" t="s">
        <v>25</v>
      </c>
      <c r="B14" s="245" t="s">
        <v>4</v>
      </c>
      <c r="C14" s="245" t="s">
        <v>45</v>
      </c>
      <c r="D14" s="245" t="s">
        <v>48</v>
      </c>
      <c r="E14" s="502"/>
      <c r="F14" s="501"/>
      <c r="G14" s="501"/>
      <c r="H14" s="501"/>
      <c r="I14" s="501"/>
      <c r="J14" s="501"/>
      <c r="K14" s="502"/>
      <c r="L14" s="501"/>
      <c r="M14" s="501"/>
      <c r="N14" s="294"/>
      <c r="O14" s="246"/>
      <c r="P14" s="501"/>
      <c r="Q14" s="502"/>
      <c r="R14" s="501"/>
      <c r="S14" s="501"/>
      <c r="T14" s="501"/>
      <c r="U14" s="246"/>
      <c r="V14" s="502"/>
      <c r="W14" s="501"/>
      <c r="X14" s="501"/>
      <c r="Y14" s="246"/>
      <c r="Z14" s="502"/>
      <c r="AA14" s="246"/>
      <c r="AB14" s="502"/>
      <c r="AC14" s="246"/>
      <c r="AD14" s="502"/>
      <c r="AE14" s="501"/>
      <c r="AF14" s="246"/>
      <c r="AG14" s="501"/>
      <c r="AH14" s="501"/>
      <c r="AI14" s="246"/>
      <c r="AJ14" s="246"/>
      <c r="AK14" s="246"/>
      <c r="AL14" s="246"/>
      <c r="AM14" s="502"/>
      <c r="AN14" s="246"/>
      <c r="AO14" s="246"/>
      <c r="AP14" s="502"/>
      <c r="AQ14" s="501"/>
      <c r="AR14" s="501"/>
      <c r="AS14" s="246"/>
      <c r="AT14" s="246"/>
      <c r="AU14" s="501"/>
      <c r="AV14" s="502"/>
      <c r="AW14" s="501"/>
      <c r="AX14" s="501"/>
      <c r="AY14" s="246"/>
      <c r="AZ14" s="246"/>
      <c r="BA14" s="502"/>
      <c r="BB14" s="501"/>
      <c r="BC14" s="501"/>
      <c r="BD14" s="501"/>
      <c r="BE14" s="501"/>
      <c r="BF14" s="501"/>
      <c r="BG14" s="501"/>
      <c r="BH14" s="501"/>
      <c r="BI14" s="501"/>
      <c r="BJ14" s="501"/>
      <c r="BK14" s="501"/>
      <c r="BL14" s="501"/>
      <c r="BM14" s="501"/>
      <c r="BN14" s="501"/>
      <c r="BO14" s="501"/>
      <c r="BP14" s="501"/>
      <c r="BQ14" s="501"/>
      <c r="BR14" s="501"/>
      <c r="BS14" s="501"/>
      <c r="BT14" s="501"/>
      <c r="BU14" s="501"/>
      <c r="BV14" s="502"/>
      <c r="BW14" s="501"/>
      <c r="BX14" s="501"/>
      <c r="BY14" s="501"/>
      <c r="BZ14" s="501"/>
      <c r="CA14" s="501"/>
      <c r="CB14" s="501"/>
      <c r="CC14" s="501"/>
      <c r="CD14" s="501"/>
      <c r="CE14" s="501"/>
      <c r="CF14" s="501"/>
      <c r="CG14" s="501"/>
      <c r="CH14" s="501"/>
      <c r="CI14" s="501"/>
      <c r="CJ14" s="342"/>
      <c r="CK14" s="246"/>
      <c r="CL14" s="246"/>
      <c r="CM14" s="246"/>
      <c r="CN14" s="246"/>
      <c r="CO14" s="246"/>
      <c r="CP14" s="246"/>
      <c r="CQ14" s="246"/>
      <c r="CR14" s="246"/>
      <c r="CS14" s="246"/>
      <c r="CT14" s="246"/>
      <c r="CU14" s="246"/>
      <c r="CV14" s="246"/>
      <c r="CW14" s="246"/>
      <c r="CX14" s="246"/>
      <c r="CY14" s="246"/>
      <c r="CZ14" s="246"/>
      <c r="DA14" s="246"/>
      <c r="DB14" s="246"/>
      <c r="DC14" s="246"/>
    </row>
    <row r="15" spans="1:107" x14ac:dyDescent="0.2">
      <c r="A15" s="5" t="s">
        <v>26</v>
      </c>
      <c r="B15" s="5" t="s">
        <v>623</v>
      </c>
      <c r="C15" s="5"/>
      <c r="D15" t="str">
        <f>IF($A15&lt;&gt;"",$A15,"")&amp;IF($B15&lt;&gt;"","|"&amp;$B15,"")&amp;IF($C15&lt;&gt;"",$C15,"")</f>
        <v>&lt;01|Female</v>
      </c>
      <c r="E15" s="503" cm="1">
        <f t="array" ref="E15">SUM(SUMIFS(Cascade!$AM:$AM,Cascade!$C:$C,{"&lt;01"},Cascade!$D:$D,"Female"))</f>
        <v>0</v>
      </c>
      <c r="BR15" s="498" cm="1">
        <f t="array" ref="BR15">SUM(SUMIFS(Cascade!$AU:$AU,Cascade!$C:$C,{"&lt;01"},Cascade!$D:$D,"Female"))</f>
        <v>0</v>
      </c>
      <c r="BV15" s="392"/>
      <c r="CJ15" s="11">
        <v>0</v>
      </c>
      <c r="CK15" t="str">
        <f>IF(SUM(E15)=0,"",E15*(1+$CJ15))</f>
        <v/>
      </c>
      <c r="CL15" t="str">
        <f>IF(SUM(BR15)=0,"",BR15*(1+$CJ15))</f>
        <v/>
      </c>
      <c r="CM15" t="str">
        <f>IF(SUM(BS15)=0,"",BS15*(1+$CJ15))</f>
        <v/>
      </c>
      <c r="CN15" t="str">
        <f>IF(SUM(BT15)=0,"",BT15*(1+$CJ15))</f>
        <v/>
      </c>
      <c r="CO15" t="str">
        <f>IF(SUM(BU15)=0,"",BU15*(1+$CJ15))</f>
        <v/>
      </c>
      <c r="CP15" t="e">
        <f>IF(SUM(#REF!)=0,"",#REF!*(1+$CJ15))</f>
        <v>#REF!</v>
      </c>
      <c r="CQ15" t="str">
        <f>IF(SUM(BV15)=0,"",BV15*(1+$CJ15))</f>
        <v/>
      </c>
      <c r="CR15" t="str">
        <f>IF(SUM(BW15)=0,"",BW15*(1+$CJ15))</f>
        <v/>
      </c>
      <c r="CS15" t="str">
        <f>IF(SUM(BX15)=0,"",BX15*(1+$CJ15))</f>
        <v/>
      </c>
      <c r="CT15" t="str">
        <f>IF(SUM(BY15)=0,"",BY15*(1+$CJ15))</f>
        <v/>
      </c>
      <c r="CU15" t="str">
        <f>IF(SUM(BZ15)=0,"",BZ15*(1+$CJ15))</f>
        <v/>
      </c>
      <c r="CV15" t="str">
        <f>IF(SUM(CA15)=0,"",CA15*(1+$CJ15))</f>
        <v/>
      </c>
      <c r="CW15" t="str">
        <f>IF(SUM(CB15)=0,"",CB15*(1+$CJ15))</f>
        <v/>
      </c>
      <c r="CX15" t="str">
        <f>IF(SUM(CC15)=0,"",CC15*(1+$CJ15))</f>
        <v/>
      </c>
      <c r="CY15" t="str">
        <f>IF(SUM(CD15)=0,"",CD15*(1+$CJ15))</f>
        <v/>
      </c>
      <c r="CZ15" t="str">
        <f>IF(SUM(CE15)=0,"",CE15*(1+$CJ15))</f>
        <v/>
      </c>
      <c r="DA15" t="str">
        <f>IF(SUM(CF15)=0,"",CF15*(1+$CJ15))</f>
        <v/>
      </c>
      <c r="DB15" t="str">
        <f>IF(SUM(CG15)=0,"",CG15*(1+$CJ15))</f>
        <v/>
      </c>
      <c r="DC15" t="str">
        <f>IF(SUM(CH15)=0,"",CH15*(1+$CJ15))</f>
        <v/>
      </c>
    </row>
    <row r="16" spans="1:107" x14ac:dyDescent="0.2">
      <c r="A16" s="5" t="s">
        <v>26</v>
      </c>
      <c r="B16" t="s">
        <v>676</v>
      </c>
      <c r="D16" t="str">
        <f t="shared" ref="D16:D33" si="0">IF($A16&lt;&gt;"",$A16,"")&amp;IF($B16&lt;&gt;"","|"&amp;$B16,"")&amp;IF($C16&lt;&gt;"",$C16,"")</f>
        <v>&lt;01|Male</v>
      </c>
      <c r="E16" s="503" cm="1">
        <f t="array" ref="E16">SUM(SUMIFS(Cascade!$AM:$AM,Cascade!$C:$C,{"&lt;01"},Cascade!$D:$D,"Male"))</f>
        <v>0</v>
      </c>
      <c r="BR16" s="498" cm="1">
        <f t="array" ref="BR16">SUM(SUMIFS(Cascade!$AU:$AU,Cascade!$C:$C,{"&lt;01"},Cascade!$D:$D,"Male"))</f>
        <v>0</v>
      </c>
      <c r="CJ16" s="11">
        <v>0</v>
      </c>
      <c r="CK16" t="str">
        <f>IF(SUM(E16)=0,"",E16*(1+$CJ16))</f>
        <v/>
      </c>
      <c r="CL16" t="str">
        <f>IF(SUM(BR16)=0,"",BR16*(1+$CJ16))</f>
        <v/>
      </c>
      <c r="CM16" t="str">
        <f>IF(SUM(BS16)=0,"",BS16*(1+$CJ16))</f>
        <v/>
      </c>
      <c r="CN16" t="str">
        <f>IF(SUM(BT16)=0,"",BT16*(1+$CJ16))</f>
        <v/>
      </c>
      <c r="CO16" t="str">
        <f>IF(SUM(BU16)=0,"",BU16*(1+$CJ16))</f>
        <v/>
      </c>
      <c r="CP16" t="e">
        <f>IF(SUM(#REF!)=0,"",#REF!*(1+$CJ16))</f>
        <v>#REF!</v>
      </c>
      <c r="CQ16" t="str">
        <f t="shared" ref="CQ16:CQ28" si="1">IF(SUM(BV16)=0,"",BV16*(1+$CJ16))</f>
        <v/>
      </c>
      <c r="CR16" t="str">
        <f t="shared" ref="CR16:CR28" si="2">IF(SUM(BW16)=0,"",BW16*(1+$CJ16))</f>
        <v/>
      </c>
      <c r="CS16" t="str">
        <f t="shared" ref="CS16:CS28" si="3">IF(SUM(BX16)=0,"",BX16*(1+$CJ16))</f>
        <v/>
      </c>
      <c r="CT16" t="str">
        <f t="shared" ref="CT16:CT28" si="4">IF(SUM(BY16)=0,"",BY16*(1+$CJ16))</f>
        <v/>
      </c>
      <c r="CU16" t="str">
        <f t="shared" ref="CU16:CU28" si="5">IF(SUM(BZ16)=0,"",BZ16*(1+$CJ16))</f>
        <v/>
      </c>
      <c r="CV16" t="str">
        <f t="shared" ref="CV16:CV28" si="6">IF(SUM(CA16)=0,"",CA16*(1+$CJ16))</f>
        <v/>
      </c>
      <c r="CW16" t="str">
        <f t="shared" ref="CW16:CW28" si="7">IF(SUM(CB16)=0,"",CB16*(1+$CJ16))</f>
        <v/>
      </c>
      <c r="CX16" t="str">
        <f t="shared" ref="CX16:CX28" si="8">IF(SUM(CC16)=0,"",CC16*(1+$CJ16))</f>
        <v/>
      </c>
      <c r="CY16" t="str">
        <f t="shared" ref="CY16:CY28" si="9">IF(SUM(CD16)=0,"",CD16*(1+$CJ16))</f>
        <v/>
      </c>
      <c r="CZ16" t="str">
        <f t="shared" ref="CZ16:CZ28" si="10">IF(SUM(CE16)=0,"",CE16*(1+$CJ16))</f>
        <v/>
      </c>
      <c r="DA16" t="str">
        <f t="shared" ref="DA16:DA28" si="11">IF(SUM(CF16)=0,"",CF16*(1+$CJ16))</f>
        <v/>
      </c>
      <c r="DB16" t="str">
        <f t="shared" ref="DB16:DB28" si="12">IF(SUM(CG16)=0,"",CG16*(1+$CJ16))</f>
        <v/>
      </c>
      <c r="DC16" t="str">
        <f t="shared" ref="DC16:DC28" si="13">IF(SUM(CH16)=0,"",CH16*(1+$CJ16))</f>
        <v/>
      </c>
    </row>
    <row r="17" spans="1:107" x14ac:dyDescent="0.2">
      <c r="A17" s="231" t="s">
        <v>670</v>
      </c>
      <c r="B17" s="5" t="s">
        <v>623</v>
      </c>
      <c r="D17" t="str">
        <f t="shared" si="0"/>
        <v>01-09|Female</v>
      </c>
      <c r="E17" s="503" cm="1">
        <f t="array" ref="E17">SUM(SUMIFS(Cascade!$AM:$AM,Cascade!$C:$C,{"01-09"},Cascade!$D:$D,"Female"))</f>
        <v>0</v>
      </c>
      <c r="BR17" s="498" cm="1">
        <f t="array" ref="BR17">SUM(SUMIFS(Cascade!$AU:$AU,Cascade!$C:$C,{"01-09"},Cascade!$D:$D,"Female"))</f>
        <v>0</v>
      </c>
      <c r="CJ17" s="11">
        <v>0</v>
      </c>
      <c r="CK17" t="str">
        <f>IF(SUM(E17)=0,"",E17*(1+$CJ17))</f>
        <v/>
      </c>
      <c r="CL17" t="str">
        <f>IF(SUM(BR17)=0,"",BR17*(1+$CJ17))</f>
        <v/>
      </c>
      <c r="CM17" t="str">
        <f>IF(SUM(BS17)=0,"",BS17*(1+$CJ17))</f>
        <v/>
      </c>
      <c r="CN17" t="str">
        <f>IF(SUM(BT17)=0,"",BT17*(1+$CJ17))</f>
        <v/>
      </c>
      <c r="CO17" t="str">
        <f>IF(SUM(BU17)=0,"",BU17*(1+$CJ17))</f>
        <v/>
      </c>
      <c r="CP17" t="e">
        <f>IF(SUM(#REF!)=0,"",#REF!*(1+$CJ17))</f>
        <v>#REF!</v>
      </c>
      <c r="CQ17" t="str">
        <f t="shared" si="1"/>
        <v/>
      </c>
      <c r="CR17" t="str">
        <f t="shared" si="2"/>
        <v/>
      </c>
      <c r="CS17" t="str">
        <f t="shared" si="3"/>
        <v/>
      </c>
      <c r="CT17" t="str">
        <f t="shared" si="4"/>
        <v/>
      </c>
      <c r="CU17" t="str">
        <f t="shared" si="5"/>
        <v/>
      </c>
      <c r="CV17" t="str">
        <f t="shared" si="6"/>
        <v/>
      </c>
      <c r="CW17" t="str">
        <f t="shared" si="7"/>
        <v/>
      </c>
      <c r="CX17" t="str">
        <f t="shared" si="8"/>
        <v/>
      </c>
      <c r="CY17" t="str">
        <f t="shared" si="9"/>
        <v/>
      </c>
      <c r="CZ17" t="str">
        <f t="shared" si="10"/>
        <v/>
      </c>
      <c r="DA17" t="str">
        <f t="shared" si="11"/>
        <v/>
      </c>
      <c r="DB17" t="str">
        <f t="shared" si="12"/>
        <v/>
      </c>
      <c r="DC17" t="str">
        <f t="shared" si="13"/>
        <v/>
      </c>
    </row>
    <row r="18" spans="1:107" x14ac:dyDescent="0.2">
      <c r="A18" s="231" t="s">
        <v>670</v>
      </c>
      <c r="B18" t="s">
        <v>676</v>
      </c>
      <c r="D18" t="str">
        <f t="shared" si="0"/>
        <v>01-09|Male</v>
      </c>
      <c r="E18" s="503" cm="1">
        <f t="array" ref="E18">SUM(SUMIFS(Cascade!$AM:$AM,Cascade!$C:$C,{"01-09"},Cascade!$D:$D,"Male"))</f>
        <v>0</v>
      </c>
      <c r="BR18" s="498" cm="1">
        <f t="array" ref="BR18">SUM(SUMIFS(Cascade!$AU:$AU,Cascade!$C:$C,{"01-09"},Cascade!$D:$D,"Male"))</f>
        <v>0</v>
      </c>
      <c r="CJ18" s="11">
        <v>0</v>
      </c>
      <c r="CK18" t="str">
        <f>IF(SUM(E18)=0,"",E18*(1+$CJ18))</f>
        <v/>
      </c>
      <c r="CL18" t="str">
        <f>IF(SUM(BR18)=0,"",BR18*(1+$CJ18))</f>
        <v/>
      </c>
      <c r="CM18" t="str">
        <f>IF(SUM(BS18)=0,"",BS18*(1+$CJ18))</f>
        <v/>
      </c>
      <c r="CN18" t="str">
        <f>IF(SUM(BT18)=0,"",BT18*(1+$CJ18))</f>
        <v/>
      </c>
      <c r="CO18" t="str">
        <f>IF(SUM(BU18)=0,"",BU18*(1+$CJ18))</f>
        <v/>
      </c>
      <c r="CP18" t="e">
        <f>IF(SUM(#REF!)=0,"",#REF!*(1+$CJ18))</f>
        <v>#REF!</v>
      </c>
      <c r="CQ18" t="str">
        <f t="shared" si="1"/>
        <v/>
      </c>
      <c r="CR18" t="str">
        <f t="shared" si="2"/>
        <v/>
      </c>
      <c r="CS18" t="str">
        <f t="shared" si="3"/>
        <v/>
      </c>
      <c r="CT18" t="str">
        <f t="shared" si="4"/>
        <v/>
      </c>
      <c r="CU18" t="str">
        <f t="shared" si="5"/>
        <v/>
      </c>
      <c r="CV18" t="str">
        <f t="shared" si="6"/>
        <v/>
      </c>
      <c r="CW18" t="str">
        <f t="shared" si="7"/>
        <v/>
      </c>
      <c r="CX18" t="str">
        <f t="shared" si="8"/>
        <v/>
      </c>
      <c r="CY18" t="str">
        <f t="shared" si="9"/>
        <v/>
      </c>
      <c r="CZ18" t="str">
        <f t="shared" si="10"/>
        <v/>
      </c>
      <c r="DA18" t="str">
        <f t="shared" si="11"/>
        <v/>
      </c>
      <c r="DB18" t="str">
        <f t="shared" si="12"/>
        <v/>
      </c>
      <c r="DC18" t="str">
        <f t="shared" si="13"/>
        <v/>
      </c>
    </row>
    <row r="19" spans="1:107" x14ac:dyDescent="0.2">
      <c r="A19" s="231" t="s">
        <v>671</v>
      </c>
      <c r="B19" s="5" t="s">
        <v>623</v>
      </c>
      <c r="D19" t="str">
        <f t="shared" si="0"/>
        <v>10-14|Female</v>
      </c>
      <c r="E19" s="503" cm="1">
        <f t="array" ref="E19">SUM(SUMIFS(Cascade!$AM:$AM,Cascade!$C:$C,{"10-14"},Cascade!$D:$D,"Female"))</f>
        <v>0</v>
      </c>
      <c r="BR19" s="498" cm="1">
        <f t="array" ref="BR19">SUM(SUMIFS(Cascade!$AU:$AU,Cascade!$C:$C,{"10-14"},Cascade!$D:$D,"Female"))</f>
        <v>0</v>
      </c>
      <c r="CJ19" s="11">
        <v>0</v>
      </c>
      <c r="CK19" t="str">
        <f>IF(SUM(E19)=0,"",E19*(1+$CJ19))</f>
        <v/>
      </c>
      <c r="CL19" t="str">
        <f>IF(SUM(BR19)=0,"",BR19*(1+$CJ19))</f>
        <v/>
      </c>
      <c r="CM19" t="str">
        <f>IF(SUM(BS19)=0,"",BS19*(1+$CJ19))</f>
        <v/>
      </c>
      <c r="CN19" t="str">
        <f>IF(SUM(BT19)=0,"",BT19*(1+$CJ19))</f>
        <v/>
      </c>
      <c r="CO19" t="str">
        <f>IF(SUM(BU19)=0,"",BU19*(1+$CJ19))</f>
        <v/>
      </c>
      <c r="CP19" t="e">
        <f>IF(SUM(#REF!)=0,"",#REF!*(1+$CJ19))</f>
        <v>#REF!</v>
      </c>
      <c r="CQ19" t="str">
        <f t="shared" si="1"/>
        <v/>
      </c>
      <c r="CR19" t="str">
        <f t="shared" si="2"/>
        <v/>
      </c>
      <c r="CS19" t="str">
        <f t="shared" si="3"/>
        <v/>
      </c>
      <c r="CT19" t="str">
        <f t="shared" si="4"/>
        <v/>
      </c>
      <c r="CU19" t="str">
        <f t="shared" si="5"/>
        <v/>
      </c>
      <c r="CV19" t="str">
        <f t="shared" si="6"/>
        <v/>
      </c>
      <c r="CW19" t="str">
        <f t="shared" si="7"/>
        <v/>
      </c>
      <c r="CX19" t="str">
        <f t="shared" si="8"/>
        <v/>
      </c>
      <c r="CY19" t="str">
        <f t="shared" si="9"/>
        <v/>
      </c>
      <c r="CZ19" t="str">
        <f t="shared" si="10"/>
        <v/>
      </c>
      <c r="DA19" t="str">
        <f t="shared" si="11"/>
        <v/>
      </c>
      <c r="DB19" t="str">
        <f t="shared" si="12"/>
        <v/>
      </c>
      <c r="DC19" t="str">
        <f t="shared" si="13"/>
        <v/>
      </c>
    </row>
    <row r="20" spans="1:107" x14ac:dyDescent="0.2">
      <c r="A20" s="231" t="s">
        <v>671</v>
      </c>
      <c r="B20" t="s">
        <v>676</v>
      </c>
      <c r="D20" t="str">
        <f t="shared" si="0"/>
        <v>10-14|Male</v>
      </c>
      <c r="E20" s="503" cm="1">
        <f t="array" ref="E20">SUM(SUMIFS(Cascade!$AM:$AM,Cascade!$C:$C,{"10-14"},Cascade!$D:$D,"Male"))</f>
        <v>0</v>
      </c>
      <c r="BR20" s="498" cm="1">
        <f t="array" ref="BR20">SUM(SUMIFS(Cascade!$AU:$AU,Cascade!$C:$C,{"10-14"},Cascade!$D:$D,"Male"))</f>
        <v>0</v>
      </c>
      <c r="CJ20" s="11">
        <v>0</v>
      </c>
      <c r="CK20" t="str">
        <f>IF(SUM(E20)=0,"",E20*(1+$CJ20))</f>
        <v/>
      </c>
      <c r="CL20" t="str">
        <f>IF(SUM(BR20)=0,"",BR20*(1+$CJ20))</f>
        <v/>
      </c>
      <c r="CM20" t="str">
        <f>IF(SUM(BS20)=0,"",BS20*(1+$CJ20))</f>
        <v/>
      </c>
      <c r="CN20" t="str">
        <f>IF(SUM(BT20)=0,"",BT20*(1+$CJ20))</f>
        <v/>
      </c>
      <c r="CO20" t="str">
        <f>IF(SUM(BU20)=0,"",BU20*(1+$CJ20))</f>
        <v/>
      </c>
      <c r="CP20" t="e">
        <f>IF(SUM(#REF!)=0,"",#REF!*(1+$CJ20))</f>
        <v>#REF!</v>
      </c>
      <c r="CQ20" t="str">
        <f t="shared" si="1"/>
        <v/>
      </c>
      <c r="CR20" t="str">
        <f t="shared" si="2"/>
        <v/>
      </c>
      <c r="CS20" t="str">
        <f t="shared" si="3"/>
        <v/>
      </c>
      <c r="CT20" t="str">
        <f t="shared" si="4"/>
        <v/>
      </c>
      <c r="CU20" t="str">
        <f t="shared" si="5"/>
        <v/>
      </c>
      <c r="CV20" t="str">
        <f t="shared" si="6"/>
        <v/>
      </c>
      <c r="CW20" t="str">
        <f t="shared" si="7"/>
        <v/>
      </c>
      <c r="CX20" t="str">
        <f t="shared" si="8"/>
        <v/>
      </c>
      <c r="CY20" t="str">
        <f t="shared" si="9"/>
        <v/>
      </c>
      <c r="CZ20" t="str">
        <f t="shared" si="10"/>
        <v/>
      </c>
      <c r="DA20" t="str">
        <f t="shared" si="11"/>
        <v/>
      </c>
      <c r="DB20" t="str">
        <f t="shared" si="12"/>
        <v/>
      </c>
      <c r="DC20" t="str">
        <f t="shared" si="13"/>
        <v/>
      </c>
    </row>
    <row r="21" spans="1:107" x14ac:dyDescent="0.2">
      <c r="A21" s="231" t="s">
        <v>672</v>
      </c>
      <c r="B21" s="5" t="s">
        <v>623</v>
      </c>
      <c r="D21" t="str">
        <f t="shared" si="0"/>
        <v>15-24|Female</v>
      </c>
      <c r="E21" s="503" cm="1">
        <f t="array" ref="E21">SUM(SUMIFS(Cascade!$AM:$AM,Cascade!$C:$C,{"15-24"},Cascade!$D:$D,"Female"))</f>
        <v>0</v>
      </c>
      <c r="BR21" s="498" cm="1">
        <f t="array" ref="BR21">SUM(SUMIFS(Cascade!$AU:$AU,Cascade!$C:$C,{"15-24"},Cascade!$D:$D,"Female"))</f>
        <v>0</v>
      </c>
      <c r="CJ21" s="11">
        <v>0</v>
      </c>
      <c r="CK21" t="str">
        <f>IF(SUM(E21)=0,"",E21*(1+$CJ21))</f>
        <v/>
      </c>
      <c r="CL21" t="str">
        <f>IF(SUM(BR21)=0,"",BR21*(1+$CJ21))</f>
        <v/>
      </c>
      <c r="CM21" t="str">
        <f>IF(SUM(BS21)=0,"",BS21*(1+$CJ21))</f>
        <v/>
      </c>
      <c r="CN21" t="str">
        <f>IF(SUM(BT21)=0,"",BT21*(1+$CJ21))</f>
        <v/>
      </c>
      <c r="CO21" t="str">
        <f>IF(SUM(BU21)=0,"",BU21*(1+$CJ21))</f>
        <v/>
      </c>
      <c r="CP21" t="e">
        <f>IF(SUM(#REF!)=0,"",#REF!*(1+$CJ21))</f>
        <v>#REF!</v>
      </c>
      <c r="CQ21" t="str">
        <f t="shared" si="1"/>
        <v/>
      </c>
      <c r="CR21" t="str">
        <f t="shared" si="2"/>
        <v/>
      </c>
      <c r="CS21" t="str">
        <f t="shared" si="3"/>
        <v/>
      </c>
      <c r="CT21" t="str">
        <f t="shared" si="4"/>
        <v/>
      </c>
      <c r="CU21" t="str">
        <f t="shared" si="5"/>
        <v/>
      </c>
      <c r="CV21" t="str">
        <f t="shared" si="6"/>
        <v/>
      </c>
      <c r="CW21" t="str">
        <f t="shared" si="7"/>
        <v/>
      </c>
      <c r="CX21" t="str">
        <f t="shared" si="8"/>
        <v/>
      </c>
      <c r="CY21" t="str">
        <f t="shared" si="9"/>
        <v/>
      </c>
      <c r="CZ21" t="str">
        <f t="shared" si="10"/>
        <v/>
      </c>
      <c r="DA21" t="str">
        <f t="shared" si="11"/>
        <v/>
      </c>
      <c r="DB21" t="str">
        <f t="shared" si="12"/>
        <v/>
      </c>
      <c r="DC21" t="str">
        <f t="shared" si="13"/>
        <v/>
      </c>
    </row>
    <row r="22" spans="1:107" x14ac:dyDescent="0.2">
      <c r="A22" s="231" t="s">
        <v>672</v>
      </c>
      <c r="B22" t="s">
        <v>676</v>
      </c>
      <c r="D22" t="str">
        <f t="shared" si="0"/>
        <v>15-24|Male</v>
      </c>
      <c r="E22" s="503" cm="1">
        <f t="array" ref="E22">SUM(SUMIFS(Cascade!$AM:$AM,Cascade!$C:$C,{"15-24"},Cascade!$D:$D,"Male"))</f>
        <v>0</v>
      </c>
      <c r="BR22" s="498" cm="1">
        <f t="array" ref="BR22">SUM(SUMIFS(Cascade!$AU:$AU,Cascade!$C:$C,{"15-24"},Cascade!$D:$D,"Male"))</f>
        <v>0</v>
      </c>
      <c r="CJ22" s="11">
        <v>0</v>
      </c>
      <c r="CK22" t="str">
        <f>IF(SUM(E22)=0,"",E22*(1+$CJ22))</f>
        <v/>
      </c>
      <c r="CL22" t="str">
        <f>IF(SUM(BR22)=0,"",BR22*(1+$CJ22))</f>
        <v/>
      </c>
      <c r="CM22" t="str">
        <f>IF(SUM(BS22)=0,"",BS22*(1+$CJ22))</f>
        <v/>
      </c>
      <c r="CN22" t="str">
        <f>IF(SUM(BT22)=0,"",BT22*(1+$CJ22))</f>
        <v/>
      </c>
      <c r="CO22" t="str">
        <f>IF(SUM(BU22)=0,"",BU22*(1+$CJ22))</f>
        <v/>
      </c>
      <c r="CP22" t="e">
        <f>IF(SUM(#REF!)=0,"",#REF!*(1+$CJ22))</f>
        <v>#REF!</v>
      </c>
      <c r="CQ22" t="str">
        <f t="shared" si="1"/>
        <v/>
      </c>
      <c r="CR22" t="str">
        <f t="shared" si="2"/>
        <v/>
      </c>
      <c r="CS22" t="str">
        <f t="shared" si="3"/>
        <v/>
      </c>
      <c r="CT22" t="str">
        <f t="shared" si="4"/>
        <v/>
      </c>
      <c r="CU22" t="str">
        <f t="shared" si="5"/>
        <v/>
      </c>
      <c r="CV22" t="str">
        <f t="shared" si="6"/>
        <v/>
      </c>
      <c r="CW22" t="str">
        <f t="shared" si="7"/>
        <v/>
      </c>
      <c r="CX22" t="str">
        <f t="shared" si="8"/>
        <v/>
      </c>
      <c r="CY22" t="str">
        <f t="shared" si="9"/>
        <v/>
      </c>
      <c r="CZ22" t="str">
        <f t="shared" si="10"/>
        <v/>
      </c>
      <c r="DA22" t="str">
        <f t="shared" si="11"/>
        <v/>
      </c>
      <c r="DB22" t="str">
        <f t="shared" si="12"/>
        <v/>
      </c>
      <c r="DC22" t="str">
        <f t="shared" si="13"/>
        <v/>
      </c>
    </row>
    <row r="23" spans="1:107" x14ac:dyDescent="0.2">
      <c r="A23" s="231" t="s">
        <v>673</v>
      </c>
      <c r="B23" s="5" t="s">
        <v>623</v>
      </c>
      <c r="D23" t="str">
        <f t="shared" si="0"/>
        <v>24-34|Female</v>
      </c>
      <c r="E23" s="503" cm="1">
        <f t="array" ref="E23">SUM(SUMIFS(Cascade!$AM:$AM,Cascade!$C:$C,{"25-34"},Cascade!$D:$D,"Female"))</f>
        <v>0</v>
      </c>
      <c r="BR23" s="498" cm="1">
        <f t="array" ref="BR23">SUM(SUMIFS(Cascade!$AU:$AU,Cascade!$C:$C,{"25-34"},Cascade!$D:$D,"Female"))</f>
        <v>0</v>
      </c>
      <c r="CJ23" s="11">
        <v>0</v>
      </c>
      <c r="CK23" t="str">
        <f>IF(SUM(E23)=0,"",E23*(1+$CJ23))</f>
        <v/>
      </c>
      <c r="CL23" t="str">
        <f>IF(SUM(BR23)=0,"",BR23*(1+$CJ23))</f>
        <v/>
      </c>
      <c r="CM23" t="str">
        <f>IF(SUM(BS23)=0,"",BS23*(1+$CJ23))</f>
        <v/>
      </c>
      <c r="CN23" t="str">
        <f>IF(SUM(BT23)=0,"",BT23*(1+$CJ23))</f>
        <v/>
      </c>
      <c r="CO23" t="str">
        <f>IF(SUM(BU23)=0,"",BU23*(1+$CJ23))</f>
        <v/>
      </c>
      <c r="CP23" t="e">
        <f>IF(SUM(#REF!)=0,"",#REF!*(1+$CJ23))</f>
        <v>#REF!</v>
      </c>
      <c r="CQ23" t="str">
        <f t="shared" si="1"/>
        <v/>
      </c>
      <c r="CR23" t="str">
        <f t="shared" si="2"/>
        <v/>
      </c>
      <c r="CS23" t="str">
        <f t="shared" si="3"/>
        <v/>
      </c>
      <c r="CT23" t="str">
        <f t="shared" si="4"/>
        <v/>
      </c>
      <c r="CU23" t="str">
        <f t="shared" si="5"/>
        <v/>
      </c>
      <c r="CV23" t="str">
        <f t="shared" si="6"/>
        <v/>
      </c>
      <c r="CW23" t="str">
        <f t="shared" si="7"/>
        <v/>
      </c>
      <c r="CX23" t="str">
        <f t="shared" si="8"/>
        <v/>
      </c>
      <c r="CY23" t="str">
        <f t="shared" si="9"/>
        <v/>
      </c>
      <c r="CZ23" t="str">
        <f t="shared" si="10"/>
        <v/>
      </c>
      <c r="DA23" t="str">
        <f t="shared" si="11"/>
        <v/>
      </c>
      <c r="DB23" t="str">
        <f t="shared" si="12"/>
        <v/>
      </c>
      <c r="DC23" t="str">
        <f t="shared" si="13"/>
        <v/>
      </c>
    </row>
    <row r="24" spans="1:107" x14ac:dyDescent="0.2">
      <c r="A24" s="231" t="s">
        <v>673</v>
      </c>
      <c r="B24" t="s">
        <v>676</v>
      </c>
      <c r="D24" t="str">
        <f t="shared" si="0"/>
        <v>24-34|Male</v>
      </c>
      <c r="E24" s="503" cm="1">
        <f t="array" ref="E24">SUM(SUMIFS(Cascade!$AM:$AM,Cascade!$C:$C,{"25-34"},Cascade!$D:$D,"Male"))</f>
        <v>0</v>
      </c>
      <c r="BR24" s="498" cm="1">
        <f t="array" ref="BR24">SUM(SUMIFS(Cascade!$AU:$AU,Cascade!$C:$C,{"25-34"},Cascade!$D:$D,"Male"))</f>
        <v>0</v>
      </c>
      <c r="CJ24" s="11">
        <v>0</v>
      </c>
      <c r="CK24" t="str">
        <f>IF(SUM(E24)=0,"",E24*(1+$CJ24))</f>
        <v/>
      </c>
      <c r="CL24" t="str">
        <f>IF(SUM(BR24)=0,"",BR24*(1+$CJ24))</f>
        <v/>
      </c>
      <c r="CM24" t="str">
        <f>IF(SUM(BS24)=0,"",BS24*(1+$CJ24))</f>
        <v/>
      </c>
      <c r="CN24" t="str">
        <f>IF(SUM(BT24)=0,"",BT24*(1+$CJ24))</f>
        <v/>
      </c>
      <c r="CO24" t="str">
        <f>IF(SUM(BU24)=0,"",BU24*(1+$CJ24))</f>
        <v/>
      </c>
      <c r="CP24" t="e">
        <f>IF(SUM(#REF!)=0,"",#REF!*(1+$CJ24))</f>
        <v>#REF!</v>
      </c>
      <c r="CQ24" t="str">
        <f t="shared" si="1"/>
        <v/>
      </c>
      <c r="CR24" t="str">
        <f t="shared" si="2"/>
        <v/>
      </c>
      <c r="CS24" t="str">
        <f t="shared" si="3"/>
        <v/>
      </c>
      <c r="CT24" t="str">
        <f t="shared" si="4"/>
        <v/>
      </c>
      <c r="CU24" t="str">
        <f t="shared" si="5"/>
        <v/>
      </c>
      <c r="CV24" t="str">
        <f t="shared" si="6"/>
        <v/>
      </c>
      <c r="CW24" t="str">
        <f t="shared" si="7"/>
        <v/>
      </c>
      <c r="CX24" t="str">
        <f t="shared" si="8"/>
        <v/>
      </c>
      <c r="CY24" t="str">
        <f t="shared" si="9"/>
        <v/>
      </c>
      <c r="CZ24" t="str">
        <f t="shared" si="10"/>
        <v/>
      </c>
      <c r="DA24" t="str">
        <f t="shared" si="11"/>
        <v/>
      </c>
      <c r="DB24" t="str">
        <f t="shared" si="12"/>
        <v/>
      </c>
      <c r="DC24" t="str">
        <f t="shared" si="13"/>
        <v/>
      </c>
    </row>
    <row r="25" spans="1:107" x14ac:dyDescent="0.2">
      <c r="A25" s="231" t="s">
        <v>674</v>
      </c>
      <c r="B25" s="5" t="s">
        <v>623</v>
      </c>
      <c r="D25" t="str">
        <f t="shared" si="0"/>
        <v>35-49|Female</v>
      </c>
      <c r="E25" s="503" cm="1">
        <f t="array" ref="E25">SUM(SUMIFS(Cascade!$AM:$AM,Cascade!$C:$C,{"35-49"},Cascade!$D:$D,"Female"))</f>
        <v>0</v>
      </c>
      <c r="BR25" s="498" cm="1">
        <f t="array" ref="BR25">SUM(SUMIFS(Cascade!$AU:$AU,Cascade!$C:$C,{"35-49"},Cascade!$D:$D,"Female"))</f>
        <v>0</v>
      </c>
      <c r="CJ25" s="11">
        <v>0</v>
      </c>
      <c r="CK25" t="str">
        <f>IF(SUM(E25)=0,"",E25*(1+$CJ25))</f>
        <v/>
      </c>
      <c r="CL25" t="str">
        <f>IF(SUM(BR25)=0,"",BR25*(1+$CJ25))</f>
        <v/>
      </c>
      <c r="CM25" t="str">
        <f>IF(SUM(BS25)=0,"",BS25*(1+$CJ25))</f>
        <v/>
      </c>
      <c r="CN25" t="str">
        <f>IF(SUM(BT25)=0,"",BT25*(1+$CJ25))</f>
        <v/>
      </c>
      <c r="CO25" t="str">
        <f>IF(SUM(BU25)=0,"",BU25*(1+$CJ25))</f>
        <v/>
      </c>
      <c r="CP25" t="e">
        <f>IF(SUM(#REF!)=0,"",#REF!*(1+$CJ25))</f>
        <v>#REF!</v>
      </c>
      <c r="CQ25" t="str">
        <f t="shared" si="1"/>
        <v/>
      </c>
      <c r="CR25" t="str">
        <f t="shared" si="2"/>
        <v/>
      </c>
      <c r="CS25" t="str">
        <f t="shared" si="3"/>
        <v/>
      </c>
      <c r="CT25" t="str">
        <f t="shared" si="4"/>
        <v/>
      </c>
      <c r="CU25" t="str">
        <f t="shared" si="5"/>
        <v/>
      </c>
      <c r="CV25" t="str">
        <f t="shared" si="6"/>
        <v/>
      </c>
      <c r="CW25" t="str">
        <f t="shared" si="7"/>
        <v/>
      </c>
      <c r="CX25" t="str">
        <f t="shared" si="8"/>
        <v/>
      </c>
      <c r="CY25" t="str">
        <f t="shared" si="9"/>
        <v/>
      </c>
      <c r="CZ25" t="str">
        <f t="shared" si="10"/>
        <v/>
      </c>
      <c r="DA25" t="str">
        <f t="shared" si="11"/>
        <v/>
      </c>
      <c r="DB25" t="str">
        <f t="shared" si="12"/>
        <v/>
      </c>
      <c r="DC25" t="str">
        <f t="shared" si="13"/>
        <v/>
      </c>
    </row>
    <row r="26" spans="1:107" x14ac:dyDescent="0.2">
      <c r="A26" s="231" t="s">
        <v>674</v>
      </c>
      <c r="B26" t="s">
        <v>676</v>
      </c>
      <c r="D26" t="str">
        <f t="shared" si="0"/>
        <v>35-49|Male</v>
      </c>
      <c r="E26" s="503" cm="1">
        <f t="array" ref="E26">SUM(SUMIFS(Cascade!$AM:$AM,Cascade!$C:$C,{"35-49"},Cascade!$D:$D,"Male"))</f>
        <v>0</v>
      </c>
      <c r="BR26" s="498" cm="1">
        <f t="array" ref="BR26">SUM(SUMIFS(Cascade!$AU:$AU,Cascade!$C:$C,{"35-49"},Cascade!$D:$D,"Male"))</f>
        <v>0</v>
      </c>
      <c r="CJ26" s="11">
        <v>0</v>
      </c>
      <c r="CK26" t="str">
        <f>IF(SUM(E26)=0,"",E26*(1+$CJ26))</f>
        <v/>
      </c>
      <c r="CL26" t="str">
        <f>IF(SUM(BR26)=0,"",BR26*(1+$CJ26))</f>
        <v/>
      </c>
      <c r="CM26" t="str">
        <f>IF(SUM(BS26)=0,"",BS26*(1+$CJ26))</f>
        <v/>
      </c>
      <c r="CN26" t="str">
        <f>IF(SUM(BT26)=0,"",BT26*(1+$CJ26))</f>
        <v/>
      </c>
      <c r="CO26" t="str">
        <f>IF(SUM(BU26)=0,"",BU26*(1+$CJ26))</f>
        <v/>
      </c>
      <c r="CP26" t="e">
        <f>IF(SUM(#REF!)=0,"",#REF!*(1+$CJ26))</f>
        <v>#REF!</v>
      </c>
      <c r="CQ26" t="str">
        <f t="shared" si="1"/>
        <v/>
      </c>
      <c r="CR26" t="str">
        <f t="shared" si="2"/>
        <v/>
      </c>
      <c r="CS26" t="str">
        <f t="shared" si="3"/>
        <v/>
      </c>
      <c r="CT26" t="str">
        <f t="shared" si="4"/>
        <v/>
      </c>
      <c r="CU26" t="str">
        <f t="shared" si="5"/>
        <v/>
      </c>
      <c r="CV26" t="str">
        <f t="shared" si="6"/>
        <v/>
      </c>
      <c r="CW26" t="str">
        <f t="shared" si="7"/>
        <v/>
      </c>
      <c r="CX26" t="str">
        <f t="shared" si="8"/>
        <v/>
      </c>
      <c r="CY26" t="str">
        <f t="shared" si="9"/>
        <v/>
      </c>
      <c r="CZ26" t="str">
        <f t="shared" si="10"/>
        <v/>
      </c>
      <c r="DA26" t="str">
        <f t="shared" si="11"/>
        <v/>
      </c>
      <c r="DB26" t="str">
        <f t="shared" si="12"/>
        <v/>
      </c>
      <c r="DC26" t="str">
        <f t="shared" si="13"/>
        <v/>
      </c>
    </row>
    <row r="27" spans="1:107" x14ac:dyDescent="0.2">
      <c r="A27" s="231" t="s">
        <v>675</v>
      </c>
      <c r="B27" s="5" t="s">
        <v>623</v>
      </c>
      <c r="D27" t="str">
        <f t="shared" si="0"/>
        <v>50+|Female</v>
      </c>
      <c r="E27" s="503" cm="1">
        <f t="array" ref="E27">SUM(SUMIFS(Cascade!$AM:$AM,Cascade!$C:$C,{"50+"},Cascade!$D:$D,"Female"))</f>
        <v>0</v>
      </c>
      <c r="BR27" s="498" cm="1">
        <f t="array" ref="BR27">SUM(SUMIFS(Cascade!$AU:$AU,Cascade!$C:$C,{"50+"},Cascade!$D:$D,"Female"))</f>
        <v>0</v>
      </c>
      <c r="CJ27" s="11">
        <v>0</v>
      </c>
      <c r="CK27" t="str">
        <f>IF(SUM(E27)=0,"",E27*(1+$CJ27))</f>
        <v/>
      </c>
      <c r="CL27" t="str">
        <f>IF(SUM(BR27)=0,"",BR27*(1+$CJ27))</f>
        <v/>
      </c>
      <c r="CM27" t="str">
        <f>IF(SUM(BS27)=0,"",BS27*(1+$CJ27))</f>
        <v/>
      </c>
      <c r="CN27" t="str">
        <f>IF(SUM(BT27)=0,"",BT27*(1+$CJ27))</f>
        <v/>
      </c>
      <c r="CO27" t="str">
        <f>IF(SUM(BU27)=0,"",BU27*(1+$CJ27))</f>
        <v/>
      </c>
      <c r="CP27" t="e">
        <f>IF(SUM(#REF!)=0,"",#REF!*(1+$CJ27))</f>
        <v>#REF!</v>
      </c>
      <c r="CQ27" t="str">
        <f t="shared" si="1"/>
        <v/>
      </c>
      <c r="CR27" t="str">
        <f t="shared" si="2"/>
        <v/>
      </c>
      <c r="CS27" t="str">
        <f t="shared" si="3"/>
        <v/>
      </c>
      <c r="CT27" t="str">
        <f t="shared" si="4"/>
        <v/>
      </c>
      <c r="CU27" t="str">
        <f t="shared" si="5"/>
        <v/>
      </c>
      <c r="CV27" t="str">
        <f t="shared" si="6"/>
        <v/>
      </c>
      <c r="CW27" t="str">
        <f t="shared" si="7"/>
        <v/>
      </c>
      <c r="CX27" t="str">
        <f t="shared" si="8"/>
        <v/>
      </c>
      <c r="CY27" t="str">
        <f t="shared" si="9"/>
        <v/>
      </c>
      <c r="CZ27" t="str">
        <f t="shared" si="10"/>
        <v/>
      </c>
      <c r="DA27" t="str">
        <f t="shared" si="11"/>
        <v/>
      </c>
      <c r="DB27" t="str">
        <f t="shared" si="12"/>
        <v/>
      </c>
      <c r="DC27" t="str">
        <f t="shared" si="13"/>
        <v/>
      </c>
    </row>
    <row r="28" spans="1:107" x14ac:dyDescent="0.2">
      <c r="A28" s="231" t="s">
        <v>675</v>
      </c>
      <c r="B28" t="s">
        <v>676</v>
      </c>
      <c r="D28" t="str">
        <f t="shared" si="0"/>
        <v>50+|Male</v>
      </c>
      <c r="E28" s="503" cm="1">
        <f t="array" ref="E28">SUM(SUMIFS(Cascade!$AM:$AM,Cascade!$C:$C,{"50+"},Cascade!$D:$D,"Male"))</f>
        <v>0</v>
      </c>
      <c r="BR28" s="498" cm="1">
        <f t="array" ref="BR28">SUM(SUMIFS(Cascade!$AU:$AU,Cascade!$C:$C,{"50+"},Cascade!$D:$D,"Male"))</f>
        <v>0</v>
      </c>
      <c r="CJ28" s="11">
        <v>0</v>
      </c>
      <c r="CK28" t="str">
        <f>IF(SUM(E28)=0,"",E28*(1+$CJ28))</f>
        <v/>
      </c>
      <c r="CL28" t="str">
        <f>IF(SUM(BR28)=0,"",BR28*(1+$CJ28))</f>
        <v/>
      </c>
      <c r="CM28" t="str">
        <f>IF(SUM(BS28)=0,"",BS28*(1+$CJ28))</f>
        <v/>
      </c>
      <c r="CN28" t="str">
        <f>IF(SUM(BT28)=0,"",BT28*(1+$CJ28))</f>
        <v/>
      </c>
      <c r="CO28" t="str">
        <f>IF(SUM(BU28)=0,"",BU28*(1+$CJ28))</f>
        <v/>
      </c>
      <c r="CP28" t="e">
        <f>IF(SUM(#REF!)=0,"",#REF!*(1+$CJ28))</f>
        <v>#REF!</v>
      </c>
      <c r="CQ28" t="str">
        <f t="shared" si="1"/>
        <v/>
      </c>
      <c r="CR28" t="str">
        <f t="shared" si="2"/>
        <v/>
      </c>
      <c r="CS28" t="str">
        <f t="shared" si="3"/>
        <v/>
      </c>
      <c r="CT28" t="str">
        <f t="shared" si="4"/>
        <v/>
      </c>
      <c r="CU28" t="str">
        <f t="shared" si="5"/>
        <v/>
      </c>
      <c r="CV28" t="str">
        <f t="shared" si="6"/>
        <v/>
      </c>
      <c r="CW28" t="str">
        <f t="shared" si="7"/>
        <v/>
      </c>
      <c r="CX28" t="str">
        <f t="shared" si="8"/>
        <v/>
      </c>
      <c r="CY28" t="str">
        <f t="shared" si="9"/>
        <v/>
      </c>
      <c r="CZ28" t="str">
        <f t="shared" si="10"/>
        <v/>
      </c>
      <c r="DA28" t="str">
        <f t="shared" si="11"/>
        <v/>
      </c>
      <c r="DB28" t="str">
        <f t="shared" si="12"/>
        <v/>
      </c>
      <c r="DC28" t="str">
        <f t="shared" si="13"/>
        <v/>
      </c>
    </row>
    <row r="29" spans="1:107" x14ac:dyDescent="0.2">
      <c r="C29" t="s">
        <v>373</v>
      </c>
      <c r="D29" t="str">
        <f t="shared" si="0"/>
        <v>FSW</v>
      </c>
    </row>
    <row r="30" spans="1:107" x14ac:dyDescent="0.2">
      <c r="C30" t="s">
        <v>374</v>
      </c>
      <c r="D30" t="str">
        <f t="shared" si="0"/>
        <v>MSM</v>
      </c>
    </row>
    <row r="31" spans="1:107" x14ac:dyDescent="0.2">
      <c r="C31" t="s">
        <v>377</v>
      </c>
      <c r="D31" t="str">
        <f t="shared" si="0"/>
        <v>People in prisons and other enclosed settings</v>
      </c>
    </row>
    <row r="32" spans="1:107" x14ac:dyDescent="0.2">
      <c r="C32" t="s">
        <v>375</v>
      </c>
      <c r="D32" t="str">
        <f t="shared" si="0"/>
        <v>PWID</v>
      </c>
    </row>
    <row r="33" spans="3:4" x14ac:dyDescent="0.2">
      <c r="C33" t="s">
        <v>376</v>
      </c>
      <c r="D33" t="str">
        <f t="shared" si="0"/>
        <v>TG</v>
      </c>
    </row>
  </sheetData>
  <mergeCells count="4">
    <mergeCell ref="BV2:CH2"/>
    <mergeCell ref="CK2:CP2"/>
    <mergeCell ref="CQ2:DC2"/>
    <mergeCell ref="A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2022-12-08T20:01:09Z</dcterms:modified>
</cp:coreProperties>
</file>