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8_{666E91F6-4DCC-6B48-8E57-4D4BF337ECEE}" xr6:coauthVersionLast="47" xr6:coauthVersionMax="47" xr10:uidLastSave="{00000000-0000-0000-0000-000000000000}"/>
  <bookViews>
    <workbookView xWindow="-10480" yWindow="-28300" windowWidth="51200" windowHeight="28300" activeTab="4"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Cascade!$B$14:$CV$3876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TX_TB_PREV!$B$14:$Z$15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 i="46" l="1" a="1"/>
  <c r="L15" i="46" s="1"/>
  <c r="I4" i="40"/>
  <c r="H4" i="40"/>
  <c r="G4" i="40"/>
  <c r="R4" i="44"/>
  <c r="T4" i="44"/>
  <c r="S4" i="44"/>
  <c r="E4" i="34"/>
  <c r="F4" i="34"/>
  <c r="G4" i="15"/>
  <c r="AB4" i="9"/>
  <c r="AA4" i="9"/>
  <c r="X4" i="9"/>
  <c r="U4" i="9"/>
  <c r="S4" i="9"/>
  <c r="J4" i="9"/>
  <c r="K4" i="9"/>
  <c r="H4" i="9"/>
  <c r="I4" i="9"/>
  <c r="L15" i="9"/>
  <c r="O15" i="9"/>
  <c r="N15" i="9"/>
  <c r="M15" i="9"/>
  <c r="AA15" i="9"/>
  <c r="P4" i="9"/>
  <c r="AJ15" i="36"/>
  <c r="Q15" i="36" a="1"/>
  <c r="Q15" i="36" s="1"/>
  <c r="M15" i="36" a="1"/>
  <c r="M15" i="36" s="1"/>
  <c r="K15" i="36" a="1"/>
  <c r="K15" i="36" s="1"/>
  <c r="I15" i="36" a="1"/>
  <c r="I15" i="36" s="1"/>
  <c r="G15" i="36" a="1"/>
  <c r="G15" i="36" s="1"/>
  <c r="J4" i="6"/>
  <c r="K15" i="6"/>
  <c r="H15" i="6"/>
  <c r="BZ15" i="12"/>
  <c r="BN15" i="12"/>
  <c r="BK15" i="12"/>
  <c r="BH15" i="12"/>
  <c r="BE15" i="12"/>
  <c r="BB15" i="12"/>
  <c r="AY15" i="12"/>
  <c r="AV15" i="12"/>
  <c r="AS15" i="12"/>
  <c r="AP15" i="12"/>
  <c r="AM15" i="12"/>
  <c r="AJ15" i="12"/>
  <c r="G15" i="12" a="1"/>
  <c r="G15" i="12" s="1"/>
  <c r="AK4" i="13"/>
  <c r="AH4" i="13"/>
  <c r="AG4" i="13"/>
  <c r="AB4" i="13"/>
  <c r="Z4" i="13"/>
  <c r="S4" i="13"/>
  <c r="G4" i="13"/>
  <c r="AH4" i="10"/>
  <c r="AE4" i="10"/>
  <c r="Z4" i="10"/>
  <c r="X4" i="10"/>
  <c r="T4" i="10"/>
  <c r="U4" i="10"/>
  <c r="O4" i="10"/>
  <c r="N4" i="10"/>
  <c r="W15" i="8"/>
  <c r="AH15" i="10"/>
  <c r="AF15" i="10"/>
  <c r="AE15" i="10"/>
  <c r="AD15" i="10"/>
  <c r="AC15" i="10"/>
  <c r="AB15" i="10"/>
  <c r="AA15" i="10"/>
  <c r="Z15" i="10"/>
  <c r="X15" i="10"/>
  <c r="P15" i="10"/>
  <c r="L15" i="7"/>
  <c r="K15" i="10"/>
  <c r="J15" i="10"/>
  <c r="S4" i="8"/>
  <c r="N4" i="8"/>
  <c r="L4" i="8"/>
  <c r="J4" i="8"/>
  <c r="G4" i="8"/>
  <c r="U15" i="8"/>
  <c r="T15" i="8"/>
  <c r="S15" i="8"/>
  <c r="O15" i="8"/>
  <c r="R15" i="8" s="1"/>
  <c r="H15" i="8"/>
  <c r="E15" i="20"/>
  <c r="P15" i="8" l="1"/>
  <c r="Q15" i="8"/>
  <c r="CJ15" i="5" l="1"/>
  <c r="AZ15" i="5" l="1"/>
  <c r="AY15" i="5"/>
  <c r="AV15" i="5"/>
  <c r="AU15" i="5"/>
  <c r="BR15" i="5"/>
  <c r="AT15" i="7"/>
  <c r="AC15" i="7"/>
  <c r="AA15" i="7"/>
  <c r="Y15" i="7"/>
  <c r="V15" i="7"/>
  <c r="U15" i="7"/>
  <c r="X15" i="7" s="1"/>
  <c r="AH15" i="7" s="1"/>
  <c r="AJ15" i="7" s="1"/>
  <c r="AQ15" i="7" s="1"/>
  <c r="T15" i="7"/>
  <c r="R15" i="7"/>
  <c r="Q15" i="7"/>
  <c r="P15" i="7"/>
  <c r="O15" i="7"/>
  <c r="N15" i="7"/>
  <c r="M15" i="7"/>
  <c r="AD15" i="7" l="1"/>
  <c r="AK15" i="7"/>
  <c r="AI15" i="7"/>
  <c r="CN15" i="5"/>
  <c r="BG15" i="5"/>
  <c r="BC15" i="5"/>
  <c r="CA15" i="5"/>
  <c r="L15" i="5"/>
  <c r="AF15" i="7" l="1"/>
  <c r="AE15" i="7"/>
  <c r="AG15" i="7"/>
  <c r="AP15" i="7"/>
  <c r="AO15" i="7"/>
  <c r="CK15" i="5"/>
  <c r="CM15" i="5"/>
  <c r="AM15" i="7" l="1"/>
  <c r="AR15" i="7"/>
  <c r="AL15" i="7"/>
  <c r="AN15" i="7"/>
  <c r="BA15" i="7"/>
  <c r="BS15" i="5"/>
  <c r="BE15" i="5"/>
  <c r="AS15" i="5"/>
  <c r="AR15" i="5"/>
  <c r="AV15" i="7" l="1"/>
  <c r="AU15" i="7"/>
  <c r="AW15" i="7"/>
  <c r="AW15" i="5"/>
  <c r="N15" i="5"/>
  <c r="BI15" i="5"/>
  <c r="BJ15" i="5"/>
  <c r="Q2" i="3"/>
  <c r="CC15" i="5"/>
  <c r="AX15" i="5"/>
  <c r="BB15" i="7" l="1"/>
  <c r="AX15" i="7"/>
  <c r="AY15" i="7"/>
  <c r="N4" i="5"/>
  <c r="AH4" i="5" l="1"/>
  <c r="BJ4" i="5" s="1"/>
  <c r="AE4" i="5"/>
  <c r="AS4" i="5" s="1"/>
  <c r="AC4" i="5"/>
  <c r="BI4" i="5" s="1"/>
  <c r="Z4" i="5"/>
  <c r="AR4" i="5" s="1"/>
  <c r="K15" i="40" l="1"/>
  <c r="I15" i="40"/>
  <c r="H15" i="40"/>
  <c r="H15" i="34"/>
  <c r="G15" i="34"/>
  <c r="F15" i="34"/>
  <c r="E15" i="34"/>
  <c r="U15" i="14"/>
  <c r="T15" i="14"/>
  <c r="S15" i="14"/>
  <c r="R15" i="14"/>
  <c r="Q15" i="14"/>
  <c r="P15" i="14"/>
  <c r="N15" i="14"/>
  <c r="J15" i="14"/>
  <c r="H15" i="15"/>
  <c r="G15" i="15"/>
  <c r="AB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C15" i="20"/>
  <c r="F15" i="20" l="1"/>
  <c r="V15" i="9"/>
  <c r="Y15" i="9" s="1"/>
  <c r="T15" i="9"/>
  <c r="W15" i="9" l="1"/>
  <c r="Z15" i="9" s="1"/>
  <c r="T4" i="9"/>
  <c r="G15" i="20"/>
  <c r="K15" i="20" s="1"/>
  <c r="BV15" i="12" a="1"/>
  <c r="BV15" i="12" s="1"/>
  <c r="I15" i="20"/>
  <c r="L15" i="20" s="1"/>
  <c r="N15" i="20" s="1"/>
  <c r="BS4" i="5"/>
  <c r="AF4" i="5"/>
  <c r="AA4" i="5"/>
  <c r="AI4" i="5"/>
  <c r="AD4" i="5"/>
  <c r="R15" i="20" l="1"/>
  <c r="T15" i="20" s="1"/>
  <c r="V15" i="20" s="1"/>
  <c r="P15" i="20"/>
  <c r="R4" i="20"/>
  <c r="S4" i="20" s="1"/>
  <c r="P4" i="20"/>
  <c r="BR4" i="5"/>
  <c r="AO15" i="46" l="1" a="1"/>
  <c r="AO15" i="46" s="1"/>
  <c r="AN15" i="46" a="1"/>
  <c r="AN15" i="46" s="1"/>
  <c r="AH15" i="46" a="1"/>
  <c r="AH15" i="46" s="1"/>
  <c r="AG15" i="46" a="1"/>
  <c r="AG15" i="46" s="1"/>
  <c r="AA15" i="46" a="1"/>
  <c r="AA15" i="46" s="1"/>
  <c r="Z15" i="46" a="1"/>
  <c r="Z15" i="46" s="1"/>
  <c r="T15" i="46" a="1"/>
  <c r="T15" i="46" s="1"/>
  <c r="S15" i="46" a="1"/>
  <c r="S15" i="46" s="1"/>
  <c r="AG4" i="5"/>
  <c r="BE4" i="5" s="1"/>
  <c r="AB4" i="5"/>
  <c r="R15" i="5" l="1"/>
  <c r="J15" i="5"/>
  <c r="H15" i="5"/>
  <c r="F15" i="5"/>
  <c r="P15" i="5"/>
  <c r="M15" i="10"/>
  <c r="V15" i="5"/>
  <c r="L15" i="10"/>
  <c r="T15" i="10" s="1"/>
  <c r="U15" i="10" s="1"/>
  <c r="X15" i="5"/>
  <c r="BN15" i="5" s="1"/>
  <c r="BT15" i="5" s="1"/>
  <c r="T15" i="5"/>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F15" i="5" l="1"/>
  <c r="BK15" i="5"/>
  <c r="BL15" i="5" s="1"/>
  <c r="AQ15" i="5"/>
  <c r="AQ4" i="5" s="1"/>
  <c r="AT15" i="5"/>
  <c r="AL15" i="5"/>
  <c r="AL4" i="5" s="1"/>
  <c r="BP15" i="5"/>
  <c r="BA15" i="5"/>
  <c r="AJ15" i="5"/>
  <c r="AK15" i="5" s="1"/>
  <c r="BO15" i="5"/>
  <c r="K15" i="5"/>
  <c r="M15" i="5"/>
  <c r="O15" i="5"/>
  <c r="AP15" i="5"/>
  <c r="Q15" i="5"/>
  <c r="U15" i="5"/>
  <c r="G15" i="5"/>
  <c r="Y15" i="5"/>
  <c r="I15" i="5"/>
  <c r="W15" i="5"/>
  <c r="V4" i="5"/>
  <c r="BK4" i="5" s="1"/>
  <c r="S15" i="5"/>
  <c r="R4" i="5"/>
  <c r="J15" i="40"/>
  <c r="Q15" i="44"/>
  <c r="Q4" i="44"/>
  <c r="U15" i="44" l="1"/>
  <c r="V15" i="44" s="1"/>
  <c r="T15" i="44"/>
  <c r="S15" i="44"/>
  <c r="AM15" i="5"/>
  <c r="AN15" i="5" s="1"/>
  <c r="R15" i="44"/>
  <c r="AN4" i="5" l="1"/>
  <c r="AO15" i="5"/>
  <c r="AO4" i="5" s="1"/>
  <c r="AY4" i="5" l="1"/>
  <c r="BC4" i="5" s="1"/>
  <c r="BD15" i="5"/>
  <c r="BB15" i="5"/>
  <c r="BB4" i="5" s="1"/>
  <c r="V15" i="10"/>
  <c r="BD4" i="5" l="1"/>
  <c r="BG4" i="5" s="1"/>
  <c r="BH15" i="5"/>
  <c r="AZ4" i="5"/>
  <c r="D15" i="45"/>
  <c r="BH4" i="5" l="1"/>
  <c r="BL4" i="5" s="1"/>
  <c r="BM15" i="5"/>
  <c r="BV15" i="5" s="1"/>
  <c r="L15" i="8"/>
  <c r="N15" i="8"/>
  <c r="BY15" i="5" l="1"/>
  <c r="BX15" i="5"/>
  <c r="BW15" i="5"/>
  <c r="BZ15" i="5"/>
  <c r="CB15" i="5"/>
  <c r="BQ15" i="5"/>
  <c r="BU15" i="5" s="1"/>
  <c r="E15" i="46" a="1"/>
  <c r="E15" i="46" s="1"/>
  <c r="K15" i="46" a="1"/>
  <c r="K15" i="46" s="1"/>
  <c r="M15" i="46" a="1"/>
  <c r="M15" i="46" s="1"/>
  <c r="C15" i="46" a="1"/>
  <c r="C15" i="46" s="1"/>
  <c r="BQ15" i="46" a="1"/>
  <c r="BQ15" i="46" s="1"/>
  <c r="BP15" i="46" a="1"/>
  <c r="BP15" i="46" s="1"/>
  <c r="BX4" i="5" l="1"/>
  <c r="M4" i="46"/>
  <c r="K4" i="46"/>
  <c r="C4" i="46"/>
  <c r="E4" i="46"/>
  <c r="BP4" i="46"/>
  <c r="BQ4" i="46"/>
  <c r="BY4" i="5" l="1"/>
  <c r="CA4" i="5" s="1"/>
  <c r="CD15" i="5"/>
  <c r="CE15" i="5" s="1"/>
  <c r="CH15" i="5" s="1"/>
  <c r="AN4" i="13"/>
  <c r="AM4" i="13"/>
  <c r="O4" i="13"/>
  <c r="N4" i="13"/>
  <c r="CG15" i="5" l="1"/>
  <c r="G4" i="44"/>
  <c r="CQ15" i="5" l="1"/>
  <c r="CT15" i="5"/>
  <c r="CR15" i="5"/>
  <c r="DD15" i="5"/>
  <c r="CO15" i="5"/>
  <c r="CV15" i="5" s="1"/>
  <c r="CU15" i="5"/>
  <c r="CI15" i="5"/>
  <c r="S4" i="10"/>
  <c r="R4" i="10"/>
  <c r="CP15" i="5" l="1"/>
  <c r="CZ15" i="5"/>
  <c r="DA15" i="5" s="1"/>
  <c r="DB15" i="5"/>
  <c r="DC15" i="5" s="1"/>
  <c r="G15" i="40"/>
  <c r="E15" i="45" l="1"/>
  <c r="E4" i="45" l="1"/>
  <c r="E15" i="5"/>
  <c r="CL15" i="5" l="1"/>
  <c r="CS15" i="5" s="1"/>
  <c r="K15" i="7"/>
  <c r="I15" i="7"/>
  <c r="H15" i="7"/>
  <c r="J15" i="7"/>
  <c r="G15" i="7"/>
  <c r="F15" i="7"/>
  <c r="F15" i="16" a="1"/>
  <c r="F15" i="16" s="1"/>
  <c r="F15" i="14" a="1"/>
  <c r="F15" i="14" s="1"/>
  <c r="F15" i="12" a="1"/>
  <c r="F15" i="12" s="1"/>
  <c r="Q4" i="13"/>
  <c r="K4" i="40"/>
  <c r="M15" i="14"/>
  <c r="E15" i="15"/>
  <c r="AD4" i="13" l="1"/>
  <c r="AC4" i="13"/>
  <c r="W15" i="7" l="1"/>
  <c r="BM4" i="5"/>
  <c r="F4" i="16"/>
  <c r="O4" i="7"/>
  <c r="P4" i="7"/>
  <c r="R4" i="7"/>
  <c r="N4" i="7"/>
  <c r="Q4" i="7"/>
  <c r="M4" i="7"/>
  <c r="M4" i="10"/>
  <c r="L4" i="7"/>
  <c r="F4" i="14"/>
  <c r="L4" i="10"/>
  <c r="E15" i="14"/>
  <c r="D15" i="13"/>
  <c r="V4" i="7" l="1"/>
  <c r="BQ4" i="5"/>
  <c r="BT4" i="5" s="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BU4" i="5"/>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T4" i="5" s="1"/>
  <c r="T4" i="5"/>
  <c r="BF4" i="5" s="1"/>
  <c r="V4" i="44"/>
  <c r="U4" i="44"/>
  <c r="P4" i="44"/>
  <c r="O4" i="44"/>
  <c r="N4" i="44"/>
  <c r="E15" i="44"/>
  <c r="M4" i="44"/>
  <c r="G4" i="6"/>
  <c r="F4" i="6"/>
  <c r="I15" i="16" l="1"/>
  <c r="I4" i="16" s="1"/>
  <c r="H15" i="16"/>
  <c r="H4" i="16" s="1"/>
  <c r="F15" i="44" a="1"/>
  <c r="F15" i="44" s="1"/>
  <c r="F4" i="44" s="1"/>
  <c r="L4" i="5"/>
  <c r="J4" i="5"/>
  <c r="BO4" i="5"/>
  <c r="AP4" i="5"/>
  <c r="AJ4" i="5"/>
  <c r="BA4" i="5"/>
  <c r="BP4" i="5"/>
  <c r="BN4" i="5"/>
  <c r="AJ4" i="7"/>
  <c r="AM4" i="7"/>
  <c r="BV4" i="5"/>
  <c r="P6" i="2"/>
  <c r="D6" i="2"/>
  <c r="H6" i="2"/>
  <c r="AI4" i="7"/>
  <c r="AO4" i="7"/>
  <c r="AP4" i="7"/>
  <c r="J15" i="44"/>
  <c r="J4" i="44" s="1"/>
  <c r="BU15" i="12" l="1" a="1"/>
  <c r="BU15" i="12" s="1"/>
  <c r="BW4" i="5"/>
  <c r="CB4" i="5" l="1"/>
  <c r="CC4" i="5" s="1"/>
  <c r="AA4" i="46"/>
  <c r="Z4" i="46"/>
  <c r="S4" i="46"/>
  <c r="T4" i="46"/>
  <c r="BZ4" i="5" l="1"/>
  <c r="L6" i="2" s="1"/>
  <c r="AN4" i="46"/>
  <c r="AG4" i="46"/>
  <c r="AO4" i="46"/>
  <c r="AH4" i="46"/>
  <c r="H15" i="12" l="1" a="1"/>
  <c r="H15" i="12" s="1"/>
  <c r="O15" i="12" a="1"/>
  <c r="O15" i="12" s="1"/>
  <c r="V15" i="8"/>
  <c r="D15" i="40"/>
  <c r="J4" i="40"/>
  <c r="F4" i="40"/>
  <c r="E4" i="40"/>
  <c r="O15" i="36" l="1" a="1"/>
  <c r="O15" i="36" s="1"/>
  <c r="I15" i="12" a="1"/>
  <c r="I15" i="12" s="1"/>
  <c r="CZ4" i="5"/>
  <c r="O15" i="14"/>
  <c r="CC15" i="12"/>
  <c r="DA4" i="5" l="1"/>
  <c r="CX4" i="5" s="1"/>
  <c r="BR15" i="12" a="1"/>
  <c r="BR15" i="12" s="1"/>
  <c r="J15" i="12" a="1"/>
  <c r="J15" i="12" s="1"/>
  <c r="DB4" i="5"/>
  <c r="Q4" i="14"/>
  <c r="P4" i="14"/>
  <c r="DC4" i="5" l="1"/>
  <c r="CY4" i="5" s="1"/>
  <c r="BS15" i="12" a="1"/>
  <c r="BS15" i="12" s="1"/>
  <c r="O4" i="14"/>
  <c r="L15" i="36"/>
  <c r="H15" i="36"/>
  <c r="F15" i="36"/>
  <c r="K4" i="14" l="1"/>
  <c r="M4" i="14"/>
  <c r="L4" i="14"/>
  <c r="I4" i="8"/>
  <c r="E15" i="16" l="1"/>
  <c r="H15" i="44" l="1"/>
  <c r="H4" i="44" s="1"/>
  <c r="I15" i="44"/>
  <c r="I4" i="44" s="1"/>
  <c r="N4" i="16"/>
  <c r="R4" i="9"/>
  <c r="Q4" i="9"/>
  <c r="D4" i="34" l="1"/>
  <c r="C4" i="34"/>
  <c r="O4" i="16"/>
  <c r="L4" i="16"/>
  <c r="K4" i="16"/>
  <c r="F4" i="15"/>
  <c r="K4" i="13"/>
  <c r="J4" i="13"/>
  <c r="I4" i="13"/>
  <c r="H4" i="13"/>
  <c r="AA4" i="13"/>
  <c r="Y4" i="13"/>
  <c r="P4" i="13"/>
  <c r="V4" i="13"/>
  <c r="R4" i="13"/>
  <c r="AJ4" i="13"/>
  <c r="AI4" i="13"/>
  <c r="F4" i="13"/>
  <c r="E4" i="13"/>
  <c r="R4" i="14"/>
  <c r="I4" i="14"/>
  <c r="J4" i="14" s="1"/>
  <c r="CA4" i="12"/>
  <c r="CB4" i="12" s="1"/>
  <c r="F4" i="8"/>
  <c r="S4" i="7"/>
  <c r="T4" i="7" s="1"/>
  <c r="AL4" i="13" l="1"/>
  <c r="H4" i="34" l="1"/>
  <c r="G4" i="34"/>
  <c r="U4" i="7"/>
  <c r="Y4" i="7" s="1"/>
  <c r="E15" i="9"/>
  <c r="CC4" i="12"/>
  <c r="E15" i="6"/>
  <c r="E15" i="10"/>
  <c r="E15" i="8"/>
  <c r="E15" i="12"/>
  <c r="E15" i="7"/>
  <c r="D1" i="2"/>
  <c r="H4" i="15"/>
  <c r="S4" i="14"/>
  <c r="H4" i="8"/>
  <c r="R1" i="2"/>
  <c r="T4" i="14" l="1"/>
  <c r="N4" i="14"/>
  <c r="BR4" i="12"/>
  <c r="BS4" i="12"/>
  <c r="J4" i="12"/>
  <c r="G15" i="10"/>
  <c r="G4" i="10" s="1"/>
  <c r="I15" i="10"/>
  <c r="I4" i="10" s="1"/>
  <c r="H15" i="10"/>
  <c r="F15" i="10"/>
  <c r="BV4" i="12"/>
  <c r="I4" i="7"/>
  <c r="F4" i="7"/>
  <c r="H4" i="7" s="1"/>
  <c r="G4" i="7"/>
  <c r="J4" i="7" s="1"/>
  <c r="M15" i="12" a="1"/>
  <c r="M15" i="12" s="1"/>
  <c r="K15" i="12" a="1"/>
  <c r="K15" i="12" s="1"/>
  <c r="U4" i="14"/>
  <c r="N15" i="10" l="1"/>
  <c r="Q15" i="10"/>
  <c r="O15" i="10"/>
  <c r="J4" i="10"/>
  <c r="F4" i="10"/>
  <c r="BW15" i="12" l="1" a="1"/>
  <c r="BW15" i="12" s="1"/>
  <c r="BJ15" i="46" a="1"/>
  <c r="BJ15" i="46" s="1"/>
  <c r="H4" i="10"/>
  <c r="P4" i="10"/>
  <c r="BJ4" i="46" l="1"/>
  <c r="Q4" i="10"/>
  <c r="AA4" i="10" l="1"/>
  <c r="AB4" i="10"/>
  <c r="N15" i="12" l="1" a="1"/>
  <c r="N15" i="12" s="1"/>
  <c r="AF4" i="10"/>
  <c r="AC4" i="10"/>
  <c r="BW4" i="12"/>
  <c r="AD4" i="10" l="1"/>
  <c r="BC15" i="46" a="1"/>
  <c r="BC15" i="46" s="1"/>
  <c r="BC4" i="46" s="1"/>
  <c r="K4" i="36"/>
  <c r="G4" i="36"/>
  <c r="M4" i="36"/>
  <c r="N4" i="12" l="1"/>
  <c r="O4" i="8" l="1"/>
  <c r="AD4" i="7"/>
  <c r="T4" i="8"/>
  <c r="AE4" i="7"/>
  <c r="AA4" i="7" l="1"/>
  <c r="AC4" i="7"/>
  <c r="BT4" i="12"/>
  <c r="L15" i="12" l="1" a="1"/>
  <c r="L15" i="12" s="1"/>
  <c r="AF4" i="7"/>
  <c r="BA4" i="7" l="1"/>
  <c r="AL4" i="7"/>
  <c r="AN4" i="7"/>
  <c r="AG4" i="7"/>
  <c r="CJ4" i="5"/>
  <c r="BU4" i="12"/>
  <c r="K4" i="12" l="1"/>
  <c r="AR4" i="7"/>
  <c r="AT4" i="7" s="1"/>
  <c r="I4" i="36"/>
  <c r="AV4" i="7"/>
  <c r="AU4" i="7" l="1"/>
  <c r="BB4" i="7"/>
  <c r="BB15" i="46" a="1"/>
  <c r="BB15" i="46" s="1"/>
  <c r="BB4" i="46" s="1"/>
  <c r="AW4" i="7"/>
  <c r="AY4" i="7"/>
  <c r="AX4" i="7"/>
  <c r="CK4" i="5"/>
  <c r="L4" i="12" l="1"/>
  <c r="C4" i="20"/>
  <c r="F4" i="20"/>
  <c r="E4" i="20" l="1"/>
  <c r="D4" i="20"/>
  <c r="G4" i="20"/>
  <c r="Q4" i="8"/>
  <c r="R4" i="8" l="1"/>
  <c r="CL4" i="5"/>
  <c r="U4" i="8"/>
  <c r="V4" i="20" l="1"/>
  <c r="T4" i="20"/>
  <c r="U4" i="20" s="1"/>
  <c r="M4" i="12"/>
  <c r="CM4" i="5"/>
  <c r="L4" i="20"/>
  <c r="M4" i="20" s="1"/>
  <c r="AV15" i="46" l="1" a="1"/>
  <c r="AV15" i="46" s="1"/>
  <c r="AV4" i="46" s="1"/>
  <c r="AU15" i="46" a="1"/>
  <c r="AU15" i="46" s="1"/>
  <c r="AU4" i="46" s="1"/>
  <c r="N4" i="20"/>
  <c r="Q4" i="20" l="1"/>
  <c r="O4" i="20"/>
  <c r="F4" i="9"/>
  <c r="L4" i="9"/>
  <c r="M4" i="9"/>
  <c r="G4" i="9" l="1"/>
  <c r="N4" i="9"/>
  <c r="K4" i="6"/>
  <c r="H4" i="6"/>
  <c r="V4" i="9"/>
  <c r="CD4" i="5"/>
  <c r="AZ15" i="7" l="1"/>
  <c r="AZ4" i="7" s="1"/>
  <c r="AG15" i="10"/>
  <c r="Y15" i="8"/>
  <c r="CH4" i="5"/>
  <c r="Z15" i="8"/>
  <c r="Y4" i="9"/>
  <c r="O4" i="9"/>
  <c r="Z4" i="9"/>
  <c r="W4" i="9"/>
  <c r="CE4" i="5"/>
  <c r="DD4" i="5" l="1"/>
  <c r="CV4" i="5"/>
  <c r="CG4" i="5"/>
  <c r="CU4" i="5"/>
  <c r="CT4" i="5"/>
  <c r="CS4" i="5"/>
  <c r="CR4" i="5"/>
  <c r="CQ4" i="5"/>
  <c r="CP4" i="5"/>
  <c r="BI15" i="12"/>
  <c r="AU15" i="12"/>
  <c r="AR15" i="12"/>
  <c r="AX15" i="12"/>
  <c r="BC15" i="12"/>
  <c r="AO15" i="12"/>
  <c r="BM15" i="12"/>
  <c r="BG15" i="12"/>
  <c r="AL15" i="12"/>
  <c r="AI15" i="12"/>
  <c r="BA15" i="12"/>
  <c r="BD15" i="12"/>
  <c r="AC15" i="36" s="1"/>
  <c r="BP15" i="12"/>
  <c r="AK15" i="36" s="1"/>
  <c r="AL15" i="36" s="1"/>
  <c r="BO15" i="12"/>
  <c r="BO4" i="12" s="1"/>
  <c r="BJ15" i="12"/>
  <c r="AG15" i="36" s="1"/>
  <c r="Q15" i="12"/>
  <c r="AG15" i="12"/>
  <c r="T15" i="12"/>
  <c r="U15" i="12"/>
  <c r="S15" i="12"/>
  <c r="R15" i="12"/>
  <c r="CI4" i="5"/>
  <c r="CW4" i="5" s="1"/>
  <c r="P15" i="12"/>
  <c r="AG4" i="10"/>
  <c r="AA15" i="8"/>
  <c r="V4" i="8"/>
  <c r="W4" i="8" s="1"/>
  <c r="BD15" i="7"/>
  <c r="AJ15" i="10"/>
  <c r="S15" i="36"/>
  <c r="H4" i="12"/>
  <c r="CN4" i="5"/>
  <c r="U15" i="36" l="1"/>
  <c r="W15" i="36"/>
  <c r="W4" i="36" s="1"/>
  <c r="Y15" i="36"/>
  <c r="Y4" i="36" s="1"/>
  <c r="AE15" i="36"/>
  <c r="AE4" i="36" s="1"/>
  <c r="AA15" i="36"/>
  <c r="AA4" i="36" s="1"/>
  <c r="BE4" i="12"/>
  <c r="BD4" i="12"/>
  <c r="BQ15" i="12"/>
  <c r="BQ4" i="12" s="1"/>
  <c r="BJ4" i="12"/>
  <c r="BK4" i="12"/>
  <c r="Q4" i="12"/>
  <c r="AG4" i="36"/>
  <c r="AC4" i="36"/>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U4" i="36"/>
  <c r="AR4" i="12"/>
  <c r="BC4" i="12" l="1"/>
  <c r="Z4" i="12"/>
  <c r="AT4" i="12"/>
  <c r="X4" i="12"/>
  <c r="AN4" i="12"/>
  <c r="AF4" i="12"/>
  <c r="BL4" i="12"/>
  <c r="V4" i="12"/>
  <c r="Y4" i="12"/>
  <c r="AQ4" i="12"/>
  <c r="AA4" i="12"/>
  <c r="AW4" i="12"/>
  <c r="AB4" i="12"/>
  <c r="AZ4" i="12"/>
  <c r="AG4" i="12"/>
  <c r="AD4" i="12"/>
  <c r="BF4" i="12"/>
  <c r="W4" i="12"/>
  <c r="AK4" i="12"/>
  <c r="AE4" i="12"/>
  <c r="BI4" i="12"/>
  <c r="AC4" i="12"/>
  <c r="AJ4" i="12"/>
  <c r="AH4" i="12" s="1"/>
  <c r="BX15" i="12"/>
  <c r="BY15" i="12" s="1"/>
  <c r="O4" i="36" l="1"/>
  <c r="G15" i="16"/>
  <c r="G4" i="16" s="1"/>
  <c r="Q4" i="36"/>
  <c r="BI15" i="46" l="1" a="1"/>
  <c r="BI15" i="46" s="1"/>
  <c r="BI4" i="46" s="1"/>
  <c r="AJ4" i="36"/>
  <c r="AL4" i="36" s="1"/>
  <c r="L15" i="44"/>
  <c r="L4" i="44" s="1"/>
  <c r="BX4" i="12"/>
  <c r="BY4" i="12" l="1"/>
  <c r="BZ4" i="12" s="1"/>
  <c r="O4" i="12" l="1"/>
  <c r="CO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N3" authorId="0" shapeId="0" xr:uid="{26559B03-F2E1-8747-8F80-CCED9832539B}">
      <text>
        <r>
          <rPr>
            <sz val="10"/>
            <color rgb="FF000000"/>
            <rFont val="Tahoma"/>
            <family val="2"/>
          </rPr>
          <t>Includes both New Infections to Diagnose, and Previously Undiagnosed to Diagnose.</t>
        </r>
      </text>
    </comment>
    <comment ref="AU3" authorId="0" shapeId="0" xr:uid="{9354D4AD-034B-A440-9788-5DAA6A915930}">
      <text>
        <r>
          <rPr>
            <sz val="10"/>
            <color rgb="FF000000"/>
            <rFont val="Tahoma"/>
            <family val="34"/>
          </rPr>
          <t>Applies to both Host Country and PEPFAR models.</t>
        </r>
      </text>
    </comment>
    <comment ref="AW3" authorId="0" shapeId="0" xr:uid="{D9DC7C64-455F-E940-B49A-93F3BB050E0F}">
      <text>
        <r>
          <rPr>
            <sz val="10"/>
            <color rgb="FF000000"/>
            <rFont val="Tahoma"/>
            <family val="2"/>
          </rPr>
          <t>Applies to both Host Country and PEPFAR models.</t>
        </r>
      </text>
    </comment>
    <comment ref="AX3" authorId="0" shapeId="0" xr:uid="{E8CF64B3-5144-574C-AE4A-D33AF9790817}">
      <text>
        <r>
          <rPr>
            <sz val="10"/>
            <color rgb="FF000000"/>
            <rFont val="Tahoma"/>
            <family val="2"/>
          </rPr>
          <t>Applies to both Host Country and PEPFAR models.</t>
        </r>
      </text>
    </comment>
    <comment ref="AY3" authorId="0" shapeId="0" xr:uid="{347A99E7-EFEF-CD4F-83D1-EFB6DD8067D2}">
      <text>
        <r>
          <rPr>
            <sz val="10"/>
            <color rgb="FF000000"/>
            <rFont val="Tahoma"/>
            <family val="2"/>
          </rPr>
          <t>Includes both Newly Diagnosed &amp; Previously Diagnosed who were not already on ART.</t>
        </r>
      </text>
    </comment>
    <comment ref="BA3" authorId="0" shapeId="0" xr:uid="{159659A3-B5D7-0B4C-B5D3-73D03A4E82D0}">
      <text>
        <r>
          <rPr>
            <sz val="10"/>
            <color rgb="FF000000"/>
            <rFont val="Tahoma"/>
            <family val="2"/>
          </rPr>
          <t>This currently takes into account new infections but not mortality in both the numerator and denominator.</t>
        </r>
      </text>
    </comment>
    <comment ref="BB3" authorId="0" shapeId="0" xr:uid="{D8AAEFDF-8308-D449-B4F6-74921E0C0BC9}">
      <text>
        <r>
          <rPr>
            <b/>
            <sz val="10"/>
            <color rgb="FF000000"/>
            <rFont val="Tahoma"/>
            <family val="2"/>
          </rPr>
          <t xml:space="preserve">Negative TX_NET_NEW_SUBNAT is possible and may not indicate a quality failure, but should be carefuly analyzed. </t>
        </r>
        <r>
          <rPr>
            <sz val="10"/>
            <color rgb="FF000000"/>
            <rFont val="Tahoma"/>
            <family val="2"/>
          </rPr>
          <t>Pay special attention to determine the roles of retention rates, estimates of DIAGNOSED_SUBNAT and TX_CURR_SUBNAT, ART initiation rates, trends in incidence rates, &amp; mortality rates.</t>
        </r>
      </text>
    </comment>
    <comment ref="BC3" authorId="0" shapeId="0" xr:uid="{490651F7-B0B8-A543-91D2-0833571A798C}">
      <text>
        <r>
          <rPr>
            <sz val="10"/>
            <color rgb="FF000000"/>
            <rFont val="Tahoma"/>
            <family val="2"/>
          </rPr>
          <t xml:space="preserve">Per MER Guidance, must have been initiated on ART for at least 3 months to be eligible for VL Testing.
</t>
        </r>
        <r>
          <rPr>
            <sz val="10"/>
            <color rgb="FF000000"/>
            <rFont val="Tahoma"/>
            <family val="2"/>
          </rPr>
          <t xml:space="preserve">
</t>
        </r>
        <r>
          <rPr>
            <sz val="10"/>
            <color rgb="FF000000"/>
            <rFont val="Calibri"/>
            <family val="2"/>
            <scheme val="minor"/>
          </rPr>
          <t>Applies to both Host Country and PEPFAR models.</t>
        </r>
      </text>
    </comment>
    <comment ref="BD3" authorId="0" shapeId="0" xr:uid="{1710BF02-0946-6F4E-BAE3-777DB7D12DAB}">
      <text>
        <r>
          <rPr>
            <sz val="10"/>
            <color rgb="FF000000"/>
            <rFont val="Tahoma"/>
            <family val="2"/>
          </rPr>
          <t>Includes FY22 TX_CURR_SUBNAT + Planned PLHIV Initiated on ART (FY23). Does not incorporate retention or mortality rates.</t>
        </r>
      </text>
    </comment>
    <comment ref="BG3" authorId="0" shapeId="0" xr:uid="{CE702CD1-A5CF-A943-9591-2262147DC2F0}">
      <text>
        <r>
          <rPr>
            <sz val="10"/>
            <color rgb="FF000000"/>
            <rFont val="Tahoma"/>
            <family val="2"/>
          </rPr>
          <t>Applies to both Host Country and PEPFAR models.</t>
        </r>
      </text>
    </comment>
    <comment ref="BL3" authorId="0" shapeId="0" xr:uid="{2645012F-1C3E-B74C-81DF-B6497EF1B31B}">
      <text>
        <r>
          <rPr>
            <sz val="10"/>
            <color rgb="FF000000"/>
            <rFont val="Tahoma"/>
            <family val="2"/>
          </rPr>
          <t>Applies to both Host Country and PEPFAR models.</t>
        </r>
      </text>
    </comment>
    <comment ref="BN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BO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BR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BV3" authorId="0" shapeId="0" xr:uid="{537B22CF-DC84-F54A-A7C2-BFDEA6BB3B28}">
      <text>
        <r>
          <rPr>
            <b/>
            <sz val="10"/>
            <color rgb="FF000000"/>
            <rFont val="Tahoma"/>
            <family val="34"/>
          </rPr>
          <t>TX_PVLS:</t>
        </r>
        <r>
          <rPr>
            <sz val="10"/>
            <color rgb="FF000000"/>
            <rFont val="Calibri"/>
            <family val="2"/>
            <scheme val="minor"/>
          </rPr>
          <t xml:space="preserve">
</t>
        </r>
        <r>
          <rPr>
            <sz val="10"/>
            <color rgb="FF000000"/>
            <rFont val="Tahoma"/>
            <family val="34"/>
          </rPr>
          <t>For targeting purposes, 100% of TX_PVLS will be allocated to Routine testing instead of Targeted.</t>
        </r>
      </text>
    </comment>
    <comment ref="BW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J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K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L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M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W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X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Y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DA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DC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0179C954-BD96-634F-BD97-BDFC5AB8AD73}">
      <text>
        <r>
          <rPr>
            <sz val="10"/>
            <color rgb="FF000000"/>
            <rFont val="Tahoma"/>
            <family val="2"/>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<sst xmlns="http://schemas.openxmlformats.org/spreadsheetml/2006/main" count="4662" uniqueCount="1228">
  <si>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</si>
  <si>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</si>
  <si>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</si>
  <si>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</si>
  <si>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</si>
  <si>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</si>
  <si>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</si>
  <si>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</si>
  <si>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</si>
  <si>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</si>
  <si>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</si>
  <si>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</si>
  <si>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</si>
  <si>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</si>
  <si>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</si>
  <si>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</si>
  <si>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</si>
  <si>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</si>
  <si>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</si>
  <si>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</si>
  <si>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</si>
  <si>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</si>
  <si>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</si>
  <si>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</si>
  <si>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</si>
  <si>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</si>
  <si>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</si>
  <si>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</si>
  <si>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</si>
  <si>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</si>
  <si>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</si>
  <si>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</si>
  <si>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</si>
  <si>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</si>
  <si>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</si>
  <si>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</si>
  <si>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</si>
  <si>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</si>
  <si>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</si>
  <si>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</si>
  <si>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</si>
  <si>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</si>
  <si>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</si>
  <si>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</si>
  <si>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</si>
  <si>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</si>
  <si>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</si>
  <si>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</si>
  <si>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</si>
  <si>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</si>
  <si>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</si>
  <si>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</si>
  <si>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</si>
  <si>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</si>
  <si>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</si>
  <si>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</si>
  <si>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</si>
  <si>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</si>
  <si>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</si>
  <si>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</si>
  <si>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</si>
  <si>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</si>
  <si>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</si>
  <si>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</si>
  <si>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</si>
  <si>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</si>
  <si>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</si>
  <si>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</si>
  <si>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</si>
  <si>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</si>
  <si>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</si>
  <si>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</si>
  <si>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</si>
  <si>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</si>
  <si>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</si>
  <si>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</si>
  <si>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</si>
  <si>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</si>
  <si>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</si>
  <si>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</si>
  <si>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</si>
  <si>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</si>
  <si>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</si>
  <si>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</si>
  <si>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</si>
  <si>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</si>
  <si>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</si>
  <si>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</si>
  <si>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</si>
  <si>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</si>
  <si>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</si>
  <si>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</si>
  <si>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</si>
  <si>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</si>
  <si>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</si>
  <si>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</si>
  <si>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</si>
  <si>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</si>
  <si>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</si>
  <si>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</si>
  <si>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</si>
  <si>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</si>
  <si>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</si>
  <si>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</si>
  <si>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</si>
  <si>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</si>
  <si>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</si>
  <si>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</si>
  <si>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</si>
  <si>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</si>
  <si>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</si>
  <si>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</si>
  <si>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</si>
  <si>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</si>
  <si>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</si>
  <si>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</si>
  <si>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</si>
  <si>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</si>
  <si>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</si>
  <si>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</si>
  <si>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</si>
  <si>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</si>
  <si>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</si>
  <si>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</si>
  <si>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</si>
  <si>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</si>
  <si>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</si>
  <si>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</si>
  <si>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</si>
  <si>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</si>
  <si>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</si>
  <si>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</si>
  <si>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</si>
  <si>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</si>
  <si>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</si>
  <si>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</si>
  <si>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</si>
  <si>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</si>
  <si>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</si>
  <si>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</si>
  <si>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</si>
  <si>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</si>
  <si>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</si>
  <si>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</si>
  <si>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</si>
  <si>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</si>
  <si>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</si>
  <si>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</si>
  <si>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</si>
  <si>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</si>
  <si>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</si>
  <si>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</si>
  <si>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</si>
  <si>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</si>
  <si>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</si>
  <si>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</si>
  <si>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</si>
  <si>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</si>
  <si>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</si>
  <si>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</si>
  <si>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</si>
  <si>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</si>
  <si>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</si>
  <si>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</si>
  <si>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</si>
  <si>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</si>
  <si>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</si>
  <si>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</si>
  <si>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</si>
  <si>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</si>
  <si>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</si>
  <si>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</si>
  <si>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</si>
  <si>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</si>
  <si>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</si>
  <si>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</si>
  <si>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</si>
  <si>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</si>
  <si>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</si>
  <si>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</si>
  <si>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</si>
  <si>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</si>
  <si>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</si>
  <si>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</si>
  <si>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</si>
  <si>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</si>
  <si>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</si>
  <si>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</si>
  <si>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</si>
  <si>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</si>
  <si>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</si>
  <si>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</si>
  <si>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</si>
  <si>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</si>
  <si>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</si>
  <si>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</si>
  <si>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</si>
  <si>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</si>
  <si>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</si>
  <si>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</si>
  <si>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</si>
  <si>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</si>
  <si>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</si>
  <si>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</si>
  <si>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</si>
  <si>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</si>
  <si>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</si>
  <si>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</si>
  <si>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</si>
  <si>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</si>
  <si>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</si>
  <si>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</si>
  <si>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</si>
  <si>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</si>
  <si>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</si>
  <si>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</si>
  <si>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</si>
  <si>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</si>
  <si>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</si>
  <si>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</si>
  <si>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</si>
  <si>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</si>
  <si>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</si>
  <si>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</si>
  <si>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</si>
  <si>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</si>
  <si>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</si>
  <si>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</si>
  <si>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</si>
  <si>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</si>
  <si>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</si>
  <si>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</si>
  <si>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</si>
  <si>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</si>
  <si>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</si>
  <si>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</si>
  <si>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</si>
  <si>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</si>
  <si>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</si>
  <si>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</si>
  <si>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</si>
  <si>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</si>
  <si>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</si>
  <si>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</si>
  <si>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</si>
  <si>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</si>
  <si>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</si>
  <si>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</si>
  <si>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</si>
  <si>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</si>
  <si>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</si>
  <si>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</si>
  <si>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</si>
  <si>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</si>
  <si>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</si>
  <si>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</si>
  <si>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</si>
  <si>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</si>
  <si>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</si>
  <si>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</si>
  <si>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</si>
  <si>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</si>
  <si>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</si>
  <si>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</si>
  <si>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</si>
  <si>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</si>
  <si>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</si>
  <si>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</si>
  <si>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</si>
  <si>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</si>
  <si>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</si>
  <si>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</si>
  <si>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</si>
  <si>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</si>
  <si>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</si>
  <si>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</si>
  <si>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</si>
  <si>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</si>
  <si>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</si>
  <si>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</si>
  <si>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</si>
  <si>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</si>
  <si>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</si>
  <si>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</si>
  <si>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</si>
  <si>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</si>
  <si>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</si>
  <si>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</si>
  <si>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</si>
  <si>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</si>
  <si>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</si>
  <si>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</si>
  <si>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</si>
  <si>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</si>
  <si>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</si>
  <si>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</si>
  <si>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</si>
  <si>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</si>
  <si>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</si>
  <si>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</si>
  <si>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</si>
  <si>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</si>
  <si>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</si>
  <si>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</si>
  <si>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</si>
  <si>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</si>
  <si>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</si>
  <si>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</si>
  <si>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</si>
  <si>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</si>
  <si>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</si>
  <si>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</si>
  <si>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</si>
  <si>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</si>
  <si>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</si>
  <si>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</si>
  <si>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</si>
  <si>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</si>
  <si>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</si>
  <si>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</si>
  <si>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</si>
  <si>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</si>
  <si>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</si>
  <si>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</si>
  <si>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</si>
  <si>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</si>
  <si>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</si>
  <si>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</si>
  <si>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</si>
  <si>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</si>
  <si>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</si>
  <si>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</si>
  <si>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</si>
  <si>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</si>
  <si>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</si>
  <si>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</si>
  <si>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</si>
  <si>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</si>
  <si>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</si>
  <si>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</si>
  <si>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</si>
  <si>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</si>
  <si>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</si>
  <si>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</si>
  <si>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</si>
  <si>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</si>
  <si>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</si>
  <si>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</si>
  <si>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</si>
  <si>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</si>
  <si>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</si>
  <si>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</si>
  <si>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</si>
  <si>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</si>
  <si>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</si>
  <si>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</si>
  <si>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</si>
  <si>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</si>
  <si>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</si>
  <si>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</si>
  <si>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</si>
  <si>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</si>
  <si>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</si>
  <si>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</si>
  <si>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</si>
  <si>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</si>
  <si>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</si>
  <si>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</si>
  <si>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</si>
  <si>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</si>
  <si>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</si>
  <si>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</si>
  <si>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</si>
  <si>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</si>
  <si>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</si>
  <si>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</si>
  <si>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</si>
  <si>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</si>
  <si>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</si>
  <si>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</si>
  <si>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</si>
  <si>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</si>
  <si>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</si>
  <si>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</si>
  <si>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</si>
  <si>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</si>
  <si>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</si>
  <si>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</si>
  <si>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</si>
  <si>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</si>
  <si>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</si>
  <si>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</si>
  <si>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</si>
  <si>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</si>
  <si>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</si>
  <si>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</si>
  <si>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</si>
  <si>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</si>
  <si>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</si>
  <si>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</si>
  <si>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</si>
  <si>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</si>
  <si>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</si>
  <si>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</si>
  <si>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</si>
  <si>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</si>
  <si>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</si>
  <si>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</si>
  <si>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</si>
  <si>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</si>
  <si>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</si>
  <si>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</si>
  <si>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</si>
  <si>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</si>
  <si>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</si>
  <si>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</si>
  <si>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</si>
  <si>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</si>
  <si>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</si>
  <si>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</si>
  <si>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</si>
  <si>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</si>
  <si>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</si>
  <si>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</si>
  <si>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</si>
  <si>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</si>
  <si>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</si>
  <si>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</si>
  <si>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</si>
  <si>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</si>
  <si>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</si>
  <si>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</si>
  <si>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</si>
  <si>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</si>
  <si>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</si>
  <si>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</si>
  <si>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</si>
  <si>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</si>
  <si>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</si>
  <si>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</si>
  <si>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</si>
  <si>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</si>
  <si>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</si>
  <si>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</si>
  <si>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</si>
  <si>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</si>
  <si>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</si>
  <si>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</si>
  <si>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</si>
  <si>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</si>
  <si>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</si>
  <si>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</si>
  <si>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</si>
  <si>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</si>
  <si>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</si>
  <si>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</si>
  <si>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</si>
  <si>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</si>
  <si>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</si>
  <si>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</si>
  <si>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</si>
  <si>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</si>
  <si>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</si>
  <si>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</si>
  <si>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</si>
  <si>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</si>
  <si>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</si>
  <si>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</si>
  <si>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</si>
  <si>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</si>
  <si>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</si>
  <si>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</si>
  <si>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</si>
  <si>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</si>
  <si>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</si>
  <si>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</si>
  <si>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</si>
  <si>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</si>
  <si>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</si>
  <si>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</si>
  <si>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</si>
  <si>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</si>
  <si>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</si>
  <si>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</si>
  <si>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</si>
  <si>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</si>
  <si>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</si>
  <si>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</si>
  <si>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</si>
  <si>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</si>
  <si>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</si>
  <si>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</si>
  <si>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</si>
  <si>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</si>
  <si>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</si>
  <si>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</si>
  <si>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</si>
  <si>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</si>
  <si>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</si>
  <si>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</si>
  <si>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</si>
  <si>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</si>
  <si>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</si>
  <si>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</si>
  <si>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TX_NET_NEW.NewRt.T</t>
  </si>
  <si>
    <t>TX_NEW.PrevDiag.Share.T</t>
  </si>
  <si>
    <t>TX_NEW.Other.T</t>
  </si>
  <si>
    <t>HTS_TST.Linkage.R</t>
  </si>
  <si>
    <t>HTS_TST.Linkage.T</t>
  </si>
  <si>
    <t>TX_PVLS.D.Eligible.Rt.T</t>
  </si>
  <si>
    <t>TX_PVLS.D.Access.Rt.T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</si>
  <si>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</si>
  <si>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</si>
  <si>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</si>
  <si>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</si>
  <si>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</si>
  <si>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</si>
  <si>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</si>
  <si>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</si>
  <si>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</si>
  <si>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</si>
  <si>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</si>
  <si>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</si>
  <si>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</si>
  <si>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</si>
  <si>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</si>
  <si>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</si>
  <si>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</si>
  <si>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</si>
  <si>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</si>
  <si>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</si>
  <si>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</si>
  <si>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</si>
  <si>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</si>
  <si>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</si>
  <si>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</si>
  <si>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</si>
  <si>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</si>
  <si>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</si>
  <si>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</si>
  <si>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</si>
  <si>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</si>
  <si>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</si>
  <si>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</si>
  <si>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</si>
  <si>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</si>
  <si>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</si>
  <si>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</si>
  <si>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</si>
  <si>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</si>
  <si>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</si>
  <si>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</si>
  <si>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</si>
  <si>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</si>
  <si>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</si>
  <si>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</si>
  <si>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</si>
  <si>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</si>
  <si>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</si>
  <si>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</si>
  <si>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</si>
  <si>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</si>
  <si>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</si>
  <si>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</si>
  <si>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</si>
  <si>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</si>
  <si>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</si>
  <si>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</si>
  <si>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</si>
  <si>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</si>
  <si>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</si>
  <si>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</si>
  <si>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</si>
  <si>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</si>
  <si>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</si>
  <si>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</si>
  <si>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</si>
  <si>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</si>
  <si>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</si>
  <si>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</si>
  <si>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</si>
  <si>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</si>
  <si>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</si>
  <si>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</si>
  <si>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</si>
  <si>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</si>
  <si>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</si>
  <si>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</si>
  <si>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</si>
  <si>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</si>
  <si>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</si>
  <si>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</si>
  <si>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</si>
  <si>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</si>
  <si>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</si>
  <si>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</si>
  <si>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</si>
  <si>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</si>
  <si>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</si>
  <si>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</si>
  <si>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</si>
  <si>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</si>
  <si>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</si>
  <si>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</si>
  <si>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</si>
  <si>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</si>
  <si>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</si>
  <si>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</si>
  <si>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</si>
  <si>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</si>
  <si>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</si>
  <si>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</si>
  <si>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</si>
  <si>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</si>
  <si>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</si>
  <si>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</si>
  <si>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</si>
  <si>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</si>
  <si>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</si>
  <si>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</si>
  <si>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</si>
  <si>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</si>
  <si>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</si>
  <si>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</si>
  <si>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</si>
  <si>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</si>
  <si>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</si>
  <si>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</si>
  <si>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</si>
  <si>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</si>
  <si>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</si>
  <si>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</si>
  <si>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</si>
  <si>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</si>
  <si>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</si>
  <si>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</si>
  <si>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</si>
  <si>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</si>
  <si>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</si>
  <si>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</si>
  <si>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</si>
  <si>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</si>
  <si>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</si>
  <si>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</si>
  <si>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</si>
  <si>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</si>
  <si>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</si>
  <si>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</si>
  <si>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</si>
  <si>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</si>
  <si>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</si>
  <si>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</si>
  <si>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</si>
  <si>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</si>
  <si>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</si>
  <si>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</si>
  <si>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</si>
  <si>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</si>
  <si>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</si>
  <si>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</si>
  <si>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</si>
  <si>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</si>
  <si>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</si>
  <si>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</si>
  <si>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</si>
  <si>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</si>
  <si>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</si>
  <si>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</si>
  <si>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</si>
  <si>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</si>
  <si>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</si>
  <si>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</si>
  <si>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</si>
  <si>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</si>
  <si>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</si>
  <si>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</si>
  <si>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</si>
  <si>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</si>
  <si>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</si>
  <si>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</si>
  <si>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</si>
  <si>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</si>
  <si>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</si>
  <si>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</si>
  <si>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</si>
  <si>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</si>
  <si>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</si>
  <si>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</si>
  <si>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</si>
  <si>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</si>
  <si>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</si>
  <si>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</si>
  <si>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</si>
  <si>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</si>
  <si>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</si>
  <si>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</si>
  <si>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</si>
  <si>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</si>
  <si>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</si>
  <si>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</si>
  <si>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</si>
  <si>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</si>
  <si>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</si>
  <si>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</si>
  <si>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</si>
  <si>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</si>
  <si>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</si>
  <si>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</si>
  <si>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</si>
  <si>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</si>
  <si>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</si>
  <si>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</si>
  <si>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</si>
  <si>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</si>
  <si>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</si>
  <si>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</si>
  <si>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</si>
  <si>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</si>
  <si>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</si>
  <si>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</si>
  <si>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</si>
  <si>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</si>
  <si>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</si>
  <si>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</si>
  <si>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</si>
  <si>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</si>
  <si>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</si>
  <si>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</si>
  <si>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</si>
  <si>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</si>
  <si>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</si>
  <si>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</si>
  <si>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</si>
  <si>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</si>
  <si>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</si>
  <si>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</si>
  <si>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</si>
  <si>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</si>
  <si>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</si>
  <si>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</si>
  <si>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</si>
  <si>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</si>
  <si>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</si>
  <si>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</si>
  <si>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</si>
  <si>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</si>
  <si>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</si>
  <si>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</si>
  <si>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</si>
  <si>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</si>
  <si>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</si>
  <si>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</si>
  <si>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</si>
  <si>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</si>
  <si>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</si>
  <si>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</si>
  <si>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</si>
  <si>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</si>
  <si>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</si>
  <si>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</si>
  <si>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</si>
  <si>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</si>
  <si>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</si>
  <si>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</si>
  <si>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</si>
  <si>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</si>
  <si>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</si>
  <si>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</si>
  <si>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</si>
  <si>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</si>
  <si>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</si>
  <si>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</si>
  <si>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</si>
  <si>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</si>
  <si>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</si>
  <si>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</si>
  <si>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</si>
  <si>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</si>
  <si>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</si>
  <si>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</si>
  <si>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</si>
  <si>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</si>
  <si>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</si>
  <si>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</si>
  <si>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</si>
  <si>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</si>
  <si>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</si>
  <si>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</si>
  <si>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</si>
  <si>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</si>
  <si>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</si>
  <si>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</si>
  <si>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PEPFAR PVLS_NET_NEW (FY22 Targets)</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</si>
  <si>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</si>
  <si>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</si>
  <si>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</si>
  <si>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</si>
  <si>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</si>
  <si>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</si>
  <si>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</si>
  <si>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</si>
  <si>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</si>
  <si>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</si>
  <si>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</si>
  <si>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</si>
  <si>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</si>
  <si>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</si>
  <si>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</si>
  <si>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</si>
  <si>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</si>
  <si>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</si>
  <si>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</si>
  <si>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</si>
  <si>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</si>
  <si>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</si>
  <si>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</si>
  <si>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</si>
  <si>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</si>
  <si>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</si>
  <si>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</si>
  <si>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</si>
  <si>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</si>
  <si>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</si>
  <si>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</si>
  <si>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</si>
  <si>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</si>
  <si>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</si>
  <si>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</si>
  <si>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</si>
  <si>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</si>
  <si>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</si>
  <si>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</si>
  <si>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</si>
  <si>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</si>
  <si>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</si>
  <si>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</si>
  <si>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</si>
  <si>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</si>
  <si>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</si>
  <si>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</si>
  <si>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</si>
  <si>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</si>
  <si>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</si>
  <si>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</si>
  <si>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</si>
  <si>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</si>
  <si>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</si>
  <si>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</si>
  <si>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</si>
  <si>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</si>
  <si>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</si>
  <si>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</si>
  <si>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</si>
  <si>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</si>
  <si>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</si>
  <si>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</si>
  <si>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</si>
  <si>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</si>
  <si>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</si>
  <si>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</si>
  <si>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</si>
  <si>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</si>
  <si>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</si>
  <si>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</si>
  <si>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</si>
  <si>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</si>
  <si>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</si>
  <si>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</si>
  <si>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</si>
  <si>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</si>
  <si>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</si>
  <si>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</si>
  <si>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</si>
  <si>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</si>
  <si>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</si>
  <si>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</si>
  <si>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</si>
  <si>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</si>
  <si>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</si>
  <si>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</si>
  <si>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</si>
  <si>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</si>
  <si>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</si>
  <si>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</si>
  <si>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</si>
  <si>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</si>
  <si>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</si>
  <si>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</si>
  <si>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</si>
  <si>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</si>
  <si>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</si>
  <si>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</si>
  <si>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</si>
  <si>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</si>
  <si>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</si>
  <si>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</si>
  <si>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</si>
  <si>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</si>
  <si>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</si>
  <si>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</si>
  <si>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</si>
  <si>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</si>
  <si>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</si>
  <si>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</si>
  <si>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</si>
  <si>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</si>
  <si>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</si>
  <si>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</si>
  <si>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</si>
  <si>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</si>
  <si>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</si>
  <si>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</si>
  <si>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</si>
  <si>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</si>
  <si>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</si>
  <si>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</si>
  <si>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</si>
  <si>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</si>
  <si>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</si>
  <si>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</si>
  <si>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</si>
  <si>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</si>
  <si>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</si>
  <si>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</si>
  <si>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</si>
  <si>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</si>
  <si>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</si>
  <si>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</si>
  <si>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</si>
  <si>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</si>
  <si>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</si>
  <si>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</si>
  <si>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</si>
  <si>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</si>
  <si>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</si>
  <si>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</si>
  <si>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</si>
  <si>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</si>
  <si>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</si>
  <si>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</si>
  <si>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</si>
  <si>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</si>
  <si>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</si>
  <si>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</si>
  <si>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</si>
  <si>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</si>
  <si>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</si>
  <si>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</si>
  <si>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</si>
  <si>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</si>
  <si>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</si>
  <si>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</si>
  <si>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</si>
  <si>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</si>
  <si>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</si>
  <si>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</si>
  <si>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</si>
  <si>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</si>
  <si>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TX_PVLS_NET_NEW.N.T_1</t>
  </si>
  <si>
    <t>TX_PVLS.N.Routine.T_1</t>
  </si>
  <si>
    <t>TX_PVLS.N.Routine.R</t>
  </si>
  <si>
    <t>VL_TESTING_SUBNAT.Rt.T_1</t>
  </si>
  <si>
    <t>TX_CURR_SUBNAT_2nd90.Rt.T_1</t>
  </si>
  <si>
    <t>TX_PVLS_NET_NEW.N.T</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</si>
  <si>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</si>
  <si>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</si>
  <si>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</si>
  <si>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</si>
  <si>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</si>
  <si>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</si>
  <si>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</si>
  <si>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</si>
  <si>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</si>
  <si>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</si>
  <si>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</si>
  <si>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</si>
  <si>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 TX_NEW from Previously Diagnosed (FY23) (%)</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</si>
  <si>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</si>
  <si>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</si>
  <si>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</si>
  <si>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</si>
  <si>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</si>
  <si>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</si>
  <si>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</si>
  <si>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</si>
  <si>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</si>
  <si>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</si>
  <si>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</si>
  <si>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</si>
  <si>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</si>
  <si>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</si>
  <si>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</si>
  <si>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</si>
  <si>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</si>
  <si>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</si>
  <si>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</si>
  <si>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</si>
  <si>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</si>
  <si>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</si>
  <si>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</si>
  <si>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</si>
  <si>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</si>
  <si>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</si>
  <si>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</si>
  <si>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</si>
  <si>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</si>
  <si>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</si>
  <si>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</si>
  <si>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</si>
  <si>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</si>
  <si>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</si>
  <si>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</si>
  <si>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</si>
  <si>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</si>
  <si>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</si>
  <si>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</si>
  <si>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</si>
  <si>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</si>
  <si>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</si>
  <si>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</si>
  <si>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</si>
  <si>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</si>
  <si>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</si>
  <si>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</si>
  <si>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</si>
  <si>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</si>
  <si>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</si>
  <si>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</si>
  <si>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</si>
  <si>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</si>
  <si>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</si>
  <si>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</si>
  <si>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</si>
  <si>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</si>
  <si>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</si>
  <si>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</si>
  <si>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</si>
  <si>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</si>
  <si>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</si>
  <si>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</si>
  <si>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</si>
  <si>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</si>
  <si>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</si>
  <si>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</si>
  <si>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</si>
  <si>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</si>
  <si>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</si>
  <si>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</si>
  <si>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</si>
  <si>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</si>
  <si>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</si>
  <si>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</si>
  <si>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</si>
  <si>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</si>
  <si>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</si>
  <si>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</si>
  <si>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</si>
  <si>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</si>
  <si>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</si>
  <si>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</si>
  <si>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</si>
  <si>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</si>
  <si>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</si>
  <si>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</si>
  <si>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</si>
  <si>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</si>
  <si>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</si>
  <si>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</si>
  <si>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</si>
  <si>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</si>
  <si>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</si>
  <si>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</si>
  <si>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</si>
  <si>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</si>
  <si>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</si>
  <si>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</si>
  <si>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</si>
  <si>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</si>
  <si>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</si>
  <si>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</si>
  <si>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</si>
  <si>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</si>
  <si>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</si>
  <si>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</si>
  <si>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</si>
  <si>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</si>
  <si>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</si>
  <si>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</si>
  <si>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</si>
  <si>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</si>
  <si>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</si>
  <si>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</si>
  <si>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</si>
  <si>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</si>
  <si>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</si>
  <si>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</si>
  <si>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</si>
  <si>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</si>
  <si>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</si>
  <si>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</si>
  <si>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</si>
  <si>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</si>
  <si>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</si>
  <si>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</si>
  <si>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</si>
  <si>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</si>
  <si>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</si>
  <si>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</si>
  <si>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</si>
  <si>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</si>
  <si>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</si>
  <si>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</si>
  <si>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VLS_NET_NEW_SUBNAT</t>
  </si>
  <si>
    <t>Est. PEPFAR Coverage of Host Country VLS_NET_NEW_SUBNAT (FY23) (%)</t>
  </si>
  <si>
    <t>VLS_NET_NEW_SUBNAT.T</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</si>
  <si>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</si>
  <si>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</si>
  <si>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</si>
  <si>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</si>
  <si>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</si>
  <si>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</si>
  <si>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</si>
  <si>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</si>
  <si>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</si>
  <si>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</si>
  <si>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</si>
  <si>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</si>
  <si>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</si>
  <si>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VL Testing Coverage (FY22 Targets) (%)</t>
  </si>
  <si>
    <t>PEPFAR ART Linkage Rate (FY21 Results) (%)</t>
  </si>
  <si>
    <t>PEPFAR ART Linkage Rate (FY22 Targets) (%)</t>
  </si>
  <si>
    <t>RSE: New Infections (District-level) (%)</t>
  </si>
  <si>
    <t>NEW_ART_SUBNAT.T</t>
  </si>
  <si>
    <t>Targeted Retention Rate - Initiated on ART (FY23) (%)</t>
  </si>
  <si>
    <t>TX_CURR_SUBNAT.Rt.T</t>
  </si>
  <si>
    <t>Planned TX_NET_NEW_SUBNAT (FY23)</t>
  </si>
  <si>
    <t>TX_PVLS (D) Routine (FY23)</t>
  </si>
  <si>
    <t>Planned  VL_SUPPRESSION_SUBNAT (FY23)</t>
  </si>
  <si>
    <t>Planned PopVLS Rate (FY23) (%)</t>
  </si>
  <si>
    <t>Planned VLS_NET_NEW_SUBNAT (FY23)</t>
  </si>
  <si>
    <t>TX_PVLS (N) Routine (FY23)</t>
  </si>
  <si>
    <t>PEPFAR Total Initiated on ART (FY23)</t>
  </si>
  <si>
    <t>% Initiated on ART from New ART Initiation (FY23) (%)</t>
  </si>
  <si>
    <t>NEW_INFECTIONS_SUBNAT.T_1</t>
  </si>
  <si>
    <t>NEW_INFECTIONS_SUBNAT.DistrictUncertainty.T_1</t>
  </si>
  <si>
    <t>Est. % PLHIV Diagnosed (FY22) (%)</t>
  </si>
  <si>
    <t>TX_CURR_SUBNAT &amp; TX_NET_NEW_SUBNAT</t>
  </si>
  <si>
    <t>Est. PEPFAR Coverage of VL_SUPPRESSION_SUBNAT (FY22) (%)</t>
  </si>
  <si>
    <t>PVLS_NET_NEW (FY23)</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</si>
  <si>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</si>
  <si>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</si>
  <si>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</si>
  <si>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</si>
  <si>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</si>
  <si>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</si>
  <si>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</si>
  <si>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</si>
  <si>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</si>
  <si>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</si>
  <si>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</si>
  <si>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</si>
  <si>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</si>
  <si>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</si>
  <si>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TX_PVLS, TX_CURR, TX_NEW</t>
  </si>
  <si>
    <t>PEPFAR Testing</t>
  </si>
  <si>
    <t>UNDIAGNOSED_SUBNAT.T_1</t>
  </si>
  <si>
    <t>DIAGNOSED_SUBNAT.Rt.New.T</t>
  </si>
  <si>
    <t>DIAGNOSED_SUBNAT.Rt.Prev.T</t>
  </si>
  <si>
    <t>DIAGNOSED_SUBNAT.New.T</t>
  </si>
  <si>
    <t>TX_NET_NEW_SUBNAT.T</t>
  </si>
  <si>
    <t>VL_TESTING_SUBNAT.T</t>
  </si>
  <si>
    <t>PopVLS.Rt.T</t>
  </si>
  <si>
    <t>TX_EVLT.T</t>
  </si>
  <si>
    <t>TX_INIT.T</t>
  </si>
  <si>
    <t>EVLT_SUBNAT.T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</si>
  <si>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</si>
  <si>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</si>
  <si>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</si>
  <si>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</si>
  <si>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</si>
  <si>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DIAG_NO_TX_SUBNAT.T_1</t>
  </si>
  <si>
    <t>Planned % Previously Diagnosed not on ART to Initiate on ART (FY23) (%)</t>
  </si>
  <si>
    <t>Planned % Newly Diagnosed to Initiate on ART (FY23) (%)</t>
  </si>
  <si>
    <t>H.C. Est. Previously Diagnosed not on ART (FY22)</t>
  </si>
  <si>
    <t>PREV_DIAG.Linkage.T</t>
  </si>
  <si>
    <t>H.C. Planned Total EVLT (FY23)</t>
  </si>
  <si>
    <t>H.C. Planned Total Tested for VLS (FY23)</t>
  </si>
  <si>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</si>
  <si>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</si>
  <si>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</si>
  <si>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</si>
  <si>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</si>
  <si>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</si>
  <si>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</si>
  <si>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</si>
  <si>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</si>
  <si>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</si>
  <si>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</si>
  <si>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</si>
  <si>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</si>
  <si>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</si>
  <si>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</si>
  <si>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</si>
  <si>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</si>
  <si>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</si>
  <si>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</si>
  <si>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Planned % New Infections Diagnosed (FY23) (%)</t>
  </si>
  <si>
    <t>Est. PLHIV Previously Undiagnosed (FY22)</t>
  </si>
  <si>
    <t>Planned % PLHIV Previously Undiagnosed to Diagnose (FY23) (%)</t>
  </si>
  <si>
    <t>Total PLHIV Newly Diagnosed (FY23)</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</si>
  <si>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</si>
  <si>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</si>
  <si>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</si>
  <si>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</si>
  <si>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</si>
  <si>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Initiated on ART (FY23)</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</si>
  <si>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</si>
  <si>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</si>
  <si>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</si>
  <si>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</si>
  <si>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</si>
  <si>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</si>
  <si>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</si>
  <si>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Already on ART Eligible for TPT Initiation</t>
  </si>
  <si>
    <t>% Already on ART Eligible for TPT initiated on TPT (FY23) (%)</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</si>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</sst>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8">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84">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10" xfId="0" applyNumberFormat="1" applyFont="1" applyFill="1" applyBorder="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28" fillId="0" borderId="0" xfId="0" applyNumberFormat="1" applyFont="1" applyAlignment="1">
      <alignment horizontal="right"/>
    </xf>
    <xf numFmtId="3" fontId="31" fillId="0" borderId="0" xfId="0" applyNumberFormat="1" applyFont="1" applyAlignment="1">
      <alignment horizontal="right"/>
    </xf>
    <xf numFmtId="3" fontId="30" fillId="3" borderId="0" xfId="0" applyNumberFormat="1" applyFont="1" applyFill="1" applyAlignment="1">
      <alignment horizontal="left"/>
    </xf>
    <xf numFmtId="3" fontId="30" fillId="3" borderId="10" xfId="0" applyNumberFormat="1" applyFont="1" applyFill="1" applyBorder="1" applyAlignment="1">
      <alignment horizontal="lef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3" fontId="30"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3" fontId="28" fillId="2" borderId="0" xfId="0" applyNumberFormat="1" applyFont="1" applyFill="1" applyAlignment="1">
      <alignment horizontal="center" vertical="center" wrapText="1"/>
    </xf>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2" fillId="4" borderId="27" xfId="1" applyNumberFormat="1" applyFont="1" applyFill="1" applyBorder="1" applyAlignment="1">
      <alignment vertical="center"/>
    </xf>
    <xf numFmtId="3" fontId="15" fillId="7" borderId="27" xfId="1" applyNumberFormat="1" applyFont="1" applyFill="1" applyBorder="1" applyAlignment="1">
      <alignment horizontal="center" vertical="center" wrapText="1"/>
    </xf>
    <xf numFmtId="3" fontId="5" fillId="0" borderId="10" xfId="0" applyNumberFormat="1" applyFont="1" applyBorder="1"/>
    <xf numFmtId="3" fontId="31" fillId="0" borderId="10" xfId="1" applyNumberFormat="1" applyFont="1" applyBorder="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3" fontId="28" fillId="0" borderId="10" xfId="0" applyNumberFormat="1" applyFont="1" applyBorder="1" applyAlignment="1">
      <alignment horizontal="right"/>
    </xf>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3" fontId="31" fillId="2" borderId="0" xfId="1" applyNumberFormat="1" applyFont="1" applyFill="1" applyAlignment="1">
      <alignment horizontal="center" vertical="center" wrapText="1"/>
    </xf>
    <xf numFmtId="3" fontId="31" fillId="0" borderId="0" xfId="1" applyNumberFormat="1" applyFont="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0"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45" fillId="6" borderId="11" xfId="0" applyNumberFormat="1" applyFont="1" applyFill="1" applyBorder="1" applyAlignment="1">
      <alignment horizontal="left" vertical="center" wrapText="1"/>
    </xf>
    <xf numFmtId="3" fontId="16" fillId="4" borderId="0" xfId="1" applyNumberFormat="1" applyFont="1" applyFill="1" applyBorder="1" applyAlignment="1">
      <alignment vertical="center"/>
    </xf>
    <xf numFmtId="3" fontId="9" fillId="0" borderId="27" xfId="1" applyNumberFormat="1" applyFont="1" applyBorder="1"/>
    <xf numFmtId="3" fontId="15" fillId="0" borderId="0" xfId="1" applyNumberFormat="1" applyFont="1" applyBorder="1" applyAlignment="1">
      <alignment horizontal="right"/>
    </xf>
    <xf numFmtId="3" fontId="15" fillId="0" borderId="27" xfId="1" applyNumberFormat="1" applyFont="1" applyBorder="1" applyAlignment="1">
      <alignment horizontal="right"/>
    </xf>
    <xf numFmtId="3" fontId="15" fillId="0" borderId="27" xfId="1" applyNumberFormat="1" applyFont="1" applyBorder="1"/>
    <xf numFmtId="3" fontId="30" fillId="3" borderId="27" xfId="1" applyNumberFormat="1" applyFont="1" applyFill="1" applyBorder="1"/>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9" fillId="0" borderId="0" xfId="1" applyNumberFormat="1" applyFont="1"/>
    <xf numFmtId="9" fontId="15" fillId="0" borderId="0" xfId="1" applyNumberFormat="1" applyFont="1" applyAlignment="1">
      <alignment horizontal="right"/>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10" fontId="31" fillId="2" borderId="0" xfId="1" applyNumberFormat="1" applyFont="1" applyFill="1" applyAlignment="1">
      <alignment horizontal="center" vertical="center" wrapText="1"/>
    </xf>
    <xf numFmtId="10" fontId="1" fillId="0" borderId="0" xfId="1" applyNumberFormat="1" applyFont="1" applyAlignment="1">
      <alignment horizontal="right"/>
    </xf>
    <xf numFmtId="10" fontId="31" fillId="0" borderId="0" xfId="1" applyNumberFormat="1" applyFont="1"/>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10" fontId="0" fillId="0" borderId="0" xfId="1" applyNumberFormat="1" applyFont="1" applyFill="1"/>
    <xf numFmtId="3" fontId="0" fillId="0" borderId="0" xfId="1"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3" fontId="15" fillId="0" borderId="27" xfId="1" applyNumberFormat="1" applyFont="1" applyFill="1" applyBorder="1"/>
    <xf numFmtId="9" fontId="0" fillId="0" borderId="0" xfId="0" applyNumberFormat="1" applyFont="1" applyFill="1" applyBorder="1"/>
    <xf numFmtId="9" fontId="1" fillId="0" borderId="0" xfId="1" applyNumberFormat="1" applyFont="1" applyFill="1" applyBorder="1"/>
    <xf numFmtId="9" fontId="0" fillId="0" borderId="0" xfId="0" applyNumberFormat="1" applyFont="1" applyFill="1"/>
    <xf numFmtId="9" fontId="15" fillId="0" borderId="0" xfId="1" applyNumberFormat="1" applyFont="1" applyFill="1" applyBorder="1"/>
    <xf numFmtId="3" fontId="15" fillId="0" borderId="0" xfId="0" applyNumberFormat="1" applyFont="1" applyFill="1" applyBorder="1"/>
    <xf numFmtId="3" fontId="15" fillId="0" borderId="1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15" fillId="7" borderId="0" xfId="1" applyNumberFormat="1" applyFont="1" applyFill="1" applyAlignment="1">
      <alignment horizontal="center" vertical="center" wrapText="1"/>
    </xf>
    <xf numFmtId="9" fontId="15" fillId="0" borderId="0" xfId="1" applyNumberFormat="1" applyFont="1" applyFill="1"/>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3" fontId="35" fillId="7" borderId="0" xfId="1" applyNumberFormat="1" applyFont="1" applyFill="1" applyAlignment="1">
      <alignment horizontal="center" vertical="center" wrapText="1"/>
    </xf>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s>
  <tableStyles count="0" defaultTableStyle="TableStyleMedium2" defaultPivotStyle="PivotStyleLight16"/>
  <colors>
    <mruColors>
      <color rgb="FF63BE7B"/>
      <color rgb="FF9CBEBD"/>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1" t="s">
        <v>26</v>
      </c>
    </row>
    <row r="10" spans="2:2" ht="97" x14ac:dyDescent="0.2">
      <c r="B10" s="10" t="s">
        <v>789</v>
      </c>
    </row>
    <row r="20" spans="2:2" ht="82" x14ac:dyDescent="0.9">
      <c r="B20" s="4" t="s">
        <v>502</v>
      </c>
    </row>
    <row r="25" spans="2:2" x14ac:dyDescent="0.2">
      <c r="B25"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359" t="s">
        <v>70</v>
      </c>
      <c r="B1" s="359"/>
      <c r="C1" s="22"/>
      <c r="D1" s="23" t="str">
        <f>"Hello, "&amp;Home!$B$20&amp;" Team"</f>
        <v>Hello, Lesotho Team</v>
      </c>
      <c r="E1" s="22"/>
      <c r="F1" s="22"/>
      <c r="G1" s="22"/>
      <c r="H1" s="22"/>
      <c r="I1" s="22"/>
      <c r="J1" s="22"/>
      <c r="K1" s="22"/>
      <c r="L1" s="22"/>
      <c r="M1" s="22"/>
      <c r="N1" s="22"/>
      <c r="O1" s="22"/>
      <c r="P1" s="22"/>
      <c r="Q1" s="22"/>
      <c r="R1" s="24" t="str">
        <f ca="1">TEXT(TODAY(),"ddd, mmm dd")</f>
        <v>Tue, Dec 28</v>
      </c>
      <c r="S1" s="22"/>
    </row>
    <row r="2" spans="1:19" customFormat="1" ht="21" x14ac:dyDescent="0.25">
      <c r="A2" s="360" t="s">
        <v>1104</v>
      </c>
      <c r="B2" s="360"/>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767</v>
      </c>
      <c r="C5" s="22"/>
      <c r="D5" s="25" t="s">
        <v>1107</v>
      </c>
      <c r="E5" s="26"/>
      <c r="F5" s="27"/>
      <c r="G5" s="22"/>
      <c r="H5" s="25" t="s">
        <v>1108</v>
      </c>
      <c r="I5" s="26"/>
      <c r="J5" s="27"/>
      <c r="K5" s="22"/>
      <c r="L5" s="25" t="s">
        <v>1109</v>
      </c>
      <c r="M5" s="28"/>
      <c r="N5" s="27"/>
      <c r="O5" s="22"/>
      <c r="P5" s="25" t="s">
        <v>1110</v>
      </c>
      <c r="Q5" s="26"/>
      <c r="R5" s="27"/>
      <c r="S5" s="22"/>
    </row>
    <row r="6" spans="1:19" customFormat="1" ht="20" customHeight="1" x14ac:dyDescent="0.2">
      <c r="A6" s="13"/>
      <c r="B6" s="14"/>
      <c r="C6" s="22"/>
      <c r="D6" s="356" t="str">
        <f>IFERROR(SUM(Cascade!$T:$T)/SUM(Cascade!$H:$H),"")</f>
        <v/>
      </c>
      <c r="E6" s="357"/>
      <c r="F6" s="358"/>
      <c r="G6" s="22"/>
      <c r="H6" s="361">
        <f>SUM(Cascade!$T:$T)-Cascade!$T$4</f>
        <v>0</v>
      </c>
      <c r="I6" s="362"/>
      <c r="J6" s="363"/>
      <c r="K6" s="22"/>
      <c r="L6" s="361" t="e">
        <f>SUM(Cascade!$BZ:$BZ)-Cascade!$BZ$4</f>
        <v>#VALUE!</v>
      </c>
      <c r="M6" s="362"/>
      <c r="N6" s="363"/>
      <c r="O6" s="22"/>
      <c r="P6" s="356" t="str">
        <f>IFERROR(SUM(Cascade!$H:$H)/SUM(Cascade!$F:$F),"")</f>
        <v/>
      </c>
      <c r="Q6" s="357"/>
      <c r="R6" s="358"/>
      <c r="S6" s="22"/>
    </row>
    <row r="7" spans="1:19" customFormat="1" ht="20" customHeight="1" x14ac:dyDescent="0.2">
      <c r="A7" s="152">
        <v>2</v>
      </c>
      <c r="B7" s="14" t="s">
        <v>768</v>
      </c>
      <c r="C7" s="22"/>
      <c r="D7" s="356"/>
      <c r="E7" s="357"/>
      <c r="F7" s="358"/>
      <c r="G7" s="22"/>
      <c r="H7" s="361"/>
      <c r="I7" s="362"/>
      <c r="J7" s="363"/>
      <c r="K7" s="22"/>
      <c r="L7" s="361"/>
      <c r="M7" s="362"/>
      <c r="N7" s="363"/>
      <c r="O7" s="22"/>
      <c r="P7" s="356"/>
      <c r="Q7" s="357"/>
      <c r="R7" s="358"/>
      <c r="S7" s="22"/>
    </row>
    <row r="8" spans="1:19" customFormat="1" ht="20" customHeight="1" x14ac:dyDescent="0.2">
      <c r="A8" s="13"/>
      <c r="B8" s="14"/>
      <c r="C8" s="22"/>
      <c r="D8" s="356"/>
      <c r="E8" s="357"/>
      <c r="F8" s="358"/>
      <c r="G8" s="22"/>
      <c r="H8" s="361"/>
      <c r="I8" s="362"/>
      <c r="J8" s="363"/>
      <c r="K8" s="22"/>
      <c r="L8" s="361"/>
      <c r="M8" s="362"/>
      <c r="N8" s="363"/>
      <c r="O8" s="22"/>
      <c r="P8" s="356"/>
      <c r="Q8" s="357"/>
      <c r="R8" s="358"/>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80"/>
      <c r="D10" s="280"/>
      <c r="E10" s="280"/>
      <c r="F10" s="280"/>
      <c r="G10" s="280"/>
      <c r="H10" s="280"/>
      <c r="I10" s="280"/>
      <c r="J10" s="280"/>
      <c r="K10" s="280"/>
      <c r="L10" s="280"/>
      <c r="M10" s="280"/>
      <c r="N10" s="280"/>
      <c r="O10" s="280"/>
      <c r="P10" s="280"/>
      <c r="Q10" s="280"/>
      <c r="R10" s="280"/>
      <c r="S10" s="280"/>
    </row>
    <row r="11" spans="1:19" customFormat="1" ht="30" customHeight="1" x14ac:dyDescent="0.2">
      <c r="A11" s="12"/>
      <c r="B11" s="7"/>
      <c r="C11" s="280"/>
      <c r="D11" s="281"/>
      <c r="E11" s="282"/>
      <c r="F11" s="282"/>
      <c r="G11" s="282"/>
      <c r="H11" s="282"/>
      <c r="I11" s="282"/>
      <c r="J11" s="282"/>
      <c r="K11" s="282"/>
      <c r="L11" s="282"/>
      <c r="M11" s="282"/>
      <c r="N11" s="282"/>
      <c r="O11" s="282"/>
      <c r="P11" s="282"/>
      <c r="Q11" s="282"/>
      <c r="R11" s="283"/>
      <c r="S11" s="280"/>
    </row>
    <row r="12" spans="1:19" customFormat="1" ht="30" customHeight="1" x14ac:dyDescent="0.2">
      <c r="A12" s="12"/>
      <c r="B12" s="7"/>
      <c r="C12" s="280"/>
      <c r="D12" s="284"/>
      <c r="E12" s="280"/>
      <c r="F12" s="280"/>
      <c r="G12" s="280"/>
      <c r="H12" s="280"/>
      <c r="I12" s="280"/>
      <c r="J12" s="280"/>
      <c r="K12" s="280"/>
      <c r="L12" s="280"/>
      <c r="M12" s="280"/>
      <c r="N12" s="280"/>
      <c r="O12" s="280"/>
      <c r="P12" s="280"/>
      <c r="Q12" s="280"/>
      <c r="R12" s="285"/>
      <c r="S12" s="280"/>
    </row>
    <row r="13" spans="1:19" customFormat="1" ht="30" customHeight="1" x14ac:dyDescent="0.2">
      <c r="A13" s="12"/>
      <c r="B13" s="7"/>
      <c r="C13" s="280"/>
      <c r="D13" s="284"/>
      <c r="E13" s="280"/>
      <c r="F13" s="280"/>
      <c r="G13" s="280"/>
      <c r="H13" s="280"/>
      <c r="I13" s="280"/>
      <c r="J13" s="280"/>
      <c r="K13" s="280"/>
      <c r="L13" s="280"/>
      <c r="M13" s="280"/>
      <c r="N13" s="280"/>
      <c r="O13" s="280"/>
      <c r="P13" s="280"/>
      <c r="Q13" s="280"/>
      <c r="R13" s="285"/>
      <c r="S13" s="280"/>
    </row>
    <row r="14" spans="1:19" customFormat="1" ht="30" customHeight="1" x14ac:dyDescent="0.2">
      <c r="A14" s="12"/>
      <c r="B14" s="7"/>
      <c r="C14" s="280"/>
      <c r="D14" s="284"/>
      <c r="E14" s="280"/>
      <c r="F14" s="280"/>
      <c r="G14" s="280"/>
      <c r="H14" s="280"/>
      <c r="I14" s="280"/>
      <c r="J14" s="280"/>
      <c r="K14" s="280"/>
      <c r="L14" s="280"/>
      <c r="M14" s="280"/>
      <c r="N14" s="280"/>
      <c r="O14" s="280"/>
      <c r="P14" s="280"/>
      <c r="Q14" s="280"/>
      <c r="R14" s="285"/>
      <c r="S14" s="280"/>
    </row>
    <row r="15" spans="1:19" customFormat="1" ht="30" customHeight="1" x14ac:dyDescent="0.2">
      <c r="A15" s="12"/>
      <c r="B15" s="7"/>
      <c r="C15" s="280"/>
      <c r="D15" s="284"/>
      <c r="E15" s="280"/>
      <c r="F15" s="280"/>
      <c r="G15" s="280"/>
      <c r="H15" s="280"/>
      <c r="I15" s="280"/>
      <c r="J15" s="280"/>
      <c r="K15" s="280"/>
      <c r="L15" s="280"/>
      <c r="M15" s="280"/>
      <c r="N15" s="280"/>
      <c r="O15" s="280"/>
      <c r="P15" s="280"/>
      <c r="Q15" s="280"/>
      <c r="R15" s="285"/>
      <c r="S15" s="280"/>
    </row>
    <row r="16" spans="1:19" customFormat="1" ht="30" customHeight="1" x14ac:dyDescent="0.2">
      <c r="A16" s="12"/>
      <c r="B16" s="7"/>
      <c r="C16" s="280"/>
      <c r="D16" s="284"/>
      <c r="E16" s="280"/>
      <c r="F16" s="280"/>
      <c r="G16" s="280"/>
      <c r="H16" s="280"/>
      <c r="I16" s="280"/>
      <c r="J16" s="280"/>
      <c r="K16" s="280"/>
      <c r="L16" s="280"/>
      <c r="M16" s="280"/>
      <c r="N16" s="280"/>
      <c r="O16" s="280"/>
      <c r="P16" s="280"/>
      <c r="Q16" s="280"/>
      <c r="R16" s="285"/>
      <c r="S16" s="280"/>
    </row>
    <row r="17" spans="1:19" customFormat="1" ht="30" customHeight="1" x14ac:dyDescent="0.2">
      <c r="A17" s="12"/>
      <c r="B17" s="7"/>
      <c r="C17" s="280"/>
      <c r="D17" s="284"/>
      <c r="E17" s="280"/>
      <c r="F17" s="280"/>
      <c r="G17" s="280"/>
      <c r="H17" s="280"/>
      <c r="I17" s="280"/>
      <c r="J17" s="280"/>
      <c r="K17" s="280"/>
      <c r="L17" s="280"/>
      <c r="M17" s="280"/>
      <c r="N17" s="280"/>
      <c r="O17" s="280"/>
      <c r="P17" s="280"/>
      <c r="Q17" s="280"/>
      <c r="R17" s="285"/>
      <c r="S17" s="280"/>
    </row>
    <row r="18" spans="1:19" customFormat="1" ht="30" customHeight="1" x14ac:dyDescent="0.2">
      <c r="A18" s="12"/>
      <c r="B18" s="7"/>
      <c r="C18" s="280"/>
      <c r="D18" s="284"/>
      <c r="E18" s="280"/>
      <c r="F18" s="280"/>
      <c r="G18" s="280"/>
      <c r="H18" s="280"/>
      <c r="I18" s="280"/>
      <c r="J18" s="280"/>
      <c r="K18" s="280"/>
      <c r="L18" s="280"/>
      <c r="M18" s="280"/>
      <c r="N18" s="280"/>
      <c r="O18" s="280"/>
      <c r="P18" s="280"/>
      <c r="Q18" s="280"/>
      <c r="R18" s="285"/>
      <c r="S18" s="280"/>
    </row>
    <row r="19" spans="1:19" customFormat="1" ht="30" customHeight="1" x14ac:dyDescent="0.2">
      <c r="A19" s="12"/>
      <c r="B19" s="7"/>
      <c r="C19" s="280"/>
      <c r="D19" s="284"/>
      <c r="E19" s="280"/>
      <c r="F19" s="280"/>
      <c r="G19" s="280"/>
      <c r="H19" s="280"/>
      <c r="I19" s="280"/>
      <c r="J19" s="280"/>
      <c r="K19" s="280"/>
      <c r="L19" s="280"/>
      <c r="M19" s="280"/>
      <c r="N19" s="280"/>
      <c r="O19" s="280"/>
      <c r="P19" s="280"/>
      <c r="Q19" s="280"/>
      <c r="R19" s="285"/>
      <c r="S19" s="280"/>
    </row>
    <row r="20" spans="1:19" customFormat="1" ht="30" customHeight="1" x14ac:dyDescent="0.2">
      <c r="A20" s="12"/>
      <c r="B20" s="7"/>
      <c r="C20" s="280"/>
      <c r="D20" s="284"/>
      <c r="E20" s="280"/>
      <c r="F20" s="280"/>
      <c r="G20" s="280"/>
      <c r="H20" s="280"/>
      <c r="I20" s="280"/>
      <c r="J20" s="280"/>
      <c r="K20" s="280"/>
      <c r="L20" s="280"/>
      <c r="M20" s="280"/>
      <c r="N20" s="280"/>
      <c r="O20" s="280"/>
      <c r="P20" s="280"/>
      <c r="Q20" s="280"/>
      <c r="R20" s="285"/>
      <c r="S20" s="280"/>
    </row>
    <row r="21" spans="1:19" customFormat="1" ht="30" customHeight="1" x14ac:dyDescent="0.2">
      <c r="A21" s="12"/>
      <c r="B21" s="7"/>
      <c r="C21" s="280"/>
      <c r="D21" s="284"/>
      <c r="E21" s="280"/>
      <c r="F21" s="280"/>
      <c r="G21" s="280"/>
      <c r="H21" s="280"/>
      <c r="I21" s="280"/>
      <c r="J21" s="280"/>
      <c r="K21" s="280"/>
      <c r="L21" s="280"/>
      <c r="M21" s="280"/>
      <c r="N21" s="280"/>
      <c r="O21" s="280"/>
      <c r="P21" s="280"/>
      <c r="Q21" s="280"/>
      <c r="R21" s="285"/>
      <c r="S21" s="280"/>
    </row>
    <row r="22" spans="1:19" customFormat="1" ht="30" customHeight="1" x14ac:dyDescent="0.2">
      <c r="A22" s="12"/>
      <c r="B22" s="7"/>
      <c r="C22" s="280"/>
      <c r="D22" s="284"/>
      <c r="E22" s="352" t="s">
        <v>769</v>
      </c>
      <c r="F22" s="353"/>
      <c r="G22" s="353"/>
      <c r="H22" s="353"/>
      <c r="I22" s="353" t="s">
        <v>1111</v>
      </c>
      <c r="J22" s="353"/>
      <c r="K22" s="354"/>
      <c r="L22" s="280"/>
      <c r="M22" s="280"/>
      <c r="N22" s="280"/>
      <c r="O22" s="280"/>
      <c r="P22" s="280"/>
      <c r="Q22" s="280"/>
      <c r="R22" s="285"/>
      <c r="S22" s="280"/>
    </row>
    <row r="23" spans="1:19" customFormat="1" ht="30" customHeight="1" x14ac:dyDescent="0.2">
      <c r="A23" s="12"/>
      <c r="B23" s="7"/>
      <c r="C23" s="280"/>
      <c r="D23" s="286"/>
      <c r="E23" s="287" t="s">
        <v>770</v>
      </c>
      <c r="F23" s="287" t="s">
        <v>44</v>
      </c>
      <c r="G23" s="287" t="s">
        <v>771</v>
      </c>
      <c r="H23" s="287" t="s">
        <v>772</v>
      </c>
      <c r="I23" s="287" t="s">
        <v>44</v>
      </c>
      <c r="J23" s="287" t="s">
        <v>771</v>
      </c>
      <c r="K23" s="288" t="s">
        <v>772</v>
      </c>
      <c r="M23" s="280"/>
      <c r="N23" s="280"/>
      <c r="O23" s="280"/>
      <c r="P23" s="280"/>
      <c r="Q23" s="280"/>
      <c r="R23" s="285"/>
      <c r="S23" s="280"/>
    </row>
    <row r="24" spans="1:19" customFormat="1" ht="16" customHeight="1" x14ac:dyDescent="0.2">
      <c r="A24" s="12"/>
      <c r="B24" s="7"/>
      <c r="C24" s="280"/>
      <c r="D24" s="289" t="s">
        <v>290</v>
      </c>
      <c r="E24" s="290" cm="1">
        <f t="array" ref="E24">SUM(SUMIFS(Cascade!$H:$H,Cascade!$C:$C,{"=&lt;01","01-04","05-09","10-14"}))</f>
        <v>0</v>
      </c>
      <c r="F24" s="290" cm="1">
        <f t="array" ref="F24">SUM(SUMIFS(Cascade!$P:$P,Cascade!$C:$C,{"=&lt;01","01-04","05-09","10-14"}))</f>
        <v>0</v>
      </c>
      <c r="G24" s="290" cm="1">
        <f t="array" ref="G24">SUM(SUMIFS(Cascade!$T:$T,Cascade!$C:$C,{"=&lt;01","01-04","05-09","10-14"}))</f>
        <v>0</v>
      </c>
      <c r="H24" s="290" cm="1">
        <f t="array" ref="H24">SUM(SUMIFS(Cascade!$X:$X,Cascade!$C:$C,{"=&lt;01","01-04","05-09","10-14"}))</f>
        <v>0</v>
      </c>
      <c r="I24" s="290" t="e" cm="1">
        <f t="array" ref="I24">SUM(SUMIFS(Cascade!#REF!,Cascade!$C:$C,{"=&lt;01","01-04","05-09","10-14"}))</f>
        <v>#REF!</v>
      </c>
      <c r="J24" s="290" t="e" cm="1">
        <f t="array" ref="J24">SUM(SUMIFS(Cascade!#REF!,Cascade!$C:$C,{"=&lt;01","01-04","05-09","10-14"}))</f>
        <v>#REF!</v>
      </c>
      <c r="K24" s="291" t="e" cm="1">
        <f t="array" ref="K24">SUM(SUMIFS(Cascade!#REF!,Cascade!$C:$C,{"=&lt;01","01-04","05-09","10-14"}))</f>
        <v>#REF!</v>
      </c>
      <c r="M24" s="280"/>
      <c r="N24" s="280"/>
      <c r="O24" s="280"/>
      <c r="P24" s="280"/>
      <c r="Q24" s="280"/>
      <c r="R24" s="285"/>
      <c r="S24" s="280"/>
    </row>
    <row r="25" spans="1:19" customFormat="1" ht="16" customHeight="1" x14ac:dyDescent="0.2">
      <c r="A25" s="12"/>
      <c r="B25" s="7"/>
      <c r="C25" s="280"/>
      <c r="D25" s="292" t="s">
        <v>291</v>
      </c>
      <c r="E25" s="290" cm="1">
        <f t="array" ref="E25">SUM(SUMIFS(Cascade!$H:$H,Cascade!$C:$C,{"15-19","20-24","25-29","30-34","35-39","40-44","45-49","50+"},Cascade!$D:$D,"Female"))</f>
        <v>0</v>
      </c>
      <c r="F25" s="290" cm="1">
        <f t="array" ref="F25">SUM(SUMIFS(Cascade!$P:$P,Cascade!$C:$C,{"15-19","20-24","25-29","30-34","35-39","40-44","45-49","50+"},Cascade!$D:$D,"Female"))</f>
        <v>0</v>
      </c>
      <c r="G25" s="290" cm="1">
        <f t="array" ref="G25">SUM(SUMIFS(Cascade!$T:$T,Cascade!$C:$C,{"15-19","20-24","25-29","30-34","35-39","40-44","45-49","50+"},Cascade!$D:$D,"Female"))</f>
        <v>0</v>
      </c>
      <c r="H25" s="290" cm="1">
        <f t="array" ref="H25">SUM(SUMIFS(Cascade!$X:$X,Cascade!$C:$C,{"15-19","20-24","25-29","30-34","35-39","40-44","45-49","50+"},Cascade!$D:$D,"Female"))</f>
        <v>0</v>
      </c>
      <c r="I25" s="290" t="e" cm="1">
        <f t="array" ref="I25">SUM(SUMIFS(Cascade!#REF!,Cascade!$C:$C,{"15-19","20-24","25-29","30-34","35-39","40-44","45-49","50+"},Cascade!$D:$D,"Female"))</f>
        <v>#REF!</v>
      </c>
      <c r="J25" s="290" t="e" cm="1">
        <f t="array" ref="J25">SUM(SUMIFS(Cascade!#REF!,Cascade!$C:$C,{"15-19","20-24","25-29","30-34","35-39","40-44","45-49","50+"},Cascade!$D:$D,"Female"))</f>
        <v>#REF!</v>
      </c>
      <c r="K25" s="291" t="e" cm="1">
        <f t="array" ref="K25">SUM(SUMIFS(Cascade!#REF!,Cascade!$C:$C,{"15-19","20-24","25-29","30-34","35-39","40-44","45-49","50+"},Cascade!$D:$D,"Female"))</f>
        <v>#REF!</v>
      </c>
      <c r="M25" s="280"/>
      <c r="N25" s="280"/>
      <c r="O25" s="280"/>
      <c r="P25" s="280"/>
      <c r="Q25" s="280"/>
      <c r="R25" s="285"/>
      <c r="S25" s="280"/>
    </row>
    <row r="26" spans="1:19" customFormat="1" ht="16" customHeight="1" x14ac:dyDescent="0.2">
      <c r="A26" s="12"/>
      <c r="B26" s="7"/>
      <c r="C26" s="280"/>
      <c r="D26" s="293" t="s">
        <v>292</v>
      </c>
      <c r="E26" s="294" cm="1">
        <f t="array" ref="E26">SUM(SUMIFS(Cascade!$H:$H,Cascade!$C:$C,{"15-19","20-24","25-29","30-34","35-39","40-44","45-49","50+"},Cascade!$D:$D,"Male"))</f>
        <v>0</v>
      </c>
      <c r="F26" s="294" cm="1">
        <f t="array" ref="F26">SUM(SUMIFS(Cascade!$P:$P,Cascade!$C:$C,{"15-19","20-24","25-29","30-34","35-39","40-44","45-49","50+"},Cascade!$D:$D,"Male"))</f>
        <v>0</v>
      </c>
      <c r="G26" s="294" cm="1">
        <f t="array" ref="G26">SUM(SUMIFS(Cascade!$T:$T,Cascade!$C:$C,{"15-19","20-24","25-29","30-34","35-39","40-44","45-49","50+"},Cascade!$D:$D,"Male"))</f>
        <v>0</v>
      </c>
      <c r="H26" s="294" cm="1">
        <f t="array" ref="H26">SUM(SUMIFS(Cascade!$X:$X,Cascade!$C:$C,{"15-19","20-24","25-29","30-34","35-39","40-44","45-49","50+"},Cascade!$D:$D,"Male"))</f>
        <v>0</v>
      </c>
      <c r="I26" s="294" t="e" cm="1">
        <f t="array" ref="I26">SUM(SUMIFS(Cascade!#REF!,Cascade!$C:$C,{"15-19","20-24","25-29","30-34","35-39","40-44","45-49","50+"},Cascade!$D:$D,"Male"))</f>
        <v>#REF!</v>
      </c>
      <c r="J26" s="294" t="e" cm="1">
        <f t="array" ref="J26">SUM(SUMIFS(Cascade!#REF!,Cascade!$C:$C,{"15-19","20-24","25-29","30-34","35-39","40-44","45-49","50+"},Cascade!$D:$D,"Male"))</f>
        <v>#REF!</v>
      </c>
      <c r="K26" s="295" t="e" cm="1">
        <f t="array" ref="K26">SUM(SUMIFS(Cascade!#REF!,Cascade!$C:$C,{"15-19","20-24","25-29","30-34","35-39","40-44","45-49","50+"},Cascade!$D:$D,"Male"))</f>
        <v>#REF!</v>
      </c>
      <c r="M26" s="280"/>
      <c r="N26" s="280"/>
      <c r="O26" s="280"/>
      <c r="P26" s="280"/>
      <c r="Q26" s="280"/>
      <c r="R26" s="285"/>
      <c r="S26" s="280"/>
    </row>
    <row r="27" spans="1:19" customFormat="1" ht="30" customHeight="1" x14ac:dyDescent="0.2">
      <c r="A27" s="12"/>
      <c r="B27" s="7"/>
      <c r="C27" s="280"/>
      <c r="D27" s="296"/>
      <c r="E27" s="297"/>
      <c r="F27" s="297"/>
      <c r="G27" s="297"/>
      <c r="H27" s="297"/>
      <c r="I27" s="297"/>
      <c r="J27" s="297"/>
      <c r="K27" s="297"/>
      <c r="L27" s="297"/>
      <c r="M27" s="297"/>
      <c r="N27" s="297"/>
      <c r="O27" s="297"/>
      <c r="P27" s="297"/>
      <c r="Q27" s="297"/>
      <c r="R27" s="298"/>
      <c r="S27" s="280"/>
    </row>
    <row r="28" spans="1:19" customFormat="1" ht="30" customHeight="1" x14ac:dyDescent="0.2">
      <c r="A28" s="12"/>
      <c r="B28" s="7"/>
      <c r="C28" s="280"/>
      <c r="D28" s="280"/>
      <c r="E28" s="280"/>
      <c r="F28" s="280"/>
      <c r="G28" s="280"/>
      <c r="H28" s="280"/>
      <c r="I28" s="280"/>
      <c r="J28" s="280"/>
      <c r="K28" s="280"/>
      <c r="L28" s="280"/>
      <c r="M28" s="280"/>
      <c r="N28" s="280"/>
      <c r="O28" s="280"/>
      <c r="P28" s="280"/>
      <c r="Q28" s="280"/>
      <c r="R28" s="280"/>
      <c r="S28" s="280"/>
    </row>
    <row r="29" spans="1:19" customFormat="1" ht="30" customHeight="1" x14ac:dyDescent="0.2">
      <c r="A29" s="12"/>
      <c r="B29" s="7"/>
      <c r="C29" s="280"/>
      <c r="D29" s="281"/>
      <c r="E29" s="282"/>
      <c r="F29" s="282"/>
      <c r="G29" s="282"/>
      <c r="H29" s="282"/>
      <c r="I29" s="282"/>
      <c r="J29" s="282"/>
      <c r="K29" s="282"/>
      <c r="L29" s="282"/>
      <c r="M29" s="282"/>
      <c r="N29" s="282"/>
      <c r="O29" s="282"/>
      <c r="P29" s="282"/>
      <c r="Q29" s="282"/>
      <c r="R29" s="283"/>
      <c r="S29" s="280"/>
    </row>
    <row r="30" spans="1:19" customFormat="1" ht="30" customHeight="1" x14ac:dyDescent="0.2">
      <c r="A30" s="12"/>
      <c r="B30" s="7"/>
      <c r="C30" s="280"/>
      <c r="D30" s="284"/>
      <c r="E30" s="280"/>
      <c r="F30" s="280"/>
      <c r="G30" s="280"/>
      <c r="H30" s="280"/>
      <c r="I30" s="280"/>
      <c r="J30" s="280"/>
      <c r="K30" s="280"/>
      <c r="L30" s="280"/>
      <c r="M30" s="280"/>
      <c r="N30" s="280"/>
      <c r="O30" s="280"/>
      <c r="P30" s="280"/>
      <c r="Q30" s="280"/>
      <c r="R30" s="285"/>
      <c r="S30" s="280"/>
    </row>
    <row r="31" spans="1:19" customFormat="1" ht="30" customHeight="1" x14ac:dyDescent="0.2">
      <c r="A31" s="12"/>
      <c r="B31" s="7"/>
      <c r="C31" s="280"/>
      <c r="D31" s="284"/>
      <c r="E31" s="280"/>
      <c r="F31" s="280"/>
      <c r="G31" s="280"/>
      <c r="H31" s="280"/>
      <c r="I31" s="280"/>
      <c r="J31" s="280"/>
      <c r="K31" s="280"/>
      <c r="L31" s="280"/>
      <c r="M31" s="280"/>
      <c r="N31" s="280"/>
      <c r="O31" s="280"/>
      <c r="P31" s="280"/>
      <c r="Q31" s="280"/>
      <c r="R31" s="285"/>
      <c r="S31" s="280"/>
    </row>
    <row r="32" spans="1:19" customFormat="1" ht="30" customHeight="1" x14ac:dyDescent="0.2">
      <c r="A32" s="12"/>
      <c r="B32" s="7"/>
      <c r="C32" s="280"/>
      <c r="D32" s="284"/>
      <c r="E32" s="280"/>
      <c r="F32" s="280"/>
      <c r="G32" s="280"/>
      <c r="H32" s="280"/>
      <c r="I32" s="280"/>
      <c r="J32" s="280"/>
      <c r="K32" s="280"/>
      <c r="L32" s="280"/>
      <c r="M32" s="280"/>
      <c r="N32" s="280"/>
      <c r="O32" s="280"/>
      <c r="P32" s="280"/>
      <c r="Q32" s="280"/>
      <c r="R32" s="285"/>
      <c r="S32" s="280"/>
    </row>
    <row r="33" spans="1:19" customFormat="1" ht="30" customHeight="1" x14ac:dyDescent="0.2">
      <c r="A33" s="12"/>
      <c r="B33" s="7"/>
      <c r="C33" s="280"/>
      <c r="D33" s="284"/>
      <c r="E33" s="280"/>
      <c r="F33" s="280"/>
      <c r="G33" s="280"/>
      <c r="H33" s="280"/>
      <c r="I33" s="280"/>
      <c r="J33" s="280"/>
      <c r="K33" s="280"/>
      <c r="L33" s="280"/>
      <c r="M33" s="280"/>
      <c r="N33" s="280"/>
      <c r="O33" s="280"/>
      <c r="P33" s="280"/>
      <c r="Q33" s="280"/>
      <c r="R33" s="285"/>
      <c r="S33" s="280"/>
    </row>
    <row r="34" spans="1:19" customFormat="1" ht="30" customHeight="1" x14ac:dyDescent="0.2">
      <c r="A34" s="12"/>
      <c r="B34" s="7"/>
      <c r="C34" s="280"/>
      <c r="D34" s="284"/>
      <c r="E34" s="280"/>
      <c r="F34" s="280"/>
      <c r="G34" s="280"/>
      <c r="H34" s="280"/>
      <c r="I34" s="280"/>
      <c r="J34" s="280"/>
      <c r="K34" s="280"/>
      <c r="L34" s="280"/>
      <c r="M34" s="280"/>
      <c r="N34" s="280"/>
      <c r="O34" s="280"/>
      <c r="P34" s="280"/>
      <c r="Q34" s="280"/>
      <c r="R34" s="285"/>
      <c r="S34" s="280"/>
    </row>
    <row r="35" spans="1:19" customFormat="1" ht="30" customHeight="1" x14ac:dyDescent="0.2">
      <c r="A35" s="12"/>
      <c r="B35" s="7"/>
      <c r="C35" s="280"/>
      <c r="D35" s="284"/>
      <c r="E35" s="280"/>
      <c r="F35" s="280"/>
      <c r="G35" s="280"/>
      <c r="H35" s="280"/>
      <c r="I35" s="280"/>
      <c r="J35" s="280"/>
      <c r="K35" s="280"/>
      <c r="L35" s="280"/>
      <c r="M35" s="280"/>
      <c r="N35" s="280"/>
      <c r="O35" s="280"/>
      <c r="P35" s="280"/>
      <c r="Q35" s="280"/>
      <c r="R35" s="285"/>
      <c r="S35" s="280"/>
    </row>
    <row r="36" spans="1:19" customFormat="1" ht="30" customHeight="1" x14ac:dyDescent="0.2">
      <c r="A36" s="12"/>
      <c r="B36" s="7"/>
      <c r="C36" s="280"/>
      <c r="D36" s="284"/>
      <c r="E36" s="280"/>
      <c r="F36" s="280"/>
      <c r="G36" s="280"/>
      <c r="H36" s="280"/>
      <c r="I36" s="280"/>
      <c r="J36" s="280"/>
      <c r="K36" s="280"/>
      <c r="L36" s="280"/>
      <c r="M36" s="280"/>
      <c r="N36" s="280"/>
      <c r="O36" s="280"/>
      <c r="P36" s="280"/>
      <c r="Q36" s="280"/>
      <c r="R36" s="285"/>
      <c r="S36" s="280"/>
    </row>
    <row r="37" spans="1:19" customFormat="1" ht="30" customHeight="1" x14ac:dyDescent="0.2">
      <c r="A37" s="12"/>
      <c r="B37" s="7"/>
      <c r="C37" s="280"/>
      <c r="D37" s="284"/>
      <c r="E37" s="280"/>
      <c r="F37" s="280"/>
      <c r="G37" s="280"/>
      <c r="H37" s="280"/>
      <c r="I37" s="280"/>
      <c r="J37" s="280"/>
      <c r="K37" s="280"/>
      <c r="L37" s="280"/>
      <c r="M37" s="280"/>
      <c r="N37" s="280"/>
      <c r="O37" s="280"/>
      <c r="P37" s="280"/>
      <c r="Q37" s="280"/>
      <c r="R37" s="285"/>
      <c r="S37" s="280"/>
    </row>
    <row r="38" spans="1:19" customFormat="1" ht="30" customHeight="1" x14ac:dyDescent="0.2">
      <c r="A38" s="12"/>
      <c r="B38" s="7"/>
      <c r="C38" s="280"/>
      <c r="D38" s="284"/>
      <c r="E38" s="280"/>
      <c r="F38" s="280"/>
      <c r="G38" s="280"/>
      <c r="H38" s="280"/>
      <c r="I38" s="280"/>
      <c r="J38" s="280"/>
      <c r="K38" s="280"/>
      <c r="L38" s="280"/>
      <c r="M38" s="280"/>
      <c r="N38" s="280"/>
      <c r="O38" s="280"/>
      <c r="P38" s="280"/>
      <c r="Q38" s="280"/>
      <c r="R38" s="285"/>
      <c r="S38" s="280"/>
    </row>
    <row r="39" spans="1:19" customFormat="1" ht="30" customHeight="1" x14ac:dyDescent="0.2">
      <c r="A39" s="12"/>
      <c r="B39" s="7"/>
      <c r="C39" s="280"/>
      <c r="D39" s="284"/>
      <c r="E39" s="280"/>
      <c r="F39" s="280"/>
      <c r="G39" s="280"/>
      <c r="H39" s="280"/>
      <c r="I39" s="280"/>
      <c r="J39" s="280"/>
      <c r="K39" s="280"/>
      <c r="L39" s="280"/>
      <c r="M39" s="280"/>
      <c r="N39" s="280"/>
      <c r="O39" s="280"/>
      <c r="P39" s="280"/>
      <c r="Q39" s="280"/>
      <c r="R39" s="285"/>
      <c r="S39" s="280"/>
    </row>
    <row r="40" spans="1:19" customFormat="1" ht="30" customHeight="1" x14ac:dyDescent="0.2">
      <c r="A40" s="12"/>
      <c r="B40" s="7"/>
      <c r="C40" s="280"/>
      <c r="D40" s="284"/>
      <c r="E40" s="355" t="s">
        <v>1111</v>
      </c>
      <c r="F40" s="355"/>
      <c r="G40" s="355"/>
      <c r="H40" s="355"/>
      <c r="I40" s="355"/>
      <c r="J40" s="355"/>
      <c r="Q40" s="280"/>
      <c r="R40" s="285"/>
      <c r="S40" s="280"/>
    </row>
    <row r="41" spans="1:19" customFormat="1" ht="30" customHeight="1" x14ac:dyDescent="0.2">
      <c r="A41" s="12"/>
      <c r="B41" s="7"/>
      <c r="C41" s="280"/>
      <c r="D41" s="286"/>
      <c r="E41" s="287" t="s">
        <v>249</v>
      </c>
      <c r="F41" s="287" t="s">
        <v>773</v>
      </c>
      <c r="G41" s="287" t="s">
        <v>1</v>
      </c>
      <c r="H41" s="287" t="s">
        <v>0</v>
      </c>
      <c r="I41" s="287" t="s">
        <v>52</v>
      </c>
      <c r="J41" s="288" t="s">
        <v>51</v>
      </c>
      <c r="Q41" s="280"/>
      <c r="R41" s="285"/>
      <c r="S41" s="280"/>
    </row>
    <row r="42" spans="1:19" customFormat="1" ht="16" customHeight="1" x14ac:dyDescent="0.2">
      <c r="A42" s="12"/>
      <c r="B42" s="7"/>
      <c r="C42" s="280"/>
      <c r="D42" s="289" t="s">
        <v>290</v>
      </c>
      <c r="E42" s="290" cm="1">
        <f t="array" ref="E42">SUM(SUMIFS(HTS!$BY:$BY,HTS!$C:$C,{"=&lt;01","01-04","05-09","10-14"}))</f>
        <v>0</v>
      </c>
      <c r="F42" s="290" cm="1">
        <f t="array" ref="F42">SUM(SUMIFS(HTS!$BP:$BP,HTS!$C:$C,{"=&lt;01","01-04","05-09","10-14"}))</f>
        <v>0</v>
      </c>
      <c r="G42" s="290" t="e" cm="1">
        <f t="array" ref="G42">SUM(SUMIFS(Cascade!#REF!,Cascade!$C:$C,{"=&lt;01","01-04","05-09","10-14"}))</f>
        <v>#REF!</v>
      </c>
      <c r="H42" s="290" t="e" cm="1">
        <f t="array" ref="H42">SUM(SUMIFS(Cascade!#REF!,Cascade!$C:$C,{"=&lt;01","01-04","05-09","10-14"}))</f>
        <v>#REF!</v>
      </c>
      <c r="I42" s="290" t="e" cm="1">
        <f t="array" ref="I42">SUM(SUMIFS(Cascade!#REF!,Cascade!$C:$C,{"=&lt;01","01-04","05-09","10-14"}))</f>
        <v>#REF!</v>
      </c>
      <c r="J42" s="291" t="e" cm="1">
        <f t="array" ref="J42">SUM(SUMIFS(Cascade!#REF!,Cascade!$C:$C,{"=&lt;01","01-04","05-09","10-14"}))</f>
        <v>#REF!</v>
      </c>
      <c r="Q42" s="280"/>
      <c r="R42" s="285"/>
      <c r="S42" s="280"/>
    </row>
    <row r="43" spans="1:19" customFormat="1" ht="16" customHeight="1" x14ac:dyDescent="0.2">
      <c r="A43" s="12"/>
      <c r="B43" s="7"/>
      <c r="C43" s="280"/>
      <c r="D43" s="292" t="s">
        <v>291</v>
      </c>
      <c r="E43" s="290" cm="1">
        <f t="array" ref="E43">SUM(SUMIFS(HTS!$BY:$BY,HTS!$C:$C,{"15-19","20-24","25-29","30-34","35-39","40-44","45-49","50+"},HTS!$D:$D,"Female"))</f>
        <v>0</v>
      </c>
      <c r="F43" s="290" cm="1">
        <f t="array" ref="F43">SUM(SUMIFS(HTS!$BP:$BP,HTS!$C:$C,{"15-19","20-24","25-29","30-34","35-39","40-44","45-49","50+"},HTS!$D:$D,"Female"))</f>
        <v>0</v>
      </c>
      <c r="G43" s="290" t="e" cm="1">
        <f t="array" ref="G43">SUM(SUMIFS(Cascade!#REF!,Cascade!$C:$C,{"15-19","20-24","25-29","30-34","35-39","40-44","45-49","50+"},Cascade!$D:$D,"Female"))</f>
        <v>#REF!</v>
      </c>
      <c r="H43" s="290" t="e" cm="1">
        <f t="array" ref="H43">SUM(SUMIFS(Cascade!#REF!,Cascade!$C:$C,{"15-19","20-24","25-29","30-34","35-39","40-44","45-49","50+"},Cascade!$D:$D,"Female"))</f>
        <v>#REF!</v>
      </c>
      <c r="I43" s="290" t="e" cm="1">
        <f t="array" ref="I43">SUM(SUMIFS(Cascade!#REF!,Cascade!$C:$C,{"15-19","20-24","25-29","30-34","35-39","40-44","45-49","50+"},Cascade!$D:$D,"Female"))</f>
        <v>#REF!</v>
      </c>
      <c r="J43" s="291" t="e" cm="1">
        <f t="array" ref="J43">SUM(SUMIFS(Cascade!#REF!,Cascade!$C:$C,{"15-19","20-24","25-29","30-34","35-39","40-44","45-49","50+"},Cascade!$D:$D,"Female"))</f>
        <v>#REF!</v>
      </c>
      <c r="Q43" s="280"/>
      <c r="R43" s="285"/>
      <c r="S43" s="280"/>
    </row>
    <row r="44" spans="1:19" customFormat="1" ht="16" customHeight="1" x14ac:dyDescent="0.2">
      <c r="A44" s="12"/>
      <c r="B44" s="7"/>
      <c r="C44" s="280"/>
      <c r="D44" s="293" t="s">
        <v>292</v>
      </c>
      <c r="E44" s="294" cm="1">
        <f t="array" ref="E44">SUM(SUMIFS(HTS!$BY:$BY,HTS!$C:$C,{"15-19","20-24","25-29","30-34","35-39","40-44","45-49","50+"},HTS!$D:$D,"Male"))</f>
        <v>0</v>
      </c>
      <c r="F44" s="294" cm="1">
        <f t="array" ref="F44">SUM(SUMIFS(HTS!$BP:$BP,HTS!$C:$C,{"15-19","20-24","25-29","30-34","35-39","40-44","45-49","50+"},HTS!$D:$D,"Male"))</f>
        <v>0</v>
      </c>
      <c r="G44" s="294" t="e" cm="1">
        <f t="array" ref="G44">SUM(SUMIFS(Cascade!#REF!,Cascade!$C:$C,{"15-19","20-24","25-29","30-34","35-39","40-44","45-49","50+"},Cascade!$D:$D,"Male"))</f>
        <v>#REF!</v>
      </c>
      <c r="H44" s="294" t="e" cm="1">
        <f t="array" ref="H44">SUM(SUMIFS(Cascade!#REF!,Cascade!$C:$C,{"15-19","20-24","25-29","30-34","35-39","40-44","45-49","50+"},Cascade!$D:$D,"Male"))</f>
        <v>#REF!</v>
      </c>
      <c r="I44" s="294" t="e" cm="1">
        <f t="array" ref="I44">SUM(SUMIFS(Cascade!#REF!,Cascade!$C:$C,{"15-19","20-24","25-29","30-34","35-39","40-44","45-49","50+"},Cascade!$D:$D,"Male"))</f>
        <v>#REF!</v>
      </c>
      <c r="J44" s="295" t="e" cm="1">
        <f t="array" ref="J44">SUM(SUMIFS(Cascade!#REF!,Cascade!$C:$C,{"15-19","20-24","25-29","30-34","35-39","40-44","45-49","50+"},Cascade!$D:$D,"Male"))</f>
        <v>#REF!</v>
      </c>
      <c r="Q44" s="280"/>
      <c r="R44" s="285"/>
      <c r="S44" s="280"/>
    </row>
    <row r="45" spans="1:19" customFormat="1" ht="30" customHeight="1" x14ac:dyDescent="0.2">
      <c r="A45" s="12"/>
      <c r="B45" s="7"/>
      <c r="C45" s="280"/>
      <c r="D45" s="296"/>
      <c r="E45" s="297"/>
      <c r="F45" s="297"/>
      <c r="G45" s="297"/>
      <c r="H45" s="297"/>
      <c r="I45" s="297"/>
      <c r="J45" s="297"/>
      <c r="K45" s="297"/>
      <c r="L45" s="297"/>
      <c r="M45" s="297"/>
      <c r="N45" s="297"/>
      <c r="O45" s="297"/>
      <c r="P45" s="297"/>
      <c r="Q45" s="297"/>
      <c r="R45" s="298"/>
      <c r="S45" s="280"/>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726</v>
      </c>
      <c r="G1" s="15" t="s">
        <v>296</v>
      </c>
      <c r="H1" s="15" t="s">
        <v>761</v>
      </c>
      <c r="I1" s="17" t="s">
        <v>297</v>
      </c>
      <c r="J1" s="15" t="s">
        <v>298</v>
      </c>
      <c r="K1" s="15" t="s">
        <v>299</v>
      </c>
      <c r="L1" s="15" t="s">
        <v>300</v>
      </c>
      <c r="M1" s="15" t="s">
        <v>725</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364" t="s">
        <v>278</v>
      </c>
      <c r="D6" s="8"/>
      <c r="E6" s="8"/>
      <c r="F6" s="8"/>
      <c r="G6" s="8"/>
      <c r="H6" s="8"/>
      <c r="J6" s="8"/>
      <c r="K6" s="8"/>
      <c r="L6" s="8"/>
    </row>
    <row r="7" spans="2:17" x14ac:dyDescent="0.2">
      <c r="B7" s="364"/>
      <c r="D7" s="8"/>
      <c r="E7" s="8"/>
      <c r="F7" s="8"/>
      <c r="G7" s="8"/>
      <c r="H7" s="8"/>
      <c r="J7" s="8"/>
      <c r="K7" s="8"/>
      <c r="L7" s="8"/>
    </row>
    <row r="8" spans="2:17" x14ac:dyDescent="0.2">
      <c r="B8" s="156"/>
      <c r="D8" s="8"/>
      <c r="E8" s="8"/>
      <c r="F8" s="8"/>
      <c r="G8" s="8"/>
      <c r="H8" s="8"/>
      <c r="J8" s="8"/>
      <c r="K8" s="8"/>
      <c r="L8" s="8"/>
    </row>
    <row r="9" spans="2:17" ht="17" x14ac:dyDescent="0.2">
      <c r="B9" s="156" t="s">
        <v>279</v>
      </c>
      <c r="D9" s="8"/>
      <c r="E9" s="8"/>
      <c r="F9" s="8"/>
      <c r="G9" s="8"/>
      <c r="H9" s="8"/>
      <c r="J9" s="8"/>
      <c r="K9" s="8"/>
      <c r="L9" s="8"/>
    </row>
    <row r="10" spans="2:17" x14ac:dyDescent="0.2">
      <c r="B10" s="156"/>
      <c r="D10" s="8"/>
      <c r="E10" s="8"/>
      <c r="F10" s="8"/>
      <c r="G10" s="8"/>
      <c r="H10" s="8"/>
      <c r="J10" s="8"/>
      <c r="K10" s="8"/>
      <c r="L10" s="8"/>
    </row>
    <row r="11" spans="2:17" x14ac:dyDescent="0.2">
      <c r="B11" s="364" t="s">
        <v>280</v>
      </c>
      <c r="D11" s="8"/>
      <c r="E11" s="8"/>
      <c r="F11" s="8"/>
      <c r="G11" s="8"/>
      <c r="H11" s="8"/>
      <c r="J11" s="8"/>
      <c r="K11" s="8"/>
      <c r="L11" s="8"/>
    </row>
    <row r="12" spans="2:17" x14ac:dyDescent="0.2">
      <c r="B12" s="364"/>
      <c r="D12" s="8"/>
      <c r="E12" s="8"/>
      <c r="F12" s="8"/>
      <c r="G12" s="8"/>
      <c r="H12" s="8"/>
      <c r="J12" s="8"/>
      <c r="K12" s="8"/>
      <c r="L12" s="8"/>
    </row>
    <row r="13" spans="2:17" x14ac:dyDescent="0.2">
      <c r="B13" s="156"/>
      <c r="D13" s="8"/>
      <c r="E13" s="8"/>
      <c r="F13" s="8"/>
      <c r="G13" s="8"/>
      <c r="H13" s="8"/>
      <c r="J13" s="8"/>
      <c r="K13" s="8"/>
      <c r="L13" s="8"/>
    </row>
    <row r="14" spans="2:17" ht="17" x14ac:dyDescent="0.2">
      <c r="B14" s="156" t="s">
        <v>281</v>
      </c>
      <c r="D14" s="8"/>
      <c r="E14" s="8"/>
      <c r="F14" s="8"/>
      <c r="G14" s="8"/>
      <c r="H14" s="8"/>
      <c r="J14" s="8"/>
      <c r="K14" s="8"/>
      <c r="L14" s="8"/>
    </row>
    <row r="15" spans="2:17" x14ac:dyDescent="0.2">
      <c r="B15" s="156"/>
      <c r="D15" s="8"/>
      <c r="E15" s="8"/>
      <c r="F15" s="8"/>
      <c r="G15" s="8"/>
      <c r="H15" s="8"/>
      <c r="J15" s="8"/>
      <c r="K15" s="8"/>
      <c r="L15" s="8"/>
    </row>
    <row r="16" spans="2:17" x14ac:dyDescent="0.2">
      <c r="B16" s="364" t="s">
        <v>282</v>
      </c>
      <c r="D16" s="8"/>
      <c r="E16" s="8"/>
      <c r="F16" s="8"/>
      <c r="G16" s="8"/>
      <c r="H16" s="8"/>
      <c r="J16" s="8"/>
      <c r="K16" s="8"/>
      <c r="L16" s="8"/>
    </row>
    <row r="17" spans="2:12" x14ac:dyDescent="0.2">
      <c r="B17" s="364"/>
      <c r="D17" s="8"/>
      <c r="E17" s="8"/>
      <c r="F17" s="8"/>
      <c r="G17" s="8"/>
      <c r="H17" s="8"/>
      <c r="J17" s="8"/>
      <c r="K17" s="8"/>
      <c r="L17" s="8"/>
    </row>
    <row r="18" spans="2:12" x14ac:dyDescent="0.2">
      <c r="B18" s="156"/>
      <c r="D18" s="8"/>
      <c r="E18" s="8"/>
      <c r="F18" s="8"/>
      <c r="G18" s="8"/>
      <c r="H18" s="8"/>
      <c r="J18" s="8"/>
      <c r="K18" s="8"/>
      <c r="L18" s="8"/>
    </row>
    <row r="19" spans="2:12" x14ac:dyDescent="0.2">
      <c r="B19" s="364" t="s">
        <v>283</v>
      </c>
      <c r="D19" s="8"/>
      <c r="E19" s="8"/>
      <c r="F19" s="8"/>
      <c r="G19" s="8"/>
      <c r="H19" s="8"/>
      <c r="J19" s="8"/>
      <c r="K19" s="8"/>
      <c r="L19" s="8"/>
    </row>
    <row r="20" spans="2:12" x14ac:dyDescent="0.2">
      <c r="B20" s="364"/>
      <c r="D20" s="8"/>
      <c r="E20" s="8"/>
      <c r="F20" s="8"/>
      <c r="G20" s="8"/>
      <c r="H20" s="8"/>
      <c r="J20" s="8"/>
      <c r="K20" s="8"/>
      <c r="L20" s="8"/>
    </row>
    <row r="21" spans="2:12" x14ac:dyDescent="0.2">
      <c r="D21" s="8"/>
      <c r="E21" s="8"/>
      <c r="F21" s="8"/>
      <c r="G21" s="8"/>
      <c r="H21" s="8"/>
      <c r="J21" s="8"/>
      <c r="K21" s="8"/>
      <c r="L21" s="8"/>
    </row>
    <row r="22" spans="2:12" ht="16" customHeight="1" x14ac:dyDescent="0.2">
      <c r="B22" s="156" t="s">
        <v>766</v>
      </c>
      <c r="D22" s="8"/>
      <c r="E22" s="8"/>
      <c r="F22" s="8"/>
      <c r="G22" s="8"/>
      <c r="H22" s="8"/>
      <c r="J22" s="8"/>
      <c r="K22" s="8"/>
      <c r="L22" s="8"/>
    </row>
    <row r="23" spans="2:12" x14ac:dyDescent="0.2">
      <c r="B23" s="156"/>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364" t="s">
        <v>765</v>
      </c>
      <c r="D26" s="8"/>
      <c r="E26" s="8"/>
      <c r="F26" s="8"/>
      <c r="G26" s="8"/>
      <c r="H26" s="8"/>
      <c r="J26" s="8"/>
      <c r="K26" s="8"/>
      <c r="L26" s="8"/>
    </row>
    <row r="27" spans="2:12" x14ac:dyDescent="0.2">
      <c r="B27" s="364"/>
      <c r="D27" s="8"/>
      <c r="E27" s="8"/>
      <c r="F27" s="8"/>
      <c r="G27" s="8"/>
      <c r="H27" s="8"/>
      <c r="J27" s="8"/>
      <c r="K27" s="8"/>
      <c r="L27" s="8"/>
    </row>
    <row r="28" spans="2:12" x14ac:dyDescent="0.2">
      <c r="D28" s="8"/>
      <c r="E28" s="8"/>
      <c r="F28" s="8"/>
      <c r="G28" s="8"/>
      <c r="H28" s="8"/>
      <c r="J28" s="8"/>
      <c r="K28" s="8"/>
      <c r="L28" s="8"/>
    </row>
    <row r="29" spans="2:12" x14ac:dyDescent="0.2">
      <c r="B29" s="156"/>
      <c r="D29" s="8"/>
      <c r="E29" s="8"/>
      <c r="F29" s="8"/>
      <c r="G29" s="8"/>
      <c r="H29" s="8"/>
      <c r="J29" s="8"/>
      <c r="K29" s="8"/>
      <c r="L29" s="8"/>
    </row>
    <row r="30" spans="2:12" x14ac:dyDescent="0.2">
      <c r="B30" s="156"/>
      <c r="D30" s="8"/>
      <c r="E30" s="8"/>
      <c r="F30" s="8"/>
      <c r="G30" s="8"/>
      <c r="H30" s="8"/>
      <c r="J30" s="8"/>
      <c r="K30" s="8"/>
      <c r="L30" s="8"/>
    </row>
    <row r="31" spans="2:12" x14ac:dyDescent="0.2">
      <c r="B31" s="156"/>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63BE7B"/>
  </sheetPr>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82" customWidth="1"/>
    <col min="4" max="4" width="13.1640625" style="194" customWidth="1"/>
    <col min="5" max="5" width="28" customWidth="1"/>
  </cols>
  <sheetData>
    <row r="1" spans="1:5" s="57" customFormat="1" ht="31" customHeight="1" x14ac:dyDescent="0.3">
      <c r="A1" s="189" t="s">
        <v>71</v>
      </c>
      <c r="B1" s="189"/>
      <c r="C1" s="478" t="s">
        <v>71</v>
      </c>
      <c r="D1" s="190"/>
      <c r="E1" s="153"/>
    </row>
    <row r="2" spans="1:5" s="191" customFormat="1" ht="19" x14ac:dyDescent="0.25">
      <c r="A2" s="39"/>
      <c r="B2" s="39"/>
      <c r="C2" s="479" t="s">
        <v>74</v>
      </c>
      <c r="D2" s="157" t="s">
        <v>3</v>
      </c>
      <c r="E2" s="154"/>
    </row>
    <row r="3" spans="1:5" ht="117" customHeight="1" x14ac:dyDescent="0.2">
      <c r="A3" s="192"/>
      <c r="B3" s="192"/>
      <c r="C3" s="380" t="s">
        <v>586</v>
      </c>
      <c r="D3" s="64" t="s">
        <v>938</v>
      </c>
      <c r="E3" s="155" t="s">
        <v>999</v>
      </c>
    </row>
    <row r="4" spans="1:5" x14ac:dyDescent="0.2">
      <c r="A4" s="41"/>
      <c r="B4" s="41" t="s">
        <v>4</v>
      </c>
      <c r="C4" s="480"/>
      <c r="D4" s="196"/>
      <c r="E4" s="193" t="str">
        <f>IF(COUNTIF(D$15:INDEX($D:$D,COUNTA($B:$B)+14-COUNTA($B$1:$B$14)),"")&gt;0,"BLANK PRIORITIZATIONS","")</f>
        <v>BLANK PRIORITIZATIONS</v>
      </c>
    </row>
    <row r="5" spans="1:5" x14ac:dyDescent="0.2">
      <c r="A5" s="8" t="s">
        <v>99</v>
      </c>
      <c r="B5" s="8" t="s">
        <v>99</v>
      </c>
      <c r="C5" s="480" t="s">
        <v>107</v>
      </c>
      <c r="D5" s="196" t="s">
        <v>107</v>
      </c>
      <c r="E5" t="s">
        <v>99</v>
      </c>
    </row>
    <row r="6" spans="1:5" x14ac:dyDescent="0.2">
      <c r="A6" s="8" t="s">
        <v>201</v>
      </c>
      <c r="B6" s="8" t="s">
        <v>201</v>
      </c>
      <c r="C6" s="480" t="s">
        <v>111</v>
      </c>
      <c r="D6" s="196" t="s">
        <v>93</v>
      </c>
      <c r="E6" t="s">
        <v>94</v>
      </c>
    </row>
    <row r="7" spans="1:5" x14ac:dyDescent="0.2">
      <c r="A7" s="8" t="s">
        <v>109</v>
      </c>
      <c r="B7" s="8" t="s">
        <v>109</v>
      </c>
      <c r="C7" s="480" t="s">
        <v>95</v>
      </c>
      <c r="D7" s="196" t="s">
        <v>95</v>
      </c>
      <c r="E7" t="s">
        <v>109</v>
      </c>
    </row>
    <row r="8" spans="1:5" x14ac:dyDescent="0.2">
      <c r="C8" s="481" t="s">
        <v>106</v>
      </c>
      <c r="D8" s="333" t="s">
        <v>106</v>
      </c>
    </row>
    <row r="9" spans="1:5" x14ac:dyDescent="0.2">
      <c r="C9" s="481"/>
      <c r="D9" s="333"/>
    </row>
    <row r="10" spans="1:5" x14ac:dyDescent="0.2">
      <c r="C10" s="481"/>
      <c r="D10" s="333"/>
    </row>
    <row r="11" spans="1:5" x14ac:dyDescent="0.2">
      <c r="C11" s="480"/>
      <c r="D11" s="196"/>
    </row>
    <row r="12" spans="1:5" x14ac:dyDescent="0.2">
      <c r="C12" s="480"/>
      <c r="D12" s="196"/>
    </row>
    <row r="13" spans="1:5" x14ac:dyDescent="0.2">
      <c r="C13" s="480"/>
      <c r="D13" s="196"/>
    </row>
    <row r="14" spans="1:5" x14ac:dyDescent="0.2">
      <c r="A14" s="52" t="s">
        <v>591</v>
      </c>
      <c r="B14" s="52" t="s">
        <v>5</v>
      </c>
      <c r="C14" s="381" t="s">
        <v>575</v>
      </c>
      <c r="D14" s="197" t="s">
        <v>576</v>
      </c>
      <c r="E14" s="185" t="s">
        <v>721</v>
      </c>
    </row>
    <row r="15" spans="1:5" x14ac:dyDescent="0.2">
      <c r="D15" s="194" t="str">
        <f>IF(LEFT($B15,4)="_Mil","M",IF(SUM($C15)=0,"",$C15))</f>
        <v/>
      </c>
      <c r="E15" s="195" t="str">
        <f>IF($D15=1,"Scale-up: Saturation",IF($D15=2,"Scale-up: Aggressive",IF($D15=4,"Sustained",IF($D15=5,"Centrally Supported",IF($D15=6,"Sustained:Commodities",IF($D15=7,"Attained",IF($D15=8,"Not PEPFAR Supported",IF($D15="M","Military",IF($D15="NA","Not a PSNU","INVALID")))))))))</f>
        <v>INVALID</v>
      </c>
    </row>
    <row r="16" spans="1:5" x14ac:dyDescent="0.2">
      <c r="E16" s="195"/>
    </row>
    <row r="17" spans="1:5" x14ac:dyDescent="0.2">
      <c r="E17" s="195"/>
    </row>
    <row r="18" spans="1:5" x14ac:dyDescent="0.2">
      <c r="A18" s="53"/>
      <c r="B18" s="53"/>
      <c r="E18" s="195"/>
    </row>
  </sheetData>
  <conditionalFormatting sqref="E4">
    <cfRule type="containsText" dxfId="81" priority="3" operator="containsText" text="BLANK PRIORITIZATIONS">
      <formula>NOT(ISERROR(SEARCH("BLANK PRIORITIZATIONS",E4)))</formula>
    </cfRule>
  </conditionalFormatting>
  <conditionalFormatting sqref="C1:D1048576">
    <cfRule type="expression" dxfId="80" priority="2">
      <formula>AND(ROW(C1)&gt;14,$B1&lt;&gt;"",C1&lt;&gt;1,C1&lt;&gt;2,C1&lt;&gt;4,C1&lt;&gt;5,C1&lt;&gt;6,C1&lt;&gt;7,C1&lt;&gt;8,C1&lt;&gt;"M",C1&lt;&gt;"NA")</formula>
    </cfRule>
  </conditionalFormatting>
  <conditionalFormatting sqref="D1:D1048576">
    <cfRule type="expression" dxfId="79" priority="728">
      <formula>AND(ROW($D1)&gt;14,$D1="",$B1&lt;&gt;"")</formula>
    </cfRule>
    <cfRule type="expression" dxfId="78"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J15"/>
  <sheetViews>
    <sheetView tabSelected="1" zoomScaleNormal="100" workbookViewId="0">
      <pane xSplit="5" ySplit="14" topLeftCell="AZ15" activePane="bottomRight" state="frozen"/>
      <selection pane="topRight"/>
      <selection pane="bottomLeft"/>
      <selection pane="bottomRight" activeCell="BO15" sqref="BO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customWidth="1"/>
    <col min="13" max="13" width="11.83203125" hidden="1" customWidth="1"/>
    <col min="14" max="14" width="11.83203125"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108" width="11.83203125" customWidth="1"/>
  </cols>
  <sheetData>
    <row r="1" spans="1:114" s="57" customFormat="1" ht="31" customHeight="1" thickBot="1" x14ac:dyDescent="0.35">
      <c r="A1" s="5" t="s">
        <v>301</v>
      </c>
      <c r="B1" s="5"/>
      <c r="C1" s="5"/>
      <c r="D1" s="306"/>
      <c r="E1" s="5"/>
      <c r="F1" s="80" t="s">
        <v>77</v>
      </c>
      <c r="G1" s="45"/>
      <c r="H1" s="67"/>
      <c r="I1" s="35"/>
      <c r="J1" s="85"/>
      <c r="K1" s="35"/>
      <c r="L1" s="207"/>
      <c r="M1" s="35"/>
      <c r="N1" s="95"/>
      <c r="O1" s="35"/>
      <c r="P1" s="67"/>
      <c r="Q1" s="35"/>
      <c r="R1" s="67"/>
      <c r="S1" s="35"/>
      <c r="T1" s="67"/>
      <c r="U1" s="35"/>
      <c r="V1" s="67"/>
      <c r="W1" s="35"/>
      <c r="X1" s="80"/>
      <c r="Y1" s="35"/>
      <c r="Z1" s="114" t="s">
        <v>1119</v>
      </c>
      <c r="AA1" s="419"/>
      <c r="AB1" s="97"/>
      <c r="AC1" s="370"/>
      <c r="AD1" s="97"/>
      <c r="AE1" s="114" t="s">
        <v>1120</v>
      </c>
      <c r="AF1" s="419"/>
      <c r="AG1" s="419"/>
      <c r="AH1" s="95"/>
      <c r="AI1" s="97"/>
      <c r="AJ1" s="248" t="s">
        <v>44</v>
      </c>
      <c r="AK1" s="250"/>
      <c r="AL1" s="118"/>
      <c r="AM1" s="250"/>
      <c r="AN1" s="118"/>
      <c r="AO1" s="301"/>
      <c r="AP1" s="45" t="s">
        <v>1146</v>
      </c>
      <c r="AQ1" s="95"/>
      <c r="AR1" s="456"/>
      <c r="AS1" s="169"/>
      <c r="AT1" s="393"/>
      <c r="AU1" s="396"/>
      <c r="AV1" s="396"/>
      <c r="AW1" s="396"/>
      <c r="AX1" s="396"/>
      <c r="AY1" s="118"/>
      <c r="AZ1" s="97"/>
      <c r="BA1" s="396"/>
      <c r="BB1" s="350"/>
      <c r="BC1" s="168" t="s">
        <v>772</v>
      </c>
      <c r="BD1" s="350"/>
      <c r="BE1" s="396"/>
      <c r="BF1" s="250"/>
      <c r="BG1" s="396"/>
      <c r="BH1" s="350"/>
      <c r="BI1" s="396"/>
      <c r="BJ1" s="396"/>
      <c r="BK1" s="250"/>
      <c r="BL1" s="396"/>
      <c r="BM1" s="97"/>
      <c r="BN1" s="168" t="s">
        <v>1112</v>
      </c>
      <c r="BO1" s="396"/>
      <c r="BP1" s="45"/>
      <c r="BQ1" s="97"/>
      <c r="BR1" s="96" t="s">
        <v>1163</v>
      </c>
      <c r="BS1" s="97"/>
      <c r="BT1" s="396"/>
      <c r="BU1" s="97"/>
      <c r="BV1" s="97"/>
      <c r="BW1" s="97"/>
      <c r="BX1" s="97"/>
      <c r="BY1" s="97"/>
      <c r="BZ1" s="97"/>
      <c r="CA1" s="396"/>
      <c r="CB1" s="97"/>
      <c r="CC1" s="168" t="s">
        <v>1164</v>
      </c>
      <c r="CD1" s="77"/>
      <c r="CE1" s="77"/>
      <c r="CF1" s="169"/>
      <c r="CG1" s="169"/>
      <c r="CH1" s="134"/>
      <c r="CI1" s="134"/>
      <c r="CJ1" s="134"/>
      <c r="CK1" s="134"/>
      <c r="CL1" s="134"/>
      <c r="CM1" s="134"/>
      <c r="CN1" s="134"/>
      <c r="CO1" s="134"/>
      <c r="CP1" s="248" t="s">
        <v>974</v>
      </c>
      <c r="CQ1" s="393"/>
      <c r="CR1" s="393"/>
      <c r="CS1" s="393"/>
      <c r="CT1" s="393"/>
      <c r="CU1" s="393"/>
      <c r="CV1" s="393"/>
      <c r="CW1" s="248" t="s">
        <v>9</v>
      </c>
      <c r="CX1" s="45"/>
      <c r="CY1" s="45"/>
      <c r="CZ1" s="80"/>
      <c r="DA1" s="80"/>
      <c r="DB1" s="80"/>
      <c r="DC1" s="80"/>
      <c r="DD1" s="35"/>
    </row>
    <row r="2" spans="1:114" s="56" customFormat="1" ht="19" x14ac:dyDescent="0.25">
      <c r="A2" s="369" t="s">
        <v>1179</v>
      </c>
      <c r="B2" s="366"/>
      <c r="C2" s="2"/>
      <c r="D2" s="307"/>
      <c r="E2" s="2"/>
      <c r="F2" s="81" t="s">
        <v>74</v>
      </c>
      <c r="G2" s="34"/>
      <c r="H2" s="81"/>
      <c r="I2" s="34"/>
      <c r="J2" s="200"/>
      <c r="K2" s="34"/>
      <c r="L2" s="198"/>
      <c r="M2" s="34"/>
      <c r="N2" s="94"/>
      <c r="O2" s="34"/>
      <c r="P2" s="81"/>
      <c r="Q2" s="34"/>
      <c r="R2" s="81"/>
      <c r="S2" s="34"/>
      <c r="T2" s="81"/>
      <c r="U2" s="34"/>
      <c r="V2" s="81"/>
      <c r="W2" s="34"/>
      <c r="X2" s="81"/>
      <c r="Y2" s="34"/>
      <c r="Z2" s="115" t="s">
        <v>74</v>
      </c>
      <c r="AA2" s="343"/>
      <c r="AB2" s="343"/>
      <c r="AC2" s="119"/>
      <c r="AD2" s="343"/>
      <c r="AE2" s="115" t="s">
        <v>74</v>
      </c>
      <c r="AF2" s="343"/>
      <c r="AG2" s="343"/>
      <c r="AH2" s="94"/>
      <c r="AI2" s="343"/>
      <c r="AJ2" s="249" t="s">
        <v>2</v>
      </c>
      <c r="AK2" s="251"/>
      <c r="AL2" s="119"/>
      <c r="AM2" s="251"/>
      <c r="AN2" s="275" t="s">
        <v>3</v>
      </c>
      <c r="AO2" s="371"/>
      <c r="AP2" s="34" t="s">
        <v>74</v>
      </c>
      <c r="AQ2" s="94"/>
      <c r="AR2" s="170"/>
      <c r="AS2" s="170"/>
      <c r="AT2" s="251"/>
      <c r="AU2" s="397" t="s">
        <v>2</v>
      </c>
      <c r="AV2" s="397"/>
      <c r="AW2" s="397"/>
      <c r="AX2" s="397"/>
      <c r="AY2" s="275" t="s">
        <v>3</v>
      </c>
      <c r="AZ2" s="106"/>
      <c r="BA2" s="399"/>
      <c r="BB2" s="222"/>
      <c r="BC2" s="163" t="s">
        <v>2</v>
      </c>
      <c r="BD2" s="222" t="s">
        <v>3</v>
      </c>
      <c r="BE2" s="397" t="s">
        <v>74</v>
      </c>
      <c r="BF2" s="406"/>
      <c r="BG2" s="397" t="s">
        <v>2</v>
      </c>
      <c r="BH2" s="222" t="s">
        <v>3</v>
      </c>
      <c r="BI2" s="397" t="s">
        <v>74</v>
      </c>
      <c r="BJ2" s="397"/>
      <c r="BK2" s="251"/>
      <c r="BL2" s="397" t="s">
        <v>2</v>
      </c>
      <c r="BM2" s="106" t="s">
        <v>3</v>
      </c>
      <c r="BN2" s="163" t="s">
        <v>74</v>
      </c>
      <c r="BO2" s="397"/>
      <c r="BP2" s="386" t="s">
        <v>3</v>
      </c>
      <c r="BQ2" s="106"/>
      <c r="BR2" s="303" t="s">
        <v>74</v>
      </c>
      <c r="BS2" s="343"/>
      <c r="BT2" s="397" t="s">
        <v>2</v>
      </c>
      <c r="BU2" s="106" t="s">
        <v>3</v>
      </c>
      <c r="BV2" s="106"/>
      <c r="BW2" s="106"/>
      <c r="BX2" s="106"/>
      <c r="BY2" s="106"/>
      <c r="BZ2" s="106"/>
      <c r="CA2" s="397" t="s">
        <v>2</v>
      </c>
      <c r="CB2" s="106" t="s">
        <v>3</v>
      </c>
      <c r="CC2" s="163" t="s">
        <v>2</v>
      </c>
      <c r="CD2" s="91"/>
      <c r="CE2" s="88"/>
      <c r="CF2" s="170"/>
      <c r="CG2" s="170"/>
      <c r="CH2" s="106" t="s">
        <v>3</v>
      </c>
      <c r="CI2" s="106"/>
      <c r="CJ2" s="106"/>
      <c r="CK2" s="106"/>
      <c r="CL2" s="106"/>
      <c r="CM2" s="106"/>
      <c r="CN2" s="106"/>
      <c r="CO2" s="106"/>
      <c r="CP2" s="163" t="s">
        <v>59</v>
      </c>
      <c r="CQ2" s="397"/>
      <c r="CR2" s="397"/>
      <c r="CS2" s="397"/>
      <c r="CT2" s="397"/>
      <c r="CU2" s="397"/>
      <c r="CV2" s="397"/>
      <c r="CW2" s="249" t="s">
        <v>2</v>
      </c>
      <c r="CX2" s="34"/>
      <c r="CY2" s="34"/>
      <c r="CZ2" s="81" t="s">
        <v>3</v>
      </c>
      <c r="DA2" s="81"/>
      <c r="DB2" s="81"/>
      <c r="DC2" s="81"/>
      <c r="DD2" s="34" t="s">
        <v>74</v>
      </c>
    </row>
    <row r="3" spans="1:114" s="40" customFormat="1" ht="134" customHeight="1" thickBot="1" x14ac:dyDescent="0.25">
      <c r="A3" s="367"/>
      <c r="B3" s="368"/>
      <c r="C3" s="47"/>
      <c r="D3" s="308"/>
      <c r="E3" s="47"/>
      <c r="F3" s="199" t="s">
        <v>1151</v>
      </c>
      <c r="G3" s="382" t="s">
        <v>977</v>
      </c>
      <c r="H3" s="143" t="s">
        <v>1152</v>
      </c>
      <c r="I3" s="382" t="s">
        <v>978</v>
      </c>
      <c r="J3" s="201" t="s">
        <v>1153</v>
      </c>
      <c r="K3" s="382" t="s">
        <v>979</v>
      </c>
      <c r="L3" s="416" t="s">
        <v>1176</v>
      </c>
      <c r="M3" s="382" t="s">
        <v>1175</v>
      </c>
      <c r="N3" s="346" t="s">
        <v>1154</v>
      </c>
      <c r="O3" s="382" t="s">
        <v>1131</v>
      </c>
      <c r="P3" s="143" t="s">
        <v>1155</v>
      </c>
      <c r="Q3" s="382" t="s">
        <v>1059</v>
      </c>
      <c r="R3" s="143" t="s">
        <v>1156</v>
      </c>
      <c r="S3" s="382" t="s">
        <v>980</v>
      </c>
      <c r="T3" s="143" t="s">
        <v>1157</v>
      </c>
      <c r="U3" s="382" t="s">
        <v>981</v>
      </c>
      <c r="V3" s="143" t="s">
        <v>1158</v>
      </c>
      <c r="W3" s="382" t="s">
        <v>982</v>
      </c>
      <c r="X3" s="143" t="s">
        <v>1159</v>
      </c>
      <c r="Y3" s="348" t="s">
        <v>983</v>
      </c>
      <c r="Z3" s="140" t="s">
        <v>1118</v>
      </c>
      <c r="AA3" s="344" t="s">
        <v>1</v>
      </c>
      <c r="AB3" s="344" t="s">
        <v>0</v>
      </c>
      <c r="AC3" s="120" t="s">
        <v>52</v>
      </c>
      <c r="AD3" s="344" t="s">
        <v>51</v>
      </c>
      <c r="AE3" s="140" t="s">
        <v>1118</v>
      </c>
      <c r="AF3" s="344" t="s">
        <v>1</v>
      </c>
      <c r="AG3" s="344" t="s">
        <v>0</v>
      </c>
      <c r="AH3" s="149" t="s">
        <v>52</v>
      </c>
      <c r="AI3" s="344" t="s">
        <v>51</v>
      </c>
      <c r="AJ3" s="389" t="s">
        <v>1145</v>
      </c>
      <c r="AK3" s="390" t="s">
        <v>1206</v>
      </c>
      <c r="AL3" s="120" t="s">
        <v>1207</v>
      </c>
      <c r="AM3" s="390" t="s">
        <v>1208</v>
      </c>
      <c r="AN3" s="259" t="s">
        <v>1209</v>
      </c>
      <c r="AO3" s="302" t="s">
        <v>1160</v>
      </c>
      <c r="AP3" s="348" t="s">
        <v>1161</v>
      </c>
      <c r="AQ3" s="150" t="s">
        <v>1183</v>
      </c>
      <c r="AR3" s="206" t="s">
        <v>1129</v>
      </c>
      <c r="AS3" s="206" t="s">
        <v>1130</v>
      </c>
      <c r="AT3" s="394" t="s">
        <v>1150</v>
      </c>
      <c r="AU3" s="279" t="s">
        <v>1182</v>
      </c>
      <c r="AV3" s="279" t="s">
        <v>1181</v>
      </c>
      <c r="AW3" s="279" t="s">
        <v>1133</v>
      </c>
      <c r="AX3" s="279" t="s">
        <v>836</v>
      </c>
      <c r="AY3" s="259" t="s">
        <v>1215</v>
      </c>
      <c r="AZ3" s="305" t="s">
        <v>970</v>
      </c>
      <c r="BA3" s="400" t="s">
        <v>1216</v>
      </c>
      <c r="BB3" s="259" t="s">
        <v>1135</v>
      </c>
      <c r="BC3" s="404" t="s">
        <v>1189</v>
      </c>
      <c r="BD3" s="259" t="s">
        <v>1185</v>
      </c>
      <c r="BE3" s="407" t="s">
        <v>1128</v>
      </c>
      <c r="BF3" s="252" t="s">
        <v>1188</v>
      </c>
      <c r="BG3" s="279" t="s">
        <v>1187</v>
      </c>
      <c r="BH3" s="259" t="s">
        <v>1186</v>
      </c>
      <c r="BI3" s="394" t="s">
        <v>1126</v>
      </c>
      <c r="BJ3" s="394" t="s">
        <v>1127</v>
      </c>
      <c r="BK3" s="252" t="s">
        <v>1162</v>
      </c>
      <c r="BL3" s="279" t="s">
        <v>1149</v>
      </c>
      <c r="BM3" s="305" t="s">
        <v>1137</v>
      </c>
      <c r="BN3" s="408" t="s">
        <v>1147</v>
      </c>
      <c r="BO3" s="394" t="s">
        <v>1124</v>
      </c>
      <c r="BP3" s="454" t="s">
        <v>1138</v>
      </c>
      <c r="BQ3" s="305" t="s">
        <v>1139</v>
      </c>
      <c r="BR3" s="261" t="s">
        <v>986</v>
      </c>
      <c r="BS3" s="344" t="s">
        <v>792</v>
      </c>
      <c r="BT3" s="279" t="s">
        <v>1113</v>
      </c>
      <c r="BU3" s="305" t="s">
        <v>1148</v>
      </c>
      <c r="BV3" s="305" t="s">
        <v>1140</v>
      </c>
      <c r="BW3" s="305" t="s">
        <v>1136</v>
      </c>
      <c r="BX3" s="305" t="s">
        <v>1190</v>
      </c>
      <c r="BY3" s="305" t="s">
        <v>1141</v>
      </c>
      <c r="BZ3" s="305" t="s">
        <v>794</v>
      </c>
      <c r="CA3" s="279" t="s">
        <v>1142</v>
      </c>
      <c r="CB3" s="305" t="s">
        <v>793</v>
      </c>
      <c r="CC3" s="58" t="s">
        <v>976</v>
      </c>
      <c r="CD3" s="93" t="s">
        <v>845</v>
      </c>
      <c r="CE3" s="93" t="s">
        <v>846</v>
      </c>
      <c r="CF3" s="206" t="s">
        <v>1115</v>
      </c>
      <c r="CG3" s="171" t="s">
        <v>1116</v>
      </c>
      <c r="CH3" s="101" t="s">
        <v>941</v>
      </c>
      <c r="CI3" s="70" t="s">
        <v>942</v>
      </c>
      <c r="CJ3" s="70" t="s">
        <v>856</v>
      </c>
      <c r="CK3" s="70" t="s">
        <v>857</v>
      </c>
      <c r="CL3" s="70" t="s">
        <v>858</v>
      </c>
      <c r="CM3" s="70" t="s">
        <v>943</v>
      </c>
      <c r="CN3" s="70" t="s">
        <v>944</v>
      </c>
      <c r="CO3" s="70" t="s">
        <v>860</v>
      </c>
      <c r="CP3" s="410" t="s">
        <v>811</v>
      </c>
      <c r="CQ3" s="411" t="s">
        <v>945</v>
      </c>
      <c r="CR3" s="411" t="s">
        <v>810</v>
      </c>
      <c r="CS3" s="411" t="s">
        <v>812</v>
      </c>
      <c r="CT3" s="411" t="s">
        <v>822</v>
      </c>
      <c r="CU3" s="411" t="s">
        <v>946</v>
      </c>
      <c r="CV3" s="411" t="s">
        <v>813</v>
      </c>
      <c r="CW3" s="412" t="s">
        <v>947</v>
      </c>
      <c r="CX3" s="48" t="s">
        <v>972</v>
      </c>
      <c r="CY3" s="48" t="s">
        <v>973</v>
      </c>
      <c r="CZ3" s="69" t="s">
        <v>1026</v>
      </c>
      <c r="DA3" s="69" t="s">
        <v>948</v>
      </c>
      <c r="DB3" s="69" t="s">
        <v>1027</v>
      </c>
      <c r="DC3" s="69" t="s">
        <v>949</v>
      </c>
      <c r="DD3" s="409" t="s">
        <v>950</v>
      </c>
      <c r="DE3"/>
      <c r="DF3"/>
      <c r="DG3"/>
      <c r="DH3"/>
      <c r="DI3"/>
      <c r="DJ3"/>
    </row>
    <row r="4" spans="1:114" s="40" customFormat="1" x14ac:dyDescent="0.2">
      <c r="A4" s="49"/>
      <c r="B4" s="49"/>
      <c r="C4" s="49"/>
      <c r="D4" s="309" t="s">
        <v>4</v>
      </c>
      <c r="E4" s="49"/>
      <c r="F4" s="86">
        <f>SUBTOTAL(109,F$15:INDEX(F:F,COUNTA($B:$B)+14-COUNTA($B$1:$B$14)))</f>
        <v>0</v>
      </c>
      <c r="G4" s="383"/>
      <c r="H4" s="86">
        <f>SUBTOTAL(109,H$15:INDEX(H:H,COUNTA($B:$B)+14-COUNTA($B$1:$B$14)))</f>
        <v>0</v>
      </c>
      <c r="I4" s="383"/>
      <c r="J4" s="202" t="str">
        <f>IF(SUM($F4)=0,"",SUM($H4)/$F4)</f>
        <v/>
      </c>
      <c r="K4" s="212"/>
      <c r="L4" s="417" t="str">
        <f>IF(SUM($F4)=0,"",SUM($N4)/$F4)</f>
        <v/>
      </c>
      <c r="M4" s="212"/>
      <c r="N4" s="226">
        <f>SUBTOTAL(109,N$15:INDEX(N:N,COUNTA($B:$B)+14-COUNTA($B$1:$B$14)))</f>
        <v>0</v>
      </c>
      <c r="O4" s="212"/>
      <c r="P4" s="86">
        <f>SUBTOTAL(109,P$15:INDEX(P:P,COUNTA($B:$B)+14-COUNTA($B$1:$B$14)))</f>
        <v>0</v>
      </c>
      <c r="Q4" s="212"/>
      <c r="R4" s="86">
        <f>SUBTOTAL(109,R$15:INDEX(R:R,COUNTA($B:$B)+14-COUNTA($B$1:$B$14)))</f>
        <v>0</v>
      </c>
      <c r="S4" s="383"/>
      <c r="T4" s="86">
        <f>SUBTOTAL(109,T$15:INDEX(T:T,COUNTA($B:$B)+14-COUNTA($B$1:$B$14)))</f>
        <v>0</v>
      </c>
      <c r="U4" s="383"/>
      <c r="V4" s="86">
        <f>SUBTOTAL(109,V$15:INDEX(V:V,COUNTA($B:$B)+14-COUNTA($B$1:$B$14)))</f>
        <v>0</v>
      </c>
      <c r="W4" s="383"/>
      <c r="X4" s="86">
        <f>SUBTOTAL(109,X$15:INDEX(X:X,COUNTA($B:$B)+14-COUNTA($B$1:$B$14)))</f>
        <v>0</v>
      </c>
      <c r="Y4" s="383"/>
      <c r="Z4" s="124">
        <f>SUBTOTAL(109,Z$15:INDEX(Z:Z,COUNTA($B:$B)+14-COUNTA($B$1:$B$14)))</f>
        <v>0</v>
      </c>
      <c r="AA4" s="420">
        <f>SUBTOTAL(109,AA$15:INDEX(AA:AA,COUNTA($B:$B)+14-COUNTA($B$1:$B$14)))</f>
        <v>0</v>
      </c>
      <c r="AB4" s="420">
        <f>SUBTOTAL(109,AB$15:INDEX(AB:AB,COUNTA($B:$B)+14-COUNTA($B$1:$B$14)))</f>
        <v>0</v>
      </c>
      <c r="AC4" s="349">
        <f>SUBTOTAL(109,AC$15:INDEX(AC:AC,COUNTA($B:$B)+14-COUNTA($B$1:$B$14)))</f>
        <v>0</v>
      </c>
      <c r="AD4" s="121">
        <f>SUBTOTAL(109,AD$15:INDEX(AD:AD,COUNTA($B:$B)+14-COUNTA($B$1:$B$14)))</f>
        <v>0</v>
      </c>
      <c r="AE4" s="124">
        <f>SUBTOTAL(109,AE$15:INDEX(AE:AE,COUNTA($B:$B)+14-COUNTA($B$1:$B$14)))</f>
        <v>0</v>
      </c>
      <c r="AF4" s="420">
        <f>SUBTOTAL(109,AF$15:INDEX(AF:AF,COUNTA($B:$B)+14-COUNTA($B$1:$B$14)))</f>
        <v>0</v>
      </c>
      <c r="AG4" s="420">
        <f>SUBTOTAL(109,AG$15:INDEX(AG:AG,COUNTA($B:$B)+14-COUNTA($B$1:$B$14)))</f>
        <v>0</v>
      </c>
      <c r="AH4" s="139">
        <f>SUBTOTAL(109,AH$15:INDEX(AH:AH,COUNTA($B:$B)+14-COUNTA($B$1:$B$14)))</f>
        <v>0</v>
      </c>
      <c r="AI4" s="121">
        <f>SUBTOTAL(109,AI$15:INDEX(AI:AI,COUNTA($B:$B)+14-COUNTA($B$1:$B$14)))</f>
        <v>0</v>
      </c>
      <c r="AJ4" s="164" t="str">
        <f>IF(SUM($H4)=0,"",SUM($P4)/$H4)</f>
        <v/>
      </c>
      <c r="AK4" s="253"/>
      <c r="AL4" s="349">
        <f>SUBTOTAL(109,AL$15:INDEX(AL:AL,COUNTA($B:$B)+14-COUNTA($B$1:$B$14)))</f>
        <v>0</v>
      </c>
      <c r="AM4" s="253"/>
      <c r="AN4" s="372">
        <f>SUBTOTAL(109,AN$15:INDEX(AN:AN,COUNTA($B:$B)+14-COUNTA($B$1:$B$14)))</f>
        <v>0</v>
      </c>
      <c r="AO4" s="373">
        <f>SUBTOTAL(109,AO$15:INDEX(AO:AO,COUNTA($B:$B)+14-COUNTA($B$1:$B$14)))</f>
        <v>0</v>
      </c>
      <c r="AP4" s="50" t="str">
        <f>IF(SUM($H4)=0,"",SUM($T4)/$H4)</f>
        <v/>
      </c>
      <c r="AQ4" s="139">
        <f>SUBTOTAL(109,AQ$15:INDEX(AQ:AQ,COUNTA($B:$B)+14-COUNTA($B$1:$B$14)))</f>
        <v>0</v>
      </c>
      <c r="AR4" s="172" t="str">
        <f>IF(SUM($Z4)=0,"",SUM($AA4)/$Z4)</f>
        <v/>
      </c>
      <c r="AS4" s="172" t="str">
        <f>IF(SUM($AE4)=0,"",SUM($AF4)/$AE4)</f>
        <v/>
      </c>
      <c r="AT4" s="395" t="str">
        <f>IF(SUM($P4)=0,"",SUM($T4)/$P4)</f>
        <v/>
      </c>
      <c r="AU4" s="253"/>
      <c r="AV4" s="253"/>
      <c r="AW4" s="253"/>
      <c r="AX4" s="253"/>
      <c r="AY4" s="372">
        <f>SUBTOTAL(109,AY$15:INDEX(AY:AY,COUNTA($B:$B)+14-COUNTA($B$1:$B$14)))</f>
        <v>0</v>
      </c>
      <c r="AZ4" s="102">
        <f>SUBTOTAL(109,AZ$15:INDEX(AZ:AZ,COUNTA($B:$B)+14-COUNTA($B$1:$B$14)))</f>
        <v>0</v>
      </c>
      <c r="BA4" s="401" t="str">
        <f>IF(SUM($H4,$N4)=0,"",SUM($AZ4)/SUM($H4,$N4))</f>
        <v/>
      </c>
      <c r="BB4" s="372">
        <f>SUBTOTAL(109,BB$15:INDEX(BB:BB,COUNTA($B:$B)+14-COUNTA($B$1:$B$14)))</f>
        <v>0</v>
      </c>
      <c r="BC4" s="164" t="str">
        <f>IF(SUM($AY4)=0,"",SUM($BD4)/$AY4)</f>
        <v/>
      </c>
      <c r="BD4" s="372">
        <f>SUBTOTAL(109,BD$15:INDEX(BD:BD,COUNTA($B:$B)+14-COUNTA($B$1:$B$14)))</f>
        <v>0</v>
      </c>
      <c r="BE4" s="253" t="str">
        <f>IF(SUM($AG4)=0,"",SUM($AH4)/$AG4)</f>
        <v/>
      </c>
      <c r="BF4" s="253" t="str">
        <f>IF(SUM($T4)=0,"",SUM($V4)/$T4)</f>
        <v/>
      </c>
      <c r="BG4" s="253" t="str">
        <f>IF(SUM($BD4)=0,"",SUM($BH4)/$BD4)</f>
        <v/>
      </c>
      <c r="BH4" s="372">
        <f>SUBTOTAL(109,BH$15:INDEX(BH:BH,COUNTA($B:$B)+14-COUNTA($B$1:$B$14)))</f>
        <v>0</v>
      </c>
      <c r="BI4" s="253" t="str">
        <f>IF(SUM($AC4)=0,"",SUM($AD4)/$AC4)</f>
        <v/>
      </c>
      <c r="BJ4" s="253" t="str">
        <f>IF(SUM($AH4)=0,"",SUM($AI4)/$AH4)</f>
        <v/>
      </c>
      <c r="BK4" s="253" t="str">
        <f>IF(SUM($V4)=0,"",SUM($X4)/$V4)</f>
        <v/>
      </c>
      <c r="BL4" s="253" t="str">
        <f>IF(SUM($BH4)=0,"",SUM($BM4)/$BH4)</f>
        <v/>
      </c>
      <c r="BM4" s="179">
        <f>SUBTOTAL(109,BM$15:INDEX(BM:BM,COUNTA($B:$B)+14-COUNTA($B$1:$B$14)))</f>
        <v>0</v>
      </c>
      <c r="BN4" s="164" t="str">
        <f>IF(SUM($X4)=0,IF(SUM($T4)=0,IF(SUM($AI4,$AD4,$AG4,$AB4)=0,"",1),IF(SUM($AG4)=0,SUM($AB4),$AG4)/$T4),IF(SUM($AI4)=0,SUM($AD4),$AI4)/$X4)</f>
        <v/>
      </c>
      <c r="BO4" s="253" t="str">
        <f>IF(SUM($H4)=0,"",IF(SUM($X4)=0,IF(SUM($AI4)=0,SUM($AD4),$AI4)/IF(SUM($BN4)=0,1,$BN4)/$H4,$X4/$H4))</f>
        <v/>
      </c>
      <c r="BP4" s="387" t="str">
        <f>IF(SUM($H4,$N4)=0,"",SUM($BM4)/SUM($H4,$N4))</f>
        <v/>
      </c>
      <c r="BQ4" s="179">
        <f>SUBTOTAL(109,BQ$15:INDEX(BQ:BQ,COUNTA($B:$B)+14-COUNTA($B$1:$B$14)))</f>
        <v>0</v>
      </c>
      <c r="BR4" s="312">
        <f>SUBTOTAL(109,BR$15:INDEX(BR:BR,COUNTA($B:$B)+14-COUNTA($B$1:$B$14)))</f>
        <v>0</v>
      </c>
      <c r="BS4" s="121">
        <f>SUBTOTAL(109,BS$15:INDEX(BS:BS,COUNTA($B:$B)+14-COUNTA($B$1:$B$14)))</f>
        <v>0</v>
      </c>
      <c r="BT4" s="253" t="str">
        <f>IF(SUM($BQ4)=0,"",SUM($BU4)/$BQ4)</f>
        <v/>
      </c>
      <c r="BU4" s="179">
        <f>SUBTOTAL(109,BU$15:INDEX(BU:BU,COUNTA($B:$B)+14-COUNTA($B$1:$B$14)))</f>
        <v>0</v>
      </c>
      <c r="BV4" s="179" t="e">
        <f>SUBTOTAL(109,BV$15:INDEX(BV:BV,COUNTA($B:$B)+14-COUNTA($B$1:$B$14)))</f>
        <v>#VALUE!</v>
      </c>
      <c r="BW4" s="102" t="e">
        <f>SUBTOTAL(109,BW$15:INDEX(BW:BW,COUNTA($B:$B)+14-COUNTA($B$1:$B$14)))</f>
        <v>#VALUE!</v>
      </c>
      <c r="BX4" s="102" t="e">
        <f>SUBTOTAL(109,BX$15:INDEX(BX:BX,COUNTA($B:$B)+14-COUNTA($B$1:$B$14)))</f>
        <v>#VALUE!</v>
      </c>
      <c r="BY4" s="86" t="e">
        <f>SUBTOTAL(109,BY$15:INDEX(BY:BY,COUNTA($B:$B)+14-COUNTA($B$1:$B$14)))</f>
        <v>#VALUE!</v>
      </c>
      <c r="BZ4" s="102" t="e">
        <f>SUBTOTAL(109,BZ$15:INDEX(BZ:BZ,COUNTA($B:$B)+14-COUNTA($B$1:$B$14)))</f>
        <v>#VALUE!</v>
      </c>
      <c r="CA4" s="253" t="e">
        <f>IF(SUM($BY4)=0,"",SUM($CB4)/$BY4)</f>
        <v>#VALUE!</v>
      </c>
      <c r="CB4" s="86" t="e">
        <f>SUBTOTAL(109,CB$15:INDEX(CB:CB,COUNTA($B:$B)+14-COUNTA($B$1:$B$14)))</f>
        <v>#VALUE!</v>
      </c>
      <c r="CC4" s="164" t="e">
        <f>IF(SUM($CB4)=0,"",SUM($CD4)/$CB4)</f>
        <v>#VALUE!</v>
      </c>
      <c r="CD4" s="103" t="e">
        <f>SUBTOTAL(109,CD$15:INDEX(CD:CD,COUNTA($B:$B)+14-COUNTA($B$1:$B$14)))</f>
        <v>#VALUE!</v>
      </c>
      <c r="CE4" s="103" t="e">
        <f>SUBTOTAL(109,CE$15:INDEX(CE:CE,COUNTA($B:$B)+14-COUNTA($B$1:$B$14)))</f>
        <v>#VALUE!</v>
      </c>
      <c r="CF4" s="172"/>
      <c r="CG4" s="172" t="e">
        <f>IF(SUM($CH4)=0,"",SUM($CI4)/$CH4)</f>
        <v>#VALUE!</v>
      </c>
      <c r="CH4" s="107" t="e">
        <f>SUBTOTAL(109,CH$15:INDEX(CH:CH,COUNTA($B:$B)+14-COUNTA($B$1:$B$14)))</f>
        <v>#VALUE!</v>
      </c>
      <c r="CI4" s="107" t="e">
        <f>SUBTOTAL(109,CI$15:INDEX(CI:CI,COUNTA($B:$B)+14-COUNTA($B$1:$B$14)))</f>
        <v>#VALUE!</v>
      </c>
      <c r="CJ4" s="86">
        <f>SUBTOTAL(109,CJ$15:INDEX(CJ:CJ,COUNTA($B:$B)+14-COUNTA($B$1:$B$14)))</f>
        <v>0</v>
      </c>
      <c r="CK4" s="138">
        <f>SUBTOTAL(109,CK$15:INDEX(CK:CK,COUNTA($B:$B)+14-COUNTA($B$1:$B$14)))</f>
        <v>0</v>
      </c>
      <c r="CL4" s="71">
        <f>SUBTOTAL(109,CL$15:INDEX(CL:CL,COUNTA($B:$B)+14-COUNTA($B$1:$B$14)))</f>
        <v>0</v>
      </c>
      <c r="CM4" s="71">
        <f>SUBTOTAL(109,CM$15:INDEX(CM:CM,COUNTA($B:$B)+14-COUNTA($B$1:$B$14)))</f>
        <v>0</v>
      </c>
      <c r="CN4" s="71">
        <f>SUBTOTAL(109,CN$15:INDEX(CN:CN,COUNTA($B:$B)+14-COUNTA($B$1:$B$14)))</f>
        <v>0</v>
      </c>
      <c r="CO4" s="107" t="e">
        <f>SUBTOTAL(109,CO$15:INDEX(CO:CO,COUNTA($B:$B)+14-COUNTA($B$1:$B$14)))</f>
        <v>#VALUE!</v>
      </c>
      <c r="CP4" s="413" t="e">
        <f>IF(SUM($CH4)=0,"",SUM($CI4)/$CH4)</f>
        <v>#VALUE!</v>
      </c>
      <c r="CQ4" s="414" t="e">
        <f>IF(SUM($CH4)=0,"",SUM($CJ4)/$CH4)</f>
        <v>#VALUE!</v>
      </c>
      <c r="CR4" s="414" t="e">
        <f>IF(SUM($CH4)=0,"",SUM($CK4)/$CH4)</f>
        <v>#VALUE!</v>
      </c>
      <c r="CS4" s="414" t="e">
        <f>IF(SUM($CH4)=0,"",SUM($CL4)/$CH4)</f>
        <v>#VALUE!</v>
      </c>
      <c r="CT4" s="414" t="e">
        <f>IF(SUM($CH4)=0,"",SUM($CM4)/$CH4)</f>
        <v>#VALUE!</v>
      </c>
      <c r="CU4" s="414" t="e">
        <f>IF(SUM($CH4)=0,"",SUM($CN4)/$CH4)</f>
        <v>#VALUE!</v>
      </c>
      <c r="CV4" s="414" t="e">
        <f>IF(SUM($CH4)=0,"",SUM($CO4)/$CH4)</f>
        <v>#VALUE!</v>
      </c>
      <c r="CW4" s="164" t="e">
        <f>IF(SUM($CI4)=0,"",SUM($CZ4)/$CI4)</f>
        <v>#VALUE!</v>
      </c>
      <c r="CX4" s="50" t="e">
        <f>IF(SUM($DA4,$CZ4)=0,"",SUM($CZ4)/SUM($DA4,$CZ4))</f>
        <v>#VALUE!</v>
      </c>
      <c r="CY4" s="50" t="e">
        <f>IF(SUM($DB4,$DC4)=0,"",SUM($DB4)/SUM($DB4,$DC4))</f>
        <v>#VALUE!</v>
      </c>
      <c r="CZ4" s="71" t="e">
        <f>SUBTOTAL(109,CZ$15:INDEX(CZ:CZ,COUNTA($B:$B)+14-COUNTA($B$1:$B$14)))</f>
        <v>#VALUE!</v>
      </c>
      <c r="DA4" s="71" t="e">
        <f>SUBTOTAL(109,DA$15:INDEX(DA:DA,COUNTA($B:$B)+14-COUNTA($B$1:$B$14)))</f>
        <v>#VALUE!</v>
      </c>
      <c r="DB4" s="71" t="e">
        <f>SUBTOTAL(109,DB$15:INDEX(DB:DB,COUNTA($B:$B)+14-COUNTA($B$1:$B$14)))</f>
        <v>#VALUE!</v>
      </c>
      <c r="DC4" s="71" t="e">
        <f>SUBTOTAL(109,DC$15:INDEX(DC:DC,COUNTA($B:$B)+14-COUNTA($B$1:$B$14)))</f>
        <v>#VALUE!</v>
      </c>
      <c r="DD4" s="50" t="e">
        <f>IF(SUM($CH4)=0,"",SUM($CZ4,$DB4)/$CH4)</f>
        <v>#VALUE!</v>
      </c>
      <c r="DE4"/>
      <c r="DF4"/>
      <c r="DG4"/>
      <c r="DH4"/>
      <c r="DI4"/>
      <c r="DJ4"/>
    </row>
    <row r="5" spans="1:114" s="40" customFormat="1" x14ac:dyDescent="0.2">
      <c r="A5" s="42" t="s">
        <v>99</v>
      </c>
      <c r="B5" s="42" t="s">
        <v>99</v>
      </c>
      <c r="C5" s="42" t="s">
        <v>99</v>
      </c>
      <c r="D5" s="310" t="s">
        <v>99</v>
      </c>
      <c r="E5" s="42" t="s">
        <v>99</v>
      </c>
      <c r="F5" s="72" t="s">
        <v>107</v>
      </c>
      <c r="G5" s="36" t="s">
        <v>99</v>
      </c>
      <c r="H5" s="72" t="s">
        <v>107</v>
      </c>
      <c r="I5" s="36" t="s">
        <v>99</v>
      </c>
      <c r="J5" s="203" t="s">
        <v>107</v>
      </c>
      <c r="K5" s="36" t="s">
        <v>99</v>
      </c>
      <c r="L5" s="181" t="s">
        <v>99</v>
      </c>
      <c r="M5" s="36" t="s">
        <v>99</v>
      </c>
      <c r="N5" s="79" t="s">
        <v>99</v>
      </c>
      <c r="O5" s="36" t="s">
        <v>99</v>
      </c>
      <c r="P5" s="72" t="s">
        <v>108</v>
      </c>
      <c r="Q5" s="36" t="s">
        <v>99</v>
      </c>
      <c r="R5" s="72" t="s">
        <v>108</v>
      </c>
      <c r="S5" s="36" t="s">
        <v>99</v>
      </c>
      <c r="T5" s="72" t="s">
        <v>108</v>
      </c>
      <c r="U5" s="36" t="s">
        <v>99</v>
      </c>
      <c r="V5" s="72" t="s">
        <v>108</v>
      </c>
      <c r="W5" s="36" t="s">
        <v>99</v>
      </c>
      <c r="X5" s="72" t="s">
        <v>108</v>
      </c>
      <c r="Y5" s="36" t="s">
        <v>99</v>
      </c>
      <c r="Z5" s="99" t="s">
        <v>99</v>
      </c>
      <c r="AA5" s="421" t="s">
        <v>110</v>
      </c>
      <c r="AB5" s="421" t="s">
        <v>110</v>
      </c>
      <c r="AC5" s="98" t="s">
        <v>110</v>
      </c>
      <c r="AD5" s="98" t="s">
        <v>110</v>
      </c>
      <c r="AE5" s="99" t="s">
        <v>99</v>
      </c>
      <c r="AF5" s="421" t="s">
        <v>110</v>
      </c>
      <c r="AG5" s="421" t="s">
        <v>110</v>
      </c>
      <c r="AH5" s="98" t="s">
        <v>110</v>
      </c>
      <c r="AI5" s="98" t="s">
        <v>110</v>
      </c>
      <c r="AJ5" s="165" t="s">
        <v>99</v>
      </c>
      <c r="AK5" s="254" t="s">
        <v>99</v>
      </c>
      <c r="AL5" s="122" t="s">
        <v>99</v>
      </c>
      <c r="AM5" s="254" t="s">
        <v>99</v>
      </c>
      <c r="AN5" s="223" t="s">
        <v>99</v>
      </c>
      <c r="AO5" s="374" t="s">
        <v>108</v>
      </c>
      <c r="AP5" s="173" t="s">
        <v>99</v>
      </c>
      <c r="AQ5" s="98" t="s">
        <v>99</v>
      </c>
      <c r="AR5" s="173" t="s">
        <v>99</v>
      </c>
      <c r="AS5" s="173" t="s">
        <v>99</v>
      </c>
      <c r="AT5" s="278" t="s">
        <v>99</v>
      </c>
      <c r="AU5" s="254" t="s">
        <v>99</v>
      </c>
      <c r="AV5" s="254" t="s">
        <v>99</v>
      </c>
      <c r="AW5" s="254" t="s">
        <v>99</v>
      </c>
      <c r="AX5" s="254" t="s">
        <v>99</v>
      </c>
      <c r="AY5" s="223" t="s">
        <v>99</v>
      </c>
      <c r="AZ5" s="72" t="s">
        <v>108</v>
      </c>
      <c r="BA5" s="402" t="s">
        <v>99</v>
      </c>
      <c r="BB5" s="223" t="s">
        <v>99</v>
      </c>
      <c r="BC5" s="165" t="s">
        <v>99</v>
      </c>
      <c r="BD5" s="223" t="s">
        <v>99</v>
      </c>
      <c r="BE5" s="254" t="s">
        <v>99</v>
      </c>
      <c r="BF5" s="254" t="s">
        <v>99</v>
      </c>
      <c r="BG5" s="254" t="s">
        <v>99</v>
      </c>
      <c r="BH5" s="223" t="s">
        <v>99</v>
      </c>
      <c r="BI5" s="254" t="s">
        <v>99</v>
      </c>
      <c r="BJ5" s="254" t="s">
        <v>99</v>
      </c>
      <c r="BK5" s="254" t="s">
        <v>99</v>
      </c>
      <c r="BL5" s="254" t="s">
        <v>99</v>
      </c>
      <c r="BM5" s="108" t="s">
        <v>108</v>
      </c>
      <c r="BN5" s="165" t="s">
        <v>99</v>
      </c>
      <c r="BO5" s="254" t="s">
        <v>99</v>
      </c>
      <c r="BP5" s="388" t="s">
        <v>99</v>
      </c>
      <c r="BQ5" s="108" t="s">
        <v>99</v>
      </c>
      <c r="BR5" s="126" t="s">
        <v>99</v>
      </c>
      <c r="BS5" s="98" t="s">
        <v>99</v>
      </c>
      <c r="BT5" s="254" t="s">
        <v>99</v>
      </c>
      <c r="BU5" s="108" t="s">
        <v>99</v>
      </c>
      <c r="BV5" s="72" t="s">
        <v>110</v>
      </c>
      <c r="BW5" s="72" t="s">
        <v>110</v>
      </c>
      <c r="BX5" s="72" t="s">
        <v>99</v>
      </c>
      <c r="BY5" s="84" t="s">
        <v>99</v>
      </c>
      <c r="BZ5" s="72" t="s">
        <v>110</v>
      </c>
      <c r="CA5" s="254" t="s">
        <v>99</v>
      </c>
      <c r="CB5" s="84" t="s">
        <v>110</v>
      </c>
      <c r="CC5" s="165" t="s">
        <v>99</v>
      </c>
      <c r="CD5" s="75" t="s">
        <v>99</v>
      </c>
      <c r="CE5" s="75" t="s">
        <v>99</v>
      </c>
      <c r="CF5" s="173" t="s">
        <v>99</v>
      </c>
      <c r="CG5" s="173" t="s">
        <v>99</v>
      </c>
      <c r="CH5" s="108" t="s">
        <v>99</v>
      </c>
      <c r="CI5" s="72" t="s">
        <v>99</v>
      </c>
      <c r="CJ5" s="72" t="s">
        <v>99</v>
      </c>
      <c r="CK5" s="72" t="s">
        <v>99</v>
      </c>
      <c r="CL5" s="72" t="s">
        <v>99</v>
      </c>
      <c r="CM5" s="72" t="s">
        <v>99</v>
      </c>
      <c r="CN5" s="72" t="s">
        <v>99</v>
      </c>
      <c r="CO5" s="72" t="s">
        <v>99</v>
      </c>
      <c r="CP5" s="165" t="s">
        <v>99</v>
      </c>
      <c r="CQ5" s="254" t="s">
        <v>99</v>
      </c>
      <c r="CR5" s="254" t="s">
        <v>99</v>
      </c>
      <c r="CS5" s="254" t="s">
        <v>99</v>
      </c>
      <c r="CT5" s="254" t="s">
        <v>99</v>
      </c>
      <c r="CU5" s="254" t="s">
        <v>99</v>
      </c>
      <c r="CV5" s="254" t="s">
        <v>99</v>
      </c>
      <c r="CW5" s="165" t="s">
        <v>99</v>
      </c>
      <c r="CX5" s="36" t="s">
        <v>99</v>
      </c>
      <c r="CY5" s="36" t="s">
        <v>99</v>
      </c>
      <c r="CZ5" s="72" t="s">
        <v>110</v>
      </c>
      <c r="DA5" s="72" t="s">
        <v>110</v>
      </c>
      <c r="DB5" s="72" t="s">
        <v>110</v>
      </c>
      <c r="DC5" s="72" t="s">
        <v>110</v>
      </c>
      <c r="DD5" s="36" t="s">
        <v>99</v>
      </c>
      <c r="DE5"/>
      <c r="DF5"/>
      <c r="DG5"/>
      <c r="DH5"/>
      <c r="DI5"/>
      <c r="DJ5"/>
    </row>
    <row r="6" spans="1:114" s="40" customFormat="1" x14ac:dyDescent="0.2">
      <c r="A6" s="42" t="s">
        <v>201</v>
      </c>
      <c r="B6" s="42" t="s">
        <v>201</v>
      </c>
      <c r="C6" s="42" t="s">
        <v>201</v>
      </c>
      <c r="D6" s="310" t="s">
        <v>201</v>
      </c>
      <c r="E6" s="42" t="s">
        <v>201</v>
      </c>
      <c r="F6" s="72" t="s">
        <v>93</v>
      </c>
      <c r="G6" s="36" t="s">
        <v>94</v>
      </c>
      <c r="H6" s="72" t="s">
        <v>93</v>
      </c>
      <c r="I6" s="36" t="s">
        <v>94</v>
      </c>
      <c r="J6" s="203" t="s">
        <v>93</v>
      </c>
      <c r="K6" s="36" t="s">
        <v>94</v>
      </c>
      <c r="L6" s="181" t="s">
        <v>94</v>
      </c>
      <c r="M6" s="36" t="s">
        <v>94</v>
      </c>
      <c r="N6" s="79" t="s">
        <v>94</v>
      </c>
      <c r="O6" s="36" t="s">
        <v>94</v>
      </c>
      <c r="P6" s="72" t="s">
        <v>93</v>
      </c>
      <c r="Q6" s="36" t="s">
        <v>94</v>
      </c>
      <c r="R6" s="72" t="s">
        <v>780</v>
      </c>
      <c r="S6" s="36" t="s">
        <v>94</v>
      </c>
      <c r="T6" s="72" t="s">
        <v>93</v>
      </c>
      <c r="U6" s="36" t="s">
        <v>94</v>
      </c>
      <c r="V6" s="72" t="s">
        <v>93</v>
      </c>
      <c r="W6" s="36" t="s">
        <v>94</v>
      </c>
      <c r="X6" s="72" t="s">
        <v>93</v>
      </c>
      <c r="Y6" s="36" t="s">
        <v>94</v>
      </c>
      <c r="Z6" s="99" t="s">
        <v>112</v>
      </c>
      <c r="AA6" s="421" t="s">
        <v>111</v>
      </c>
      <c r="AB6" s="421" t="s">
        <v>111</v>
      </c>
      <c r="AC6" s="98" t="s">
        <v>111</v>
      </c>
      <c r="AD6" s="98" t="s">
        <v>111</v>
      </c>
      <c r="AE6" s="99" t="s">
        <v>112</v>
      </c>
      <c r="AF6" s="421" t="s">
        <v>111</v>
      </c>
      <c r="AG6" s="421" t="s">
        <v>111</v>
      </c>
      <c r="AH6" s="75" t="s">
        <v>111</v>
      </c>
      <c r="AI6" s="98" t="s">
        <v>111</v>
      </c>
      <c r="AJ6" s="165" t="s">
        <v>94</v>
      </c>
      <c r="AK6" s="254" t="s">
        <v>113</v>
      </c>
      <c r="AL6" s="122" t="s">
        <v>94</v>
      </c>
      <c r="AM6" s="254" t="s">
        <v>113</v>
      </c>
      <c r="AN6" s="223" t="s">
        <v>94</v>
      </c>
      <c r="AO6" s="374" t="s">
        <v>93</v>
      </c>
      <c r="AP6" s="51" t="s">
        <v>94</v>
      </c>
      <c r="AQ6" s="75" t="s">
        <v>94</v>
      </c>
      <c r="AR6" s="173" t="s">
        <v>94</v>
      </c>
      <c r="AS6" s="173" t="s">
        <v>94</v>
      </c>
      <c r="AT6" s="278" t="s">
        <v>94</v>
      </c>
      <c r="AU6" s="254" t="s">
        <v>113</v>
      </c>
      <c r="AV6" s="254" t="s">
        <v>113</v>
      </c>
      <c r="AW6" s="254" t="s">
        <v>113</v>
      </c>
      <c r="AX6" s="254" t="s">
        <v>113</v>
      </c>
      <c r="AY6" s="223" t="s">
        <v>94</v>
      </c>
      <c r="AZ6" s="72" t="s">
        <v>93</v>
      </c>
      <c r="BA6" s="402" t="s">
        <v>94</v>
      </c>
      <c r="BB6" s="223" t="s">
        <v>94</v>
      </c>
      <c r="BC6" s="165" t="s">
        <v>113</v>
      </c>
      <c r="BD6" s="223" t="s">
        <v>94</v>
      </c>
      <c r="BE6" s="254" t="s">
        <v>94</v>
      </c>
      <c r="BF6" s="254" t="s">
        <v>94</v>
      </c>
      <c r="BG6" s="254" t="s">
        <v>113</v>
      </c>
      <c r="BH6" s="223" t="s">
        <v>94</v>
      </c>
      <c r="BI6" s="254" t="s">
        <v>94</v>
      </c>
      <c r="BJ6" s="254" t="s">
        <v>94</v>
      </c>
      <c r="BK6" s="254" t="s">
        <v>94</v>
      </c>
      <c r="BL6" s="254" t="s">
        <v>113</v>
      </c>
      <c r="BM6" s="108" t="s">
        <v>93</v>
      </c>
      <c r="BN6" s="165" t="s">
        <v>94</v>
      </c>
      <c r="BO6" s="254" t="s">
        <v>94</v>
      </c>
      <c r="BP6" s="388" t="s">
        <v>94</v>
      </c>
      <c r="BQ6" s="108" t="s">
        <v>94</v>
      </c>
      <c r="BR6" s="126" t="s">
        <v>94</v>
      </c>
      <c r="BS6" s="98" t="s">
        <v>94</v>
      </c>
      <c r="BT6" s="254" t="s">
        <v>113</v>
      </c>
      <c r="BU6" s="108" t="s">
        <v>94</v>
      </c>
      <c r="BV6" s="72" t="s">
        <v>93</v>
      </c>
      <c r="BW6" s="72" t="s">
        <v>93</v>
      </c>
      <c r="BX6" s="72" t="s">
        <v>94</v>
      </c>
      <c r="BY6" s="84" t="s">
        <v>94</v>
      </c>
      <c r="BZ6" s="72" t="s">
        <v>93</v>
      </c>
      <c r="CA6" s="254" t="s">
        <v>113</v>
      </c>
      <c r="CB6" s="84" t="s">
        <v>93</v>
      </c>
      <c r="CC6" s="165" t="s">
        <v>113</v>
      </c>
      <c r="CD6" s="75" t="s">
        <v>94</v>
      </c>
      <c r="CE6" s="75" t="s">
        <v>94</v>
      </c>
      <c r="CF6" s="173" t="s">
        <v>112</v>
      </c>
      <c r="CG6" s="173" t="s">
        <v>113</v>
      </c>
      <c r="CH6" s="108" t="s">
        <v>94</v>
      </c>
      <c r="CI6" s="72" t="s">
        <v>94</v>
      </c>
      <c r="CJ6" s="72" t="s">
        <v>94</v>
      </c>
      <c r="CK6" s="72" t="s">
        <v>94</v>
      </c>
      <c r="CL6" s="72" t="s">
        <v>94</v>
      </c>
      <c r="CM6" s="72" t="s">
        <v>94</v>
      </c>
      <c r="CN6" s="72" t="s">
        <v>94</v>
      </c>
      <c r="CO6" s="72" t="s">
        <v>94</v>
      </c>
      <c r="CP6" s="165" t="s">
        <v>94</v>
      </c>
      <c r="CQ6" s="254" t="s">
        <v>94</v>
      </c>
      <c r="CR6" s="254" t="s">
        <v>94</v>
      </c>
      <c r="CS6" s="254" t="s">
        <v>94</v>
      </c>
      <c r="CT6" s="254" t="s">
        <v>94</v>
      </c>
      <c r="CU6" s="254" t="s">
        <v>94</v>
      </c>
      <c r="CV6" s="254" t="s">
        <v>94</v>
      </c>
      <c r="CW6" s="165" t="s">
        <v>112</v>
      </c>
      <c r="CX6" s="36" t="s">
        <v>112</v>
      </c>
      <c r="CY6" s="36" t="s">
        <v>112</v>
      </c>
      <c r="CZ6" s="72" t="s">
        <v>93</v>
      </c>
      <c r="DA6" s="72" t="s">
        <v>93</v>
      </c>
      <c r="DB6" s="72" t="s">
        <v>93</v>
      </c>
      <c r="DC6" s="72" t="s">
        <v>93</v>
      </c>
      <c r="DD6" s="36" t="s">
        <v>94</v>
      </c>
      <c r="DE6"/>
      <c r="DF6"/>
      <c r="DG6"/>
      <c r="DH6"/>
      <c r="DI6"/>
      <c r="DJ6"/>
    </row>
    <row r="7" spans="1:114" s="40" customFormat="1" x14ac:dyDescent="0.2">
      <c r="A7" s="42" t="s">
        <v>109</v>
      </c>
      <c r="B7" s="42" t="s">
        <v>109</v>
      </c>
      <c r="C7" s="42" t="s">
        <v>109</v>
      </c>
      <c r="D7" s="310" t="s">
        <v>109</v>
      </c>
      <c r="E7" s="42" t="s">
        <v>109</v>
      </c>
      <c r="F7" s="72" t="s">
        <v>95</v>
      </c>
      <c r="G7" s="36" t="s">
        <v>96</v>
      </c>
      <c r="H7" s="72" t="s">
        <v>95</v>
      </c>
      <c r="I7" s="36" t="s">
        <v>96</v>
      </c>
      <c r="J7" s="203" t="s">
        <v>96</v>
      </c>
      <c r="K7" s="36" t="s">
        <v>96</v>
      </c>
      <c r="L7" s="181" t="s">
        <v>96</v>
      </c>
      <c r="M7" s="36" t="s">
        <v>96</v>
      </c>
      <c r="N7" s="79" t="s">
        <v>95</v>
      </c>
      <c r="O7" s="36" t="s">
        <v>96</v>
      </c>
      <c r="P7" s="72" t="s">
        <v>95</v>
      </c>
      <c r="Q7" s="36" t="s">
        <v>96</v>
      </c>
      <c r="R7" s="72" t="s">
        <v>95</v>
      </c>
      <c r="S7" s="36" t="s">
        <v>96</v>
      </c>
      <c r="T7" s="72" t="s">
        <v>95</v>
      </c>
      <c r="U7" s="36" t="s">
        <v>96</v>
      </c>
      <c r="V7" s="72" t="s">
        <v>95</v>
      </c>
      <c r="W7" s="36" t="s">
        <v>96</v>
      </c>
      <c r="X7" s="72" t="s">
        <v>95</v>
      </c>
      <c r="Y7" s="36" t="s">
        <v>96</v>
      </c>
      <c r="Z7" s="99" t="s">
        <v>95</v>
      </c>
      <c r="AA7" s="421" t="s">
        <v>95</v>
      </c>
      <c r="AB7" s="421" t="s">
        <v>95</v>
      </c>
      <c r="AC7" s="98" t="s">
        <v>95</v>
      </c>
      <c r="AD7" s="98" t="s">
        <v>95</v>
      </c>
      <c r="AE7" s="99" t="s">
        <v>95</v>
      </c>
      <c r="AF7" s="421" t="s">
        <v>95</v>
      </c>
      <c r="AG7" s="421" t="s">
        <v>95</v>
      </c>
      <c r="AH7" s="75" t="s">
        <v>95</v>
      </c>
      <c r="AI7" s="98" t="s">
        <v>95</v>
      </c>
      <c r="AJ7" s="165" t="s">
        <v>96</v>
      </c>
      <c r="AK7" s="254" t="s">
        <v>96</v>
      </c>
      <c r="AL7" s="122" t="s">
        <v>95</v>
      </c>
      <c r="AM7" s="254" t="s">
        <v>96</v>
      </c>
      <c r="AN7" s="223" t="s">
        <v>95</v>
      </c>
      <c r="AO7" s="374" t="s">
        <v>95</v>
      </c>
      <c r="AP7" s="51" t="s">
        <v>96</v>
      </c>
      <c r="AQ7" s="75" t="s">
        <v>95</v>
      </c>
      <c r="AR7" s="173" t="s">
        <v>96</v>
      </c>
      <c r="AS7" s="173" t="s">
        <v>96</v>
      </c>
      <c r="AT7" s="278" t="s">
        <v>96</v>
      </c>
      <c r="AU7" s="254" t="s">
        <v>96</v>
      </c>
      <c r="AV7" s="254" t="s">
        <v>96</v>
      </c>
      <c r="AW7" s="254" t="s">
        <v>96</v>
      </c>
      <c r="AX7" s="254" t="s">
        <v>96</v>
      </c>
      <c r="AY7" s="223" t="s">
        <v>95</v>
      </c>
      <c r="AZ7" s="72" t="s">
        <v>95</v>
      </c>
      <c r="BA7" s="402" t="s">
        <v>96</v>
      </c>
      <c r="BB7" s="223" t="s">
        <v>95</v>
      </c>
      <c r="BC7" s="165" t="s">
        <v>96</v>
      </c>
      <c r="BD7" s="223" t="s">
        <v>95</v>
      </c>
      <c r="BE7" s="254" t="s">
        <v>96</v>
      </c>
      <c r="BF7" s="254" t="s">
        <v>96</v>
      </c>
      <c r="BG7" s="254" t="s">
        <v>96</v>
      </c>
      <c r="BH7" s="223" t="s">
        <v>95</v>
      </c>
      <c r="BI7" s="254" t="s">
        <v>96</v>
      </c>
      <c r="BJ7" s="254" t="s">
        <v>96</v>
      </c>
      <c r="BK7" s="254" t="s">
        <v>96</v>
      </c>
      <c r="BL7" s="254" t="s">
        <v>96</v>
      </c>
      <c r="BM7" s="108" t="s">
        <v>95</v>
      </c>
      <c r="BN7" s="165" t="s">
        <v>96</v>
      </c>
      <c r="BO7" s="254" t="s">
        <v>96</v>
      </c>
      <c r="BP7" s="388" t="s">
        <v>96</v>
      </c>
      <c r="BQ7" s="108" t="s">
        <v>95</v>
      </c>
      <c r="BR7" s="126" t="s">
        <v>95</v>
      </c>
      <c r="BS7" s="98" t="s">
        <v>95</v>
      </c>
      <c r="BT7" s="254" t="s">
        <v>96</v>
      </c>
      <c r="BU7" s="108" t="s">
        <v>95</v>
      </c>
      <c r="BV7" s="72" t="s">
        <v>95</v>
      </c>
      <c r="BW7" s="72" t="s">
        <v>95</v>
      </c>
      <c r="BX7" s="72" t="s">
        <v>95</v>
      </c>
      <c r="BY7" s="84" t="s">
        <v>95</v>
      </c>
      <c r="BZ7" s="72" t="s">
        <v>95</v>
      </c>
      <c r="CA7" s="254" t="s">
        <v>96</v>
      </c>
      <c r="CB7" s="84" t="s">
        <v>95</v>
      </c>
      <c r="CC7" s="165" t="s">
        <v>96</v>
      </c>
      <c r="CD7" s="75" t="s">
        <v>95</v>
      </c>
      <c r="CE7" s="75" t="s">
        <v>95</v>
      </c>
      <c r="CF7" s="173" t="s">
        <v>96</v>
      </c>
      <c r="CG7" s="173" t="s">
        <v>96</v>
      </c>
      <c r="CH7" s="108" t="s">
        <v>95</v>
      </c>
      <c r="CI7" s="72" t="s">
        <v>95</v>
      </c>
      <c r="CJ7" s="72" t="s">
        <v>95</v>
      </c>
      <c r="CK7" s="72" t="s">
        <v>95</v>
      </c>
      <c r="CL7" s="72" t="s">
        <v>95</v>
      </c>
      <c r="CM7" s="72" t="s">
        <v>95</v>
      </c>
      <c r="CN7" s="72" t="s">
        <v>95</v>
      </c>
      <c r="CO7" s="72" t="s">
        <v>95</v>
      </c>
      <c r="CP7" s="165" t="s">
        <v>96</v>
      </c>
      <c r="CQ7" s="254" t="s">
        <v>96</v>
      </c>
      <c r="CR7" s="254" t="s">
        <v>96</v>
      </c>
      <c r="CS7" s="254" t="s">
        <v>96</v>
      </c>
      <c r="CT7" s="254" t="s">
        <v>96</v>
      </c>
      <c r="CU7" s="254" t="s">
        <v>96</v>
      </c>
      <c r="CV7" s="254" t="s">
        <v>96</v>
      </c>
      <c r="CW7" s="165" t="s">
        <v>96</v>
      </c>
      <c r="CX7" s="36" t="s">
        <v>96</v>
      </c>
      <c r="CY7" s="36" t="s">
        <v>96</v>
      </c>
      <c r="CZ7" s="72" t="s">
        <v>95</v>
      </c>
      <c r="DA7" s="72" t="s">
        <v>95</v>
      </c>
      <c r="DB7" s="72" t="s">
        <v>95</v>
      </c>
      <c r="DC7" s="72" t="s">
        <v>95</v>
      </c>
      <c r="DD7" s="36" t="s">
        <v>96</v>
      </c>
      <c r="DE7"/>
      <c r="DF7"/>
      <c r="DG7"/>
      <c r="DH7"/>
      <c r="DI7"/>
      <c r="DJ7"/>
    </row>
    <row r="8" spans="1:114" s="338" customFormat="1" x14ac:dyDescent="0.2">
      <c r="A8" s="339"/>
      <c r="B8" s="339"/>
      <c r="C8" s="339"/>
      <c r="D8" s="425"/>
      <c r="E8" s="339"/>
      <c r="F8" s="123" t="s">
        <v>97</v>
      </c>
      <c r="G8" s="342"/>
      <c r="H8" s="123" t="s">
        <v>288</v>
      </c>
      <c r="I8" s="342"/>
      <c r="J8" s="426" t="s">
        <v>98</v>
      </c>
      <c r="K8" s="342"/>
      <c r="L8" s="427"/>
      <c r="M8" s="342"/>
      <c r="N8" s="428"/>
      <c r="O8" s="342"/>
      <c r="P8" s="123" t="s">
        <v>100</v>
      </c>
      <c r="Q8" s="342"/>
      <c r="R8" s="123" t="s">
        <v>616</v>
      </c>
      <c r="S8" s="342"/>
      <c r="T8" s="123" t="s">
        <v>295</v>
      </c>
      <c r="U8" s="342"/>
      <c r="V8" s="123"/>
      <c r="W8" s="342"/>
      <c r="X8" s="123" t="s">
        <v>101</v>
      </c>
      <c r="Y8" s="342"/>
      <c r="Z8" s="219"/>
      <c r="AA8" s="429" t="s">
        <v>966</v>
      </c>
      <c r="AB8" s="429" t="s">
        <v>775</v>
      </c>
      <c r="AC8" s="425" t="s">
        <v>142</v>
      </c>
      <c r="AD8" s="425" t="s">
        <v>900</v>
      </c>
      <c r="AE8" s="219"/>
      <c r="AF8" s="429" t="s">
        <v>138</v>
      </c>
      <c r="AG8" s="429" t="s">
        <v>136</v>
      </c>
      <c r="AH8" s="177" t="s">
        <v>140</v>
      </c>
      <c r="AI8" s="425" t="s">
        <v>798</v>
      </c>
      <c r="AJ8" s="341"/>
      <c r="AK8" s="430"/>
      <c r="AL8" s="431"/>
      <c r="AM8" s="430"/>
      <c r="AN8" s="432"/>
      <c r="AO8" s="433"/>
      <c r="AP8" s="436"/>
      <c r="AQ8" s="177"/>
      <c r="AR8" s="434"/>
      <c r="AS8" s="434"/>
      <c r="AT8" s="435"/>
      <c r="AU8" s="430"/>
      <c r="AV8" s="430"/>
      <c r="AW8" s="430"/>
      <c r="AX8" s="430"/>
      <c r="AY8" s="432"/>
      <c r="AZ8" s="123" t="s">
        <v>295</v>
      </c>
      <c r="BA8" s="437"/>
      <c r="BB8" s="432"/>
      <c r="BC8" s="341"/>
      <c r="BD8" s="432"/>
      <c r="BE8" s="430"/>
      <c r="BF8" s="430"/>
      <c r="BG8" s="430"/>
      <c r="BH8" s="432"/>
      <c r="BI8" s="430"/>
      <c r="BJ8" s="430"/>
      <c r="BK8" s="430"/>
      <c r="BL8" s="430"/>
      <c r="BM8" s="438" t="s">
        <v>101</v>
      </c>
      <c r="BN8" s="341"/>
      <c r="BO8" s="430"/>
      <c r="BP8" s="455"/>
      <c r="BQ8" s="438"/>
      <c r="BR8" s="439"/>
      <c r="BS8" s="425"/>
      <c r="BT8" s="430"/>
      <c r="BU8" s="438"/>
      <c r="BV8" s="123" t="s">
        <v>798</v>
      </c>
      <c r="BW8" s="123" t="s">
        <v>140</v>
      </c>
      <c r="BX8" s="123"/>
      <c r="BY8" s="220"/>
      <c r="BZ8" s="123" t="s">
        <v>136</v>
      </c>
      <c r="CA8" s="430"/>
      <c r="CB8" s="220" t="s">
        <v>138</v>
      </c>
      <c r="CC8" s="341"/>
      <c r="CD8" s="177"/>
      <c r="CE8" s="177"/>
      <c r="CF8" s="434"/>
      <c r="CG8" s="434"/>
      <c r="CH8" s="438"/>
      <c r="CI8" s="438"/>
      <c r="CJ8" s="123"/>
      <c r="CK8" s="438"/>
      <c r="CL8" s="123"/>
      <c r="CM8" s="123"/>
      <c r="CN8" s="123"/>
      <c r="CO8" s="438"/>
      <c r="CP8" s="341"/>
      <c r="CQ8" s="430"/>
      <c r="CR8" s="430"/>
      <c r="CS8" s="430"/>
      <c r="CT8" s="430"/>
      <c r="CU8" s="430"/>
      <c r="CV8" s="430"/>
      <c r="CW8" s="341"/>
      <c r="CX8" s="342"/>
      <c r="CY8" s="342"/>
      <c r="CZ8" s="123" t="s">
        <v>145</v>
      </c>
      <c r="DA8" s="123" t="s">
        <v>145</v>
      </c>
      <c r="DB8" s="123" t="s">
        <v>147</v>
      </c>
      <c r="DC8" s="123" t="s">
        <v>147</v>
      </c>
      <c r="DD8" s="342"/>
      <c r="DE8" s="22"/>
      <c r="DF8" s="22"/>
      <c r="DG8" s="22"/>
      <c r="DH8" s="22"/>
      <c r="DI8" s="22"/>
      <c r="DJ8" s="22"/>
    </row>
    <row r="9" spans="1:114" s="338" customFormat="1" x14ac:dyDescent="0.2">
      <c r="A9" s="339"/>
      <c r="B9" s="339"/>
      <c r="C9" s="339"/>
      <c r="D9" s="425"/>
      <c r="E9" s="339"/>
      <c r="F9" s="123"/>
      <c r="G9" s="342"/>
      <c r="H9" s="123"/>
      <c r="I9" s="342"/>
      <c r="J9" s="426"/>
      <c r="K9" s="342"/>
      <c r="L9" s="427"/>
      <c r="M9" s="342"/>
      <c r="N9" s="428"/>
      <c r="O9" s="342"/>
      <c r="P9" s="123"/>
      <c r="Q9" s="342"/>
      <c r="R9" s="123"/>
      <c r="S9" s="342"/>
      <c r="T9" s="123"/>
      <c r="U9" s="342"/>
      <c r="V9" s="123"/>
      <c r="W9" s="342"/>
      <c r="X9" s="123"/>
      <c r="Y9" s="342"/>
      <c r="Z9" s="219"/>
      <c r="AA9" s="429" t="s">
        <v>967</v>
      </c>
      <c r="AB9" s="429" t="s">
        <v>274</v>
      </c>
      <c r="AC9" s="425" t="s">
        <v>1105</v>
      </c>
      <c r="AD9" s="425" t="s">
        <v>901</v>
      </c>
      <c r="AE9" s="219"/>
      <c r="AF9" s="429" t="s">
        <v>139</v>
      </c>
      <c r="AG9" s="429" t="s">
        <v>137</v>
      </c>
      <c r="AH9" s="177" t="s">
        <v>141</v>
      </c>
      <c r="AI9" s="425" t="s">
        <v>799</v>
      </c>
      <c r="AJ9" s="341"/>
      <c r="AK9" s="430"/>
      <c r="AL9" s="431"/>
      <c r="AM9" s="430"/>
      <c r="AN9" s="432"/>
      <c r="AO9" s="433"/>
      <c r="AP9" s="436"/>
      <c r="AQ9" s="177"/>
      <c r="AR9" s="434"/>
      <c r="AS9" s="434"/>
      <c r="AT9" s="435"/>
      <c r="AU9" s="430"/>
      <c r="AV9" s="430"/>
      <c r="AW9" s="430"/>
      <c r="AX9" s="430"/>
      <c r="AY9" s="432"/>
      <c r="AZ9" s="123"/>
      <c r="BA9" s="437"/>
      <c r="BB9" s="432"/>
      <c r="BC9" s="341"/>
      <c r="BD9" s="432"/>
      <c r="BE9" s="430"/>
      <c r="BF9" s="430"/>
      <c r="BG9" s="430"/>
      <c r="BH9" s="432"/>
      <c r="BI9" s="430"/>
      <c r="BJ9" s="430"/>
      <c r="BK9" s="430"/>
      <c r="BL9" s="430"/>
      <c r="BM9" s="438"/>
      <c r="BN9" s="341"/>
      <c r="BO9" s="430"/>
      <c r="BP9" s="455"/>
      <c r="BQ9" s="438"/>
      <c r="BR9" s="439"/>
      <c r="BS9" s="425"/>
      <c r="BT9" s="430"/>
      <c r="BU9" s="438"/>
      <c r="BV9" s="123" t="s">
        <v>799</v>
      </c>
      <c r="BW9" s="123" t="s">
        <v>141</v>
      </c>
      <c r="BX9" s="123"/>
      <c r="BY9" s="220"/>
      <c r="BZ9" s="123" t="s">
        <v>137</v>
      </c>
      <c r="CA9" s="430"/>
      <c r="CB9" s="220" t="s">
        <v>139</v>
      </c>
      <c r="CC9" s="341"/>
      <c r="CD9" s="177"/>
      <c r="CE9" s="177"/>
      <c r="CF9" s="434"/>
      <c r="CG9" s="434"/>
      <c r="CH9" s="438"/>
      <c r="CI9" s="438"/>
      <c r="CJ9" s="123"/>
      <c r="CK9" s="438"/>
      <c r="CL9" s="123"/>
      <c r="CM9" s="123"/>
      <c r="CN9" s="123"/>
      <c r="CO9" s="438"/>
      <c r="CP9" s="341"/>
      <c r="CQ9" s="430"/>
      <c r="CR9" s="430"/>
      <c r="CS9" s="430"/>
      <c r="CT9" s="430"/>
      <c r="CU9" s="430"/>
      <c r="CV9" s="430"/>
      <c r="CW9" s="341"/>
      <c r="CX9" s="342"/>
      <c r="CY9" s="342"/>
      <c r="CZ9" s="123" t="s">
        <v>146</v>
      </c>
      <c r="DA9" s="123" t="s">
        <v>146</v>
      </c>
      <c r="DB9" s="123" t="s">
        <v>148</v>
      </c>
      <c r="DC9" s="123" t="s">
        <v>148</v>
      </c>
      <c r="DD9" s="440"/>
      <c r="DE9" s="22"/>
      <c r="DF9" s="22"/>
      <c r="DG9" s="22"/>
      <c r="DH9" s="22"/>
      <c r="DI9" s="22"/>
      <c r="DJ9" s="22"/>
    </row>
    <row r="10" spans="1:114" s="338" customFormat="1" x14ac:dyDescent="0.2">
      <c r="A10" s="339"/>
      <c r="B10" s="339"/>
      <c r="C10" s="339"/>
      <c r="D10" s="425"/>
      <c r="E10" s="339"/>
      <c r="F10" s="123"/>
      <c r="G10" s="342"/>
      <c r="H10" s="123" t="s">
        <v>105</v>
      </c>
      <c r="I10" s="342"/>
      <c r="J10" s="426"/>
      <c r="K10" s="342"/>
      <c r="L10" s="427"/>
      <c r="M10" s="342"/>
      <c r="N10" s="428"/>
      <c r="O10" s="342"/>
      <c r="P10" s="123" t="s">
        <v>105</v>
      </c>
      <c r="Q10" s="342"/>
      <c r="R10" s="123" t="s">
        <v>105</v>
      </c>
      <c r="S10" s="342"/>
      <c r="T10" s="123" t="s">
        <v>105</v>
      </c>
      <c r="U10" s="342"/>
      <c r="V10" s="123"/>
      <c r="W10" s="342"/>
      <c r="X10" s="123" t="s">
        <v>105</v>
      </c>
      <c r="Y10" s="342"/>
      <c r="Z10" s="219"/>
      <c r="AA10" s="429" t="s">
        <v>105</v>
      </c>
      <c r="AB10" s="429" t="s">
        <v>105</v>
      </c>
      <c r="AC10" s="425" t="s">
        <v>142</v>
      </c>
      <c r="AD10" s="425" t="s">
        <v>142</v>
      </c>
      <c r="AE10" s="219"/>
      <c r="AF10" s="429" t="s">
        <v>105</v>
      </c>
      <c r="AG10" s="429" t="s">
        <v>105</v>
      </c>
      <c r="AH10" s="429" t="s">
        <v>142</v>
      </c>
      <c r="AI10" s="429" t="s">
        <v>142</v>
      </c>
      <c r="AJ10" s="341"/>
      <c r="AK10" s="430"/>
      <c r="AL10" s="431"/>
      <c r="AM10" s="430"/>
      <c r="AN10" s="432"/>
      <c r="AO10" s="433"/>
      <c r="AP10" s="436"/>
      <c r="AQ10" s="177"/>
      <c r="AR10" s="434"/>
      <c r="AS10" s="434"/>
      <c r="AT10" s="435"/>
      <c r="AU10" s="430"/>
      <c r="AV10" s="430"/>
      <c r="AW10" s="430"/>
      <c r="AX10" s="430"/>
      <c r="AY10" s="432"/>
      <c r="AZ10" s="123" t="s">
        <v>105</v>
      </c>
      <c r="BA10" s="437"/>
      <c r="BB10" s="432"/>
      <c r="BC10" s="341"/>
      <c r="BD10" s="432"/>
      <c r="BE10" s="430"/>
      <c r="BF10" s="430"/>
      <c r="BG10" s="430"/>
      <c r="BH10" s="432"/>
      <c r="BI10" s="430"/>
      <c r="BJ10" s="430"/>
      <c r="BK10" s="430"/>
      <c r="BL10" s="430"/>
      <c r="BM10" s="438" t="s">
        <v>105</v>
      </c>
      <c r="BN10" s="341"/>
      <c r="BO10" s="430"/>
      <c r="BP10" s="455"/>
      <c r="BQ10" s="438"/>
      <c r="BR10" s="439"/>
      <c r="BS10" s="425"/>
      <c r="BT10" s="430"/>
      <c r="BU10" s="438"/>
      <c r="BV10" s="123" t="s">
        <v>142</v>
      </c>
      <c r="BW10" s="123" t="s">
        <v>142</v>
      </c>
      <c r="BX10" s="123"/>
      <c r="BY10" s="220"/>
      <c r="BZ10" s="123" t="s">
        <v>105</v>
      </c>
      <c r="CA10" s="430"/>
      <c r="CB10" s="220" t="s">
        <v>105</v>
      </c>
      <c r="CC10" s="341"/>
      <c r="CD10" s="177"/>
      <c r="CE10" s="177"/>
      <c r="CF10" s="434"/>
      <c r="CG10" s="434"/>
      <c r="CH10" s="438"/>
      <c r="CI10" s="438"/>
      <c r="CJ10" s="123"/>
      <c r="CK10" s="438"/>
      <c r="CL10" s="123"/>
      <c r="CM10" s="123"/>
      <c r="CN10" s="123"/>
      <c r="CO10" s="438"/>
      <c r="CP10" s="341"/>
      <c r="CQ10" s="430"/>
      <c r="CR10" s="430"/>
      <c r="CS10" s="430"/>
      <c r="CT10" s="430"/>
      <c r="CU10" s="430"/>
      <c r="CV10" s="430"/>
      <c r="CW10" s="341"/>
      <c r="CX10" s="342"/>
      <c r="CY10" s="342"/>
      <c r="CZ10" s="123" t="s">
        <v>103</v>
      </c>
      <c r="DA10" s="123" t="s">
        <v>104</v>
      </c>
      <c r="DB10" s="123" t="s">
        <v>103</v>
      </c>
      <c r="DC10" s="123" t="s">
        <v>104</v>
      </c>
      <c r="DD10" s="342"/>
      <c r="DE10" s="22"/>
      <c r="DF10" s="22"/>
      <c r="DG10" s="22"/>
      <c r="DH10" s="22"/>
      <c r="DI10" s="22"/>
      <c r="DJ10" s="22"/>
    </row>
    <row r="11" spans="1:114" s="40" customFormat="1" x14ac:dyDescent="0.2">
      <c r="A11" s="42"/>
      <c r="B11" s="42"/>
      <c r="C11" s="42"/>
      <c r="D11" s="98"/>
      <c r="E11" s="42"/>
      <c r="F11" s="72" t="s">
        <v>203</v>
      </c>
      <c r="G11" s="36" t="s">
        <v>203</v>
      </c>
      <c r="H11" s="72" t="s">
        <v>203</v>
      </c>
      <c r="I11" s="36" t="s">
        <v>203</v>
      </c>
      <c r="J11" s="203" t="s">
        <v>203</v>
      </c>
      <c r="K11" s="36" t="s">
        <v>203</v>
      </c>
      <c r="L11" s="181" t="s">
        <v>203</v>
      </c>
      <c r="M11" s="36" t="s">
        <v>203</v>
      </c>
      <c r="N11" s="79" t="s">
        <v>203</v>
      </c>
      <c r="O11" s="36" t="s">
        <v>203</v>
      </c>
      <c r="P11" s="72" t="s">
        <v>203</v>
      </c>
      <c r="Q11" s="36" t="s">
        <v>203</v>
      </c>
      <c r="R11" s="72" t="s">
        <v>203</v>
      </c>
      <c r="S11" s="36" t="s">
        <v>203</v>
      </c>
      <c r="T11" s="72" t="s">
        <v>203</v>
      </c>
      <c r="U11" s="36" t="s">
        <v>203</v>
      </c>
      <c r="V11" s="72" t="s">
        <v>203</v>
      </c>
      <c r="W11" s="36" t="s">
        <v>203</v>
      </c>
      <c r="X11" s="72" t="s">
        <v>203</v>
      </c>
      <c r="Y11" s="36" t="s">
        <v>203</v>
      </c>
      <c r="Z11" s="99" t="s">
        <v>203</v>
      </c>
      <c r="AA11" s="421" t="s">
        <v>203</v>
      </c>
      <c r="AB11" s="421" t="s">
        <v>203</v>
      </c>
      <c r="AC11" s="98" t="s">
        <v>203</v>
      </c>
      <c r="AD11" s="98" t="s">
        <v>203</v>
      </c>
      <c r="AE11" s="99" t="s">
        <v>203</v>
      </c>
      <c r="AF11" s="421" t="s">
        <v>203</v>
      </c>
      <c r="AG11" s="421" t="s">
        <v>203</v>
      </c>
      <c r="AH11" s="75" t="s">
        <v>203</v>
      </c>
      <c r="AI11" s="421" t="s">
        <v>203</v>
      </c>
      <c r="AJ11" s="165" t="s">
        <v>692</v>
      </c>
      <c r="AK11" s="254" t="s">
        <v>692</v>
      </c>
      <c r="AL11" s="122" t="s">
        <v>692</v>
      </c>
      <c r="AM11" s="254" t="s">
        <v>692</v>
      </c>
      <c r="AN11" s="223" t="s">
        <v>692</v>
      </c>
      <c r="AO11" s="374" t="s">
        <v>692</v>
      </c>
      <c r="AP11" s="51" t="s">
        <v>203</v>
      </c>
      <c r="AQ11" s="75" t="s">
        <v>692</v>
      </c>
      <c r="AR11" s="173" t="s">
        <v>203</v>
      </c>
      <c r="AS11" s="173" t="s">
        <v>203</v>
      </c>
      <c r="AT11" s="278" t="s">
        <v>692</v>
      </c>
      <c r="AU11" s="254" t="s">
        <v>692</v>
      </c>
      <c r="AV11" s="254" t="s">
        <v>692</v>
      </c>
      <c r="AW11" s="254" t="s">
        <v>692</v>
      </c>
      <c r="AX11" s="254" t="s">
        <v>692</v>
      </c>
      <c r="AY11" s="223" t="s">
        <v>692</v>
      </c>
      <c r="AZ11" s="72" t="s">
        <v>692</v>
      </c>
      <c r="BA11" s="402" t="s">
        <v>692</v>
      </c>
      <c r="BB11" s="223" t="s">
        <v>692</v>
      </c>
      <c r="BC11" s="165" t="s">
        <v>692</v>
      </c>
      <c r="BD11" s="223" t="s">
        <v>692</v>
      </c>
      <c r="BE11" s="254" t="s">
        <v>203</v>
      </c>
      <c r="BF11" s="254" t="s">
        <v>692</v>
      </c>
      <c r="BG11" s="254" t="s">
        <v>692</v>
      </c>
      <c r="BH11" s="223" t="s">
        <v>692</v>
      </c>
      <c r="BI11" s="254" t="s">
        <v>203</v>
      </c>
      <c r="BJ11" s="254" t="s">
        <v>203</v>
      </c>
      <c r="BK11" s="254" t="s">
        <v>692</v>
      </c>
      <c r="BL11" s="254" t="s">
        <v>692</v>
      </c>
      <c r="BM11" s="108" t="s">
        <v>692</v>
      </c>
      <c r="BN11" s="165" t="s">
        <v>692</v>
      </c>
      <c r="BO11" s="254" t="s">
        <v>692</v>
      </c>
      <c r="BP11" s="388" t="s">
        <v>692</v>
      </c>
      <c r="BQ11" s="108" t="s">
        <v>692</v>
      </c>
      <c r="BR11" s="126" t="s">
        <v>38</v>
      </c>
      <c r="BS11" s="98" t="s">
        <v>203</v>
      </c>
      <c r="BT11" s="254" t="s">
        <v>692</v>
      </c>
      <c r="BU11" s="108" t="s">
        <v>203</v>
      </c>
      <c r="BV11" s="72" t="s">
        <v>203</v>
      </c>
      <c r="BW11" s="72" t="s">
        <v>203</v>
      </c>
      <c r="BX11" s="72" t="s">
        <v>203</v>
      </c>
      <c r="BY11" s="84" t="s">
        <v>203</v>
      </c>
      <c r="BZ11" s="72" t="s">
        <v>203</v>
      </c>
      <c r="CA11" s="254" t="s">
        <v>692</v>
      </c>
      <c r="CB11" s="84" t="s">
        <v>203</v>
      </c>
      <c r="CC11" s="165" t="s">
        <v>692</v>
      </c>
      <c r="CD11" s="75" t="s">
        <v>692</v>
      </c>
      <c r="CE11" s="75" t="s">
        <v>203</v>
      </c>
      <c r="CF11" s="173" t="s">
        <v>692</v>
      </c>
      <c r="CG11" s="173" t="s">
        <v>692</v>
      </c>
      <c r="CH11" s="108" t="s">
        <v>203</v>
      </c>
      <c r="CI11" s="108" t="s">
        <v>692</v>
      </c>
      <c r="CJ11" s="72" t="s">
        <v>204</v>
      </c>
      <c r="CK11" s="108" t="s">
        <v>204</v>
      </c>
      <c r="CL11" s="72" t="s">
        <v>692</v>
      </c>
      <c r="CM11" s="72" t="s">
        <v>206</v>
      </c>
      <c r="CN11" s="72" t="s">
        <v>38</v>
      </c>
      <c r="CO11" s="108" t="s">
        <v>692</v>
      </c>
      <c r="CP11" s="165" t="s">
        <v>692</v>
      </c>
      <c r="CQ11" s="254" t="s">
        <v>204</v>
      </c>
      <c r="CR11" s="254" t="s">
        <v>204</v>
      </c>
      <c r="CS11" s="254" t="s">
        <v>692</v>
      </c>
      <c r="CT11" s="254" t="s">
        <v>206</v>
      </c>
      <c r="CU11" s="254" t="s">
        <v>38</v>
      </c>
      <c r="CV11" s="254" t="s">
        <v>692</v>
      </c>
      <c r="CW11" s="165" t="s">
        <v>692</v>
      </c>
      <c r="CX11" s="36" t="s">
        <v>692</v>
      </c>
      <c r="CY11" s="36" t="s">
        <v>692</v>
      </c>
      <c r="CZ11" s="72" t="s">
        <v>692</v>
      </c>
      <c r="DA11" s="72" t="s">
        <v>692</v>
      </c>
      <c r="DB11" s="72" t="s">
        <v>692</v>
      </c>
      <c r="DC11" s="72" t="s">
        <v>692</v>
      </c>
      <c r="DD11" s="36" t="s">
        <v>692</v>
      </c>
      <c r="DE11"/>
      <c r="DF11"/>
      <c r="DG11"/>
      <c r="DH11"/>
      <c r="DI11"/>
      <c r="DJ11"/>
    </row>
    <row r="12" spans="1:114" s="40" customFormat="1" x14ac:dyDescent="0.2">
      <c r="A12" s="42"/>
      <c r="B12" s="42"/>
      <c r="C12" s="42"/>
      <c r="D12" s="98"/>
      <c r="E12" s="42"/>
      <c r="F12" s="72" t="s">
        <v>202</v>
      </c>
      <c r="G12" s="36" t="s">
        <v>202</v>
      </c>
      <c r="H12" s="72" t="s">
        <v>202</v>
      </c>
      <c r="I12" s="36" t="s">
        <v>202</v>
      </c>
      <c r="J12" s="203" t="s">
        <v>202</v>
      </c>
      <c r="K12" s="36" t="s">
        <v>202</v>
      </c>
      <c r="L12" s="181" t="s">
        <v>202</v>
      </c>
      <c r="M12" s="36" t="s">
        <v>202</v>
      </c>
      <c r="N12" s="79" t="s">
        <v>202</v>
      </c>
      <c r="O12" s="36" t="s">
        <v>202</v>
      </c>
      <c r="P12" s="72" t="s">
        <v>202</v>
      </c>
      <c r="Q12" s="36" t="s">
        <v>202</v>
      </c>
      <c r="R12" s="72" t="s">
        <v>202</v>
      </c>
      <c r="S12" s="36" t="s">
        <v>202</v>
      </c>
      <c r="T12" s="72" t="s">
        <v>202</v>
      </c>
      <c r="U12" s="36" t="s">
        <v>202</v>
      </c>
      <c r="V12" s="72" t="s">
        <v>202</v>
      </c>
      <c r="W12" s="36" t="s">
        <v>202</v>
      </c>
      <c r="X12" s="72" t="s">
        <v>202</v>
      </c>
      <c r="Y12" s="36" t="s">
        <v>202</v>
      </c>
      <c r="Z12" s="99" t="s">
        <v>202</v>
      </c>
      <c r="AA12" s="421" t="s">
        <v>202</v>
      </c>
      <c r="AB12" s="421" t="s">
        <v>202</v>
      </c>
      <c r="AC12" s="98" t="s">
        <v>202</v>
      </c>
      <c r="AD12" s="98" t="s">
        <v>202</v>
      </c>
      <c r="AE12" s="99" t="s">
        <v>202</v>
      </c>
      <c r="AF12" s="421" t="s">
        <v>202</v>
      </c>
      <c r="AG12" s="421" t="s">
        <v>202</v>
      </c>
      <c r="AH12" s="75" t="s">
        <v>202</v>
      </c>
      <c r="AI12" s="421" t="s">
        <v>202</v>
      </c>
      <c r="AJ12" s="165" t="s">
        <v>202</v>
      </c>
      <c r="AK12" s="254" t="s">
        <v>202</v>
      </c>
      <c r="AL12" s="122" t="s">
        <v>202</v>
      </c>
      <c r="AM12" s="254" t="s">
        <v>202</v>
      </c>
      <c r="AN12" s="223" t="s">
        <v>202</v>
      </c>
      <c r="AO12" s="374" t="s">
        <v>202</v>
      </c>
      <c r="AP12" s="51" t="s">
        <v>202</v>
      </c>
      <c r="AQ12" s="75" t="s">
        <v>202</v>
      </c>
      <c r="AR12" s="173" t="s">
        <v>202</v>
      </c>
      <c r="AS12" s="173" t="s">
        <v>202</v>
      </c>
      <c r="AT12" s="278" t="s">
        <v>202</v>
      </c>
      <c r="AU12" s="254" t="s">
        <v>202</v>
      </c>
      <c r="AV12" s="254" t="s">
        <v>202</v>
      </c>
      <c r="AW12" s="254" t="s">
        <v>202</v>
      </c>
      <c r="AX12" s="254" t="s">
        <v>202</v>
      </c>
      <c r="AY12" s="223" t="s">
        <v>202</v>
      </c>
      <c r="AZ12" s="72" t="s">
        <v>202</v>
      </c>
      <c r="BA12" s="402" t="s">
        <v>202</v>
      </c>
      <c r="BB12" s="223" t="s">
        <v>202</v>
      </c>
      <c r="BC12" s="165" t="s">
        <v>202</v>
      </c>
      <c r="BD12" s="223" t="s">
        <v>202</v>
      </c>
      <c r="BE12" s="254" t="s">
        <v>202</v>
      </c>
      <c r="BF12" s="254" t="s">
        <v>202</v>
      </c>
      <c r="BG12" s="254" t="s">
        <v>202</v>
      </c>
      <c r="BH12" s="223" t="s">
        <v>202</v>
      </c>
      <c r="BI12" s="254" t="s">
        <v>202</v>
      </c>
      <c r="BJ12" s="254" t="s">
        <v>202</v>
      </c>
      <c r="BK12" s="254" t="s">
        <v>202</v>
      </c>
      <c r="BL12" s="254" t="s">
        <v>202</v>
      </c>
      <c r="BM12" s="108" t="s">
        <v>202</v>
      </c>
      <c r="BN12" s="165" t="s">
        <v>202</v>
      </c>
      <c r="BO12" s="254" t="s">
        <v>202</v>
      </c>
      <c r="BP12" s="388" t="s">
        <v>202</v>
      </c>
      <c r="BQ12" s="108" t="s">
        <v>202</v>
      </c>
      <c r="BR12" s="126" t="s">
        <v>202</v>
      </c>
      <c r="BS12" s="98" t="s">
        <v>202</v>
      </c>
      <c r="BT12" s="254" t="s">
        <v>202</v>
      </c>
      <c r="BU12" s="108" t="s">
        <v>202</v>
      </c>
      <c r="BV12" s="72" t="s">
        <v>202</v>
      </c>
      <c r="BW12" s="72" t="s">
        <v>202</v>
      </c>
      <c r="BX12" s="72" t="s">
        <v>202</v>
      </c>
      <c r="BY12" s="84" t="s">
        <v>202</v>
      </c>
      <c r="BZ12" s="72" t="s">
        <v>202</v>
      </c>
      <c r="CA12" s="254" t="s">
        <v>202</v>
      </c>
      <c r="CB12" s="84" t="s">
        <v>202</v>
      </c>
      <c r="CC12" s="165" t="s">
        <v>202</v>
      </c>
      <c r="CD12" s="75" t="s">
        <v>202</v>
      </c>
      <c r="CE12" s="75" t="s">
        <v>202</v>
      </c>
      <c r="CF12" s="173" t="s">
        <v>202</v>
      </c>
      <c r="CG12" s="173" t="s">
        <v>202</v>
      </c>
      <c r="CH12" s="108" t="s">
        <v>202</v>
      </c>
      <c r="CI12" s="108" t="s">
        <v>202</v>
      </c>
      <c r="CJ12" s="72" t="s">
        <v>693</v>
      </c>
      <c r="CK12" s="108" t="s">
        <v>693</v>
      </c>
      <c r="CL12" s="72" t="s">
        <v>202</v>
      </c>
      <c r="CM12" s="72" t="s">
        <v>694</v>
      </c>
      <c r="CN12" s="72" t="s">
        <v>202</v>
      </c>
      <c r="CO12" s="108" t="s">
        <v>202</v>
      </c>
      <c r="CP12" s="165" t="s">
        <v>202</v>
      </c>
      <c r="CQ12" s="254" t="s">
        <v>693</v>
      </c>
      <c r="CR12" s="254" t="s">
        <v>693</v>
      </c>
      <c r="CS12" s="254" t="s">
        <v>202</v>
      </c>
      <c r="CT12" s="254" t="s">
        <v>694</v>
      </c>
      <c r="CU12" s="254" t="s">
        <v>202</v>
      </c>
      <c r="CV12" s="254" t="s">
        <v>202</v>
      </c>
      <c r="CW12" s="165" t="s">
        <v>202</v>
      </c>
      <c r="CX12" s="36" t="s">
        <v>202</v>
      </c>
      <c r="CY12" s="36" t="s">
        <v>202</v>
      </c>
      <c r="CZ12" s="72" t="s">
        <v>202</v>
      </c>
      <c r="DA12" s="72" t="s">
        <v>202</v>
      </c>
      <c r="DB12" s="72" t="s">
        <v>202</v>
      </c>
      <c r="DC12" s="72" t="s">
        <v>202</v>
      </c>
      <c r="DD12" s="36" t="s">
        <v>202</v>
      </c>
      <c r="DE12"/>
      <c r="DF12"/>
      <c r="DG12"/>
      <c r="DH12"/>
      <c r="DI12"/>
      <c r="DJ12"/>
    </row>
    <row r="13" spans="1:114" s="40" customFormat="1" x14ac:dyDescent="0.2">
      <c r="A13" s="42"/>
      <c r="B13" s="42"/>
      <c r="C13" s="42"/>
      <c r="D13" s="98"/>
      <c r="E13" s="42"/>
      <c r="F13" s="72"/>
      <c r="G13" s="36"/>
      <c r="H13" s="72"/>
      <c r="I13" s="36"/>
      <c r="J13" s="203"/>
      <c r="K13" s="36"/>
      <c r="L13" s="181"/>
      <c r="M13" s="36"/>
      <c r="N13" s="79"/>
      <c r="O13" s="36"/>
      <c r="P13" s="72"/>
      <c r="Q13" s="36"/>
      <c r="R13" s="72"/>
      <c r="S13" s="36"/>
      <c r="T13" s="72"/>
      <c r="U13" s="36"/>
      <c r="V13" s="72"/>
      <c r="W13" s="36"/>
      <c r="X13" s="72"/>
      <c r="Y13" s="36"/>
      <c r="Z13" s="99"/>
      <c r="AA13" s="421"/>
      <c r="AB13" s="421"/>
      <c r="AC13" s="98"/>
      <c r="AD13" s="98"/>
      <c r="AE13" s="99"/>
      <c r="AF13" s="421"/>
      <c r="AG13" s="421"/>
      <c r="AH13" s="75"/>
      <c r="AI13" s="98"/>
      <c r="AJ13" s="165"/>
      <c r="AK13" s="254"/>
      <c r="AL13" s="122"/>
      <c r="AM13" s="254"/>
      <c r="AN13" s="223"/>
      <c r="AO13" s="374"/>
      <c r="AP13" s="51"/>
      <c r="AQ13" s="75"/>
      <c r="AR13" s="173"/>
      <c r="AS13" s="173"/>
      <c r="AT13" s="278"/>
      <c r="AU13" s="254"/>
      <c r="AV13" s="254"/>
      <c r="AW13" s="254"/>
      <c r="AX13" s="254"/>
      <c r="AY13" s="223"/>
      <c r="AZ13" s="72"/>
      <c r="BA13" s="402"/>
      <c r="BB13" s="223"/>
      <c r="BC13" s="165"/>
      <c r="BD13" s="223"/>
      <c r="BE13" s="254"/>
      <c r="BF13" s="254"/>
      <c r="BG13" s="254"/>
      <c r="BH13" s="223"/>
      <c r="BI13" s="254"/>
      <c r="BJ13" s="254"/>
      <c r="BK13" s="254"/>
      <c r="BL13" s="254"/>
      <c r="BM13" s="108"/>
      <c r="BN13" s="165"/>
      <c r="BO13" s="254"/>
      <c r="BP13" s="388"/>
      <c r="BQ13" s="108"/>
      <c r="BR13" s="99"/>
      <c r="BS13" s="98"/>
      <c r="BT13" s="254"/>
      <c r="BU13" s="108"/>
      <c r="BV13" s="72"/>
      <c r="BW13" s="72"/>
      <c r="BX13" s="72"/>
      <c r="BY13" s="84"/>
      <c r="BZ13" s="72"/>
      <c r="CA13" s="254"/>
      <c r="CB13" s="84"/>
      <c r="CC13" s="165"/>
      <c r="CD13" s="75"/>
      <c r="CE13" s="75"/>
      <c r="CF13" s="173"/>
      <c r="CG13" s="173"/>
      <c r="CH13" s="108"/>
      <c r="CI13" s="108"/>
      <c r="CJ13" s="72"/>
      <c r="CK13" s="108"/>
      <c r="CL13" s="72"/>
      <c r="CM13" s="72"/>
      <c r="CN13" s="72"/>
      <c r="CO13" s="108"/>
      <c r="CP13" s="165"/>
      <c r="CQ13" s="254"/>
      <c r="CR13" s="254"/>
      <c r="CS13" s="254"/>
      <c r="CT13" s="254"/>
      <c r="CU13" s="254"/>
      <c r="CV13" s="254"/>
      <c r="CW13" s="165"/>
      <c r="CX13" s="36"/>
      <c r="CY13" s="36"/>
      <c r="CZ13" s="72"/>
      <c r="DA13" s="72"/>
      <c r="DB13" s="72"/>
      <c r="DC13" s="72"/>
      <c r="DD13" s="36"/>
      <c r="DE13"/>
      <c r="DF13"/>
      <c r="DG13"/>
      <c r="DH13"/>
      <c r="DI13"/>
      <c r="DJ13"/>
    </row>
    <row r="14" spans="1:114" s="60" customFormat="1" x14ac:dyDescent="0.2">
      <c r="A14" s="59" t="s">
        <v>591</v>
      </c>
      <c r="B14" s="59" t="s">
        <v>5</v>
      </c>
      <c r="C14" s="54" t="s">
        <v>35</v>
      </c>
      <c r="D14" s="311" t="s">
        <v>6</v>
      </c>
      <c r="E14" s="54" t="s">
        <v>76</v>
      </c>
      <c r="F14" s="176" t="s">
        <v>302</v>
      </c>
      <c r="G14" s="215" t="s">
        <v>953</v>
      </c>
      <c r="H14" s="176" t="s">
        <v>303</v>
      </c>
      <c r="I14" s="215" t="s">
        <v>952</v>
      </c>
      <c r="J14" s="204" t="s">
        <v>305</v>
      </c>
      <c r="K14" s="215" t="s">
        <v>951</v>
      </c>
      <c r="L14" s="182" t="s">
        <v>1177</v>
      </c>
      <c r="M14" s="215" t="s">
        <v>1178</v>
      </c>
      <c r="N14" s="92" t="s">
        <v>1143</v>
      </c>
      <c r="O14" s="215" t="s">
        <v>1144</v>
      </c>
      <c r="P14" s="176" t="s">
        <v>304</v>
      </c>
      <c r="Q14" s="384" t="s">
        <v>1058</v>
      </c>
      <c r="R14" s="176" t="s">
        <v>614</v>
      </c>
      <c r="S14" s="215" t="s">
        <v>713</v>
      </c>
      <c r="T14" s="176" t="s">
        <v>306</v>
      </c>
      <c r="U14" s="215" t="s">
        <v>714</v>
      </c>
      <c r="V14" s="176" t="s">
        <v>795</v>
      </c>
      <c r="W14" s="215" t="s">
        <v>939</v>
      </c>
      <c r="X14" s="92" t="s">
        <v>307</v>
      </c>
      <c r="Y14" s="215" t="s">
        <v>940</v>
      </c>
      <c r="Z14" s="178" t="s">
        <v>1101</v>
      </c>
      <c r="AA14" s="423" t="s">
        <v>968</v>
      </c>
      <c r="AB14" s="423" t="s">
        <v>315</v>
      </c>
      <c r="AC14" s="180" t="s">
        <v>1100</v>
      </c>
      <c r="AD14" s="100" t="s">
        <v>960</v>
      </c>
      <c r="AE14" s="178" t="s">
        <v>1102</v>
      </c>
      <c r="AF14" s="423" t="s">
        <v>969</v>
      </c>
      <c r="AG14" s="423" t="s">
        <v>316</v>
      </c>
      <c r="AH14" s="92" t="s">
        <v>1099</v>
      </c>
      <c r="AI14" s="100" t="s">
        <v>959</v>
      </c>
      <c r="AJ14" s="391" t="s">
        <v>511</v>
      </c>
      <c r="AK14" s="255" t="s">
        <v>1166</v>
      </c>
      <c r="AL14" s="180" t="s">
        <v>1165</v>
      </c>
      <c r="AM14" s="255" t="s">
        <v>1167</v>
      </c>
      <c r="AN14" s="218" t="s">
        <v>1168</v>
      </c>
      <c r="AO14" s="375" t="s">
        <v>590</v>
      </c>
      <c r="AP14" s="215" t="s">
        <v>501</v>
      </c>
      <c r="AQ14" s="92" t="s">
        <v>1180</v>
      </c>
      <c r="AR14" s="174" t="s">
        <v>507</v>
      </c>
      <c r="AS14" s="174" t="s">
        <v>1121</v>
      </c>
      <c r="AT14" s="255" t="s">
        <v>962</v>
      </c>
      <c r="AU14" s="398" t="s">
        <v>508</v>
      </c>
      <c r="AV14" s="398" t="s">
        <v>1184</v>
      </c>
      <c r="AW14" s="398" t="s">
        <v>478</v>
      </c>
      <c r="AX14" s="398" t="s">
        <v>479</v>
      </c>
      <c r="AY14" s="218" t="s">
        <v>1132</v>
      </c>
      <c r="AZ14" s="104" t="s">
        <v>971</v>
      </c>
      <c r="BA14" s="398" t="s">
        <v>1134</v>
      </c>
      <c r="BB14" s="224" t="s">
        <v>1169</v>
      </c>
      <c r="BC14" s="405" t="s">
        <v>509</v>
      </c>
      <c r="BD14" s="224" t="s">
        <v>1174</v>
      </c>
      <c r="BE14" s="398" t="s">
        <v>1122</v>
      </c>
      <c r="BF14" s="255" t="s">
        <v>961</v>
      </c>
      <c r="BG14" s="398" t="s">
        <v>510</v>
      </c>
      <c r="BH14" s="224" t="s">
        <v>1170</v>
      </c>
      <c r="BI14" s="398" t="s">
        <v>964</v>
      </c>
      <c r="BJ14" s="398" t="s">
        <v>1123</v>
      </c>
      <c r="BK14" s="255" t="s">
        <v>954</v>
      </c>
      <c r="BL14" s="398" t="s">
        <v>965</v>
      </c>
      <c r="BM14" s="100" t="s">
        <v>956</v>
      </c>
      <c r="BN14" s="405" t="s">
        <v>957</v>
      </c>
      <c r="BO14" s="398" t="s">
        <v>1125</v>
      </c>
      <c r="BP14" s="384" t="s">
        <v>1171</v>
      </c>
      <c r="BQ14" s="100" t="s">
        <v>1114</v>
      </c>
      <c r="BR14" s="105" t="s">
        <v>988</v>
      </c>
      <c r="BS14" s="100" t="s">
        <v>958</v>
      </c>
      <c r="BT14" s="398" t="s">
        <v>955</v>
      </c>
      <c r="BU14" s="100" t="s">
        <v>963</v>
      </c>
      <c r="BV14" s="100" t="s">
        <v>933</v>
      </c>
      <c r="BW14" s="104" t="s">
        <v>320</v>
      </c>
      <c r="BX14" s="104" t="s">
        <v>1172</v>
      </c>
      <c r="BY14" s="184" t="s">
        <v>1173</v>
      </c>
      <c r="BZ14" s="104" t="s">
        <v>317</v>
      </c>
      <c r="CA14" s="398" t="s">
        <v>504</v>
      </c>
      <c r="CB14" s="184" t="s">
        <v>318</v>
      </c>
      <c r="CC14" s="166" t="s">
        <v>505</v>
      </c>
      <c r="CD14" s="110" t="s">
        <v>480</v>
      </c>
      <c r="CE14" s="110" t="s">
        <v>506</v>
      </c>
      <c r="CF14" s="174" t="s">
        <v>975</v>
      </c>
      <c r="CG14" s="174" t="s">
        <v>985</v>
      </c>
      <c r="CH14" s="100" t="s">
        <v>571</v>
      </c>
      <c r="CI14" s="100" t="s">
        <v>579</v>
      </c>
      <c r="CJ14" s="424" t="s">
        <v>371</v>
      </c>
      <c r="CK14" s="424" t="s">
        <v>373</v>
      </c>
      <c r="CL14" s="176" t="s">
        <v>369</v>
      </c>
      <c r="CM14" s="176" t="s">
        <v>375</v>
      </c>
      <c r="CN14" s="176" t="s">
        <v>530</v>
      </c>
      <c r="CO14" s="100" t="s">
        <v>577</v>
      </c>
      <c r="CP14" s="166" t="s">
        <v>578</v>
      </c>
      <c r="CQ14" s="415" t="s">
        <v>523</v>
      </c>
      <c r="CR14" s="415" t="s">
        <v>522</v>
      </c>
      <c r="CS14" s="415" t="s">
        <v>580</v>
      </c>
      <c r="CT14" s="415" t="s">
        <v>581</v>
      </c>
      <c r="CU14" s="415" t="s">
        <v>582</v>
      </c>
      <c r="CV14" s="415" t="s">
        <v>583</v>
      </c>
      <c r="CW14" s="391" t="s">
        <v>337</v>
      </c>
      <c r="CX14" s="215" t="s">
        <v>338</v>
      </c>
      <c r="CY14" s="215" t="s">
        <v>339</v>
      </c>
      <c r="CZ14" s="92" t="s">
        <v>340</v>
      </c>
      <c r="DA14" s="92" t="s">
        <v>341</v>
      </c>
      <c r="DB14" s="92" t="s">
        <v>342</v>
      </c>
      <c r="DC14" s="92" t="s">
        <v>343</v>
      </c>
      <c r="DD14" s="215" t="s">
        <v>984</v>
      </c>
    </row>
    <row r="15" spans="1:114" s="40" customFormat="1" x14ac:dyDescent="0.2">
      <c r="A15" s="42"/>
      <c r="B15" s="42"/>
      <c r="C15" s="42"/>
      <c r="D15" s="310"/>
      <c r="E15" s="42" t="str">
        <f>B15&amp;"|"&amp;C15&amp;"|"&amp;D15</f>
        <v>||</v>
      </c>
      <c r="F15" s="87"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58" t="str">
        <f>IF(LEFT($B15,4)="_Mil","",_xlfn.IFNA(INDEX(Spectrum!$N:$N,MATCH(RIGHT($B15,13)&amp;"|"&amp;$C15&amp;"|"&amp;$D15&amp;"|"&amp;J$14&amp;"|"&amp;"CY2022Q3",Spectrum!$Q:$Q,0)),""))</f>
        <v/>
      </c>
      <c r="K15" s="55" t="str">
        <f>IF(OR($J15="",LEFT($B15,4)="_Mil"),"",_xlfn.IFNA(INDEX(Spectrum!$P:$P,MATCH(RIGHT($B15,13)&amp;"|"&amp;$C15&amp;"|"&amp;$D15&amp;"|"&amp;J$14&amp;"|"&amp;"CY2022Q3",Spectrum!$Q:$Q,0)),""))</f>
        <v/>
      </c>
      <c r="L15" s="418" t="str">
        <f>IF(LEFT($B15,4)="_Mil","",_xlfn.IFNA(INDEX(Spectrum!$N:$N,MATCH(RIGHT($B15,13)&amp;"|"&amp;$C15&amp;"|"&amp;$D15&amp;"|"&amp;L$14&amp;"|"&amp;"CY2022Q3",Spectrum!$Q:$Q,0)),""))</f>
        <v/>
      </c>
      <c r="M15" s="55" t="str">
        <f>IF(OR($J15="",LEFT($B15,4)="_Mil"),"",_xlfn.IFNA(INDEX(Spectrum!$P:$P,MATCH(RIGHT($B15,13)&amp;"|"&amp;$C15&amp;"|"&amp;$D15&amp;"|"&amp;L$14&amp;"|"&amp;"CY2022Q3",Spectrum!$Q:$Q,0)),""))</f>
        <v/>
      </c>
      <c r="N15" s="347"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14" t="str">
        <f>IF(OR($X15="",LEFT($B15,4)="_Mil"),"",_xlfn.IFNA(INDEX(Spectrum!$P:$P,MATCH(RIGHT($B15,13)&amp;"|"&amp;$C15&amp;"|"&amp;$D15&amp;"|"&amp;X$14&amp;"|"&amp;"CY2022Q3",Spectrum!$Q:$Q,0)),""))</f>
        <v/>
      </c>
      <c r="Z15" s="116"/>
      <c r="AA15" s="345"/>
      <c r="AB15" s="345"/>
      <c r="AC15" s="122"/>
      <c r="AD15" s="345"/>
      <c r="AE15" s="116"/>
      <c r="AF15" s="345"/>
      <c r="AG15" s="345"/>
      <c r="AH15" s="79"/>
      <c r="AI15" s="345"/>
      <c r="AJ15" s="165" t="str">
        <f>IF(OR(SUM($H15)=0,LEFT($B15,4)="_Mil",$C15="&lt;01"),"",SUM($P15)/$H15)</f>
        <v/>
      </c>
      <c r="AK15" s="254">
        <f>IF(OR(LEFT($B15,4)="_Mil",$C15="&lt;01"),"",MAX(95%,SUM($AJ15)))</f>
        <v>0.95</v>
      </c>
      <c r="AL15" s="122">
        <f>IF(OR(LEFT($B15,4)="_Mil",$C15="&lt;01"),"",SUM($H15)-SUM($P15))</f>
        <v>0</v>
      </c>
      <c r="AM15" s="254">
        <f>$AK15</f>
        <v>0.95</v>
      </c>
      <c r="AN15" s="223">
        <f>IF(OR(LEFT($B15,4)="_Mil",$C15="&lt;01"),"",ROUND((SUM($N15)*SUM($AK15))+(MAX($AL15,0)*SUM($AM15)),0))</f>
        <v>0</v>
      </c>
      <c r="AO15" s="374">
        <f>IF(OR(LEFT($B15,4)="_Mil",$C15="&lt;01"),"",SUM($P15,$AN15))</f>
        <v>0</v>
      </c>
      <c r="AP15" s="36" t="str">
        <f>IF(LEFT($B15,4)="_Mil","",IFERROR(1/(1/INDEX(Spectrum!$N:$N,MATCH(RIGHT($B15,13)&amp;"|"&amp;$C15&amp;"|"&amp;$D15&amp;"|"&amp;AP$14&amp;"|"&amp;"CY2022Q3",Spectrum!$Q:$Q,0))),IF(SUM($H15)=0,"",IF(SUM($T15)=0,SUM($R15),$T15)/$H15)))</f>
        <v/>
      </c>
      <c r="AQ15" s="79">
        <f>IF(OR(LEFT($B15,4)="_Mil",$C15="&lt;01"),"",SUM($P15)-IF(SUM($T15)=0,SUM($R15),$T15))</f>
        <v>0</v>
      </c>
      <c r="AR15" s="175" t="str">
        <f>IF(SUM($Z15)=0,"",SUM($AA15)/$Z15)</f>
        <v/>
      </c>
      <c r="AS15" s="175" t="str">
        <f>IF(SUM($AE15)=0,"",SUM($AF15)/$AE15)</f>
        <v/>
      </c>
      <c r="AT15" s="278" t="str">
        <f>IF(OR(LEFT($B15,4)="_Mil",$C15="&lt;01",SUM($P15)=0),"",IF(SUM($T15)=0,SUM($R15),$T15)/$P15)</f>
        <v/>
      </c>
      <c r="AU15" s="392">
        <f>IF($C15="&lt;01","",MIN(MAX(95%,$AT15,$AS15,$AR15),1))</f>
        <v>0.95</v>
      </c>
      <c r="AV15" s="392">
        <f>IF(OR($C15="&lt;01",LEFT($B15,4)="_Mil"),"",MIN(MAX(95%,$AT15,$AS15,$AR15),1))</f>
        <v>0.95</v>
      </c>
      <c r="AW15" s="392">
        <f>IF($C15="&lt;01","",98%)</f>
        <v>0.98</v>
      </c>
      <c r="AX15" s="392">
        <f>IF($C15="&lt;01","",98%)</f>
        <v>0.98</v>
      </c>
      <c r="AY15" s="223">
        <f>IF(OR(LEFT($B15,4)="_Mil",$C15="&lt;01"),"",ROUND(SUM($AN15)*SUM($AU15)+MAX(SUM($AQ15),0)*SUM($AV15),0))</f>
        <v>0</v>
      </c>
      <c r="AZ15" s="225">
        <f>IF(OR(LEFT($B15,4)="_Mil",$C15="&lt;01"),"",ROUND(IF(SUM($T15)=0,SUM($R15),$T15)*$AX15,0)+ROUND(SUM($AY15)*$AW15,0))</f>
        <v>0</v>
      </c>
      <c r="BA15" s="403" t="str">
        <f>IF(OR(SUM($H15,$N15)=0,$C15="&lt;01"),"",SUM($AZ15)/SUM($H15,$N15))</f>
        <v/>
      </c>
      <c r="BB15" s="225">
        <f>IF(OR(LEFT($B15,4)="_Mil",$C15="&lt;01"),"",SUM($AZ15)-IF(SUM($T15)=0,SUM($R15),$T15))</f>
        <v>0</v>
      </c>
      <c r="BC15" s="167">
        <f>IF($C15="&lt;01","",70%)</f>
        <v>0.7</v>
      </c>
      <c r="BD15" s="225">
        <f>IF(OR(LEFT($B15,4)="_Mil",$C15="&lt;01"),"",IF(SUM($T15)=0,SUM($R15),$T15)+ROUND(SUM($AY15)*$BC15,0))</f>
        <v>0</v>
      </c>
      <c r="BE15" s="392" t="str">
        <f>IFERROR(SUM($AH15)/SUM($AG15),"")</f>
        <v/>
      </c>
      <c r="BF15" s="254" t="str">
        <f>IF(OR(LEFT($B15,4)="_Mil",$C15="&lt;01"),"",IFERROR(SUM($V15)/IF(SUM($T15)=0,SUM($R15),$T15),""))</f>
        <v/>
      </c>
      <c r="BG15" s="392">
        <f>IF($C15="&lt;01","",100%)</f>
        <v>1</v>
      </c>
      <c r="BH15" s="225">
        <f>IF(OR(LEFT($B15,4)="_Mil",$C15="&lt;01"),"",ROUND(SUM($BD15)*SUM($BG15),0))</f>
        <v>0</v>
      </c>
      <c r="BI15" s="392" t="str">
        <f>IFERROR(SUM($AD15)/SUM($AC15),"")</f>
        <v/>
      </c>
      <c r="BJ15" s="392" t="str">
        <f>IFERROR(SUM($AI15)/SUM($AH15),"")</f>
        <v/>
      </c>
      <c r="BK15" s="254" t="str">
        <f>IF(OR(LEFT($B15,4)="_Mil",$C15="&lt;01",SUM($V15)=0),"",SUM($X15)/SUM($V15))</f>
        <v/>
      </c>
      <c r="BL15" s="392">
        <f>IF($C15="&lt;01","",MAX(95%,$BK15,$BJ15,$BI15))</f>
        <v>0.95</v>
      </c>
      <c r="BM15" s="225">
        <f>IF(OR(LEFT($B15,4)="_Mil",$C15="&lt;01"),"",ROUND(SUM($BH15)*SUM($BL15),0))</f>
        <v>0</v>
      </c>
      <c r="BN15" s="167" t="str">
        <f>IF(OR(LEFT($B15,4)="_Mil",$C15="&lt;01"),"",IF(SUM($X15)=0,IF(SUM($T15)=0,IF(SUM($AI15,$AD15,$AG15,$AB15)=0,"",1),IF(SUM($AG15)=0,SUM($AB15),$AG15)/$T15),IF(SUM($AI15)=0,SUM($AD15),$AI15)/$X15))</f>
        <v/>
      </c>
      <c r="BO15" s="392" t="str">
        <f>IF(OR(SUM($H15)=0,$C15="&lt;01"),"",IF(SUM($X15)=0,IF(SUM($AI15)=0,SUM($AD15),$AI15)/IF(SUM($BN15)=0,1,$BN15)/$H15,$X15/$H15))</f>
        <v/>
      </c>
      <c r="BP15" s="388" t="str">
        <f>IF(OR(SUM($H15,$N15)=0,$C15="&lt;01"),"",SUM($BM15)/SUM($H15,$N15))</f>
        <v/>
      </c>
      <c r="BQ15" s="225">
        <f>IF(OR(LEFT($B15,4)="_Mil",$C15="&lt;01"),"",ROUND(SUM($BM15)-(SUM($BO15)*SUM($H15)),0))</f>
        <v>0</v>
      </c>
      <c r="BR15" s="304" t="str">
        <f>IF($C15="&lt;01",IFERROR(ROUND(INDEX(EID!$V:$V,MATCH($B15,EID!$B:$B,0))/2,0),""),"")</f>
        <v/>
      </c>
      <c r="BS15" s="345">
        <f>SUM($AI15)-SUM($AD15)</f>
        <v>0</v>
      </c>
      <c r="BT15" s="392" t="str">
        <f>IF($C15="&lt;01","",BN15)</f>
        <v/>
      </c>
      <c r="BU15" s="225">
        <f>IF(LEFT($B15,4)="_Mil","",IF($C15="&lt;01",SUM($BR15),ROUND(MAX(SUM($BT15),0)*SUM($BQ15),0)))</f>
        <v>0</v>
      </c>
      <c r="BV15" s="225" t="e">
        <f>IF(LEFT($B15,4)="_Mil","DOD ADD HERE",IF($C15="&lt;01",$BU15,ROUND(SUM($BM15)*BT15,0)))</f>
        <v>#VALUE!</v>
      </c>
      <c r="BW15" s="225" t="e">
        <f>IF(AND(LEFT($B15,4)="_Mil",SUM($BV15)=0),"",IF($C15="&lt;01",IFERROR(ROUND(INDEX(EID!$T:$T,MATCH($B15,EID!$B:$B,0))/2,0),0),IF(SUM($BL15)=0,"",ROUND(SUM($BV15)/$BL15,0))))</f>
        <v>#VALUE!</v>
      </c>
      <c r="BX15" s="225" t="e">
        <f>IF(AND(LEFT($B15,4)="_Mil",SUM($BV15)=0),"",IF($C15="&lt;01",IFERROR(ROUND(INDEX(EID!$R:$R,MATCH($B15,EID!$B:$B,0))/2,0),0),IF(SUM($BG15)=0,"",ROUND(SUM($BW15)/$BG15,0))))</f>
        <v>#VALUE!</v>
      </c>
      <c r="BY15" s="225" t="e">
        <f>IF(AND(LEFT($B15,4)="_Mil",SUM($BV15)=0),"",IF($C15="&lt;01",IFERROR(ROUND(INDEX(EID!$N:$N,MATCH($B15,EID!$B:$B,0)),0),0),IF(SUM($BC15)=0,"",ROUND((SUM($BX15)-SUM($AG15))/$BC15,0))))</f>
        <v>#VALUE!</v>
      </c>
      <c r="BZ15" s="225" t="e">
        <f>IF(AND(LEFT($B15,4)="_Mil",SUM($BV15)=0),"",ROUND(IF($C15="&lt;01",IFERROR(INDEX(EID!P:$P,MATCH($B15,EID!$B:$B,0))/2,0),SUM($AG15)*SUM($AX15)+SUM($BY15)*SUM($AW15)),0))</f>
        <v>#VALUE!</v>
      </c>
      <c r="CA15" s="392">
        <f>IF($C15="&lt;01","",100%)</f>
        <v>1</v>
      </c>
      <c r="CB15" s="225" t="e">
        <f>IF(AND(LEFT($B15,4)="_Mil",SUM($BV15)=0),"",ROUND(SUM($BY15)*IF($C15="&lt;01",1,$CA15),0))</f>
        <v>#VALUE!</v>
      </c>
      <c r="CC15" s="167">
        <f>IF($C15="&lt;01","",0%)</f>
        <v>0</v>
      </c>
      <c r="CD15" s="90" t="e">
        <f>IF($C15="&lt;01","",ROUND(SUM($CB15)*SUM($CC15),0))</f>
        <v>#VALUE!</v>
      </c>
      <c r="CE15" s="90" t="e">
        <f>SUM($CB15)-SUM($CD15)</f>
        <v>#VALUE!</v>
      </c>
      <c r="CF15" s="175"/>
      <c r="CG15" s="175" t="e">
        <f>IF(OR(SUM($CE15)=0,$C15="&lt;01"),"",SUM($CF15))</f>
        <v>#VALUE!</v>
      </c>
      <c r="CH15" s="109" t="e">
        <f>IF($C15="&lt;01",IFERROR(ROUND(INDEX(EID!$L:$L,MATCH($B15,EID!$B:$B,0))/2,0),0),IF(OR(SUM($CE15)=0,SUM($AU15)=0),"",ROUND($CE15/$AU15,0)))</f>
        <v>#VALUE!</v>
      </c>
      <c r="CI15" s="109" t="e">
        <f>IF($C15="&lt;01","",IF(SUM($CH15)=0,"",ROUND($CH15*SUM($CG15),0)))</f>
        <v>#VALUE!</v>
      </c>
      <c r="CJ15" s="109" t="str">
        <f>IF(OR($D15&lt;&gt;"Female",$C15="&lt;01",$C15="01-04",$C15="05-09"),"",_xlfn.IFNA(INDEX(PMTCT!$AF:$AF,MATCH($E15,PMTCT!$E:$E,0)),""))</f>
        <v/>
      </c>
      <c r="CK15" s="109" t="str">
        <f>IF(OR($D15&lt;&gt;"Female",$C15="&lt;01",$C15="01-04",$C15="05-09"),"",_xlfn.IFNA(INDEX(PMTCT!$AV:$AV,MATCH($E15,PMTCT!$E:$E,0)),""))</f>
        <v/>
      </c>
      <c r="CL15" s="109">
        <f>IF($C15="&lt;01","",_xlfn.IFNA(INDEX(TB!$Q:$Q,MATCH($E15,TB!$E:$E,0)),""))</f>
        <v>0</v>
      </c>
      <c r="CM15" s="109" t="str">
        <f>IF(OR($D15&lt;&gt;"Male",$C15="&lt;01",$C15="01-04",$C15="05-09",$C15="10-14"),"",_xlfn.IFNA(INDEX(VMMC!$AC:$AC,MATCH($E15,VMMC!$E:$E,0)),""))</f>
        <v/>
      </c>
      <c r="CN15" s="109" t="str">
        <f>IF($C15="&lt;01",$CH15,"")</f>
        <v/>
      </c>
      <c r="CO15" s="109" t="e">
        <f>IF(SUM($CH15)=0,"",$CH15-SUM($CI15:$CN15))</f>
        <v>#VALUE!</v>
      </c>
      <c r="CP15" s="167" t="e">
        <f>IF(OR(SUM($CH15)=0,SUM($CI15)=0),"",$CI15/$CH15)</f>
        <v>#VALUE!</v>
      </c>
      <c r="CQ15" s="392" t="e">
        <f>IF(OR(SUM($CH15)=0,SUM($CJ15)=0),"",$CJ15/$CH15)</f>
        <v>#VALUE!</v>
      </c>
      <c r="CR15" s="392" t="e">
        <f>IF(OR(SUM($CH15)=0,SUM($CK15)=0),"",$CK15/$CH15)</f>
        <v>#VALUE!</v>
      </c>
      <c r="CS15" s="392" t="e">
        <f>IF(OR(SUM($CH15)=0,SUM($CL15)=0),"",$CL15/$CH15)</f>
        <v>#VALUE!</v>
      </c>
      <c r="CT15" s="392" t="e">
        <f>IF(OR(SUM($CH15)=0,SUM($CM15)=0),"",$CM15/$CH15)</f>
        <v>#VALUE!</v>
      </c>
      <c r="CU15" s="392" t="e">
        <f>IF(OR(SUM($CH15)=0,SUM($CN15)=0),"",$CN15/$CH15)</f>
        <v>#VALUE!</v>
      </c>
      <c r="CV15" s="392" t="e">
        <f>IF(OR(SUM($CH15)=0,SUM($CO15)=0),"",$CO15/$CH15)</f>
        <v>#VALUE!</v>
      </c>
      <c r="CW15" s="165"/>
      <c r="CX15" s="36"/>
      <c r="CY15" s="36"/>
      <c r="CZ15" s="84" t="e">
        <f>IF(OR(SUM($CI15)=0,SUM($CW15)=0),"",ROUND($CI15*$CW15,0))</f>
        <v>#VALUE!</v>
      </c>
      <c r="DA15" s="84" t="e">
        <f>IF(SUM($CZ15)=0,"",ROUND($CZ15/$CX15,0)-$CZ15)</f>
        <v>#VALUE!</v>
      </c>
      <c r="DB15" s="84" t="e">
        <f>IF(SUM($CI15)=0,"",$CI15-SUM($CZ15))</f>
        <v>#VALUE!</v>
      </c>
      <c r="DC15" s="84" t="e">
        <f>IF(SUM($DB15)=0,"",ROUND($DB15/$CY15,0)-$DB15)</f>
        <v>#VALUE!</v>
      </c>
      <c r="DD15" s="36" t="e">
        <f>IF(OR(SUM($CH15)=0,$C15="&lt;01"),"",SUM($CZ15,$DB15)/$CH15)</f>
        <v>#VALUE!</v>
      </c>
      <c r="DE15"/>
      <c r="DF15"/>
      <c r="DG15"/>
      <c r="DH15"/>
      <c r="DI15"/>
      <c r="DJ15"/>
    </row>
  </sheetData>
  <mergeCells count="1">
    <mergeCell ref="A2:B3"/>
  </mergeCells>
  <conditionalFormatting sqref="CC1:CD15">
    <cfRule type="expression" dxfId="173" priority="846">
      <formula>AND(ISNUMBER(CC1),ROUND(CC1,2)&gt;0)</formula>
    </cfRule>
  </conditionalFormatting>
  <conditionalFormatting sqref="F1:Y15 AY1:BB15 BD1:BD15 BF1:BF15 BH1:BH15 BK1:BK15 BM1:BQ15 BT1:BU15 AT1:AT15 AV1:AV15 AJ1:AQ15">
    <cfRule type="expression" dxfId="172" priority="101">
      <formula>LEFT($B1,4)="_Mil"</formula>
    </cfRule>
  </conditionalFormatting>
  <conditionalFormatting sqref="BF1:BH15 BK1:BQ15 BT1:BT15 CA1:CA15 CC1:CD15 CF1:CG15 CI1:CM15 CO1:CT15 CV1:DD15 AT1:BD15 AJ1:AO15 AQ1:AQ15">
    <cfRule type="expression" dxfId="171" priority="94">
      <formula>AND($C1="&lt;01",ROW(AJ1)&gt;14,$B1&lt;&gt;"")</formula>
    </cfRule>
  </conditionalFormatting>
  <conditionalFormatting sqref="CJ1:CK15 CQ1:CR15">
    <cfRule type="expression" dxfId="170" priority="91">
      <formula>AND(ROW(CJ1)&gt;14,$B1&lt;&gt;"",$D1&lt;&gt;"Female")</formula>
    </cfRule>
    <cfRule type="expression" dxfId="169" priority="93">
      <formula>AND(ROW(CJ1)&gt;14,$B1&lt;&gt;"",OR($C1="&lt;01",$C1="01-04",$C1="05-09"))</formula>
    </cfRule>
  </conditionalFormatting>
  <conditionalFormatting sqref="AW1:AX15">
    <cfRule type="expression" dxfId="168" priority="78">
      <formula>AND(ISNUMBER(AW1),ROUND(AW1,2)&lt;98%)</formula>
    </cfRule>
  </conditionalFormatting>
  <conditionalFormatting sqref="BR1:BR15 CN1:CN15 CU1:CU15">
    <cfRule type="expression" dxfId="167" priority="27">
      <formula>AND(ROW(BR1)&gt;14,$B1&lt;&gt;"",NOT($C1="&lt;01"))</formula>
    </cfRule>
  </conditionalFormatting>
  <conditionalFormatting sqref="CG1:CG15">
    <cfRule type="expression" dxfId="166" priority="2575">
      <formula>AND(ISNUMBER($CG1),$CG1&lt;&gt;$CF1)</formula>
    </cfRule>
  </conditionalFormatting>
  <conditionalFormatting sqref="J1:J15 L1:L15 AJ1:AK15 AM1:AM15 BC1:BC15 BE1:BG15 BI1:BL15 BN1:BP15 BT1:BT15 CA1:CA15 CC1:CC15 CF1:CG15 CP1:CZ15 DD1:DD15 AR1:AX15 AP1:AP15">
    <cfRule type="expression" dxfId="165" priority="5">
      <formula>AND(ISNUMBER(J1),OR(ROUND(J1,2)&lt;0,ROUND(J1,2)&gt;1))</formula>
    </cfRule>
  </conditionalFormatting>
  <conditionalFormatting sqref="AJ1:AK15 AM1:AM15 AR1:AV15 BI1:BL15">
    <cfRule type="expression" dxfId="164" priority="10">
      <formula>AND(ISNUMBER(AJ1),ROUND(AJ1,2)&lt;95%)</formula>
    </cfRule>
  </conditionalFormatting>
  <conditionalFormatting sqref="AP1:AP15 BA1:BA15">
    <cfRule type="expression" dxfId="163" priority="8">
      <formula>AND(ISNUMBER(AP1),ROUND(AP1,2)&lt;(0.9*0.9))</formula>
    </cfRule>
  </conditionalFormatting>
  <conditionalFormatting sqref="BE1:BG15 CA1:CA15">
    <cfRule type="expression" dxfId="162" priority="6">
      <formula>AND(ISNUMBER(BE1),ROUND(BE1,2)&lt;1)</formula>
    </cfRule>
  </conditionalFormatting>
  <conditionalFormatting sqref="CT1:CT15 CM1:CM15">
    <cfRule type="expression" dxfId="161" priority="2427">
      <formula>AND(ROW(CF1)&gt;14,$B1&lt;&gt;"",$D1&lt;&gt;"Male")</formula>
    </cfRule>
  </conditionalFormatting>
  <conditionalFormatting sqref="BO1:BP15">
    <cfRule type="expression" dxfId="160" priority="11">
      <formula>AND(ISNUMBER(BO1),ROUND(BO1,2)&lt;POWER(0.95,3))</formula>
    </cfRule>
  </conditionalFormatting>
  <conditionalFormatting sqref="BC1:BC15">
    <cfRule type="expression" dxfId="159" priority="2950">
      <formula>AND(ISNUMBER(BC1),ROUND(BC1,2)&lt;70%)</formula>
    </cfRule>
  </conditionalFormatting>
  <conditionalFormatting sqref="F1:F15 H1:H15 N1:N15 P1:P15 R1:R15 T1:T15 V1:V15 X1:X15 AL1:AL15 AN1:AQ15 AY1:AZ15 BD1:BD15 BH1:BH15 BM1:BM15 BQ1:BS15 BU1:BZ15 CB1:CB15 CD1:CE15 CH1:CO15 CZ1:DC15">
    <cfRule type="expression" dxfId="158" priority="4">
      <formula>AND(ISNUMBER(F1),ROUND(F1,0)&lt;0)</formula>
    </cfRule>
  </conditionalFormatting>
  <conditionalFormatting sqref="CM1:CM15 CT1:CT15">
    <cfRule type="expression" dxfId="157" priority="2962">
      <formula>AND(ROW(CM1)&gt;14,$B1&lt;&gt;"",OR($C1="&lt;01",$C1="01-04",$C1="05-09",$C1="10-14"))</formula>
    </cfRule>
  </conditionalFormatting>
  <conditionalFormatting sqref="CW1:CW15">
    <cfRule type="expression" dxfId="156" priority="3">
      <formula>AND(ISNUMBER($CI1),$CI1&gt;0,CW1="")</formula>
    </cfRule>
  </conditionalFormatting>
  <conditionalFormatting sqref="CX1:CY15">
    <cfRule type="expression" dxfId="155" priority="2986">
      <formula>AND(ISNUMBER($CI1),$CI1&lt;&gt;0,SUM(CX1)=0)</formula>
    </cfRule>
    <cfRule type="expression" dxfId="154" priority="2987">
      <formula>AND(OR($C1="15-19",$C1="20-24",$C1="25-29",$C1="30-34",$C1="35-39",$C1="40-44",$C1="45-49",$C1="50-54",$C1="55-59",$C1="60-64",$C1="65+"),CX1&lt;20%,CX1&lt;&gt;"")</formula>
    </cfRule>
  </conditionalFormatting>
  <conditionalFormatting sqref="CH1:CV15">
    <cfRule type="expression" dxfId="153" priority="2988">
      <formula>AND(ROW(CH1)&gt;14,$B1&lt;&gt;"",OR(SUM($CO1)&lt;0,ROUND(SUM($CV1),2)&lt;0))</formula>
    </cfRule>
    <cfRule type="expression" dxfId="152" priority="2989">
      <formula>AND(ROW($CO1)&gt;14,$B1&lt;&gt;"",$C1="&lt;01",OR(SUM($CO1)&lt;&gt;0,ROUND(SUM($CV1),2)&lt;&gt;0,SUM($CI1:$CM1)&lt;&gt;0))</formula>
    </cfRule>
  </conditionalFormatting>
  <conditionalFormatting sqref="BB1:BB15">
    <cfRule type="expression" dxfId="151" priority="1">
      <formula>AND(ISNUMBER(BB1),ROUND(BB1,0)&lt;0)</formula>
    </cfRule>
  </conditionalFormatting>
  <conditionalFormatting sqref="F1:F15 H1:H15 J1:J15 L1:L15 N1:N15 P1:P15 R1:R15 T1:T15 V1:V15 X1:X15">
    <cfRule type="expression" dxfId="150" priority="102">
      <formula>AND(ISNUMBER(G1),ISNUMBER(F1),G1&gt;=40%)</formula>
    </cfRule>
    <cfRule type="expression" dxfId="149" priority="103">
      <formula>AND(ISNUMBER(G1),ISNUMBER(F1),G1&gt;=20%,G1&lt;40%)</formula>
    </cfRule>
    <cfRule type="expression" dxfId="148" priority="105">
      <formula>AND(ISNUMBER(G1),ISNUMBER(F1),G1&lt;20%)</formula>
    </cfRule>
  </conditionalFormatting>
  <hyperlinks>
    <hyperlink ref="CI3" location="Cascade!CI:CK" display="Cascade!CI:CK" xr:uid="{CFC22E83-CD81-744A-BD97-81BDFE5732F2}"/>
    <hyperlink ref="CJ3" location="PMTCT!AF:AF" display="PMTCT_STAT New Positives (FY23)" xr:uid="{072C5291-7010-704F-BBB9-7097DE99B670}"/>
    <hyperlink ref="CK3" location="PMTCT!AV:AV" display="HTS_TST Post ANC1 New Positives (FY23)" xr:uid="{BD5510F0-19E5-3C41-B8F3-9039D1D2730F}"/>
    <hyperlink ref="CL3" location="TB!Q:Q" display="TB_STAT New Positives (FY22)" xr:uid="{4946A338-D073-E84B-90AE-459B22CC722F}"/>
    <hyperlink ref="CM3" location="VMMC!AC:AC" display="VMMC Tested Positives (FY22)" xr:uid="{9324AD3D-0667-6B41-8A55-485E12745DBA}"/>
    <hyperlink ref="CN3" location="EID!Q:Q" display="EID!Q:Q" xr:uid="{DD5860B7-2BBA-D54C-AC3A-9FA1A8C82695}"/>
    <hyperlink ref="CO3" location="HTS!O:O" display="HTS_TST_POS from All Other Modalities (FY23)" xr:uid="{94117302-B331-2E49-A0BD-18496ED310FB}"/>
    <hyperlink ref="BR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8" customWidth="1"/>
    <col min="9" max="9" width="11.83203125" style="78" customWidth="1"/>
    <col min="10" max="11" width="11.83203125" style="214" customWidth="1"/>
    <col min="12" max="18" width="11.83203125" style="84" customWidth="1"/>
    <col min="19" max="19" width="11.83203125" style="116" customWidth="1"/>
    <col min="20" max="20" width="11.83203125" style="36" customWidth="1"/>
    <col min="21" max="21" width="11.83203125" style="130" customWidth="1"/>
    <col min="22" max="22" width="11.83203125" style="165" customWidth="1"/>
    <col min="23" max="23" width="11.83203125" style="36" customWidth="1"/>
    <col min="24" max="24" width="11.83203125" style="130" customWidth="1"/>
    <col min="25" max="25" width="11.83203125" style="165" customWidth="1"/>
    <col min="26" max="29" width="11.83203125" style="254" customWidth="1"/>
    <col min="30" max="30" width="11.83203125" style="72" customWidth="1"/>
    <col min="31" max="31" width="11.83203125" style="133" customWidth="1"/>
    <col min="32" max="33" width="11.83203125" style="72" customWidth="1"/>
    <col min="34" max="34" width="11.83203125" style="126" customWidth="1"/>
    <col min="35" max="37" width="11.83203125" style="72" customWidth="1"/>
    <col min="38" max="38" width="11.83203125" style="446" customWidth="1"/>
    <col min="39" max="39" width="11.83203125" style="108" customWidth="1"/>
    <col min="40" max="40" width="11.83203125" style="72" customWidth="1"/>
    <col min="41" max="41" width="11.83203125" style="126" customWidth="1"/>
    <col min="42" max="42" width="11.83203125" style="108" customWidth="1"/>
    <col min="43" max="43" width="11.83203125" style="72" customWidth="1"/>
    <col min="44" max="44" width="11.83203125" style="99" customWidth="1"/>
    <col min="45" max="47" width="11.83203125" style="254" customWidth="1"/>
    <col min="48" max="48" width="11.83203125" style="108" customWidth="1"/>
    <col min="49" max="49" width="11.83203125" style="72" customWidth="1"/>
    <col min="50" max="50" width="11.83203125" style="75" customWidth="1"/>
    <col min="51" max="51" width="11.83203125" style="99" customWidth="1"/>
    <col min="52" max="52" width="11.83203125" style="98" customWidth="1"/>
    <col min="53" max="57" width="11.83203125" style="254" customWidth="1"/>
    <col min="58" max="16384" width="10.83203125" style="40"/>
  </cols>
  <sheetData>
    <row r="1" spans="1:57" s="61" customFormat="1" ht="31" customHeight="1" thickBot="1" x14ac:dyDescent="0.35">
      <c r="A1" s="5" t="s">
        <v>75</v>
      </c>
      <c r="C1" s="1"/>
      <c r="D1" s="1"/>
      <c r="E1" s="1"/>
      <c r="F1" s="80" t="s">
        <v>77</v>
      </c>
      <c r="G1" s="95"/>
      <c r="H1" s="207"/>
      <c r="I1" s="95"/>
      <c r="J1" s="35"/>
      <c r="K1" s="35"/>
      <c r="L1" s="80"/>
      <c r="M1" s="80"/>
      <c r="N1" s="80"/>
      <c r="O1" s="80"/>
      <c r="P1" s="80"/>
      <c r="Q1" s="80"/>
      <c r="R1" s="80"/>
      <c r="S1" s="114" t="s">
        <v>30</v>
      </c>
      <c r="T1" s="45"/>
      <c r="U1" s="127"/>
      <c r="V1" s="248" t="s">
        <v>744</v>
      </c>
      <c r="W1" s="45"/>
      <c r="X1" s="127"/>
      <c r="Y1" s="248" t="s">
        <v>31</v>
      </c>
      <c r="Z1" s="250"/>
      <c r="AA1" s="250"/>
      <c r="AB1" s="250"/>
      <c r="AC1" s="250"/>
      <c r="AD1" s="67"/>
      <c r="AE1" s="67"/>
      <c r="AF1" s="67"/>
      <c r="AG1" s="67"/>
      <c r="AH1" s="111" t="s">
        <v>745</v>
      </c>
      <c r="AI1" s="67"/>
      <c r="AJ1" s="67"/>
      <c r="AK1" s="67"/>
      <c r="AL1" s="248" t="s">
        <v>49</v>
      </c>
      <c r="AM1" s="118"/>
      <c r="AN1" s="80"/>
      <c r="AO1" s="114" t="s">
        <v>751</v>
      </c>
      <c r="AP1" s="118"/>
      <c r="AQ1" s="80"/>
      <c r="AR1" s="111" t="s">
        <v>68</v>
      </c>
      <c r="AS1" s="250"/>
      <c r="AT1" s="250"/>
      <c r="AU1" s="250"/>
      <c r="AV1" s="134"/>
      <c r="AW1" s="67"/>
      <c r="AX1" s="67"/>
      <c r="AY1" s="111" t="s">
        <v>593</v>
      </c>
      <c r="AZ1" s="134"/>
      <c r="BA1" s="250"/>
      <c r="BB1" s="250"/>
      <c r="BC1" s="250"/>
      <c r="BD1" s="250"/>
      <c r="BE1" s="250"/>
    </row>
    <row r="2" spans="1:57" s="56" customFormat="1" ht="19" customHeight="1" x14ac:dyDescent="0.25">
      <c r="A2" s="365" t="s">
        <v>802</v>
      </c>
      <c r="B2" s="366"/>
      <c r="D2" s="2"/>
      <c r="E2" s="2"/>
      <c r="F2" s="94" t="s">
        <v>74</v>
      </c>
      <c r="G2" s="94"/>
      <c r="H2" s="198"/>
      <c r="I2" s="94"/>
      <c r="J2" s="34"/>
      <c r="K2" s="34"/>
      <c r="L2" s="81"/>
      <c r="M2" s="81"/>
      <c r="N2" s="81"/>
      <c r="O2" s="81"/>
      <c r="P2" s="81"/>
      <c r="Q2" s="81"/>
      <c r="R2" s="81"/>
      <c r="S2" s="115" t="s">
        <v>74</v>
      </c>
      <c r="T2" s="34" t="s">
        <v>2</v>
      </c>
      <c r="U2" s="128" t="s">
        <v>3</v>
      </c>
      <c r="V2" s="249" t="s">
        <v>74</v>
      </c>
      <c r="W2" s="34" t="s">
        <v>2</v>
      </c>
      <c r="X2" s="128" t="s">
        <v>3</v>
      </c>
      <c r="Y2" s="249" t="s">
        <v>2</v>
      </c>
      <c r="Z2" s="251"/>
      <c r="AA2" s="251"/>
      <c r="AB2" s="251"/>
      <c r="AC2" s="251"/>
      <c r="AD2" s="68" t="s">
        <v>3</v>
      </c>
      <c r="AE2" s="131"/>
      <c r="AF2" s="68"/>
      <c r="AG2" s="68"/>
      <c r="AH2" s="236" t="s">
        <v>3</v>
      </c>
      <c r="AI2" s="68"/>
      <c r="AJ2" s="68"/>
      <c r="AK2" s="68"/>
      <c r="AL2" s="249" t="s">
        <v>74</v>
      </c>
      <c r="AM2" s="135" t="s">
        <v>3</v>
      </c>
      <c r="AN2" s="68"/>
      <c r="AO2" s="236" t="s">
        <v>3</v>
      </c>
      <c r="AP2" s="135"/>
      <c r="AQ2" s="68"/>
      <c r="AR2" s="112" t="s">
        <v>2</v>
      </c>
      <c r="AS2" s="251"/>
      <c r="AT2" s="251"/>
      <c r="AU2" s="251"/>
      <c r="AV2" s="135" t="s">
        <v>3</v>
      </c>
      <c r="AW2" s="68"/>
      <c r="AX2" s="94"/>
      <c r="AY2" s="112" t="s">
        <v>59</v>
      </c>
      <c r="AZ2" s="159"/>
      <c r="BA2" s="251"/>
      <c r="BB2" s="251"/>
      <c r="BC2" s="251"/>
      <c r="BD2" s="251"/>
      <c r="BE2" s="251"/>
    </row>
    <row r="3" spans="1:57" ht="117" customHeight="1" thickBot="1" x14ac:dyDescent="0.25">
      <c r="A3" s="367"/>
      <c r="B3" s="368"/>
      <c r="D3" s="47"/>
      <c r="E3" s="47"/>
      <c r="F3" s="262" t="s">
        <v>814</v>
      </c>
      <c r="G3" s="262" t="s">
        <v>610</v>
      </c>
      <c r="H3" s="263" t="s">
        <v>790</v>
      </c>
      <c r="I3" s="262" t="s">
        <v>791</v>
      </c>
      <c r="J3" s="264" t="s">
        <v>815</v>
      </c>
      <c r="K3" s="264" t="s">
        <v>1106</v>
      </c>
      <c r="L3" s="143" t="s">
        <v>816</v>
      </c>
      <c r="M3" s="143" t="s">
        <v>755</v>
      </c>
      <c r="N3" s="143" t="s">
        <v>756</v>
      </c>
      <c r="O3" s="143" t="s">
        <v>757</v>
      </c>
      <c r="P3" s="143" t="s">
        <v>758</v>
      </c>
      <c r="Q3" s="143" t="s">
        <v>759</v>
      </c>
      <c r="R3" s="143" t="s">
        <v>760</v>
      </c>
      <c r="S3" s="140" t="s">
        <v>1205</v>
      </c>
      <c r="T3" s="48" t="s">
        <v>260</v>
      </c>
      <c r="U3" s="129" t="s">
        <v>803</v>
      </c>
      <c r="V3" s="389" t="s">
        <v>990</v>
      </c>
      <c r="W3" s="48" t="s">
        <v>800</v>
      </c>
      <c r="X3" s="129" t="s">
        <v>801</v>
      </c>
      <c r="Y3" s="412" t="s">
        <v>804</v>
      </c>
      <c r="Z3" s="252" t="s">
        <v>991</v>
      </c>
      <c r="AA3" s="390" t="s">
        <v>992</v>
      </c>
      <c r="AB3" s="252" t="s">
        <v>1212</v>
      </c>
      <c r="AC3" s="390" t="s">
        <v>1213</v>
      </c>
      <c r="AD3" s="125" t="s">
        <v>1196</v>
      </c>
      <c r="AE3" s="69" t="s">
        <v>1197</v>
      </c>
      <c r="AF3" s="70" t="s">
        <v>1198</v>
      </c>
      <c r="AG3" s="69" t="s">
        <v>1199</v>
      </c>
      <c r="AH3" s="276" t="s">
        <v>743</v>
      </c>
      <c r="AI3" s="69" t="s">
        <v>805</v>
      </c>
      <c r="AJ3" s="69" t="s">
        <v>806</v>
      </c>
      <c r="AK3" s="69" t="s">
        <v>807</v>
      </c>
      <c r="AL3" s="445" t="s">
        <v>847</v>
      </c>
      <c r="AM3" s="162" t="s">
        <v>1200</v>
      </c>
      <c r="AN3" s="69" t="s">
        <v>1201</v>
      </c>
      <c r="AO3" s="276" t="s">
        <v>993</v>
      </c>
      <c r="AP3" s="162" t="s">
        <v>994</v>
      </c>
      <c r="AQ3" s="69" t="s">
        <v>995</v>
      </c>
      <c r="AR3" s="136" t="s">
        <v>996</v>
      </c>
      <c r="AS3" s="447" t="s">
        <v>997</v>
      </c>
      <c r="AT3" s="448" t="s">
        <v>998</v>
      </c>
      <c r="AU3" s="447" t="s">
        <v>847</v>
      </c>
      <c r="AV3" s="453" t="s">
        <v>1202</v>
      </c>
      <c r="AW3" s="69" t="s">
        <v>1203</v>
      </c>
      <c r="AX3" s="450" t="s">
        <v>1204</v>
      </c>
      <c r="AY3" s="261" t="s">
        <v>1072</v>
      </c>
      <c r="AZ3" s="265" t="s">
        <v>808</v>
      </c>
      <c r="BA3" s="266" t="s">
        <v>809</v>
      </c>
      <c r="BB3" s="266" t="s">
        <v>810</v>
      </c>
      <c r="BC3" s="266" t="s">
        <v>811</v>
      </c>
      <c r="BD3" s="266" t="s">
        <v>812</v>
      </c>
      <c r="BE3" s="266" t="s">
        <v>813</v>
      </c>
    </row>
    <row r="4" spans="1:57" x14ac:dyDescent="0.2">
      <c r="B4" s="49"/>
      <c r="C4" s="49"/>
      <c r="D4" s="49" t="s">
        <v>4</v>
      </c>
      <c r="E4" s="49"/>
      <c r="F4" s="89">
        <f>SUBTOTAL(109,F$15:INDEX(F:F,COUNTA($B:$B)+14-COUNTA($B$1:$B$14)))</f>
        <v>0</v>
      </c>
      <c r="G4" s="89">
        <f>SUBTOTAL(109,G$15:INDEX(G:G,COUNTA($B:$B)+14-COUNTA($B$1:$B$14)))</f>
        <v>0</v>
      </c>
      <c r="H4" s="158" t="str">
        <f>IF($F$4=0,"",$G4/$F4)</f>
        <v/>
      </c>
      <c r="I4" s="89">
        <f>SUBTOTAL(109,I$15:INDEX(I:I,COUNTA($B:$B)+14-COUNTA($B$1:$B$14)))</f>
        <v>0</v>
      </c>
      <c r="J4" s="383"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7">
        <f>SUBTOTAL(109,S$15:INDEX(S:S,COUNTA($B:$B)+14-COUNTA($B$1:$B$14)))</f>
        <v>0</v>
      </c>
      <c r="T4" s="50" t="str">
        <f>IF(SUM($S$4,$L$4)=0,"",$U$4/MIN($S$4,$L$4)-1)</f>
        <v/>
      </c>
      <c r="U4" s="147">
        <f>SUBTOTAL(109,U$15:INDEX(U:U,COUNTA($B:$B)+14-COUNTA($B$1:$B$14)))</f>
        <v>0</v>
      </c>
      <c r="V4" s="164" t="str">
        <f>IF($L$4=0,"",$S$4/$L$4)</f>
        <v/>
      </c>
      <c r="W4" s="50" t="str">
        <f>IF($X$4=0,"",$U$4/$X$4)</f>
        <v/>
      </c>
      <c r="X4" s="147">
        <f>SUBTOTAL(109,X$15:INDEX(X:X,COUNTA($B:$B)+14-COUNTA($B$1:$B$14)))</f>
        <v>0</v>
      </c>
      <c r="Y4" s="164" t="str">
        <f>IF($U$4=0,"",$AD$4/$U$4)</f>
        <v/>
      </c>
      <c r="Z4" s="253"/>
      <c r="AA4" s="253" t="str">
        <f>IF($AD$4=0,"",$AE$4/$AD$4)</f>
        <v/>
      </c>
      <c r="AB4" s="253"/>
      <c r="AC4" s="253" t="str">
        <f>IF($AD$4=0,"",$AF$4/($AD$4-$AE$4))</f>
        <v/>
      </c>
      <c r="AD4" s="86">
        <f>SUBTOTAL(109,AD$15:INDEX(AD:AD,COUNTA($B:$B)+14-COUNTA($B$1:$B$14)))</f>
        <v>0</v>
      </c>
      <c r="AE4" s="132">
        <f>IF(COUNTIF(AE$15:INDEX($AE:$AE,COUNTA($B:$B)+14-COUNTA($B$1:$B$14)),"&lt;0")&gt;0,"RESOLVE NEGATIVES",SUBTOTAL(109,AE$15:INDEX(AE:AE,COUNTA($B:$B)+14-COUNTA($B$1:$B$14))))</f>
        <v>0</v>
      </c>
      <c r="AF4" s="86">
        <f>SUBTOTAL(109,AF$15:INDEX(AF:AF,COUNTA($B:$B)+14-COUNTA($B$1:$B$14)))</f>
        <v>0</v>
      </c>
      <c r="AG4" s="86">
        <f>SUBTOTAL(109,AG$15:INDEX(AG:AG,COUNTA($B:$B)+14-COUNTA($B$1:$B$14)))</f>
        <v>0</v>
      </c>
      <c r="AH4" s="277">
        <f>SUBTOTAL(109,AH$15:INDEX(AH:AH,COUNTA($B:$B)+14-COUNTA($B$1:$B$14)))</f>
        <v>0</v>
      </c>
      <c r="AI4" s="86">
        <f>SUBTOTAL(109,AI$15:INDEX(AI:AI,COUNTA($B:$B)+14-COUNTA($B$1:$B$14)))</f>
        <v>0</v>
      </c>
      <c r="AJ4" s="86">
        <f>SUBTOTAL(109,AJ$15:INDEX(AJ:AJ,COUNTA($B:$B)+14-COUNTA($B$1:$B$14)))</f>
        <v>0</v>
      </c>
      <c r="AK4" s="86">
        <f>SUBTOTAL(109,AK$15:INDEX(AK:AK,COUNTA($B:$B)+14-COUNTA($B$1:$B$14)))</f>
        <v>0</v>
      </c>
      <c r="AL4" s="164" t="str">
        <f>IF($AF$4=0,"",$AN$4/$AF$4)</f>
        <v/>
      </c>
      <c r="AM4" s="138">
        <f>SUBTOTAL(109,AM$15:INDEX(AM:AM,COUNTA($B:$B)+14-COUNTA($B$1:$B$14)))</f>
        <v>0</v>
      </c>
      <c r="AN4" s="86">
        <f>SUBTOTAL(109,AN$15:INDEX(AN:AN,COUNTA($B:$B)+14-COUNTA($B$1:$B$14)))</f>
        <v>0</v>
      </c>
      <c r="AO4" s="277">
        <f>SUBTOTAL(109,AO$15:INDEX(AO:AO,COUNTA($B:$B)+14-COUNTA($B$1:$B$14)))</f>
        <v>0</v>
      </c>
      <c r="AP4" s="138">
        <f>SUBTOTAL(109,AP$15:INDEX(AP:AP,COUNTA($B:$B)+14-COUNTA($B$1:$B$14)))</f>
        <v>0</v>
      </c>
      <c r="AQ4" s="86">
        <f>SUBTOTAL(109,AQ$15:INDEX(AQ:AQ,COUNTA($B:$B)+14-COUNTA($B$1:$B$14)))</f>
        <v>0</v>
      </c>
      <c r="AR4" s="137">
        <f>SUBTOTAL(109,AR$15:INDEX(AR:AR,COUNTA($B:$B)+14-COUNTA($B$1:$B$14)))</f>
        <v>0</v>
      </c>
      <c r="AS4" s="449"/>
      <c r="AT4" s="449" t="str">
        <f>IF($AR$4=0,"",$AV$4/$AR$4)</f>
        <v/>
      </c>
      <c r="AU4" s="449" t="str">
        <f>IF($AV$4=0,"",$AX$4/$AV$4)</f>
        <v/>
      </c>
      <c r="AV4" s="138">
        <f>SUBTOTAL(109,AV$15:INDEX(AV:AV,COUNTA($B:$B)+14-COUNTA($B$1:$B$14)))</f>
        <v>0</v>
      </c>
      <c r="AW4" s="86">
        <f>SUBTOTAL(109,AW$15:INDEX(AW:AW,COUNTA($B:$B)+14-COUNTA($B$1:$B$14)))</f>
        <v>0</v>
      </c>
      <c r="AX4" s="89">
        <f>SUBTOTAL(109,AX$15:INDEX(AX:AX,COUNTA($B:$B)+14-COUNTA($B$1:$B$14)))</f>
        <v>0</v>
      </c>
      <c r="AY4" s="137">
        <f>SUBTOTAL(109,AY$15:INDEX(AY:AY,COUNTA($B:$B)+14-COUNTA($B$1:$B$14)))</f>
        <v>0</v>
      </c>
      <c r="AZ4" s="160" t="e">
        <f>SUBTOTAL(109,AZ$15:INDEX(AZ:AZ,COUNTA($B:$B)+14-COUNTA($B$1:$B$14)))</f>
        <v>#VALUE!</v>
      </c>
      <c r="BA4" s="254" t="str">
        <f>IF($AF4=0,"",$AF4/$AZ4)</f>
        <v/>
      </c>
      <c r="BB4" s="254" t="str">
        <f>IF($AV4=0,"",$AV4/$AZ4)</f>
        <v/>
      </c>
    </row>
    <row r="5" spans="1:57" x14ac:dyDescent="0.2">
      <c r="A5" s="40" t="s">
        <v>99</v>
      </c>
      <c r="B5" s="42" t="s">
        <v>99</v>
      </c>
      <c r="C5" s="42" t="s">
        <v>99</v>
      </c>
      <c r="D5" s="42" t="s">
        <v>99</v>
      </c>
      <c r="E5" s="42" t="s">
        <v>99</v>
      </c>
      <c r="F5" s="75" t="s">
        <v>99</v>
      </c>
      <c r="G5" s="75" t="s">
        <v>99</v>
      </c>
      <c r="H5" s="181" t="s">
        <v>99</v>
      </c>
      <c r="I5" s="75" t="s">
        <v>99</v>
      </c>
      <c r="J5" s="36" t="s">
        <v>99</v>
      </c>
      <c r="K5" s="173" t="s">
        <v>99</v>
      </c>
      <c r="L5" s="72" t="s">
        <v>108</v>
      </c>
      <c r="M5" s="72" t="s">
        <v>108</v>
      </c>
      <c r="N5" s="72" t="s">
        <v>108</v>
      </c>
      <c r="O5" s="72" t="s">
        <v>108</v>
      </c>
      <c r="P5" s="72" t="s">
        <v>108</v>
      </c>
      <c r="Q5" s="72" t="s">
        <v>108</v>
      </c>
      <c r="R5" s="72" t="s">
        <v>108</v>
      </c>
      <c r="S5" s="99" t="s">
        <v>110</v>
      </c>
      <c r="T5" s="36" t="s">
        <v>99</v>
      </c>
      <c r="U5" s="72" t="s">
        <v>110</v>
      </c>
      <c r="V5" s="165" t="s">
        <v>99</v>
      </c>
      <c r="W5" s="36" t="s">
        <v>99</v>
      </c>
      <c r="X5" s="72" t="s">
        <v>108</v>
      </c>
      <c r="Y5" s="165" t="s">
        <v>99</v>
      </c>
      <c r="Z5" s="254" t="s">
        <v>99</v>
      </c>
      <c r="AA5" s="254" t="s">
        <v>99</v>
      </c>
      <c r="AB5" s="254" t="s">
        <v>99</v>
      </c>
      <c r="AC5" s="254" t="s">
        <v>99</v>
      </c>
      <c r="AD5" s="72" t="s">
        <v>99</v>
      </c>
      <c r="AE5" s="133" t="s">
        <v>110</v>
      </c>
      <c r="AF5" s="72" t="s">
        <v>110</v>
      </c>
      <c r="AG5" s="72" t="s">
        <v>110</v>
      </c>
      <c r="AH5" s="126" t="s">
        <v>99</v>
      </c>
      <c r="AI5" s="72" t="s">
        <v>108</v>
      </c>
      <c r="AJ5" s="72" t="s">
        <v>108</v>
      </c>
      <c r="AK5" s="72" t="s">
        <v>108</v>
      </c>
      <c r="AL5" s="165" t="s">
        <v>99</v>
      </c>
      <c r="AM5" s="108" t="s">
        <v>110</v>
      </c>
      <c r="AN5" s="72" t="s">
        <v>110</v>
      </c>
      <c r="AO5" s="126" t="s">
        <v>108</v>
      </c>
      <c r="AP5" s="108" t="s">
        <v>108</v>
      </c>
      <c r="AQ5" s="72" t="s">
        <v>108</v>
      </c>
      <c r="AR5" s="99" t="s">
        <v>99</v>
      </c>
      <c r="AS5" s="36" t="s">
        <v>99</v>
      </c>
      <c r="AT5" s="36" t="s">
        <v>99</v>
      </c>
      <c r="AU5" s="36" t="s">
        <v>99</v>
      </c>
      <c r="AV5" s="108" t="s">
        <v>110</v>
      </c>
      <c r="AW5" s="72" t="s">
        <v>110</v>
      </c>
      <c r="AX5" s="75" t="s">
        <v>99</v>
      </c>
      <c r="AY5" s="99" t="s">
        <v>99</v>
      </c>
      <c r="AZ5" s="98" t="s">
        <v>99</v>
      </c>
      <c r="BA5" s="254" t="s">
        <v>99</v>
      </c>
      <c r="BB5" s="254" t="s">
        <v>99</v>
      </c>
      <c r="BC5" s="254" t="s">
        <v>99</v>
      </c>
      <c r="BD5" s="254" t="s">
        <v>99</v>
      </c>
      <c r="BE5" s="254" t="s">
        <v>99</v>
      </c>
    </row>
    <row r="6" spans="1:57" x14ac:dyDescent="0.2">
      <c r="A6" s="40" t="s">
        <v>201</v>
      </c>
      <c r="B6" s="42" t="s">
        <v>201</v>
      </c>
      <c r="C6" s="42" t="s">
        <v>201</v>
      </c>
      <c r="D6" s="42" t="s">
        <v>201</v>
      </c>
      <c r="E6" s="42" t="s">
        <v>201</v>
      </c>
      <c r="F6" s="75" t="s">
        <v>94</v>
      </c>
      <c r="G6" s="75" t="s">
        <v>94</v>
      </c>
      <c r="H6" s="181" t="s">
        <v>94</v>
      </c>
      <c r="I6" s="75" t="s">
        <v>94</v>
      </c>
      <c r="J6" s="36" t="s">
        <v>94</v>
      </c>
      <c r="K6" s="51" t="s">
        <v>94</v>
      </c>
      <c r="L6" s="72" t="s">
        <v>93</v>
      </c>
      <c r="M6" s="72" t="s">
        <v>93</v>
      </c>
      <c r="N6" s="72" t="s">
        <v>93</v>
      </c>
      <c r="O6" s="72" t="s">
        <v>93</v>
      </c>
      <c r="P6" s="72" t="s">
        <v>93</v>
      </c>
      <c r="Q6" s="72" t="s">
        <v>93</v>
      </c>
      <c r="R6" s="72" t="s">
        <v>93</v>
      </c>
      <c r="S6" s="99" t="s">
        <v>111</v>
      </c>
      <c r="T6" s="36" t="s">
        <v>113</v>
      </c>
      <c r="U6" s="72" t="s">
        <v>93</v>
      </c>
      <c r="V6" s="165" t="s">
        <v>94</v>
      </c>
      <c r="W6" s="36" t="s">
        <v>113</v>
      </c>
      <c r="X6" s="72" t="s">
        <v>93</v>
      </c>
      <c r="Y6" s="165" t="s">
        <v>113</v>
      </c>
      <c r="Z6" s="254" t="s">
        <v>112</v>
      </c>
      <c r="AA6" s="254" t="s">
        <v>113</v>
      </c>
      <c r="AB6" s="254" t="s">
        <v>112</v>
      </c>
      <c r="AC6" s="254" t="s">
        <v>113</v>
      </c>
      <c r="AD6" s="72" t="s">
        <v>94</v>
      </c>
      <c r="AE6" s="133" t="s">
        <v>93</v>
      </c>
      <c r="AF6" s="72" t="s">
        <v>93</v>
      </c>
      <c r="AG6" s="72" t="s">
        <v>93</v>
      </c>
      <c r="AH6" s="126" t="s">
        <v>94</v>
      </c>
      <c r="AI6" s="72" t="s">
        <v>93</v>
      </c>
      <c r="AJ6" s="72" t="s">
        <v>93</v>
      </c>
      <c r="AK6" s="72" t="s">
        <v>93</v>
      </c>
      <c r="AL6" s="165" t="s">
        <v>94</v>
      </c>
      <c r="AM6" s="108" t="s">
        <v>93</v>
      </c>
      <c r="AN6" s="72" t="s">
        <v>93</v>
      </c>
      <c r="AO6" s="126" t="s">
        <v>93</v>
      </c>
      <c r="AP6" s="108" t="s">
        <v>93</v>
      </c>
      <c r="AQ6" s="72" t="s">
        <v>93</v>
      </c>
      <c r="AR6" s="99" t="s">
        <v>113</v>
      </c>
      <c r="AS6" s="36" t="s">
        <v>112</v>
      </c>
      <c r="AT6" s="36" t="s">
        <v>113</v>
      </c>
      <c r="AU6" s="36" t="s">
        <v>94</v>
      </c>
      <c r="AV6" s="108" t="s">
        <v>93</v>
      </c>
      <c r="AW6" s="72" t="s">
        <v>93</v>
      </c>
      <c r="AX6" s="75" t="s">
        <v>94</v>
      </c>
      <c r="AY6" s="99" t="s">
        <v>94</v>
      </c>
      <c r="AZ6" s="98" t="s">
        <v>94</v>
      </c>
      <c r="BA6" s="254" t="s">
        <v>94</v>
      </c>
      <c r="BB6" s="254" t="s">
        <v>94</v>
      </c>
      <c r="BC6" s="254" t="s">
        <v>94</v>
      </c>
      <c r="BD6" s="254" t="s">
        <v>94</v>
      </c>
      <c r="BE6" s="254" t="s">
        <v>94</v>
      </c>
    </row>
    <row r="7" spans="1:57" x14ac:dyDescent="0.2">
      <c r="A7" s="40" t="s">
        <v>109</v>
      </c>
      <c r="B7" s="42" t="s">
        <v>109</v>
      </c>
      <c r="C7" s="42" t="s">
        <v>109</v>
      </c>
      <c r="D7" s="42" t="s">
        <v>109</v>
      </c>
      <c r="E7" s="42" t="s">
        <v>109</v>
      </c>
      <c r="F7" s="75" t="s">
        <v>95</v>
      </c>
      <c r="G7" s="75" t="s">
        <v>95</v>
      </c>
      <c r="H7" s="181" t="s">
        <v>96</v>
      </c>
      <c r="I7" s="75" t="s">
        <v>95</v>
      </c>
      <c r="J7" s="36" t="s">
        <v>96</v>
      </c>
      <c r="K7" s="51" t="s">
        <v>96</v>
      </c>
      <c r="L7" s="72" t="s">
        <v>95</v>
      </c>
      <c r="M7" s="72" t="s">
        <v>95</v>
      </c>
      <c r="N7" s="72" t="s">
        <v>95</v>
      </c>
      <c r="O7" s="72" t="s">
        <v>95</v>
      </c>
      <c r="P7" s="72" t="s">
        <v>95</v>
      </c>
      <c r="Q7" s="72" t="s">
        <v>95</v>
      </c>
      <c r="R7" s="72" t="s">
        <v>95</v>
      </c>
      <c r="S7" s="99" t="s">
        <v>95</v>
      </c>
      <c r="T7" s="36" t="s">
        <v>96</v>
      </c>
      <c r="U7" s="72" t="s">
        <v>95</v>
      </c>
      <c r="V7" s="165" t="s">
        <v>96</v>
      </c>
      <c r="W7" s="36" t="s">
        <v>96</v>
      </c>
      <c r="X7" s="72" t="s">
        <v>95</v>
      </c>
      <c r="Y7" s="165" t="s">
        <v>96</v>
      </c>
      <c r="Z7" s="254" t="s">
        <v>96</v>
      </c>
      <c r="AA7" s="254" t="s">
        <v>96</v>
      </c>
      <c r="AB7" s="254" t="s">
        <v>96</v>
      </c>
      <c r="AC7" s="254" t="s">
        <v>96</v>
      </c>
      <c r="AD7" s="72" t="s">
        <v>95</v>
      </c>
      <c r="AE7" s="133" t="s">
        <v>95</v>
      </c>
      <c r="AF7" s="72" t="s">
        <v>95</v>
      </c>
      <c r="AG7" s="72" t="s">
        <v>95</v>
      </c>
      <c r="AH7" s="126" t="s">
        <v>95</v>
      </c>
      <c r="AI7" s="72" t="s">
        <v>95</v>
      </c>
      <c r="AJ7" s="72" t="s">
        <v>95</v>
      </c>
      <c r="AK7" s="72" t="s">
        <v>95</v>
      </c>
      <c r="AL7" s="165" t="s">
        <v>96</v>
      </c>
      <c r="AM7" s="108" t="s">
        <v>95</v>
      </c>
      <c r="AN7" s="72" t="s">
        <v>95</v>
      </c>
      <c r="AO7" s="126" t="s">
        <v>95</v>
      </c>
      <c r="AP7" s="108" t="s">
        <v>95</v>
      </c>
      <c r="AQ7" s="72" t="s">
        <v>95</v>
      </c>
      <c r="AR7" s="99" t="s">
        <v>95</v>
      </c>
      <c r="AS7" s="36" t="s">
        <v>96</v>
      </c>
      <c r="AT7" s="36" t="s">
        <v>96</v>
      </c>
      <c r="AU7" s="36" t="s">
        <v>96</v>
      </c>
      <c r="AV7" s="108" t="s">
        <v>95</v>
      </c>
      <c r="AW7" s="72" t="s">
        <v>95</v>
      </c>
      <c r="AX7" s="75" t="s">
        <v>95</v>
      </c>
      <c r="AY7" s="99" t="s">
        <v>95</v>
      </c>
      <c r="AZ7" s="98" t="s">
        <v>95</v>
      </c>
      <c r="BA7" s="254" t="s">
        <v>96</v>
      </c>
      <c r="BB7" s="254" t="s">
        <v>96</v>
      </c>
      <c r="BC7" s="254" t="s">
        <v>96</v>
      </c>
      <c r="BD7" s="254" t="s">
        <v>96</v>
      </c>
      <c r="BE7" s="254" t="s">
        <v>96</v>
      </c>
    </row>
    <row r="8" spans="1:57" x14ac:dyDescent="0.2">
      <c r="F8" s="75"/>
      <c r="G8" s="75"/>
      <c r="H8" s="181"/>
      <c r="I8" s="75"/>
      <c r="J8" s="36"/>
      <c r="K8" s="51"/>
      <c r="L8" s="319" t="s">
        <v>781</v>
      </c>
      <c r="M8" s="319" t="s">
        <v>782</v>
      </c>
      <c r="N8" s="319" t="s">
        <v>782</v>
      </c>
      <c r="O8" s="319" t="s">
        <v>782</v>
      </c>
      <c r="P8" s="319" t="s">
        <v>783</v>
      </c>
      <c r="Q8" s="319" t="s">
        <v>784</v>
      </c>
      <c r="R8" s="319" t="s">
        <v>784</v>
      </c>
      <c r="S8" s="324" t="s">
        <v>114</v>
      </c>
      <c r="U8" s="319" t="s">
        <v>114</v>
      </c>
      <c r="X8" s="319" t="s">
        <v>781</v>
      </c>
      <c r="AE8" s="334" t="s">
        <v>116</v>
      </c>
      <c r="AF8" s="319" t="s">
        <v>116</v>
      </c>
      <c r="AG8" s="319" t="s">
        <v>116</v>
      </c>
      <c r="AI8" s="319" t="s">
        <v>782</v>
      </c>
      <c r="AJ8" s="319" t="s">
        <v>782</v>
      </c>
      <c r="AK8" s="319" t="s">
        <v>782</v>
      </c>
      <c r="AL8" s="165"/>
      <c r="AM8" s="320" t="s">
        <v>118</v>
      </c>
      <c r="AN8" s="319" t="s">
        <v>118</v>
      </c>
      <c r="AO8" s="321" t="s">
        <v>783</v>
      </c>
      <c r="AP8" s="320" t="s">
        <v>784</v>
      </c>
      <c r="AQ8" s="319" t="s">
        <v>784</v>
      </c>
      <c r="AS8" s="36"/>
      <c r="AT8" s="36"/>
      <c r="AU8" s="36"/>
      <c r="AV8" s="320" t="s">
        <v>778</v>
      </c>
      <c r="AW8" s="319" t="s">
        <v>778</v>
      </c>
    </row>
    <row r="9" spans="1:57" x14ac:dyDescent="0.2">
      <c r="F9" s="75"/>
      <c r="G9" s="75"/>
      <c r="H9" s="181"/>
      <c r="I9" s="75"/>
      <c r="J9" s="36"/>
      <c r="K9" s="51"/>
      <c r="L9" s="319"/>
      <c r="M9" s="319"/>
      <c r="N9" s="319"/>
      <c r="O9" s="319"/>
      <c r="P9" s="319"/>
      <c r="Q9" s="319"/>
      <c r="R9" s="319"/>
      <c r="S9" s="324" t="s">
        <v>115</v>
      </c>
      <c r="U9" s="319" t="s">
        <v>115</v>
      </c>
      <c r="X9" s="319"/>
      <c r="AE9" s="334" t="s">
        <v>117</v>
      </c>
      <c r="AF9" s="319" t="s">
        <v>117</v>
      </c>
      <c r="AG9" s="319" t="s">
        <v>117</v>
      </c>
      <c r="AI9" s="319"/>
      <c r="AJ9" s="319"/>
      <c r="AK9" s="319"/>
      <c r="AL9" s="165"/>
      <c r="AM9" s="320" t="s">
        <v>119</v>
      </c>
      <c r="AN9" s="319" t="s">
        <v>119</v>
      </c>
      <c r="AO9" s="321"/>
      <c r="AP9" s="320"/>
      <c r="AQ9" s="319"/>
      <c r="AS9" s="36"/>
      <c r="AT9" s="36"/>
      <c r="AU9" s="36"/>
      <c r="AV9" s="320" t="s">
        <v>779</v>
      </c>
      <c r="AW9" s="319" t="s">
        <v>779</v>
      </c>
    </row>
    <row r="10" spans="1:57" x14ac:dyDescent="0.2">
      <c r="F10" s="75"/>
      <c r="G10" s="75"/>
      <c r="H10" s="181"/>
      <c r="I10" s="75"/>
      <c r="J10" s="36"/>
      <c r="K10" s="51"/>
      <c r="L10" s="319"/>
      <c r="M10" s="319" t="s">
        <v>102</v>
      </c>
      <c r="N10" s="319" t="s">
        <v>103</v>
      </c>
      <c r="O10" s="319" t="s">
        <v>104</v>
      </c>
      <c r="P10" s="319" t="s">
        <v>105</v>
      </c>
      <c r="Q10" s="319" t="s">
        <v>121</v>
      </c>
      <c r="R10" s="319" t="s">
        <v>120</v>
      </c>
      <c r="S10" s="324"/>
      <c r="U10" s="319"/>
      <c r="X10" s="319"/>
      <c r="AE10" s="334" t="s">
        <v>102</v>
      </c>
      <c r="AF10" s="319" t="s">
        <v>103</v>
      </c>
      <c r="AG10" s="319" t="s">
        <v>104</v>
      </c>
      <c r="AI10" s="319" t="s">
        <v>102</v>
      </c>
      <c r="AJ10" s="319" t="s">
        <v>103</v>
      </c>
      <c r="AK10" s="319" t="s">
        <v>104</v>
      </c>
      <c r="AL10" s="165"/>
      <c r="AM10" s="320" t="s">
        <v>121</v>
      </c>
      <c r="AN10" s="319" t="s">
        <v>120</v>
      </c>
      <c r="AO10" s="321" t="s">
        <v>105</v>
      </c>
      <c r="AP10" s="320" t="s">
        <v>121</v>
      </c>
      <c r="AQ10" s="319" t="s">
        <v>120</v>
      </c>
      <c r="AS10" s="36"/>
      <c r="AT10" s="36"/>
      <c r="AU10" s="36"/>
      <c r="AV10" s="320" t="s">
        <v>105</v>
      </c>
      <c r="AW10" s="319" t="s">
        <v>122</v>
      </c>
    </row>
    <row r="11" spans="1:57" x14ac:dyDescent="0.2">
      <c r="F11" s="75" t="s">
        <v>204</v>
      </c>
      <c r="G11" s="75" t="s">
        <v>204</v>
      </c>
      <c r="H11" s="181" t="s">
        <v>204</v>
      </c>
      <c r="I11" s="75" t="s">
        <v>204</v>
      </c>
      <c r="J11" s="36" t="s">
        <v>204</v>
      </c>
      <c r="K11" s="36" t="s">
        <v>204</v>
      </c>
      <c r="L11" s="72" t="s">
        <v>204</v>
      </c>
      <c r="M11" s="72" t="s">
        <v>204</v>
      </c>
      <c r="N11" s="72" t="s">
        <v>204</v>
      </c>
      <c r="O11" s="72" t="s">
        <v>204</v>
      </c>
      <c r="P11" s="72" t="s">
        <v>204</v>
      </c>
      <c r="Q11" s="72" t="s">
        <v>204</v>
      </c>
      <c r="R11" s="72" t="s">
        <v>204</v>
      </c>
      <c r="S11" s="99" t="s">
        <v>204</v>
      </c>
      <c r="T11" s="36" t="s">
        <v>204</v>
      </c>
      <c r="U11" s="72" t="s">
        <v>204</v>
      </c>
      <c r="V11" s="165" t="s">
        <v>204</v>
      </c>
      <c r="W11" s="36" t="s">
        <v>204</v>
      </c>
      <c r="X11" s="72" t="s">
        <v>204</v>
      </c>
      <c r="Y11" s="165" t="s">
        <v>204</v>
      </c>
      <c r="Z11" s="254" t="s">
        <v>204</v>
      </c>
      <c r="AA11" s="254" t="s">
        <v>204</v>
      </c>
      <c r="AB11" s="254" t="s">
        <v>204</v>
      </c>
      <c r="AC11" s="254" t="s">
        <v>204</v>
      </c>
      <c r="AD11" s="72" t="s">
        <v>204</v>
      </c>
      <c r="AE11" s="133" t="s">
        <v>204</v>
      </c>
      <c r="AF11" s="72" t="s">
        <v>204</v>
      </c>
      <c r="AG11" s="72" t="s">
        <v>204</v>
      </c>
      <c r="AH11" s="126" t="s">
        <v>204</v>
      </c>
      <c r="AI11" s="72" t="s">
        <v>204</v>
      </c>
      <c r="AJ11" s="72" t="s">
        <v>204</v>
      </c>
      <c r="AK11" s="72" t="s">
        <v>204</v>
      </c>
      <c r="AL11" s="165" t="s">
        <v>204</v>
      </c>
      <c r="AM11" s="108" t="s">
        <v>204</v>
      </c>
      <c r="AN11" s="72" t="s">
        <v>204</v>
      </c>
      <c r="AO11" s="126" t="s">
        <v>204</v>
      </c>
      <c r="AP11" s="108" t="s">
        <v>204</v>
      </c>
      <c r="AQ11" s="72" t="s">
        <v>204</v>
      </c>
      <c r="AR11" s="99" t="s">
        <v>204</v>
      </c>
      <c r="AS11" s="36" t="s">
        <v>204</v>
      </c>
      <c r="AT11" s="36" t="s">
        <v>204</v>
      </c>
      <c r="AU11" s="36" t="s">
        <v>204</v>
      </c>
      <c r="AV11" s="108" t="s">
        <v>204</v>
      </c>
      <c r="AW11" s="72" t="s">
        <v>204</v>
      </c>
      <c r="AX11" s="75" t="s">
        <v>204</v>
      </c>
      <c r="AY11" s="99" t="s">
        <v>204</v>
      </c>
      <c r="AZ11" s="98" t="s">
        <v>204</v>
      </c>
      <c r="BA11" s="254" t="s">
        <v>204</v>
      </c>
      <c r="BB11" s="254" t="s">
        <v>204</v>
      </c>
      <c r="BC11" s="254" t="s">
        <v>204</v>
      </c>
      <c r="BD11" s="254" t="s">
        <v>204</v>
      </c>
      <c r="BE11" s="254" t="s">
        <v>204</v>
      </c>
    </row>
    <row r="12" spans="1:57" x14ac:dyDescent="0.2">
      <c r="F12" s="75" t="s">
        <v>693</v>
      </c>
      <c r="G12" s="75" t="s">
        <v>693</v>
      </c>
      <c r="H12" s="181" t="s">
        <v>693</v>
      </c>
      <c r="I12" s="75" t="s">
        <v>693</v>
      </c>
      <c r="J12" s="36" t="s">
        <v>693</v>
      </c>
      <c r="K12" s="36" t="s">
        <v>693</v>
      </c>
      <c r="L12" s="72" t="s">
        <v>693</v>
      </c>
      <c r="M12" s="72" t="s">
        <v>693</v>
      </c>
      <c r="N12" s="72" t="s">
        <v>693</v>
      </c>
      <c r="O12" s="72" t="s">
        <v>693</v>
      </c>
      <c r="P12" s="72" t="s">
        <v>693</v>
      </c>
      <c r="Q12" s="72" t="s">
        <v>693</v>
      </c>
      <c r="R12" s="72" t="s">
        <v>693</v>
      </c>
      <c r="S12" s="99" t="s">
        <v>693</v>
      </c>
      <c r="T12" s="36" t="s">
        <v>693</v>
      </c>
      <c r="U12" s="72" t="s">
        <v>693</v>
      </c>
      <c r="V12" s="165" t="s">
        <v>693</v>
      </c>
      <c r="W12" s="36" t="s">
        <v>693</v>
      </c>
      <c r="X12" s="72" t="s">
        <v>693</v>
      </c>
      <c r="Y12" s="165" t="s">
        <v>693</v>
      </c>
      <c r="Z12" s="254" t="s">
        <v>693</v>
      </c>
      <c r="AA12" s="254" t="s">
        <v>693</v>
      </c>
      <c r="AB12" s="254" t="s">
        <v>693</v>
      </c>
      <c r="AC12" s="254" t="s">
        <v>693</v>
      </c>
      <c r="AD12" s="72" t="s">
        <v>693</v>
      </c>
      <c r="AE12" s="133" t="s">
        <v>693</v>
      </c>
      <c r="AF12" s="72" t="s">
        <v>693</v>
      </c>
      <c r="AG12" s="72" t="s">
        <v>693</v>
      </c>
      <c r="AH12" s="126" t="s">
        <v>693</v>
      </c>
      <c r="AI12" s="72" t="s">
        <v>693</v>
      </c>
      <c r="AJ12" s="72" t="s">
        <v>693</v>
      </c>
      <c r="AK12" s="72" t="s">
        <v>693</v>
      </c>
      <c r="AL12" s="165" t="s">
        <v>693</v>
      </c>
      <c r="AM12" s="108" t="s">
        <v>693</v>
      </c>
      <c r="AN12" s="72" t="s">
        <v>693</v>
      </c>
      <c r="AO12" s="126" t="s">
        <v>693</v>
      </c>
      <c r="AP12" s="108" t="s">
        <v>693</v>
      </c>
      <c r="AQ12" s="72" t="s">
        <v>693</v>
      </c>
      <c r="AR12" s="99" t="s">
        <v>693</v>
      </c>
      <c r="AS12" s="36" t="s">
        <v>693</v>
      </c>
      <c r="AT12" s="36" t="s">
        <v>693</v>
      </c>
      <c r="AU12" s="36" t="s">
        <v>693</v>
      </c>
      <c r="AV12" s="108" t="s">
        <v>693</v>
      </c>
      <c r="AW12" s="72" t="s">
        <v>693</v>
      </c>
      <c r="AX12" s="75" t="s">
        <v>693</v>
      </c>
      <c r="AY12" s="99" t="s">
        <v>693</v>
      </c>
      <c r="AZ12" s="98" t="s">
        <v>693</v>
      </c>
      <c r="BA12" s="254" t="s">
        <v>693</v>
      </c>
      <c r="BB12" s="254" t="s">
        <v>693</v>
      </c>
      <c r="BC12" s="254" t="s">
        <v>693</v>
      </c>
      <c r="BD12" s="254" t="s">
        <v>693</v>
      </c>
      <c r="BE12" s="254" t="s">
        <v>693</v>
      </c>
    </row>
    <row r="13" spans="1:57" x14ac:dyDescent="0.2">
      <c r="F13" s="75"/>
      <c r="G13" s="75"/>
      <c r="H13" s="181"/>
      <c r="I13" s="75"/>
      <c r="J13" s="36"/>
      <c r="K13" s="51"/>
      <c r="L13" s="72"/>
      <c r="M13" s="72"/>
      <c r="N13" s="72"/>
      <c r="O13" s="72"/>
      <c r="P13" s="72"/>
      <c r="Q13" s="72"/>
      <c r="R13" s="72"/>
      <c r="S13" s="99"/>
      <c r="U13" s="72"/>
      <c r="X13" s="72"/>
      <c r="AL13" s="165"/>
      <c r="AS13" s="36"/>
      <c r="AT13" s="36"/>
      <c r="AU13" s="36"/>
    </row>
    <row r="14" spans="1:57" x14ac:dyDescent="0.2">
      <c r="A14" s="52" t="s">
        <v>591</v>
      </c>
      <c r="B14" s="52" t="s">
        <v>5</v>
      </c>
      <c r="C14" s="52" t="s">
        <v>35</v>
      </c>
      <c r="D14" s="52" t="s">
        <v>6</v>
      </c>
      <c r="E14" s="52" t="s">
        <v>76</v>
      </c>
      <c r="F14" s="92" t="s">
        <v>302</v>
      </c>
      <c r="G14" s="92" t="s">
        <v>303</v>
      </c>
      <c r="H14" s="182" t="s">
        <v>305</v>
      </c>
      <c r="I14" s="92" t="s">
        <v>306</v>
      </c>
      <c r="J14" s="215" t="s">
        <v>501</v>
      </c>
      <c r="K14" s="215" t="s">
        <v>1103</v>
      </c>
      <c r="L14" s="176" t="s">
        <v>308</v>
      </c>
      <c r="M14" s="176" t="s">
        <v>309</v>
      </c>
      <c r="N14" s="176" t="s">
        <v>310</v>
      </c>
      <c r="O14" s="176" t="s">
        <v>311</v>
      </c>
      <c r="P14" s="176" t="s">
        <v>312</v>
      </c>
      <c r="Q14" s="176" t="s">
        <v>313</v>
      </c>
      <c r="R14" s="176" t="s">
        <v>314</v>
      </c>
      <c r="S14" s="178" t="s">
        <v>321</v>
      </c>
      <c r="T14" s="443" t="s">
        <v>512</v>
      </c>
      <c r="U14" s="441" t="s">
        <v>322</v>
      </c>
      <c r="V14" s="444" t="s">
        <v>741</v>
      </c>
      <c r="W14" s="443" t="s">
        <v>742</v>
      </c>
      <c r="X14" s="441" t="s">
        <v>739</v>
      </c>
      <c r="Y14" s="444" t="s">
        <v>513</v>
      </c>
      <c r="Z14" s="255" t="s">
        <v>608</v>
      </c>
      <c r="AA14" s="443" t="s">
        <v>514</v>
      </c>
      <c r="AB14" s="215" t="s">
        <v>609</v>
      </c>
      <c r="AC14" s="443" t="s">
        <v>515</v>
      </c>
      <c r="AD14" s="424" t="s">
        <v>749</v>
      </c>
      <c r="AE14" s="441" t="s">
        <v>323</v>
      </c>
      <c r="AF14" s="424" t="s">
        <v>371</v>
      </c>
      <c r="AG14" s="441" t="s">
        <v>372</v>
      </c>
      <c r="AH14" s="442" t="s">
        <v>750</v>
      </c>
      <c r="AI14" s="441" t="s">
        <v>746</v>
      </c>
      <c r="AJ14" s="441" t="s">
        <v>747</v>
      </c>
      <c r="AK14" s="441" t="s">
        <v>748</v>
      </c>
      <c r="AL14" s="391" t="s">
        <v>537</v>
      </c>
      <c r="AM14" s="441" t="s">
        <v>324</v>
      </c>
      <c r="AN14" s="441" t="s">
        <v>762</v>
      </c>
      <c r="AO14" s="442" t="s">
        <v>752</v>
      </c>
      <c r="AP14" s="161" t="s">
        <v>753</v>
      </c>
      <c r="AQ14" s="441" t="s">
        <v>754</v>
      </c>
      <c r="AR14" s="442" t="s">
        <v>516</v>
      </c>
      <c r="AS14" s="215" t="s">
        <v>740</v>
      </c>
      <c r="AT14" s="215" t="s">
        <v>517</v>
      </c>
      <c r="AU14" s="215" t="s">
        <v>518</v>
      </c>
      <c r="AV14" s="424" t="s">
        <v>373</v>
      </c>
      <c r="AW14" s="424" t="s">
        <v>374</v>
      </c>
      <c r="AX14" s="441" t="s">
        <v>519</v>
      </c>
      <c r="AY14" s="442" t="s">
        <v>520</v>
      </c>
      <c r="AZ14" s="161" t="s">
        <v>521</v>
      </c>
      <c r="BA14" s="255" t="s">
        <v>523</v>
      </c>
      <c r="BB14" s="255" t="s">
        <v>522</v>
      </c>
      <c r="BC14" s="255" t="s">
        <v>578</v>
      </c>
      <c r="BD14" s="255" t="s">
        <v>580</v>
      </c>
      <c r="BE14" s="255" t="s">
        <v>583</v>
      </c>
    </row>
    <row r="15" spans="1:57" x14ac:dyDescent="0.2">
      <c r="E15" s="42" t="str">
        <f>B15&amp;"|"&amp;C15&amp;"|"&amp;D15</f>
        <v>||</v>
      </c>
      <c r="F15" s="79" t="str">
        <f>IF(LEFT($B15,4)="_Mil","",_xlfn.IFNA(INDEX(Cascade!$F:$F,MATCH($E15,Cascade!$E:$E,0)),""))</f>
        <v/>
      </c>
      <c r="G15" s="79" t="str">
        <f>IF(LEFT($B15,4)="_Mil","",_xlfn.IFNA(INDEX(Cascade!$H:$H,MATCH($E15,Cascade!$E:$E,0)),""))</f>
        <v/>
      </c>
      <c r="H15" s="181" t="str">
        <f>IF(LEFT($B15,4)="_Mil","",_xlfn.IFNA(INDEX(Cascade!$J:$J,MATCH($E15,Cascade!$E:$E,0)),""))</f>
        <v/>
      </c>
      <c r="I15" s="79" t="str">
        <f>IF(LEFT($B15,4)="_Mil","",_xlfn.IFNA(INDEX(Cascade!$T:$T,MATCH($E15,Cascade!$E:$E,0)),""))</f>
        <v/>
      </c>
      <c r="J15" s="36" t="str">
        <f>IF(LEFT($B15,4)="_Mil","",_xlfn.IFNA(INDEX(Cascade!$AP:$AP,MATCH($E15,Cascade!$E:$E,0)),""))</f>
        <v/>
      </c>
      <c r="K15" s="36" t="str">
        <f>IF(LEFT($B15,4)="_Mil","",_xlfn.IFNA(INDEX(Cascade!$BO:$BO,MATCH($E15,Cascade!$E:$E,0)),""))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30" t="str">
        <f>IF(SUM($S15)=0,"",ROUND(MIN($S15,$L15)*(1+$T15),0))</f>
        <v/>
      </c>
      <c r="V15" s="165" t="str">
        <f>IF(SUM($L15)=0,IF(SUM($S15)=0,"",1),MIN($S15/$L15,1))</f>
        <v/>
      </c>
      <c r="W15" s="36" t="str">
        <f>$V15</f>
        <v/>
      </c>
      <c r="X15" s="130" t="str">
        <f>IF(SUM($U15)=0,"",ROUND($U15/$W15,0))</f>
        <v/>
      </c>
      <c r="Y15" s="165" t="str">
        <f>IF(SUM($S15)=0,"",100%)</f>
        <v/>
      </c>
      <c r="AA15" s="254" t="str">
        <f>IF(SUM($L15,$Z15)=0,"",MAX(IFERROR(SUM($M15)/$L15,0),SUM($Z15)))</f>
        <v/>
      </c>
      <c r="AC15" s="254"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6" t="str">
        <f>IF(SUM($X15)=0,"",ROUND($X15*SUM($Y15),0))</f>
        <v/>
      </c>
      <c r="AI15" s="72" t="str">
        <f>IF(SUM($AH15)=0,"",ROUND($AH15*SUM($AA15),0))</f>
        <v/>
      </c>
      <c r="AJ15" s="72" t="str">
        <f>IF(SUM($AH15)=0,"",ROUND(($AH15-SUM($AI15))*SUM($AC15),0))</f>
        <v/>
      </c>
      <c r="AK15" s="72" t="str">
        <f>IF(SUM($AH15)=0,"",ROUND($AH15-SUM($AI15)-SUM($AJ15),0))</f>
        <v/>
      </c>
      <c r="AL15" s="165" t="str">
        <f>IF(SUM($AF15)=0,"",_xlfn.IFNA(INDEX(Cascade!$AU:$AU,MATCH($E15,Cascade!$E:$E,0)),""))</f>
        <v/>
      </c>
      <c r="AM15" s="108" t="str">
        <f>IF(SUM($AE15)=0,"",$AE15)</f>
        <v/>
      </c>
      <c r="AN15" s="72" t="str">
        <f>IF(SUM($AF15)=0,"",ROUND($AF15*$AL15,0))</f>
        <v/>
      </c>
      <c r="AO15" s="126" t="str">
        <f>IF(SUM($AI15,$AJ15)=0,"",SUM($AI15,$AJ15))</f>
        <v/>
      </c>
      <c r="AP15" s="108" t="str">
        <f>IF(SUM($AI15)=0,"",$AI15)</f>
        <v/>
      </c>
      <c r="AQ15" s="72" t="str">
        <f>IF(SUM($AJ15)=0,"",ROUND($AJ15*SUM($AL15),0))</f>
        <v/>
      </c>
      <c r="AR15" s="99" t="str">
        <f>IF(AND((SUM($U15)-SUM($AE15)-SUM($AF15))=0,SUM($AG15)=0),"",MAX(SUM($U15)-SUM($AE15,$AF15),$AG15))</f>
        <v/>
      </c>
      <c r="AS15" s="36"/>
      <c r="AT15" s="36" t="str">
        <f>IF(SUM($AS15)=0,"",$AS15)</f>
        <v/>
      </c>
      <c r="AU15" s="36" t="str">
        <f>IF(SUM($AR15)=0,"",_xlfn.IFNA(INDEX(Cascade!$AU:$AU,MATCH($E15,Cascade!$E:$E,0)),""))</f>
        <v/>
      </c>
      <c r="AV15" s="108" t="str">
        <f>IF(SUM($AR15)=0,"",ROUND($AR15*$AT15,0))</f>
        <v/>
      </c>
      <c r="AW15" s="72" t="str">
        <f>IF(SUM($AR15)=0,"",$AR15-SUM($AV15))</f>
        <v/>
      </c>
      <c r="AX15" s="75" t="str">
        <f>IF(SUM($AV15)=0,"",ROUND($AV15*$AU15,0))</f>
        <v/>
      </c>
      <c r="AY15" s="99" t="str">
        <f>IF(SUM($AF15,$AE15,$AV15)=0,"",SUM($AF15,$AE15,$AV15))</f>
        <v/>
      </c>
      <c r="AZ15" s="98" t="e">
        <f>_xlfn.IFNA(INDEX(Cascade!$CH:$CH,MATCH($E15,Cascade!$E:$E,0)),"")</f>
        <v>#VALUE!</v>
      </c>
      <c r="BA15" s="254" t="str">
        <f>IF(SUM($AF15)=0,"",$AF15/SUM($AZ15))</f>
        <v/>
      </c>
      <c r="BB15" s="254" t="str">
        <f>IF(SUM($AV15)=0,"",$AV15/SUM($AZ15))</f>
        <v/>
      </c>
      <c r="BC15" s="254" t="e">
        <f>_xlfn.IFNA(INDEX(Cascade!$CP:$CP,MATCH($E15,Cascade!$E:$E,0)),"")</f>
        <v>#VALUE!</v>
      </c>
      <c r="BD15" s="254" t="e">
        <f>_xlfn.IFNA(INDEX(Cascade!$CS:$CS,MATCH($E15,Cascade!$E:$E,0)),"")</f>
        <v>#VALUE!</v>
      </c>
      <c r="BE15" s="254" t="e">
        <f>_xlfn.IFNA(INDEX(Cascade!$CV:$CV,MATCH($E15,Cascade!$E:$E,0)),"")</f>
        <v>#VALUE!</v>
      </c>
    </row>
  </sheetData>
  <mergeCells count="1">
    <mergeCell ref="A2:B3"/>
  </mergeCells>
  <phoneticPr fontId="27" type="noConversion"/>
  <conditionalFormatting sqref="T1:T1048576">
    <cfRule type="expression" dxfId="13" priority="45">
      <formula>AND(ISNUMBER($T1),ROUND($T1,2)&lt;&gt;0)</formula>
    </cfRule>
  </conditionalFormatting>
  <conditionalFormatting sqref="AL1:AL1048576 AU1:AU1048576">
    <cfRule type="expression" dxfId="12" priority="22">
      <formula>AND(ISNUMBER(AL1),ROUND(AL1,2)&lt;0.95)</formula>
    </cfRule>
  </conditionalFormatting>
  <conditionalFormatting sqref="AA1:AA1048576">
    <cfRule type="expression" dxfId="11" priority="47">
      <formula>AND(ISNUMBER(AA1),ROUND(AA1,2)&gt;=0.75)</formula>
    </cfRule>
  </conditionalFormatting>
  <conditionalFormatting sqref="Y1:Y1048576">
    <cfRule type="expression" dxfId="10" priority="13">
      <formula>AND(ISNUMBER($Y1),$Y1&lt;100%)</formula>
    </cfRule>
  </conditionalFormatting>
  <conditionalFormatting sqref="AY1:BE1048576">
    <cfRule type="expression" dxfId="9" priority="15">
      <formula>AND(ROW($BE1)&gt;14,ROUND($BE1,2)&lt;0)</formula>
    </cfRule>
  </conditionalFormatting>
  <conditionalFormatting sqref="AC1:AC1048576">
    <cfRule type="expression" dxfId="8" priority="2">
      <formula>AND(ROW($AA1)&gt;14,SUM($AD1)&gt;0,SUM($AA1)&lt;=0)</formula>
    </cfRule>
    <cfRule type="expression" dxfId="7" priority="3">
      <formula>AND(ROW($AC1)&gt;14,SUM($AD1)&gt;0,SUM($AC1)&lt;=0)</formula>
    </cfRule>
    <cfRule type="expression" dxfId="6" priority="12">
      <formula>AND(ROW($AC1)&gt;14,ROUND($AC1,2)&gt;10%)</formula>
    </cfRule>
  </conditionalFormatting>
  <conditionalFormatting sqref="U1:U1048576 X1:X1048576">
    <cfRule type="expression" dxfId="5" priority="1281">
      <formula>AND(ROW($U1)&gt;14,ISNUMBER($U1),$S1&gt;$L1)</formula>
    </cfRule>
  </conditionalFormatting>
  <conditionalFormatting sqref="F1:R1048576 V1:X1048576 AH1:AK1048576 AO1:AQ1048576">
    <cfRule type="expression" dxfId="4" priority="2177">
      <formula>AND(ROW(F1)&gt;14,LEFT(A1,4)="_Mil")</formula>
    </cfRule>
  </conditionalFormatting>
  <conditionalFormatting sqref="H1:H1048576 J1:K1048576 V1:W1048576 Y1:AC1048576 AL1:AL1048576 AS1:AU1048576 BA1:BE1048576">
    <cfRule type="expression" dxfId="3" priority="6">
      <formula>AND(ISNUMBER(H1),OR(ROUND(H1,2)&lt;0,ROUND(H1,2)&gt;1))</formula>
    </cfRule>
  </conditionalFormatting>
  <conditionalFormatting sqref="F1:G1048576 I1:I1048576 L1:S1048576 U1:U1048576 X1:X1048576 AD1:AK1048576 AM1:AR1048576 AV1:AZ1048576">
    <cfRule type="expression" dxfId="2" priority="5">
      <formula>AND(ISNUMBER(F1),ROUND(F1,0)&lt;0)</formula>
    </cfRule>
  </conditionalFormatting>
  <conditionalFormatting sqref="AT1:AT1048576">
    <cfRule type="expression" dxfId="1" priority="4">
      <formula>AND(ROW($AT1)&gt;14,SUM($AR1)&gt;0,SUM($AT1)&lt;=0)</formula>
    </cfRule>
  </conditionalFormatting>
  <conditionalFormatting sqref="W1:W1048576">
    <cfRule type="expression" dxfId="0"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00" customWidth="1"/>
    <col min="4" max="5" width="11.83203125" style="299" customWidth="1"/>
    <col min="6" max="7" width="11.83203125" style="72" customWidth="1"/>
    <col min="8" max="11" width="11.83203125" style="299" customWidth="1"/>
    <col min="12" max="12" width="11.83203125" style="72" customWidth="1"/>
    <col min="13" max="13" width="11.83203125" style="299" customWidth="1"/>
    <col min="14" max="14" width="11.83203125" style="72" customWidth="1"/>
    <col min="15" max="15" width="11.83203125" style="299" customWidth="1"/>
    <col min="16" max="16" width="11.83203125" style="72" customWidth="1"/>
    <col min="17" max="17" width="11.83203125" style="299" customWidth="1"/>
    <col min="18" max="18" width="11.83203125" style="72" customWidth="1"/>
    <col min="19" max="19" width="11.83203125" style="299" customWidth="1"/>
    <col min="20" max="20" width="11.83203125" style="72" customWidth="1"/>
    <col min="21" max="21" width="11.83203125" style="299" customWidth="1"/>
    <col min="22" max="22" width="11.83203125" style="72" customWidth="1"/>
  </cols>
  <sheetData>
    <row r="1" spans="1:22" s="57" customFormat="1" ht="31" customHeight="1" x14ac:dyDescent="0.3">
      <c r="A1" s="5" t="s">
        <v>34</v>
      </c>
      <c r="B1" s="5"/>
      <c r="C1" s="67" t="s">
        <v>50</v>
      </c>
      <c r="D1" s="45"/>
      <c r="E1" s="43"/>
      <c r="F1" s="67"/>
      <c r="G1" s="67"/>
      <c r="H1" s="250" t="s">
        <v>69</v>
      </c>
      <c r="I1" s="250"/>
      <c r="J1" s="250"/>
      <c r="K1" s="45"/>
      <c r="L1" s="80"/>
      <c r="M1" s="45"/>
      <c r="N1" s="80"/>
      <c r="O1" s="45"/>
      <c r="P1" s="80"/>
      <c r="Q1" s="45"/>
      <c r="R1" s="80"/>
      <c r="S1" s="45"/>
      <c r="T1" s="80"/>
      <c r="U1" s="45"/>
      <c r="V1" s="80"/>
    </row>
    <row r="2" spans="1:22" s="3" customFormat="1" ht="19" x14ac:dyDescent="0.25">
      <c r="A2" s="39"/>
      <c r="B2" s="39"/>
      <c r="C2" s="94" t="s">
        <v>2</v>
      </c>
      <c r="D2" s="34"/>
      <c r="E2" s="34"/>
      <c r="F2" s="81" t="s">
        <v>3</v>
      </c>
      <c r="G2" s="81"/>
      <c r="H2" s="251" t="s">
        <v>2</v>
      </c>
      <c r="I2" s="251"/>
      <c r="J2" s="251"/>
      <c r="K2" s="34"/>
      <c r="L2" s="81"/>
      <c r="M2" s="34"/>
      <c r="N2" s="81"/>
      <c r="O2" s="34"/>
      <c r="P2" s="81"/>
      <c r="Q2" s="34"/>
      <c r="R2" s="81"/>
      <c r="S2" s="34"/>
      <c r="T2" s="81"/>
      <c r="U2" s="34"/>
      <c r="V2" s="81"/>
    </row>
    <row r="3" spans="1:22" s="40" customFormat="1" ht="117" customHeight="1" x14ac:dyDescent="0.2">
      <c r="A3" s="47"/>
      <c r="B3" s="47"/>
      <c r="C3" s="262" t="s">
        <v>1073</v>
      </c>
      <c r="D3" s="48" t="s">
        <v>1074</v>
      </c>
      <c r="E3" s="48" t="s">
        <v>1075</v>
      </c>
      <c r="F3" s="69" t="s">
        <v>1000</v>
      </c>
      <c r="G3" s="69" t="s">
        <v>1001</v>
      </c>
      <c r="H3" s="445" t="s">
        <v>934</v>
      </c>
      <c r="I3" s="448" t="s">
        <v>935</v>
      </c>
      <c r="J3" s="447" t="s">
        <v>936</v>
      </c>
      <c r="K3" s="460" t="s">
        <v>937</v>
      </c>
      <c r="L3" s="459" t="s">
        <v>1003</v>
      </c>
      <c r="M3" s="460" t="s">
        <v>847</v>
      </c>
      <c r="N3" s="70" t="s">
        <v>1006</v>
      </c>
      <c r="O3" s="460" t="s">
        <v>1002</v>
      </c>
      <c r="P3" s="70" t="s">
        <v>1007</v>
      </c>
      <c r="Q3" s="448" t="s">
        <v>1191</v>
      </c>
      <c r="R3" s="378" t="s">
        <v>1194</v>
      </c>
      <c r="S3" s="448" t="s">
        <v>1193</v>
      </c>
      <c r="T3" s="70" t="s">
        <v>1004</v>
      </c>
      <c r="U3" s="448" t="s">
        <v>1192</v>
      </c>
      <c r="V3" s="70" t="s">
        <v>1005</v>
      </c>
    </row>
    <row r="4" spans="1:22" s="40" customFormat="1" x14ac:dyDescent="0.2">
      <c r="A4" s="49"/>
      <c r="B4" s="49" t="s">
        <v>4</v>
      </c>
      <c r="C4" s="139">
        <f>SUBTOTAL(109,C$15:INDEX(C:C,COUNTA($B:$B)+14-COUNTA($B$1:$B$14)))</f>
        <v>0</v>
      </c>
      <c r="D4" s="50" t="str">
        <f>IF(SUM($C4)=0,"",SUM($F4)/$C4)</f>
        <v/>
      </c>
      <c r="E4" s="50" t="str">
        <f>IF(SUM($C4)=0,"",SUM($F4,$G4)/$C4)</f>
        <v/>
      </c>
      <c r="F4" s="71">
        <f>SUBTOTAL(109,F$15:INDEX(F:F,COUNTA($B:$B)+14-COUNTA($B$1:$B$14)))</f>
        <v>0</v>
      </c>
      <c r="G4" s="71">
        <f>SUBTOTAL(109,G$15:INDEX(G:G,COUNTA($B:$B)+14-COUNTA($B$1:$B$14)))</f>
        <v>0</v>
      </c>
      <c r="H4" s="164"/>
      <c r="I4" s="253"/>
      <c r="J4" s="253"/>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5" t="s">
        <v>99</v>
      </c>
      <c r="I5" s="254" t="s">
        <v>99</v>
      </c>
      <c r="J5" s="254" t="s">
        <v>99</v>
      </c>
      <c r="K5" s="36" t="s">
        <v>99</v>
      </c>
      <c r="L5" s="72" t="s">
        <v>99</v>
      </c>
      <c r="M5" s="36" t="s">
        <v>99</v>
      </c>
      <c r="N5" s="72" t="s">
        <v>99</v>
      </c>
      <c r="O5" s="36" t="s">
        <v>99</v>
      </c>
      <c r="P5" s="72" t="s">
        <v>99</v>
      </c>
      <c r="Q5" s="313" t="s">
        <v>99</v>
      </c>
      <c r="R5" s="379" t="s">
        <v>99</v>
      </c>
      <c r="S5" s="313" t="s">
        <v>99</v>
      </c>
      <c r="T5" s="72" t="s">
        <v>99</v>
      </c>
      <c r="U5" s="313" t="s">
        <v>99</v>
      </c>
      <c r="V5" s="72" t="s">
        <v>99</v>
      </c>
    </row>
    <row r="6" spans="1:22" s="40" customFormat="1" x14ac:dyDescent="0.2">
      <c r="A6" s="42" t="s">
        <v>201</v>
      </c>
      <c r="B6" s="42" t="s">
        <v>201</v>
      </c>
      <c r="C6" s="75" t="s">
        <v>94</v>
      </c>
      <c r="D6" s="51" t="s">
        <v>113</v>
      </c>
      <c r="E6" s="51" t="s">
        <v>113</v>
      </c>
      <c r="F6" s="72" t="s">
        <v>93</v>
      </c>
      <c r="G6" s="72" t="s">
        <v>93</v>
      </c>
      <c r="H6" s="165" t="s">
        <v>112</v>
      </c>
      <c r="I6" s="254" t="s">
        <v>113</v>
      </c>
      <c r="J6" s="254" t="s">
        <v>112</v>
      </c>
      <c r="K6" s="36" t="s">
        <v>113</v>
      </c>
      <c r="L6" s="72" t="s">
        <v>94</v>
      </c>
      <c r="M6" s="36" t="s">
        <v>113</v>
      </c>
      <c r="N6" s="72" t="s">
        <v>94</v>
      </c>
      <c r="O6" s="36" t="s">
        <v>113</v>
      </c>
      <c r="P6" s="72" t="s">
        <v>94</v>
      </c>
      <c r="Q6" s="313" t="s">
        <v>113</v>
      </c>
      <c r="R6" s="379" t="s">
        <v>94</v>
      </c>
      <c r="S6" s="313" t="s">
        <v>113</v>
      </c>
      <c r="T6" s="72" t="s">
        <v>94</v>
      </c>
      <c r="U6" s="313" t="s">
        <v>113</v>
      </c>
      <c r="V6" s="72" t="s">
        <v>94</v>
      </c>
    </row>
    <row r="7" spans="1:22" s="40" customFormat="1" x14ac:dyDescent="0.2">
      <c r="A7" s="42" t="s">
        <v>109</v>
      </c>
      <c r="B7" s="42" t="s">
        <v>109</v>
      </c>
      <c r="C7" s="75" t="s">
        <v>95</v>
      </c>
      <c r="D7" s="51" t="s">
        <v>96</v>
      </c>
      <c r="E7" s="51" t="s">
        <v>96</v>
      </c>
      <c r="F7" s="72" t="s">
        <v>95</v>
      </c>
      <c r="G7" s="72" t="s">
        <v>95</v>
      </c>
      <c r="H7" s="165" t="s">
        <v>96</v>
      </c>
      <c r="I7" s="254" t="s">
        <v>96</v>
      </c>
      <c r="J7" s="254" t="s">
        <v>96</v>
      </c>
      <c r="K7" s="36" t="s">
        <v>96</v>
      </c>
      <c r="L7" s="72" t="s">
        <v>95</v>
      </c>
      <c r="M7" s="36" t="s">
        <v>96</v>
      </c>
      <c r="N7" s="72" t="s">
        <v>95</v>
      </c>
      <c r="O7" s="36" t="s">
        <v>96</v>
      </c>
      <c r="P7" s="72" t="s">
        <v>95</v>
      </c>
      <c r="Q7" s="313" t="s">
        <v>96</v>
      </c>
      <c r="R7" s="379" t="s">
        <v>95</v>
      </c>
      <c r="S7" s="313" t="s">
        <v>96</v>
      </c>
      <c r="T7" s="72" t="s">
        <v>95</v>
      </c>
      <c r="U7" s="313" t="s">
        <v>96</v>
      </c>
      <c r="V7" s="72" t="s">
        <v>95</v>
      </c>
    </row>
    <row r="8" spans="1:22" s="40" customFormat="1" x14ac:dyDescent="0.2">
      <c r="A8" s="42"/>
      <c r="B8" s="42"/>
      <c r="C8" s="75"/>
      <c r="D8" s="51"/>
      <c r="E8" s="51"/>
      <c r="F8" s="319" t="s">
        <v>123</v>
      </c>
      <c r="G8" s="319" t="s">
        <v>123</v>
      </c>
      <c r="H8" s="165"/>
      <c r="I8" s="254"/>
      <c r="J8" s="254"/>
      <c r="K8" s="36"/>
      <c r="L8" s="72"/>
      <c r="M8" s="36"/>
      <c r="N8" s="72"/>
      <c r="O8" s="36"/>
      <c r="P8" s="72"/>
      <c r="Q8" s="36"/>
      <c r="R8" s="84"/>
      <c r="S8" s="36"/>
      <c r="T8" s="72"/>
      <c r="U8" s="36"/>
      <c r="V8" s="72"/>
    </row>
    <row r="9" spans="1:22" s="40" customFormat="1" x14ac:dyDescent="0.2">
      <c r="A9" s="42"/>
      <c r="B9" s="42"/>
      <c r="C9" s="75"/>
      <c r="D9" s="51"/>
      <c r="E9" s="51"/>
      <c r="F9" s="319" t="s">
        <v>124</v>
      </c>
      <c r="G9" s="319" t="s">
        <v>124</v>
      </c>
      <c r="H9" s="165"/>
      <c r="I9" s="254"/>
      <c r="J9" s="254"/>
      <c r="K9" s="36"/>
      <c r="L9" s="72"/>
      <c r="M9" s="36"/>
      <c r="N9" s="72"/>
      <c r="O9" s="36"/>
      <c r="P9" s="72"/>
      <c r="Q9" s="36"/>
      <c r="R9" s="84"/>
      <c r="S9" s="36"/>
      <c r="T9" s="72"/>
      <c r="U9" s="36"/>
      <c r="V9" s="72"/>
    </row>
    <row r="10" spans="1:22" s="40" customFormat="1" x14ac:dyDescent="0.2">
      <c r="A10" s="42"/>
      <c r="B10" s="42"/>
      <c r="C10" s="75"/>
      <c r="D10" s="51"/>
      <c r="E10" s="51"/>
      <c r="F10" s="319" t="s">
        <v>125</v>
      </c>
      <c r="G10" s="319" t="s">
        <v>126</v>
      </c>
      <c r="H10" s="165"/>
      <c r="I10" s="254"/>
      <c r="J10" s="254"/>
      <c r="K10" s="36"/>
      <c r="L10" s="72"/>
      <c r="M10" s="36"/>
      <c r="N10" s="72"/>
      <c r="O10" s="36"/>
      <c r="P10" s="72"/>
      <c r="Q10" s="36"/>
      <c r="R10" s="84"/>
      <c r="S10" s="36"/>
      <c r="T10" s="72"/>
      <c r="U10" s="36"/>
      <c r="V10" s="72"/>
    </row>
    <row r="11" spans="1:22" s="40" customFormat="1" x14ac:dyDescent="0.2">
      <c r="A11" s="42"/>
      <c r="B11" s="42"/>
      <c r="C11" s="75"/>
      <c r="D11" s="51"/>
      <c r="E11" s="51"/>
      <c r="F11" s="72"/>
      <c r="G11" s="72"/>
      <c r="H11" s="165"/>
      <c r="I11" s="254"/>
      <c r="J11" s="254"/>
      <c r="K11" s="36"/>
      <c r="L11" s="72"/>
      <c r="M11" s="36"/>
      <c r="N11" s="72"/>
      <c r="O11" s="36"/>
      <c r="P11" s="72"/>
      <c r="Q11" s="36"/>
      <c r="R11" s="84"/>
      <c r="S11" s="36"/>
      <c r="T11" s="72"/>
      <c r="U11" s="36"/>
      <c r="V11" s="72"/>
    </row>
    <row r="12" spans="1:22" s="40" customFormat="1" x14ac:dyDescent="0.2">
      <c r="A12" s="42"/>
      <c r="B12" s="42"/>
      <c r="C12" s="75"/>
      <c r="D12" s="51"/>
      <c r="E12" s="51"/>
      <c r="F12" s="72"/>
      <c r="G12" s="72"/>
      <c r="H12" s="165"/>
      <c r="I12" s="254"/>
      <c r="J12" s="254"/>
      <c r="K12" s="36"/>
      <c r="L12" s="72"/>
      <c r="M12" s="36"/>
      <c r="N12" s="72"/>
      <c r="O12" s="36"/>
      <c r="P12" s="72"/>
      <c r="Q12" s="36"/>
      <c r="R12" s="84"/>
      <c r="S12" s="36"/>
      <c r="T12" s="72"/>
      <c r="U12" s="36"/>
      <c r="V12" s="72"/>
    </row>
    <row r="13" spans="1:22" s="40" customFormat="1" x14ac:dyDescent="0.2">
      <c r="A13" s="42"/>
      <c r="B13" s="42"/>
      <c r="C13" s="75"/>
      <c r="D13" s="51"/>
      <c r="E13" s="51"/>
      <c r="F13" s="72"/>
      <c r="G13" s="72"/>
      <c r="H13" s="165"/>
      <c r="I13" s="254"/>
      <c r="J13" s="254"/>
      <c r="K13" s="36"/>
      <c r="L13" s="72"/>
      <c r="M13" s="36"/>
      <c r="N13" s="72"/>
      <c r="O13" s="36"/>
      <c r="P13" s="72"/>
      <c r="Q13" s="36"/>
      <c r="R13" s="84"/>
      <c r="S13" s="36"/>
      <c r="T13" s="72"/>
      <c r="U13" s="36"/>
      <c r="V13" s="72"/>
    </row>
    <row r="14" spans="1:22" s="40" customFormat="1" x14ac:dyDescent="0.2">
      <c r="A14" s="52" t="s">
        <v>591</v>
      </c>
      <c r="B14" s="52" t="s">
        <v>5</v>
      </c>
      <c r="C14" s="92" t="s">
        <v>524</v>
      </c>
      <c r="D14" s="215" t="s">
        <v>525</v>
      </c>
      <c r="E14" s="215" t="s">
        <v>526</v>
      </c>
      <c r="F14" s="176" t="s">
        <v>325</v>
      </c>
      <c r="G14" s="176" t="s">
        <v>326</v>
      </c>
      <c r="H14" s="391" t="s">
        <v>719</v>
      </c>
      <c r="I14" s="255" t="s">
        <v>527</v>
      </c>
      <c r="J14" s="255" t="s">
        <v>720</v>
      </c>
      <c r="K14" s="215" t="s">
        <v>528</v>
      </c>
      <c r="L14" s="176" t="s">
        <v>530</v>
      </c>
      <c r="M14" s="215" t="s">
        <v>529</v>
      </c>
      <c r="N14" s="377" t="s">
        <v>531</v>
      </c>
      <c r="O14" s="215" t="s">
        <v>1008</v>
      </c>
      <c r="P14" s="377" t="s">
        <v>987</v>
      </c>
      <c r="Q14" s="215" t="s">
        <v>1011</v>
      </c>
      <c r="R14" s="176" t="s">
        <v>1195</v>
      </c>
      <c r="S14" s="215" t="s">
        <v>1010</v>
      </c>
      <c r="T14" s="377" t="s">
        <v>989</v>
      </c>
      <c r="U14" s="215" t="s">
        <v>1009</v>
      </c>
      <c r="V14" s="377" t="s">
        <v>988</v>
      </c>
    </row>
    <row r="15" spans="1:22" s="40" customFormat="1" x14ac:dyDescent="0.2">
      <c r="A15" s="53"/>
      <c r="B15" s="53"/>
      <c r="C15" s="79" t="str">
        <f>IFERROR(1/(1/SUMIF(PMTCT!$B:$B,$B15,PMTCT!$AY:$AY)),"")</f>
        <v/>
      </c>
      <c r="D15" s="36">
        <v>0.95</v>
      </c>
      <c r="E15" s="36">
        <f>MAX(95%,SUM($D15))</f>
        <v>0.95</v>
      </c>
      <c r="F15" s="72">
        <f>ROUND(SUM($C15)*$D15,0)</f>
        <v>0</v>
      </c>
      <c r="G15" s="72">
        <f>ROUND(SUM($C15)*$E15,0)-SUM($F15)</f>
        <v>0</v>
      </c>
      <c r="H15" s="165"/>
      <c r="I15" s="254" t="str">
        <f>IF(OR(SUM($H15)=0,SUM($F15)=0),"",$H15)</f>
        <v/>
      </c>
      <c r="J15" s="254"/>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47" priority="23">
      <formula>AND(ISNUMBER(E1),ROUND(E1,2)&lt;0.95)</formula>
    </cfRule>
  </conditionalFormatting>
  <conditionalFormatting sqref="D1:D1048576">
    <cfRule type="expression" dxfId="146" priority="22">
      <formula>AND(ISNUMBER(D1),ROUND(D1,2)&lt;0.8)</formula>
    </cfRule>
  </conditionalFormatting>
  <conditionalFormatting sqref="D1:E1048576 H1:K1048576 M1:M1048576 O1:O1048576 Q1:Q1048576 S1:S1048576 U1:U1048576">
    <cfRule type="expression" dxfId="145" priority="5">
      <formula>AND(ISNUMBER(D1),OR(ROUND(D1,2)&gt;1,ROUND(D1,2)&lt;0))</formula>
    </cfRule>
  </conditionalFormatting>
  <conditionalFormatting sqref="K1:K1048576">
    <cfRule type="expression" dxfId="144" priority="1267">
      <formula>AND(SUM(G1)&gt;0,SUM(K1)=0)</formula>
    </cfRule>
  </conditionalFormatting>
  <conditionalFormatting sqref="I1:I1048576">
    <cfRule type="expression" dxfId="143" priority="2151">
      <formula>AND(SUM(F1)&gt;0,SUM(I1)=0)</formula>
    </cfRule>
  </conditionalFormatting>
  <conditionalFormatting sqref="D1:E1048576">
    <cfRule type="expression" dxfId="142" priority="13">
      <formula>AND(ISNUMBER($D1),ROUND($E1,2)&lt;ROUND($D1,2))</formula>
    </cfRule>
  </conditionalFormatting>
  <conditionalFormatting sqref="C1:C1048576 F1:G1048576 L1:L1048576 N1:N1048576 P1:P1048576 R1:R1048576 T1:T1048576 V1:V1048576">
    <cfRule type="expression" dxfId="141" priority="4">
      <formula>AND(ISNUMBER(C1),C1&lt;0)</formula>
    </cfRule>
  </conditionalFormatting>
  <conditionalFormatting sqref="O1:O1048576">
    <cfRule type="expression" dxfId="140" priority="3">
      <formula>AND(ISNUMBER(O1),ROUND(O1,2)&lt;98%)</formula>
    </cfRule>
  </conditionalFormatting>
  <conditionalFormatting sqref="Q1:Q1048576">
    <cfRule type="expression" dxfId="139" priority="2">
      <formula>AND(ISNUMBER(Q1),ROUND(Q1,2)&lt;70%)</formula>
    </cfRule>
  </conditionalFormatting>
  <conditionalFormatting sqref="S1:S1048576">
    <cfRule type="expression" dxfId="138"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activeCell="G1" sqref="G1:G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6" customWidth="1"/>
    <col min="10" max="14" width="11.83203125" style="254" customWidth="1"/>
    <col min="15" max="18" width="11.83203125" style="72" customWidth="1"/>
    <col min="19" max="19" width="11.83203125" style="165" customWidth="1"/>
    <col min="20" max="20" width="11.83203125" style="108" customWidth="1"/>
    <col min="21" max="21" width="11.83203125" style="72" customWidth="1"/>
    <col min="22" max="22" width="11.83203125" style="99"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4" t="s">
        <v>17</v>
      </c>
      <c r="J1" s="250"/>
      <c r="K1" s="250"/>
      <c r="L1" s="250"/>
      <c r="M1" s="250"/>
      <c r="N1" s="250"/>
      <c r="O1" s="67"/>
      <c r="P1" s="67"/>
      <c r="Q1" s="67"/>
      <c r="R1" s="67"/>
      <c r="S1" s="248" t="s">
        <v>18</v>
      </c>
      <c r="T1" s="134"/>
      <c r="U1" s="67"/>
      <c r="V1" s="111" t="s">
        <v>593</v>
      </c>
      <c r="W1" s="35"/>
      <c r="X1" s="35"/>
      <c r="Y1" s="35"/>
      <c r="Z1" s="35"/>
      <c r="AA1" s="35"/>
      <c r="AB1" s="35"/>
    </row>
    <row r="2" spans="1:28" s="56" customFormat="1" ht="20" customHeight="1" x14ac:dyDescent="0.25">
      <c r="A2" s="365" t="s">
        <v>817</v>
      </c>
      <c r="B2" s="366"/>
      <c r="C2" s="2"/>
      <c r="D2" s="2"/>
      <c r="E2" s="2"/>
      <c r="F2" s="73" t="s">
        <v>74</v>
      </c>
      <c r="G2" s="34" t="s">
        <v>2</v>
      </c>
      <c r="H2" s="68" t="s">
        <v>3</v>
      </c>
      <c r="I2" s="115" t="s">
        <v>74</v>
      </c>
      <c r="J2" s="251" t="s">
        <v>2</v>
      </c>
      <c r="K2" s="251"/>
      <c r="L2" s="251"/>
      <c r="M2" s="251"/>
      <c r="N2" s="251"/>
      <c r="O2" s="68" t="s">
        <v>3</v>
      </c>
      <c r="P2" s="68"/>
      <c r="Q2" s="68"/>
      <c r="R2" s="68"/>
      <c r="S2" s="249" t="s">
        <v>2</v>
      </c>
      <c r="T2" s="135" t="s">
        <v>3</v>
      </c>
      <c r="U2" s="68"/>
      <c r="V2" s="112" t="s">
        <v>59</v>
      </c>
      <c r="W2" s="34"/>
      <c r="X2" s="34"/>
      <c r="Y2" s="34"/>
      <c r="Z2" s="34"/>
      <c r="AA2" s="34"/>
      <c r="AB2" s="34"/>
    </row>
    <row r="3" spans="1:28" ht="117" customHeight="1" thickBot="1" x14ac:dyDescent="0.25">
      <c r="A3" s="367"/>
      <c r="B3" s="368"/>
      <c r="C3" s="47"/>
      <c r="D3" s="47"/>
      <c r="E3" s="47"/>
      <c r="F3" s="141" t="s">
        <v>870</v>
      </c>
      <c r="G3" s="48" t="s">
        <v>730</v>
      </c>
      <c r="H3" s="69" t="s">
        <v>818</v>
      </c>
      <c r="I3" s="140" t="s">
        <v>1048</v>
      </c>
      <c r="J3" s="390" t="s">
        <v>819</v>
      </c>
      <c r="K3" s="252" t="s">
        <v>1049</v>
      </c>
      <c r="L3" s="390" t="s">
        <v>1012</v>
      </c>
      <c r="M3" s="252" t="s">
        <v>1211</v>
      </c>
      <c r="N3" s="390" t="s">
        <v>1210</v>
      </c>
      <c r="O3" s="125" t="s">
        <v>277</v>
      </c>
      <c r="P3" s="69" t="s">
        <v>28</v>
      </c>
      <c r="Q3" s="70" t="s">
        <v>29</v>
      </c>
      <c r="R3" s="69" t="s">
        <v>27</v>
      </c>
      <c r="S3" s="389" t="s">
        <v>847</v>
      </c>
      <c r="T3" s="162" t="s">
        <v>33</v>
      </c>
      <c r="U3" s="69" t="s">
        <v>32</v>
      </c>
      <c r="V3" s="261" t="s">
        <v>808</v>
      </c>
      <c r="W3" s="264" t="s">
        <v>812</v>
      </c>
      <c r="X3" s="264" t="s">
        <v>811</v>
      </c>
      <c r="Y3" s="264" t="s">
        <v>820</v>
      </c>
      <c r="Z3" s="264" t="s">
        <v>821</v>
      </c>
      <c r="AA3" s="264" t="s">
        <v>822</v>
      </c>
      <c r="AB3" s="264" t="s">
        <v>813</v>
      </c>
    </row>
    <row r="4" spans="1:28" x14ac:dyDescent="0.2">
      <c r="A4" s="49"/>
      <c r="B4" s="49"/>
      <c r="C4" s="49"/>
      <c r="D4" s="49" t="s">
        <v>4</v>
      </c>
      <c r="E4" s="49"/>
      <c r="F4" s="74">
        <f>SUBTOTAL(109,F$15:INDEX(F:F,COUNTA($B:$B)+14-COUNTA($B$1:$B$14)))</f>
        <v>0</v>
      </c>
      <c r="G4" s="50" t="str">
        <f>IF(SUM($F$4)=0,"",SUM($H$4)/SUM($F$4)-1)</f>
        <v/>
      </c>
      <c r="H4" s="71">
        <f>SUBTOTAL(109,H$15:INDEX(H:H,COUNTA($B:$B)+14-COUNTA($B$1:$B$14)))</f>
        <v>0</v>
      </c>
      <c r="I4" s="124">
        <f>SUBTOTAL(109,I$15:INDEX(I:I,COUNTA($B:$B)+14-COUNTA($B$1:$B$14)))</f>
        <v>0</v>
      </c>
      <c r="J4" s="253" t="str">
        <f>IF(SUM($H$4)=0,"",SUM($O$4)/$H$4)</f>
        <v/>
      </c>
      <c r="K4" s="253"/>
      <c r="L4" s="253" t="str">
        <f>IF(SUM($O$4)=0,"",SUM($P$4)/$O$4)</f>
        <v/>
      </c>
      <c r="M4" s="253"/>
      <c r="N4" s="253"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4" t="str">
        <f>IF(SUM($Q$4)=0,"",SUM($U$4)/$Q$4)</f>
        <v/>
      </c>
      <c r="T4" s="179">
        <f>SUBTOTAL(109,T$15:INDEX(T:T,COUNTA($B:$B)+14-COUNTA($B$1:$B$14)))</f>
        <v>0</v>
      </c>
      <c r="U4" s="71">
        <f>SUBTOTAL(109,U$15:INDEX(U:U,COUNTA($B:$B)+14-COUNTA($B$1:$B$14)))</f>
        <v>0</v>
      </c>
      <c r="V4" s="113" t="e">
        <f>SUBTOTAL(109,V$15:INDEX(V:V,COUNTA($B:$B)+14-COUNTA($B$1:$B$14)))</f>
        <v>#VALUE!</v>
      </c>
      <c r="W4" s="50" t="e">
        <f>$Q$4/$V$4</f>
        <v>#VALUE!</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6" t="s">
        <v>110</v>
      </c>
      <c r="J5" s="254" t="s">
        <v>99</v>
      </c>
      <c r="K5" s="254" t="s">
        <v>99</v>
      </c>
      <c r="L5" s="254" t="s">
        <v>99</v>
      </c>
      <c r="M5" s="254" t="s">
        <v>99</v>
      </c>
      <c r="N5" s="254" t="s">
        <v>99</v>
      </c>
      <c r="O5" s="72" t="s">
        <v>99</v>
      </c>
      <c r="P5" s="72" t="s">
        <v>110</v>
      </c>
      <c r="Q5" s="72" t="s">
        <v>110</v>
      </c>
      <c r="R5" s="72" t="s">
        <v>110</v>
      </c>
      <c r="S5" s="165" t="s">
        <v>99</v>
      </c>
      <c r="T5" s="108" t="s">
        <v>110</v>
      </c>
      <c r="U5" s="72" t="s">
        <v>110</v>
      </c>
      <c r="V5" s="99"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6" t="s">
        <v>111</v>
      </c>
      <c r="J6" s="254" t="s">
        <v>113</v>
      </c>
      <c r="K6" s="254" t="s">
        <v>112</v>
      </c>
      <c r="L6" s="254" t="s">
        <v>113</v>
      </c>
      <c r="M6" s="254" t="s">
        <v>112</v>
      </c>
      <c r="N6" s="254" t="s">
        <v>113</v>
      </c>
      <c r="O6" s="72" t="s">
        <v>94</v>
      </c>
      <c r="P6" s="72" t="s">
        <v>93</v>
      </c>
      <c r="Q6" s="72" t="s">
        <v>93</v>
      </c>
      <c r="R6" s="72" t="s">
        <v>93</v>
      </c>
      <c r="S6" s="165" t="s">
        <v>94</v>
      </c>
      <c r="T6" s="108" t="s">
        <v>93</v>
      </c>
      <c r="U6" s="72" t="s">
        <v>93</v>
      </c>
      <c r="V6" s="99"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6" t="s">
        <v>95</v>
      </c>
      <c r="J7" s="254" t="s">
        <v>96</v>
      </c>
      <c r="K7" s="254" t="s">
        <v>96</v>
      </c>
      <c r="L7" s="254" t="s">
        <v>96</v>
      </c>
      <c r="M7" s="254" t="s">
        <v>96</v>
      </c>
      <c r="N7" s="254" t="s">
        <v>96</v>
      </c>
      <c r="O7" s="72" t="s">
        <v>95</v>
      </c>
      <c r="P7" s="72" t="s">
        <v>95</v>
      </c>
      <c r="Q7" s="72" t="s">
        <v>95</v>
      </c>
      <c r="R7" s="72" t="s">
        <v>95</v>
      </c>
      <c r="S7" s="165" t="s">
        <v>96</v>
      </c>
      <c r="T7" s="108" t="s">
        <v>95</v>
      </c>
      <c r="U7" s="72" t="s">
        <v>95</v>
      </c>
      <c r="V7" s="99" t="s">
        <v>95</v>
      </c>
      <c r="W7" s="36" t="s">
        <v>96</v>
      </c>
      <c r="X7" s="36" t="s">
        <v>96</v>
      </c>
      <c r="Y7" s="36" t="s">
        <v>96</v>
      </c>
      <c r="Z7" s="36" t="s">
        <v>96</v>
      </c>
      <c r="AA7" s="36" t="s">
        <v>96</v>
      </c>
      <c r="AB7" s="36" t="s">
        <v>96</v>
      </c>
    </row>
    <row r="8" spans="1:28" x14ac:dyDescent="0.2">
      <c r="F8" s="322" t="s">
        <v>127</v>
      </c>
      <c r="H8" s="319" t="s">
        <v>127</v>
      </c>
      <c r="I8" s="326" t="s">
        <v>129</v>
      </c>
      <c r="P8" s="319" t="s">
        <v>129</v>
      </c>
      <c r="Q8" s="319" t="s">
        <v>129</v>
      </c>
      <c r="R8" s="319" t="s">
        <v>129</v>
      </c>
      <c r="S8" s="341"/>
      <c r="T8" s="320" t="s">
        <v>265</v>
      </c>
      <c r="U8" s="319" t="s">
        <v>265</v>
      </c>
      <c r="V8" s="219"/>
      <c r="W8" s="342"/>
      <c r="X8" s="342"/>
      <c r="Y8" s="342"/>
      <c r="Z8" s="342"/>
      <c r="AA8" s="342"/>
      <c r="AB8" s="342"/>
    </row>
    <row r="9" spans="1:28" x14ac:dyDescent="0.2">
      <c r="F9" s="322" t="s">
        <v>128</v>
      </c>
      <c r="H9" s="319" t="s">
        <v>128</v>
      </c>
      <c r="I9" s="326" t="s">
        <v>130</v>
      </c>
      <c r="P9" s="319" t="s">
        <v>130</v>
      </c>
      <c r="Q9" s="319" t="s">
        <v>130</v>
      </c>
      <c r="R9" s="319" t="s">
        <v>130</v>
      </c>
      <c r="S9" s="341"/>
      <c r="T9" s="320" t="s">
        <v>266</v>
      </c>
      <c r="U9" s="319" t="s">
        <v>266</v>
      </c>
      <c r="V9" s="219"/>
      <c r="W9" s="342"/>
      <c r="X9" s="342"/>
      <c r="Y9" s="342"/>
      <c r="Z9" s="342"/>
      <c r="AA9" s="342"/>
      <c r="AB9" s="342"/>
    </row>
    <row r="10" spans="1:28" x14ac:dyDescent="0.2">
      <c r="F10" s="322"/>
      <c r="H10" s="319"/>
      <c r="I10" s="326" t="s">
        <v>103</v>
      </c>
      <c r="P10" s="319" t="s">
        <v>102</v>
      </c>
      <c r="Q10" s="319" t="s">
        <v>103</v>
      </c>
      <c r="R10" s="319" t="s">
        <v>104</v>
      </c>
      <c r="T10" s="320" t="s">
        <v>121</v>
      </c>
      <c r="U10" s="319" t="s">
        <v>120</v>
      </c>
    </row>
    <row r="11" spans="1:28" x14ac:dyDescent="0.2">
      <c r="F11" s="75" t="s">
        <v>692</v>
      </c>
      <c r="G11" s="36" t="s">
        <v>692</v>
      </c>
      <c r="H11" s="72" t="s">
        <v>692</v>
      </c>
      <c r="I11" s="116" t="s">
        <v>692</v>
      </c>
      <c r="J11" s="254" t="s">
        <v>692</v>
      </c>
      <c r="K11" s="254" t="s">
        <v>692</v>
      </c>
      <c r="L11" s="254" t="s">
        <v>692</v>
      </c>
      <c r="M11" s="254" t="s">
        <v>692</v>
      </c>
      <c r="N11" s="254" t="s">
        <v>692</v>
      </c>
      <c r="O11" s="72" t="s">
        <v>692</v>
      </c>
      <c r="P11" s="72" t="s">
        <v>692</v>
      </c>
      <c r="Q11" s="72" t="s">
        <v>692</v>
      </c>
      <c r="R11" s="72" t="s">
        <v>692</v>
      </c>
      <c r="S11" s="165" t="s">
        <v>692</v>
      </c>
      <c r="T11" s="108" t="s">
        <v>692</v>
      </c>
      <c r="U11" s="72" t="s">
        <v>692</v>
      </c>
      <c r="V11" s="99" t="s">
        <v>692</v>
      </c>
      <c r="W11" s="36" t="s">
        <v>692</v>
      </c>
      <c r="X11" s="36" t="s">
        <v>692</v>
      </c>
      <c r="Y11" s="36" t="s">
        <v>204</v>
      </c>
      <c r="Z11" s="36" t="s">
        <v>204</v>
      </c>
      <c r="AA11" s="36" t="s">
        <v>206</v>
      </c>
      <c r="AB11" s="36" t="s">
        <v>692</v>
      </c>
    </row>
    <row r="12" spans="1:28" x14ac:dyDescent="0.2">
      <c r="F12" s="75" t="s">
        <v>202</v>
      </c>
      <c r="G12" s="36" t="s">
        <v>202</v>
      </c>
      <c r="H12" s="72" t="s">
        <v>202</v>
      </c>
      <c r="I12" s="116" t="s">
        <v>202</v>
      </c>
      <c r="J12" s="254" t="s">
        <v>202</v>
      </c>
      <c r="K12" s="254" t="s">
        <v>202</v>
      </c>
      <c r="L12" s="254" t="s">
        <v>202</v>
      </c>
      <c r="M12" s="254" t="s">
        <v>202</v>
      </c>
      <c r="N12" s="254" t="s">
        <v>202</v>
      </c>
      <c r="O12" s="72" t="s">
        <v>202</v>
      </c>
      <c r="P12" s="72" t="s">
        <v>202</v>
      </c>
      <c r="Q12" s="72" t="s">
        <v>202</v>
      </c>
      <c r="R12" s="72" t="s">
        <v>202</v>
      </c>
      <c r="S12" s="165" t="s">
        <v>202</v>
      </c>
      <c r="T12" s="108" t="s">
        <v>202</v>
      </c>
      <c r="U12" s="72" t="s">
        <v>202</v>
      </c>
      <c r="V12" s="99" t="s">
        <v>202</v>
      </c>
      <c r="W12" s="36" t="s">
        <v>202</v>
      </c>
      <c r="X12" s="36" t="s">
        <v>202</v>
      </c>
      <c r="Y12" s="36" t="s">
        <v>693</v>
      </c>
      <c r="Z12" s="36" t="s">
        <v>693</v>
      </c>
      <c r="AA12" s="36" t="s">
        <v>694</v>
      </c>
      <c r="AB12" s="36" t="s">
        <v>202</v>
      </c>
    </row>
    <row r="14" spans="1:28" x14ac:dyDescent="0.2">
      <c r="A14" s="54" t="s">
        <v>591</v>
      </c>
      <c r="B14" s="54" t="s">
        <v>5</v>
      </c>
      <c r="C14" s="54" t="s">
        <v>35</v>
      </c>
      <c r="D14" s="54" t="s">
        <v>6</v>
      </c>
      <c r="E14" s="54" t="s">
        <v>76</v>
      </c>
      <c r="F14" s="92" t="s">
        <v>327</v>
      </c>
      <c r="G14" s="215" t="s">
        <v>532</v>
      </c>
      <c r="H14" s="176" t="s">
        <v>328</v>
      </c>
      <c r="I14" s="178" t="s">
        <v>329</v>
      </c>
      <c r="J14" s="215" t="s">
        <v>533</v>
      </c>
      <c r="K14" s="215" t="s">
        <v>718</v>
      </c>
      <c r="L14" s="215" t="s">
        <v>534</v>
      </c>
      <c r="M14" s="215" t="s">
        <v>717</v>
      </c>
      <c r="N14" s="215" t="s">
        <v>535</v>
      </c>
      <c r="O14" s="176" t="s">
        <v>536</v>
      </c>
      <c r="P14" s="176" t="s">
        <v>330</v>
      </c>
      <c r="Q14" s="176" t="s">
        <v>369</v>
      </c>
      <c r="R14" s="176" t="s">
        <v>370</v>
      </c>
      <c r="S14" s="391" t="s">
        <v>538</v>
      </c>
      <c r="T14" s="218" t="s">
        <v>331</v>
      </c>
      <c r="U14" s="176" t="s">
        <v>319</v>
      </c>
      <c r="V14" s="178" t="s">
        <v>521</v>
      </c>
      <c r="W14" s="215" t="s">
        <v>580</v>
      </c>
      <c r="X14" s="215" t="s">
        <v>578</v>
      </c>
      <c r="Y14" s="215" t="s">
        <v>523</v>
      </c>
      <c r="Z14" s="215" t="s">
        <v>522</v>
      </c>
      <c r="AA14" s="215" t="s">
        <v>581</v>
      </c>
      <c r="AB14" s="215" t="s">
        <v>583</v>
      </c>
    </row>
    <row r="15" spans="1:28" x14ac:dyDescent="0.2">
      <c r="E15" s="42" t="str">
        <f>B15&amp;"|"&amp;C15&amp;"|"&amp;D15</f>
        <v>||</v>
      </c>
      <c r="G15" s="36">
        <v>0</v>
      </c>
      <c r="H15" s="72">
        <f>SUM($F15)*(1+$G15)</f>
        <v>0</v>
      </c>
      <c r="J15" s="254">
        <v>1</v>
      </c>
      <c r="L15" s="254" t="str">
        <f>IF(SUM($K15)=0,"",$K15)</f>
        <v/>
      </c>
      <c r="N15" s="254" t="str">
        <f>IF(SUM($M15)=0,"",$M15)</f>
        <v/>
      </c>
      <c r="O15" s="72">
        <f>ROUND($H15*$J15,0)</f>
        <v>0</v>
      </c>
      <c r="P15" s="72">
        <f>IF(SUM($O15)=0,0,ROUND($O15*$L15,0))</f>
        <v>0</v>
      </c>
      <c r="Q15" s="72">
        <f>IF(SUM($O15)=0,0,ROUND(($O15-$P15)*$N15,0))</f>
        <v>0</v>
      </c>
      <c r="R15" s="72">
        <f>IF(SUM($O15)=0,0,$O15-$P15-$Q15)</f>
        <v>0</v>
      </c>
      <c r="S15" s="165" t="str">
        <f>IF(SUM($Q15)=0,"",IFERROR(1/(1/INDEX(Cascade!$AU:$AU,MATCH($E15,Cascade!$E:$E,0))),""))</f>
        <v/>
      </c>
      <c r="T15" s="108">
        <f>$P15</f>
        <v>0</v>
      </c>
      <c r="U15" s="72">
        <f>IF(SUM($Q15)=0,0,ROUND($Q15*$S15,0))</f>
        <v>0</v>
      </c>
      <c r="V15" s="99" t="e">
        <f>_xlfn.IFNA(INDEX(Cascade!$CH:$CH,MATCH($E15,Cascade!$E:$E,0)),"")</f>
        <v>#VALUE!</v>
      </c>
      <c r="W15" s="36" t="str">
        <f>IF(SUM($Q15)=0,"",$Q15/$V15)</f>
        <v/>
      </c>
      <c r="X15" s="36" t="e">
        <f>_xlfn.IFNA(INDEX(Cascade!$CP:$CP,MATCH($E15,Cascade!$E:$E,0)),"")</f>
        <v>#VALUE!</v>
      </c>
      <c r="Y15" s="36" t="e">
        <f>_xlfn.IFNA(INDEX(Cascade!$CQ:$CQ,MATCH($E15,Cascade!$E:$E,0)),"")</f>
        <v>#VALUE!</v>
      </c>
      <c r="Z15" s="36" t="e">
        <f>_xlfn.IFNA(INDEX(Cascade!$CR:$CR,MATCH($E15,Cascade!$E:$E,0)),"")</f>
        <v>#VALUE!</v>
      </c>
      <c r="AA15" s="36" t="e">
        <f>_xlfn.IFNA(INDEX(Cascade!$CT:$CT,MATCH($E15,Cascade!$E:$E,0)),"")</f>
        <v>#VALUE!</v>
      </c>
      <c r="AB15" s="36" t="e">
        <f>_xlfn.IFNA(INDEX(Cascade!$CV:$CV,MATCH($E15,Cascade!$E:$E,0)),"")</f>
        <v>#VALUE!</v>
      </c>
    </row>
  </sheetData>
  <mergeCells count="1">
    <mergeCell ref="A2:B3"/>
  </mergeCells>
  <conditionalFormatting sqref="G1:G1048576">
    <cfRule type="expression" dxfId="28" priority="19">
      <formula>AND(ISNUMBER(G1),G1&lt;&gt;0)</formula>
    </cfRule>
  </conditionalFormatting>
  <conditionalFormatting sqref="Q1:Q1048576">
    <cfRule type="expression" dxfId="27" priority="671">
      <formula>AND(ISNUMBER($Q1),ROUND(SUM($Q1),2)&gt;ROUND(SUM($I1),2))</formula>
    </cfRule>
  </conditionalFormatting>
  <conditionalFormatting sqref="J1:J1048576">
    <cfRule type="expression" dxfId="26" priority="3">
      <formula>AND(ISNUMBER($J1),SUM($J1)&lt;1)</formula>
    </cfRule>
  </conditionalFormatting>
  <conditionalFormatting sqref="S1:S1048576">
    <cfRule type="expression" dxfId="25" priority="686">
      <formula>AND(ISNUMBER(S1),S1&lt;0.95)</formula>
    </cfRule>
  </conditionalFormatting>
  <conditionalFormatting sqref="Y1:Z1048576">
    <cfRule type="expression" dxfId="24" priority="10">
      <formula>AND(ROW(Y1)&gt;14,$B1&lt;&gt;"",$D1&lt;&gt;"Female")</formula>
    </cfRule>
    <cfRule type="expression" dxfId="23" priority="11">
      <formula>AND(ROW(Y1)&gt;14,$B1&lt;&gt;"",OR($C1="&lt;01",$C1="01-04",$C1="05-09"))</formula>
    </cfRule>
  </conditionalFormatting>
  <conditionalFormatting sqref="AA1:AA1048576">
    <cfRule type="expression" dxfId="22" priority="8">
      <formula>AND(ROW(AA1)&gt;14,$B1&lt;&gt;"",OR($C1="&lt;01",$C1="01-04",$C1="05-09",$C1="10-14"))</formula>
    </cfRule>
    <cfRule type="expression" dxfId="21" priority="9">
      <formula>AND(ROW(AA1)&gt;14,$B1&lt;&gt;"",$D1&lt;&gt;"Male")</formula>
    </cfRule>
  </conditionalFormatting>
  <conditionalFormatting sqref="V1:AB1048576">
    <cfRule type="expression" dxfId="20" priority="7">
      <formula>AND(ROW($AB1)&gt;14,$AB1&lt;0)</formula>
    </cfRule>
  </conditionalFormatting>
  <conditionalFormatting sqref="J1:N1048576 S1:S1048576 W1:AB1048576">
    <cfRule type="expression" dxfId="19" priority="1">
      <formula>AND(ISNUMBER(J1),OR(ROUND(J1,2)&gt;1,ROUND(J1,2)&lt;0))</formula>
    </cfRule>
  </conditionalFormatting>
  <conditionalFormatting sqref="N1:N1048576">
    <cfRule type="expression" dxfId="18" priority="13">
      <formula>AND(ROW($N1)&gt;14,$N1="",SUM($O1)&gt;0)</formula>
    </cfRule>
    <cfRule type="expression" dxfId="17" priority="14">
      <formula>AND(ISNUMBER($N1),SUM($N1)&gt;10%)</formula>
    </cfRule>
  </conditionalFormatting>
  <conditionalFormatting sqref="L1:L1048576">
    <cfRule type="expression" dxfId="16" priority="4">
      <formula>AND(ROW($L1)&gt;14,$L1="",SUM($O1)&gt;0)</formula>
    </cfRule>
    <cfRule type="expression" dxfId="15" priority="6">
      <formula>AND(ISNUMBER($L1),ROUND(SUM($L1),2)&gt;=0.75)</formula>
    </cfRule>
  </conditionalFormatting>
  <conditionalFormatting sqref="F1:F1048576 H1:I1048576 O1:R1048576 T1:U1048576">
    <cfRule type="expression" dxfId="14"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G15" activePane="bottomRight" state="frozen"/>
      <selection pane="topRight"/>
      <selection pane="bottomLeft"/>
      <selection pane="bottomRight" activeCell="V1" sqref="V1:V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88" customWidth="1"/>
    <col min="9" max="9" width="11.83203125" style="72" customWidth="1"/>
    <col min="10" max="11" width="11.83203125" style="388" customWidth="1"/>
    <col min="12" max="12" width="11.83203125" style="108" customWidth="1"/>
    <col min="13" max="13" width="11.83203125" style="72" customWidth="1"/>
    <col min="14" max="15" width="11.83203125" style="36" customWidth="1"/>
    <col min="16" max="17" width="11.83203125" style="84" customWidth="1"/>
    <col min="18" max="18" width="11.83203125" style="126" customWidth="1"/>
    <col min="19" max="19" width="11.83203125" style="75" customWidth="1"/>
    <col min="20" max="26" width="11.83203125" style="214" customWidth="1"/>
    <col min="27" max="30" width="11.83203125" style="72" customWidth="1"/>
    <col min="31" max="31" width="11.83203125" style="461" customWidth="1"/>
    <col min="32" max="32" width="11.83203125" style="72" customWidth="1"/>
    <col min="33" max="33" width="11.83203125" style="99" customWidth="1"/>
    <col min="34" max="34" width="11.83203125" style="254" customWidth="1"/>
    <col min="35" max="37" width="11.83203125" style="278" customWidth="1"/>
    <col min="38" max="16384" width="10.83203125" style="40"/>
  </cols>
  <sheetData>
    <row r="1" spans="1:37" s="57" customFormat="1" ht="31" customHeight="1" thickBot="1" x14ac:dyDescent="0.35">
      <c r="A1" s="5" t="s">
        <v>8</v>
      </c>
      <c r="B1" s="5"/>
      <c r="C1" s="1"/>
      <c r="D1" s="1"/>
      <c r="E1" s="1"/>
      <c r="F1" s="111" t="s">
        <v>45</v>
      </c>
      <c r="G1" s="134"/>
      <c r="H1" s="250"/>
      <c r="I1" s="134"/>
      <c r="J1" s="250"/>
      <c r="K1" s="35"/>
      <c r="L1" s="134"/>
      <c r="M1" s="67"/>
      <c r="N1" s="45"/>
      <c r="O1" s="45"/>
      <c r="P1" s="80"/>
      <c r="Q1" s="80"/>
      <c r="R1" s="111" t="s">
        <v>21</v>
      </c>
      <c r="S1" s="77"/>
      <c r="T1" s="35"/>
      <c r="U1" s="35"/>
      <c r="V1" s="35"/>
      <c r="W1" s="35"/>
      <c r="X1" s="35"/>
      <c r="Y1" s="35"/>
      <c r="Z1" s="35"/>
      <c r="AA1" s="67"/>
      <c r="AB1" s="67"/>
      <c r="AC1" s="67"/>
      <c r="AD1" s="67"/>
      <c r="AE1" s="248" t="s">
        <v>1015</v>
      </c>
      <c r="AF1" s="67"/>
      <c r="AG1" s="111" t="s">
        <v>593</v>
      </c>
      <c r="AH1" s="393"/>
      <c r="AI1" s="393"/>
      <c r="AJ1" s="393"/>
      <c r="AK1" s="393"/>
    </row>
    <row r="2" spans="1:37" s="56" customFormat="1" ht="19" customHeight="1" x14ac:dyDescent="0.25">
      <c r="A2" s="365" t="s">
        <v>764</v>
      </c>
      <c r="B2" s="366"/>
      <c r="C2" s="2"/>
      <c r="D2" s="2"/>
      <c r="E2" s="2"/>
      <c r="F2" s="112" t="s">
        <v>74</v>
      </c>
      <c r="G2" s="159"/>
      <c r="H2" s="251"/>
      <c r="I2" s="159"/>
      <c r="J2" s="251"/>
      <c r="K2" s="34"/>
      <c r="L2" s="135"/>
      <c r="M2" s="68"/>
      <c r="N2" s="34"/>
      <c r="O2" s="34" t="s">
        <v>2</v>
      </c>
      <c r="P2" s="81" t="s">
        <v>3</v>
      </c>
      <c r="Q2" s="81"/>
      <c r="R2" s="112" t="s">
        <v>74</v>
      </c>
      <c r="S2" s="73"/>
      <c r="T2" s="34"/>
      <c r="U2" s="34" t="s">
        <v>2</v>
      </c>
      <c r="V2" s="34" t="s">
        <v>1218</v>
      </c>
      <c r="W2" s="34"/>
      <c r="X2" s="34"/>
      <c r="Y2" s="34"/>
      <c r="Z2" s="34"/>
      <c r="AA2" s="68" t="s">
        <v>3</v>
      </c>
      <c r="AB2" s="68"/>
      <c r="AC2" s="68"/>
      <c r="AD2" s="68"/>
      <c r="AE2" s="249" t="s">
        <v>74</v>
      </c>
      <c r="AF2" s="68"/>
      <c r="AG2" s="112" t="s">
        <v>59</v>
      </c>
      <c r="AH2" s="251"/>
      <c r="AI2" s="251"/>
      <c r="AJ2" s="251"/>
      <c r="AK2" s="251"/>
    </row>
    <row r="3" spans="1:37" ht="117" customHeight="1" thickBot="1" x14ac:dyDescent="0.25">
      <c r="A3" s="367"/>
      <c r="B3" s="368"/>
      <c r="C3" s="47"/>
      <c r="D3" s="47"/>
      <c r="E3" s="47"/>
      <c r="F3" s="262" t="s">
        <v>827</v>
      </c>
      <c r="G3" s="262" t="s">
        <v>610</v>
      </c>
      <c r="H3" s="264" t="s">
        <v>790</v>
      </c>
      <c r="I3" s="262" t="s">
        <v>791</v>
      </c>
      <c r="J3" s="264" t="s">
        <v>815</v>
      </c>
      <c r="K3" s="264" t="s">
        <v>1106</v>
      </c>
      <c r="L3" s="217" t="s">
        <v>828</v>
      </c>
      <c r="M3" s="217" t="s">
        <v>829</v>
      </c>
      <c r="N3" s="348" t="s">
        <v>830</v>
      </c>
      <c r="O3" s="48" t="s">
        <v>823</v>
      </c>
      <c r="P3" s="82" t="s">
        <v>824</v>
      </c>
      <c r="Q3" s="82" t="s">
        <v>825</v>
      </c>
      <c r="R3" s="148" t="s">
        <v>1051</v>
      </c>
      <c r="S3" s="141" t="s">
        <v>1050</v>
      </c>
      <c r="T3" s="348" t="s">
        <v>1013</v>
      </c>
      <c r="U3" s="210" t="s">
        <v>1217</v>
      </c>
      <c r="V3" s="210" t="s">
        <v>1086</v>
      </c>
      <c r="W3" s="348" t="s">
        <v>1052</v>
      </c>
      <c r="X3" s="210" t="s">
        <v>1014</v>
      </c>
      <c r="Y3" s="348" t="s">
        <v>1214</v>
      </c>
      <c r="Z3" s="210" t="s">
        <v>1210</v>
      </c>
      <c r="AA3" s="69" t="s">
        <v>209</v>
      </c>
      <c r="AB3" s="69" t="s">
        <v>273</v>
      </c>
      <c r="AC3" s="70" t="s">
        <v>271</v>
      </c>
      <c r="AD3" s="69" t="s">
        <v>272</v>
      </c>
      <c r="AE3" s="389" t="s">
        <v>847</v>
      </c>
      <c r="AF3" s="69" t="s">
        <v>72</v>
      </c>
      <c r="AG3" s="261" t="s">
        <v>808</v>
      </c>
      <c r="AH3" s="266" t="s">
        <v>826</v>
      </c>
      <c r="AI3" s="266" t="s">
        <v>811</v>
      </c>
      <c r="AJ3" s="266" t="s">
        <v>812</v>
      </c>
      <c r="AK3" s="266" t="s">
        <v>813</v>
      </c>
    </row>
    <row r="4" spans="1:37" x14ac:dyDescent="0.2">
      <c r="A4" s="49"/>
      <c r="B4" s="49"/>
      <c r="C4" s="49"/>
      <c r="D4" s="49" t="s">
        <v>4</v>
      </c>
      <c r="E4" s="49"/>
      <c r="F4" s="74">
        <f>SUBTOTAL(109,F$15:INDEX(F:F,COUNTA($B:$B)+14-COUNTA($B$1:$B$14)))</f>
        <v>0</v>
      </c>
      <c r="G4" s="89">
        <f>SUBTOTAL(109,G$15:INDEX(G:G,COUNTA($B:$B)+14-COUNTA($B$1:$B$14)))</f>
        <v>0</v>
      </c>
      <c r="H4" s="383" t="str">
        <f>IF(SUM($F$4)=0,"",SUM($G$4)/$F$4)</f>
        <v/>
      </c>
      <c r="I4" s="89">
        <f>SUBTOTAL(109,I$15:INDEX(I:I,COUNTA($B:$B)+14-COUNTA($B$1:$B$14)))</f>
        <v>0</v>
      </c>
      <c r="J4" s="383" t="str">
        <f>IF(SUM($G$4)=0,"",SUM($I$4)/$G$4)</f>
        <v/>
      </c>
      <c r="K4" s="50"/>
      <c r="L4" s="179">
        <f>SUBTOTAL(109,L$15:INDEX(L:L,COUNTA($B:$B)+14-COUNTA($B$1:$B$14)))</f>
        <v>0</v>
      </c>
      <c r="M4" s="179">
        <f>SUBTOTAL(109,M$15:INDEX(M:M,COUNTA($B:$B)+14-COUNTA($B$1:$B$14)))</f>
        <v>0</v>
      </c>
      <c r="N4" s="50" t="str">
        <f>IF($F$4=0,"",$M$4/$F$4)</f>
        <v/>
      </c>
      <c r="O4" s="50" t="str">
        <f>IF($F$4=0,"",$P$4/$F$4)</f>
        <v/>
      </c>
      <c r="P4" s="83">
        <f>SUBTOTAL(109,P$15:INDEX(P:P,COUNTA($B:$B)+14-COUNTA($B$1:$B$14)))</f>
        <v>0</v>
      </c>
      <c r="Q4" s="83">
        <f>SUBTOTAL(109,Q$15:INDEX(Q:Q,COUNTA($B:$B)+14-COUNTA($B$1:$B$14)))</f>
        <v>0</v>
      </c>
      <c r="R4" s="113">
        <f>SUBTOTAL(109,R$15:INDEX(R:R,COUNTA($B:$B)+14-COUNTA($B$1:$B$14)))</f>
        <v>0</v>
      </c>
      <c r="S4" s="74">
        <f>SUBTOTAL(109,S$15:INDEX(S:S,COUNTA($B:$B)+14-COUNTA($B$1:$B$14)))</f>
        <v>0</v>
      </c>
      <c r="T4" s="212" t="str">
        <f>IF($L$4=0,"",$S$4/$L$4)</f>
        <v/>
      </c>
      <c r="U4" s="212" t="str">
        <f>IF($Q$4=0,"",$AA$4/$Q$4)</f>
        <v/>
      </c>
      <c r="V4" s="212"/>
      <c r="W4" s="212"/>
      <c r="X4" s="212" t="str">
        <f>IF($AA$4=0,"",$AB$4/$AA$4)</f>
        <v/>
      </c>
      <c r="Y4" s="212"/>
      <c r="Z4" s="212"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4" t="str">
        <f>IF($AC$4=0,"",$AF$4/$AC$4)</f>
        <v/>
      </c>
      <c r="AF4" s="71">
        <f>SUBTOTAL(109,AF$15:INDEX(AF:AF,COUNTA($B:$B)+14-COUNTA($B$1:$B$14)))</f>
        <v>0</v>
      </c>
      <c r="AG4" s="74" t="e">
        <f>SUBTOTAL(109,AG$15:INDEX(AG:AG,COUNTA($B:$B)+14-COUNTA($B$1:$B$14)))</f>
        <v>#VALUE!</v>
      </c>
      <c r="AH4" s="395" t="e">
        <f>$AC$4/$AG$4</f>
        <v>#VALUE!</v>
      </c>
      <c r="AI4" s="395"/>
      <c r="AJ4" s="395"/>
      <c r="AK4" s="395"/>
    </row>
    <row r="5" spans="1:37" x14ac:dyDescent="0.2">
      <c r="A5" s="42" t="s">
        <v>99</v>
      </c>
      <c r="B5" s="42" t="s">
        <v>99</v>
      </c>
      <c r="C5" s="42" t="s">
        <v>99</v>
      </c>
      <c r="D5" s="42" t="s">
        <v>99</v>
      </c>
      <c r="E5" s="42" t="s">
        <v>99</v>
      </c>
      <c r="F5" s="75" t="s">
        <v>99</v>
      </c>
      <c r="G5" s="75" t="s">
        <v>99</v>
      </c>
      <c r="H5" s="36" t="s">
        <v>99</v>
      </c>
      <c r="I5" s="75" t="s">
        <v>99</v>
      </c>
      <c r="J5" s="36" t="s">
        <v>99</v>
      </c>
      <c r="K5" s="173" t="s">
        <v>99</v>
      </c>
      <c r="L5" s="108" t="s">
        <v>108</v>
      </c>
      <c r="M5" s="108" t="s">
        <v>108</v>
      </c>
      <c r="N5" s="36" t="s">
        <v>99</v>
      </c>
      <c r="O5" s="36" t="s">
        <v>99</v>
      </c>
      <c r="P5" s="84" t="s">
        <v>108</v>
      </c>
      <c r="Q5" s="84" t="s">
        <v>108</v>
      </c>
      <c r="R5" s="99" t="s">
        <v>110</v>
      </c>
      <c r="S5" s="75" t="s">
        <v>110</v>
      </c>
      <c r="T5" s="214" t="s">
        <v>99</v>
      </c>
      <c r="U5" s="214" t="s">
        <v>99</v>
      </c>
      <c r="V5" s="214" t="s">
        <v>99</v>
      </c>
      <c r="W5" s="214" t="s">
        <v>99</v>
      </c>
      <c r="X5" s="214" t="s">
        <v>99</v>
      </c>
      <c r="Y5" s="214" t="s">
        <v>99</v>
      </c>
      <c r="Z5" s="214" t="s">
        <v>99</v>
      </c>
      <c r="AA5" s="72" t="s">
        <v>99</v>
      </c>
      <c r="AB5" s="72" t="s">
        <v>110</v>
      </c>
      <c r="AC5" s="72" t="s">
        <v>110</v>
      </c>
      <c r="AD5" s="72" t="s">
        <v>110</v>
      </c>
      <c r="AE5" s="165" t="s">
        <v>99</v>
      </c>
      <c r="AF5" s="72" t="s">
        <v>99</v>
      </c>
      <c r="AG5" s="99" t="s">
        <v>99</v>
      </c>
      <c r="AH5" s="254" t="s">
        <v>99</v>
      </c>
      <c r="AI5" s="278" t="s">
        <v>99</v>
      </c>
      <c r="AJ5" s="278" t="s">
        <v>99</v>
      </c>
      <c r="AK5" s="278"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8" t="s">
        <v>93</v>
      </c>
      <c r="M6" s="108" t="s">
        <v>93</v>
      </c>
      <c r="N6" s="36" t="s">
        <v>94</v>
      </c>
      <c r="O6" s="36" t="s">
        <v>113</v>
      </c>
      <c r="P6" s="84" t="s">
        <v>93</v>
      </c>
      <c r="Q6" s="84" t="s">
        <v>93</v>
      </c>
      <c r="R6" s="99" t="s">
        <v>111</v>
      </c>
      <c r="S6" s="75" t="s">
        <v>111</v>
      </c>
      <c r="T6" s="214" t="s">
        <v>94</v>
      </c>
      <c r="U6" s="214" t="s">
        <v>113</v>
      </c>
      <c r="V6" s="214" t="s">
        <v>113</v>
      </c>
      <c r="W6" s="214" t="s">
        <v>112</v>
      </c>
      <c r="X6" s="214" t="s">
        <v>113</v>
      </c>
      <c r="Y6" s="214" t="s">
        <v>112</v>
      </c>
      <c r="Z6" s="214" t="s">
        <v>113</v>
      </c>
      <c r="AA6" s="72" t="s">
        <v>94</v>
      </c>
      <c r="AB6" s="72" t="s">
        <v>93</v>
      </c>
      <c r="AC6" s="72" t="s">
        <v>93</v>
      </c>
      <c r="AD6" s="72" t="s">
        <v>93</v>
      </c>
      <c r="AE6" s="165" t="s">
        <v>94</v>
      </c>
      <c r="AF6" s="72" t="s">
        <v>94</v>
      </c>
      <c r="AG6" s="99" t="s">
        <v>94</v>
      </c>
      <c r="AH6" s="254" t="s">
        <v>94</v>
      </c>
      <c r="AI6" s="278" t="s">
        <v>94</v>
      </c>
      <c r="AJ6" s="278" t="s">
        <v>94</v>
      </c>
      <c r="AK6" s="278"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8" t="s">
        <v>95</v>
      </c>
      <c r="M7" s="108" t="s">
        <v>95</v>
      </c>
      <c r="N7" s="36" t="s">
        <v>96</v>
      </c>
      <c r="O7" s="36" t="s">
        <v>96</v>
      </c>
      <c r="P7" s="84" t="s">
        <v>95</v>
      </c>
      <c r="Q7" s="84" t="s">
        <v>95</v>
      </c>
      <c r="R7" s="99" t="s">
        <v>95</v>
      </c>
      <c r="S7" s="75" t="s">
        <v>95</v>
      </c>
      <c r="T7" s="214" t="s">
        <v>96</v>
      </c>
      <c r="U7" s="214" t="s">
        <v>96</v>
      </c>
      <c r="V7" s="214" t="s">
        <v>96</v>
      </c>
      <c r="W7" s="214" t="s">
        <v>96</v>
      </c>
      <c r="X7" s="214" t="s">
        <v>96</v>
      </c>
      <c r="Y7" s="214" t="s">
        <v>96</v>
      </c>
      <c r="Z7" s="214" t="s">
        <v>96</v>
      </c>
      <c r="AA7" s="72" t="s">
        <v>95</v>
      </c>
      <c r="AB7" s="72" t="s">
        <v>95</v>
      </c>
      <c r="AC7" s="72" t="s">
        <v>95</v>
      </c>
      <c r="AD7" s="72" t="s">
        <v>95</v>
      </c>
      <c r="AE7" s="165" t="s">
        <v>96</v>
      </c>
      <c r="AF7" s="72" t="s">
        <v>95</v>
      </c>
      <c r="AG7" s="99" t="s">
        <v>95</v>
      </c>
      <c r="AH7" s="254" t="s">
        <v>96</v>
      </c>
      <c r="AI7" s="278" t="s">
        <v>96</v>
      </c>
      <c r="AJ7" s="278" t="s">
        <v>96</v>
      </c>
      <c r="AK7" s="278" t="s">
        <v>96</v>
      </c>
    </row>
    <row r="8" spans="1:37" x14ac:dyDescent="0.2">
      <c r="F8" s="75"/>
      <c r="G8" s="75"/>
      <c r="H8" s="36"/>
      <c r="I8" s="75"/>
      <c r="J8" s="36"/>
      <c r="K8" s="51"/>
      <c r="L8" s="320" t="s">
        <v>131</v>
      </c>
      <c r="M8" s="320" t="s">
        <v>132</v>
      </c>
      <c r="P8" s="323" t="s">
        <v>132</v>
      </c>
      <c r="Q8" s="323" t="s">
        <v>131</v>
      </c>
      <c r="R8" s="324" t="s">
        <v>605</v>
      </c>
      <c r="S8" s="322" t="s">
        <v>133</v>
      </c>
      <c r="AB8" s="319" t="s">
        <v>133</v>
      </c>
      <c r="AC8" s="319" t="s">
        <v>133</v>
      </c>
      <c r="AD8" s="319" t="s">
        <v>133</v>
      </c>
      <c r="AE8" s="165"/>
    </row>
    <row r="9" spans="1:37" x14ac:dyDescent="0.2">
      <c r="F9" s="75"/>
      <c r="G9" s="75"/>
      <c r="H9" s="36"/>
      <c r="I9" s="75"/>
      <c r="J9" s="36"/>
      <c r="K9" s="51"/>
      <c r="L9" s="320"/>
      <c r="M9" s="320"/>
      <c r="P9" s="323"/>
      <c r="Q9" s="323"/>
      <c r="R9" s="324" t="s">
        <v>606</v>
      </c>
      <c r="S9" s="322" t="s">
        <v>134</v>
      </c>
      <c r="AB9" s="319" t="s">
        <v>134</v>
      </c>
      <c r="AC9" s="319" t="s">
        <v>134</v>
      </c>
      <c r="AD9" s="319" t="s">
        <v>134</v>
      </c>
      <c r="AE9" s="165"/>
    </row>
    <row r="10" spans="1:37" x14ac:dyDescent="0.2">
      <c r="F10" s="75"/>
      <c r="G10" s="75"/>
      <c r="H10" s="36"/>
      <c r="I10" s="75"/>
      <c r="J10" s="36"/>
      <c r="K10" s="51"/>
      <c r="L10" s="320"/>
      <c r="M10" s="320"/>
      <c r="P10" s="323"/>
      <c r="Q10" s="323"/>
      <c r="R10" s="324"/>
      <c r="S10" s="322"/>
      <c r="AB10" s="319" t="s">
        <v>135</v>
      </c>
      <c r="AC10" s="319" t="s">
        <v>105</v>
      </c>
      <c r="AD10" s="319" t="s">
        <v>122</v>
      </c>
      <c r="AE10" s="165"/>
    </row>
    <row r="11" spans="1:37" x14ac:dyDescent="0.2">
      <c r="F11" s="75" t="s">
        <v>206</v>
      </c>
      <c r="G11" s="75" t="s">
        <v>206</v>
      </c>
      <c r="H11" s="36" t="s">
        <v>206</v>
      </c>
      <c r="I11" s="75" t="s">
        <v>206</v>
      </c>
      <c r="J11" s="36" t="s">
        <v>206</v>
      </c>
      <c r="K11" s="36" t="s">
        <v>206</v>
      </c>
      <c r="L11" s="108" t="s">
        <v>206</v>
      </c>
      <c r="M11" s="108" t="s">
        <v>206</v>
      </c>
      <c r="N11" s="36" t="s">
        <v>206</v>
      </c>
      <c r="O11" s="51" t="s">
        <v>206</v>
      </c>
      <c r="P11" s="84" t="s">
        <v>206</v>
      </c>
      <c r="Q11" s="84" t="s">
        <v>206</v>
      </c>
      <c r="R11" s="99" t="s">
        <v>206</v>
      </c>
      <c r="S11" s="75" t="s">
        <v>206</v>
      </c>
      <c r="T11" s="214" t="s">
        <v>206</v>
      </c>
      <c r="U11" s="214" t="s">
        <v>206</v>
      </c>
      <c r="V11" s="214" t="s">
        <v>206</v>
      </c>
      <c r="W11" s="214" t="s">
        <v>206</v>
      </c>
      <c r="X11" s="214" t="s">
        <v>206</v>
      </c>
      <c r="Y11" s="214" t="s">
        <v>206</v>
      </c>
      <c r="Z11" s="214" t="s">
        <v>206</v>
      </c>
      <c r="AA11" s="72" t="s">
        <v>206</v>
      </c>
      <c r="AB11" s="72" t="s">
        <v>206</v>
      </c>
      <c r="AC11" s="72" t="s">
        <v>206</v>
      </c>
      <c r="AD11" s="72" t="s">
        <v>206</v>
      </c>
      <c r="AE11" s="351" t="s">
        <v>206</v>
      </c>
      <c r="AF11" s="72" t="s">
        <v>206</v>
      </c>
      <c r="AG11" s="99" t="s">
        <v>206</v>
      </c>
      <c r="AH11" s="254" t="s">
        <v>206</v>
      </c>
      <c r="AI11" s="278" t="s">
        <v>206</v>
      </c>
      <c r="AJ11" s="278" t="s">
        <v>206</v>
      </c>
      <c r="AK11" s="278" t="s">
        <v>206</v>
      </c>
    </row>
    <row r="12" spans="1:37" x14ac:dyDescent="0.2">
      <c r="F12" s="75" t="s">
        <v>694</v>
      </c>
      <c r="G12" s="75" t="s">
        <v>694</v>
      </c>
      <c r="H12" s="36" t="s">
        <v>694</v>
      </c>
      <c r="I12" s="75" t="s">
        <v>694</v>
      </c>
      <c r="J12" s="36" t="s">
        <v>694</v>
      </c>
      <c r="K12" s="36" t="s">
        <v>694</v>
      </c>
      <c r="L12" s="108" t="s">
        <v>694</v>
      </c>
      <c r="M12" s="108" t="s">
        <v>694</v>
      </c>
      <c r="N12" s="36" t="s">
        <v>694</v>
      </c>
      <c r="O12" s="36" t="s">
        <v>694</v>
      </c>
      <c r="P12" s="84" t="s">
        <v>694</v>
      </c>
      <c r="Q12" s="84" t="s">
        <v>694</v>
      </c>
      <c r="R12" s="99" t="s">
        <v>694</v>
      </c>
      <c r="S12" s="75" t="s">
        <v>694</v>
      </c>
      <c r="T12" s="214" t="s">
        <v>694</v>
      </c>
      <c r="U12" s="214" t="s">
        <v>694</v>
      </c>
      <c r="V12" s="214" t="s">
        <v>694</v>
      </c>
      <c r="W12" s="214" t="s">
        <v>694</v>
      </c>
      <c r="X12" s="214" t="s">
        <v>694</v>
      </c>
      <c r="Y12" s="214" t="s">
        <v>694</v>
      </c>
      <c r="Z12" s="214" t="s">
        <v>694</v>
      </c>
      <c r="AA12" s="72" t="s">
        <v>694</v>
      </c>
      <c r="AB12" s="72" t="s">
        <v>694</v>
      </c>
      <c r="AC12" s="72" t="s">
        <v>694</v>
      </c>
      <c r="AD12" s="72" t="s">
        <v>694</v>
      </c>
      <c r="AE12" s="165" t="s">
        <v>694</v>
      </c>
      <c r="AF12" s="72" t="s">
        <v>694</v>
      </c>
      <c r="AG12" s="99" t="s">
        <v>694</v>
      </c>
      <c r="AH12" s="254" t="s">
        <v>694</v>
      </c>
      <c r="AI12" s="278" t="s">
        <v>694</v>
      </c>
      <c r="AJ12" s="278" t="s">
        <v>694</v>
      </c>
      <c r="AK12" s="278" t="s">
        <v>694</v>
      </c>
    </row>
    <row r="13" spans="1:37" x14ac:dyDescent="0.2">
      <c r="F13" s="75"/>
      <c r="G13" s="75"/>
      <c r="H13" s="36"/>
      <c r="I13" s="75"/>
      <c r="J13" s="36"/>
      <c r="K13" s="51"/>
      <c r="M13" s="108"/>
      <c r="R13" s="99"/>
      <c r="AE13" s="165"/>
    </row>
    <row r="14" spans="1:37" x14ac:dyDescent="0.2">
      <c r="A14" s="52" t="s">
        <v>591</v>
      </c>
      <c r="B14" s="52" t="s">
        <v>5</v>
      </c>
      <c r="C14" s="52" t="s">
        <v>35</v>
      </c>
      <c r="D14" s="52" t="s">
        <v>6</v>
      </c>
      <c r="E14" s="52" t="s">
        <v>76</v>
      </c>
      <c r="F14" s="92" t="s">
        <v>302</v>
      </c>
      <c r="G14" s="92" t="s">
        <v>303</v>
      </c>
      <c r="H14" s="215" t="s">
        <v>305</v>
      </c>
      <c r="I14" s="92" t="s">
        <v>306</v>
      </c>
      <c r="J14" s="215" t="s">
        <v>501</v>
      </c>
      <c r="K14" s="215" t="s">
        <v>1103</v>
      </c>
      <c r="L14" s="218" t="s">
        <v>333</v>
      </c>
      <c r="M14" s="218" t="s">
        <v>334</v>
      </c>
      <c r="N14" s="215" t="s">
        <v>546</v>
      </c>
      <c r="O14" s="215" t="s">
        <v>545</v>
      </c>
      <c r="P14" s="176" t="s">
        <v>336</v>
      </c>
      <c r="Q14" s="176" t="s">
        <v>335</v>
      </c>
      <c r="R14" s="178" t="s">
        <v>702</v>
      </c>
      <c r="S14" s="92" t="s">
        <v>703</v>
      </c>
      <c r="T14" s="215" t="s">
        <v>592</v>
      </c>
      <c r="U14" s="215" t="s">
        <v>544</v>
      </c>
      <c r="V14" s="215" t="s">
        <v>731</v>
      </c>
      <c r="W14" s="215" t="s">
        <v>715</v>
      </c>
      <c r="X14" s="215" t="s">
        <v>539</v>
      </c>
      <c r="Y14" s="215" t="s">
        <v>716</v>
      </c>
      <c r="Z14" s="215" t="s">
        <v>541</v>
      </c>
      <c r="AA14" s="176" t="s">
        <v>540</v>
      </c>
      <c r="AB14" s="176" t="s">
        <v>332</v>
      </c>
      <c r="AC14" s="176" t="s">
        <v>375</v>
      </c>
      <c r="AD14" s="176" t="s">
        <v>376</v>
      </c>
      <c r="AE14" s="391" t="s">
        <v>542</v>
      </c>
      <c r="AF14" s="176" t="s">
        <v>543</v>
      </c>
      <c r="AG14" s="178" t="s">
        <v>521</v>
      </c>
      <c r="AH14" s="255" t="s">
        <v>581</v>
      </c>
      <c r="AI14" s="255" t="s">
        <v>578</v>
      </c>
      <c r="AJ14" s="255" t="s">
        <v>580</v>
      </c>
      <c r="AK14" s="255" t="s">
        <v>583</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IF(LEFT($B15,4)="_Mil","",_xlfn.IFNA(INDEX(Cascade!$AP:$AP,MATCH($E15,Cascade!$E:$E,0)),""))</f>
        <v/>
      </c>
      <c r="K15" s="36" t="str">
        <f>IF(LEFT($B15,4)="_Mil","",_xlfn.IFNA(INDEX(Cascade!$BO:$BO,MATCH($E15,Cascade!$E:$E,0)),""))</f>
        <v/>
      </c>
      <c r="L15" s="108" t="str">
        <f>IF(LEFT($B15,4)="_Mil","",_xlfn.IFNA(ROUND(INDEX(Spectrum!$N:$N,MATCH(RIGHT($B15,13)&amp;"|"&amp;$C15&amp;"|"&amp;$D15&amp;"|"&amp;L$14&amp;"|"&amp;"CY2022Q3",Spectrum!$Q:$Q,0)),0),""))</f>
        <v/>
      </c>
      <c r="M15" s="108"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t="str">
        <f>IF(OR(LEFT($B15,4)="_Mil",SUM($L15)=0),"",SUM($S15)/$L15)</f>
        <v/>
      </c>
      <c r="U15" s="36" t="str">
        <f>IF(SUM($T15)=0,"",$T15)</f>
        <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5" t="str">
        <f>IF(SUM($AC15)=0,"",_xlfn.IFNA(INDEX(Cascade!$AU:$AU,MATCH($E15,Cascade!$E:$E,0)),""))</f>
        <v/>
      </c>
      <c r="AF15" s="72">
        <f>IF(SUM($AC15)=0,0,ROUND($AC15*$AE15,0))</f>
        <v>0</v>
      </c>
      <c r="AG15" s="99" t="e">
        <f>_xlfn.IFNA(INDEX(Cascade!$CH:$CH,MATCH($E15,Cascade!$E:$E,0)),"")</f>
        <v>#VALUE!</v>
      </c>
      <c r="AH15" s="254" t="str">
        <f>IF(SUM($AC15)=0,"",$AC15/$AG15)</f>
        <v/>
      </c>
      <c r="AI15" s="254" t="e">
        <f>_xlfn.IFNA(INDEX(Cascade!$CP:$CP,MATCH($E15,Cascade!$E:$E,0)),"")</f>
        <v>#VALUE!</v>
      </c>
      <c r="AJ15" s="254" t="e">
        <f>_xlfn.IFNA(INDEX(Cascade!$CS:$CS,MATCH($E15,Cascade!$E:$E,0)),"")</f>
        <v>#VALUE!</v>
      </c>
      <c r="AK15" s="254" t="e">
        <f>_xlfn.IFNA(INDEX(Cascade!$CV:$CV,MATCH($E15,Cascade!$E:$E,0)),"")</f>
        <v>#VALUE!</v>
      </c>
    </row>
  </sheetData>
  <mergeCells count="1">
    <mergeCell ref="A2:B3"/>
  </mergeCells>
  <conditionalFormatting sqref="O1:O1048576">
    <cfRule type="expression" dxfId="137" priority="16">
      <formula>AND(ISNUMBER($O1),OR(ROUND($O1,2)&lt;0.8,ROUND($O1,2)&gt;1))</formula>
    </cfRule>
  </conditionalFormatting>
  <conditionalFormatting sqref="Z1:Z1048576">
    <cfRule type="expression" dxfId="136" priority="5">
      <formula>AND(ROW($Z1)&gt;14,$Z1="",SUM($AA1)&gt;0)</formula>
    </cfRule>
    <cfRule type="expression" dxfId="135" priority="6">
      <formula>AND(ROW($Z1)&gt;14,ROUND(SUM($Z1),2)&gt;0.01)</formula>
    </cfRule>
  </conditionalFormatting>
  <conditionalFormatting sqref="AG1:AK1048576">
    <cfRule type="expression" dxfId="134" priority="18">
      <formula>AND(ISNUMBER($AK1),$AK1&lt;0)</formula>
    </cfRule>
  </conditionalFormatting>
  <conditionalFormatting sqref="P1:P1048576">
    <cfRule type="expression" dxfId="133" priority="10">
      <formula>AND(ISNUMBER($P1),$P1&lt;$M1)</formula>
    </cfRule>
  </conditionalFormatting>
  <conditionalFormatting sqref="V1:V1048576">
    <cfRule type="expression" dxfId="132" priority="19">
      <formula>AND(ROW($V1)&gt;14,$E1&lt;&gt;"",LEFT($B1,4)&lt;&gt;"_Mil")</formula>
    </cfRule>
  </conditionalFormatting>
  <conditionalFormatting sqref="AE1:AE1048576">
    <cfRule type="expression" dxfId="131" priority="2163">
      <formula>AND(ISNUMBER($AE1),ROUND($AE1,2)&lt;95%)</formula>
    </cfRule>
  </conditionalFormatting>
  <conditionalFormatting sqref="L1:M1048576">
    <cfRule type="expression" dxfId="130" priority="26">
      <formula>AND(ISNUMBER($L1),ISNUMBER($M1),$M1&lt;$L1)</formula>
    </cfRule>
  </conditionalFormatting>
  <conditionalFormatting sqref="F1:Q1048576 T1:U1048576">
    <cfRule type="expression" dxfId="129" priority="15">
      <formula>LEFT($B1,4)="_Mil"</formula>
    </cfRule>
  </conditionalFormatting>
  <conditionalFormatting sqref="X1:X1048576">
    <cfRule type="expression" dxfId="128" priority="4">
      <formula>AND(ROW($X1)&gt;14,$X1="",SUM($AA1)&gt;0)</formula>
    </cfRule>
  </conditionalFormatting>
  <conditionalFormatting sqref="F1:G1048576 I1:I1048576 L1:M1048576 P1:S1048576 AA1:AD1048576 AF1:AG1048576">
    <cfRule type="expression" dxfId="127" priority="3">
      <formula>AND(ISNUMBER(F1),ROUND(F1,0)&lt;0)</formula>
    </cfRule>
  </conditionalFormatting>
  <conditionalFormatting sqref="H1:H1048576 J1:K1048576 N1:O1048576 T1:U1048576 W1:Z1048576 AE1:AE1048576 AH1:AK1048576">
    <cfRule type="expression" dxfId="126"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6" customWidth="1"/>
    <col min="6" max="6" width="11.83203125" style="72" customWidth="1"/>
    <col min="7" max="7" width="11.83203125" style="203" customWidth="1"/>
    <col min="8" max="8" width="11.83203125" style="463" customWidth="1"/>
    <col min="9" max="9" width="11.83203125" style="72" customWidth="1"/>
    <col min="10" max="10" width="11.83203125" style="463" customWidth="1"/>
    <col min="11" max="11" width="11.83203125" style="72" customWidth="1"/>
    <col min="12" max="12" width="11.83203125" style="463" customWidth="1"/>
    <col min="13" max="13" width="11.83203125" style="72" customWidth="1"/>
    <col min="14" max="14" width="11.83203125" style="463" customWidth="1"/>
    <col min="15" max="15" width="11.83203125" style="300" customWidth="1"/>
    <col min="16" max="17" width="11.83203125" style="72" customWidth="1"/>
    <col min="18" max="18" width="11.83203125" style="463" customWidth="1"/>
    <col min="19" max="21" width="11.83203125" style="299" customWidth="1"/>
    <col min="22" max="22" width="11.83203125" style="72" customWidth="1"/>
    <col min="23" max="23" width="11.83203125" style="466" customWidth="1"/>
    <col min="24" max="24" width="11.83203125" style="299" customWidth="1"/>
    <col min="25" max="25" width="11.83203125" style="72" customWidth="1"/>
    <col min="26" max="26" width="11.83203125" style="466" customWidth="1"/>
    <col min="27" max="27" width="11.83203125" style="72" customWidth="1"/>
    <col min="28" max="28" width="11.83203125" style="466" customWidth="1"/>
    <col min="29" max="32" width="11.83203125" style="300" customWidth="1"/>
    <col min="33" max="34" width="11.83203125" style="299" customWidth="1"/>
    <col min="35" max="36" width="11.83203125" style="72" customWidth="1"/>
    <col min="37" max="37" width="11.83203125" style="466" customWidth="1"/>
    <col min="38" max="38" width="11.83203125" style="72" customWidth="1"/>
    <col min="39" max="39" width="11.83203125" style="463" customWidth="1"/>
    <col min="40" max="40" width="11.83203125" style="72" customWidth="1"/>
  </cols>
  <sheetData>
    <row r="1" spans="1:40" s="57" customFormat="1" ht="31" customHeight="1" x14ac:dyDescent="0.3">
      <c r="A1" s="5" t="s">
        <v>481</v>
      </c>
      <c r="B1" s="5"/>
      <c r="C1" s="1"/>
      <c r="D1" s="1"/>
      <c r="E1" s="111" t="s">
        <v>43</v>
      </c>
      <c r="F1" s="67"/>
      <c r="G1" s="467"/>
      <c r="H1" s="111" t="s">
        <v>902</v>
      </c>
      <c r="I1" s="67"/>
      <c r="J1" s="111" t="s">
        <v>24</v>
      </c>
      <c r="K1" s="67"/>
      <c r="L1" s="111" t="s">
        <v>22</v>
      </c>
      <c r="M1" s="80"/>
      <c r="N1" s="111" t="s">
        <v>0</v>
      </c>
      <c r="O1" s="95"/>
      <c r="P1" s="67"/>
      <c r="Q1" s="67"/>
      <c r="R1" s="111" t="s">
        <v>1</v>
      </c>
      <c r="S1" s="456"/>
      <c r="T1" s="35"/>
      <c r="U1" s="35"/>
      <c r="V1" s="67"/>
      <c r="W1" s="248" t="s">
        <v>52</v>
      </c>
      <c r="X1" s="35"/>
      <c r="Y1" s="67"/>
      <c r="Z1" s="248" t="s">
        <v>51</v>
      </c>
      <c r="AA1" s="67"/>
      <c r="AB1" s="248" t="s">
        <v>249</v>
      </c>
      <c r="AC1" s="77"/>
      <c r="AD1" s="77"/>
      <c r="AE1" s="77"/>
      <c r="AF1" s="77"/>
      <c r="AG1" s="45"/>
      <c r="AH1" s="45"/>
      <c r="AI1" s="67"/>
      <c r="AJ1" s="67"/>
      <c r="AK1" s="248" t="s">
        <v>207</v>
      </c>
      <c r="AL1" s="67"/>
      <c r="AM1" s="111" t="s">
        <v>247</v>
      </c>
      <c r="AN1" s="67"/>
    </row>
    <row r="2" spans="1:40" s="56" customFormat="1" ht="19" x14ac:dyDescent="0.25">
      <c r="A2" s="2"/>
      <c r="B2" s="2"/>
      <c r="C2" s="2"/>
      <c r="D2" s="2"/>
      <c r="E2" s="236" t="s">
        <v>42</v>
      </c>
      <c r="F2" s="68"/>
      <c r="G2" s="200"/>
      <c r="H2" s="112" t="s">
        <v>74</v>
      </c>
      <c r="I2" s="68" t="s">
        <v>3</v>
      </c>
      <c r="J2" s="115" t="s">
        <v>74</v>
      </c>
      <c r="K2" s="68" t="s">
        <v>3</v>
      </c>
      <c r="L2" s="115" t="s">
        <v>74</v>
      </c>
      <c r="M2" s="81" t="s">
        <v>3</v>
      </c>
      <c r="N2" s="115" t="s">
        <v>74</v>
      </c>
      <c r="O2" s="94"/>
      <c r="P2" s="68" t="s">
        <v>3</v>
      </c>
      <c r="Q2" s="81"/>
      <c r="R2" s="115" t="s">
        <v>74</v>
      </c>
      <c r="S2" s="251" t="s">
        <v>2</v>
      </c>
      <c r="T2" s="34"/>
      <c r="U2" s="34"/>
      <c r="V2" s="68" t="s">
        <v>3</v>
      </c>
      <c r="W2" s="249" t="s">
        <v>2</v>
      </c>
      <c r="X2" s="34"/>
      <c r="Y2" s="68" t="s">
        <v>3</v>
      </c>
      <c r="Z2" s="249" t="s">
        <v>2</v>
      </c>
      <c r="AA2" s="68" t="s">
        <v>3</v>
      </c>
      <c r="AB2" s="249" t="s">
        <v>2</v>
      </c>
      <c r="AC2" s="73"/>
      <c r="AD2" s="73"/>
      <c r="AE2" s="73"/>
      <c r="AF2" s="73"/>
      <c r="AG2" s="34"/>
      <c r="AH2" s="34"/>
      <c r="AI2" s="68" t="s">
        <v>3</v>
      </c>
      <c r="AJ2" s="68"/>
      <c r="AK2" s="249" t="s">
        <v>2</v>
      </c>
      <c r="AL2" s="68" t="s">
        <v>3</v>
      </c>
      <c r="AM2" s="112" t="s">
        <v>74</v>
      </c>
      <c r="AN2" s="68" t="s">
        <v>3</v>
      </c>
    </row>
    <row r="3" spans="1:40" s="62" customFormat="1" ht="117" customHeight="1" x14ac:dyDescent="0.2">
      <c r="A3"/>
      <c r="B3"/>
      <c r="C3"/>
      <c r="D3" s="63"/>
      <c r="E3" s="241" t="s">
        <v>854</v>
      </c>
      <c r="F3" s="142" t="s">
        <v>855</v>
      </c>
      <c r="G3" s="201" t="s">
        <v>790</v>
      </c>
      <c r="H3" s="148" t="s">
        <v>904</v>
      </c>
      <c r="I3" s="142" t="s">
        <v>911</v>
      </c>
      <c r="J3" s="237" t="s">
        <v>905</v>
      </c>
      <c r="K3" s="142" t="s">
        <v>831</v>
      </c>
      <c r="L3" s="228" t="s">
        <v>906</v>
      </c>
      <c r="M3" s="143" t="s">
        <v>832</v>
      </c>
      <c r="N3" s="228" t="s">
        <v>910</v>
      </c>
      <c r="O3" s="150" t="s">
        <v>907</v>
      </c>
      <c r="P3" s="142" t="s">
        <v>833</v>
      </c>
      <c r="Q3" s="82" t="s">
        <v>834</v>
      </c>
      <c r="R3" s="228" t="s">
        <v>908</v>
      </c>
      <c r="S3" s="279" t="s">
        <v>835</v>
      </c>
      <c r="T3" s="210" t="s">
        <v>836</v>
      </c>
      <c r="U3" s="210" t="s">
        <v>837</v>
      </c>
      <c r="V3" s="142" t="s">
        <v>838</v>
      </c>
      <c r="W3" s="464" t="s">
        <v>839</v>
      </c>
      <c r="X3" s="385" t="s">
        <v>840</v>
      </c>
      <c r="Y3" s="142" t="s">
        <v>841</v>
      </c>
      <c r="Z3" s="464" t="s">
        <v>842</v>
      </c>
      <c r="AA3" s="142" t="s">
        <v>843</v>
      </c>
      <c r="AB3" s="412" t="s">
        <v>844</v>
      </c>
      <c r="AC3" s="141" t="s">
        <v>845</v>
      </c>
      <c r="AD3" s="141" t="s">
        <v>846</v>
      </c>
      <c r="AE3" s="141" t="s">
        <v>1016</v>
      </c>
      <c r="AF3" s="141" t="s">
        <v>1017</v>
      </c>
      <c r="AG3" s="210" t="s">
        <v>847</v>
      </c>
      <c r="AH3" s="210" t="s">
        <v>848</v>
      </c>
      <c r="AI3" s="142" t="s">
        <v>849</v>
      </c>
      <c r="AJ3" s="142" t="s">
        <v>850</v>
      </c>
      <c r="AK3" s="404" t="s">
        <v>851</v>
      </c>
      <c r="AL3" s="69" t="s">
        <v>852</v>
      </c>
      <c r="AM3" s="148" t="s">
        <v>909</v>
      </c>
      <c r="AN3" s="142" t="s">
        <v>853</v>
      </c>
    </row>
    <row r="4" spans="1:40" s="62" customFormat="1" x14ac:dyDescent="0.2">
      <c r="A4" s="65"/>
      <c r="B4" s="65"/>
      <c r="C4" s="65" t="s">
        <v>4</v>
      </c>
      <c r="D4" s="65"/>
      <c r="E4" s="238">
        <f>SUBTOTAL(109,E$15:INDEX(E:E,COUNTA($B:$B)+14-COUNTA($B$1:$B$14)))</f>
        <v>0</v>
      </c>
      <c r="F4" s="71">
        <f>SUBTOTAL(109,F$15:INDEX(F:F,COUNTA($B:$B)+14-COUNTA($B$1:$B$14)))</f>
        <v>0</v>
      </c>
      <c r="G4" s="202" t="str">
        <f>IF($E$4=0,"",$F$4/$E$4)</f>
        <v/>
      </c>
      <c r="H4" s="113">
        <f>SUBTOTAL(109,H$15:INDEX(H:H,COUNTA($B:$B)+14-COUNTA($B$1:$B$14)))</f>
        <v>0</v>
      </c>
      <c r="I4" s="71">
        <f>SUBTOTAL(109,I$15:INDEX(I:I,COUNTA($B:$B)+14-COUNTA($B$1:$B$14)))</f>
        <v>0</v>
      </c>
      <c r="J4" s="238">
        <f>SUBTOTAL(109,J$15:INDEX(J:J,COUNTA($B:$B)+14-COUNTA($B$1:$B$14)))</f>
        <v>0</v>
      </c>
      <c r="K4" s="71">
        <f>SUBTOTAL(109,K$15:INDEX(K:K,COUNTA($B:$B)+14-COUNTA($B$1:$B$14)))</f>
        <v>0</v>
      </c>
      <c r="L4" s="238">
        <f>SUBTOTAL(109,L$15:INDEX(L:L,COUNTA($B:$B)+14-COUNTA($B$1:$B$14)))</f>
        <v>0</v>
      </c>
      <c r="M4" s="71">
        <f>SUBTOTAL(109,M$15:INDEX(M:M,COUNTA($B:$B)+14-COUNTA($B$1:$B$14)))</f>
        <v>0</v>
      </c>
      <c r="N4" s="229">
        <f>SUBTOTAL(109,N$15:INDEX(N:N,COUNTA($B:$B)+14-COUNTA($B$1:$B$14)))</f>
        <v>0</v>
      </c>
      <c r="O4" s="226">
        <f>SUBTOTAL(109,O$15:INDEX(O:O,COUNTA($B:$B)+14-COUNTA($B$1:$B$14)))</f>
        <v>0</v>
      </c>
      <c r="P4" s="71">
        <f>SUBTOTAL(109,P$15:INDEX(P:P,COUNTA($B:$B)+14-COUNTA($B$1:$B$14)))</f>
        <v>0</v>
      </c>
      <c r="Q4" s="71">
        <f>SUBTOTAL(109,Q$15:INDEX(Q:Q,COUNTA($B:$B)+14-COUNTA($B$1:$B$14)))</f>
        <v>0</v>
      </c>
      <c r="R4" s="240">
        <f>SUBTOTAL(109,R$15:INDEX(R:R,COUNTA($B:$B)+14-COUNTA($B$1:$B$14)))</f>
        <v>0</v>
      </c>
      <c r="S4" s="395" t="str">
        <f>IF($Q$4=0,"",$V$4/$Q$4)</f>
        <v/>
      </c>
      <c r="T4" s="212"/>
      <c r="U4" s="212"/>
      <c r="V4" s="71">
        <f>SUBTOTAL(109,V$15:INDEX(V:V,COUNTA($B:$B)+14-COUNTA($B$1:$B$14)))</f>
        <v>0</v>
      </c>
      <c r="W4" s="465"/>
      <c r="X4" s="212"/>
      <c r="Y4" s="71">
        <f>SUBTOTAL(109,Y$15:INDEX(Y:Y,COUNTA($B:$B)+14-COUNTA($B$1:$B$14)))</f>
        <v>0</v>
      </c>
      <c r="Z4" s="465" t="str">
        <f>IF($Y$4=0,"",$AA$4/$Y$4)</f>
        <v/>
      </c>
      <c r="AA4" s="71">
        <f>SUBTOTAL(109,AA$15:INDEX(AA:AA,COUNTA($B:$B)+14-COUNTA($B$1:$B$14)))</f>
        <v>0</v>
      </c>
      <c r="AB4" s="164"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12" t="str">
        <f>IF($AI$4=0,"",$V$4/$AI$4)</f>
        <v/>
      </c>
      <c r="AH4" s="212" t="str">
        <f>IF(SUM($AI$4,$AJ$4)=0,"",$AI$4/SUM($AI$4,$AJ$4))</f>
        <v/>
      </c>
      <c r="AI4" s="71">
        <f>SUBTOTAL(109,AI$15:INDEX(AI:AI,COUNTA($B:$B)+14-COUNTA($B$1:$B$14)))</f>
        <v>0</v>
      </c>
      <c r="AJ4" s="71">
        <f>SUBTOTAL(109,AJ$15:INDEX(AJ:AJ,COUNTA($B:$B)+14-COUNTA($B$1:$B$14)))</f>
        <v>0</v>
      </c>
      <c r="AK4" s="465" t="str">
        <f>IF($AI$4=0,"",$AL$4/$AI$4)</f>
        <v/>
      </c>
      <c r="AL4" s="71">
        <f>SUBTOTAL(109,AL$15:INDEX(AL:AL,COUNTA($B:$B)+14-COUNTA($B$1:$B$14)))</f>
        <v>0</v>
      </c>
      <c r="AM4" s="113">
        <f>SUBTOTAL(109,AM$15:INDEX(AM:AM,COUNTA($B:$B)+14-COUNTA($B$1:$B$14)))</f>
        <v>0</v>
      </c>
      <c r="AN4" s="71">
        <f>SUBTOTAL(109,AN$15:INDEX(AN:AN,COUNTA($B:$B)+14-COUNTA($B$1:$B$14)))</f>
        <v>0</v>
      </c>
    </row>
    <row r="5" spans="1:40" s="62" customFormat="1" x14ac:dyDescent="0.2">
      <c r="A5" s="66" t="s">
        <v>99</v>
      </c>
      <c r="B5" s="66" t="s">
        <v>99</v>
      </c>
      <c r="C5" s="66" t="s">
        <v>99</v>
      </c>
      <c r="D5" s="66" t="s">
        <v>99</v>
      </c>
      <c r="E5" s="126" t="s">
        <v>107</v>
      </c>
      <c r="F5" s="72" t="s">
        <v>107</v>
      </c>
      <c r="G5" s="205" t="s">
        <v>107</v>
      </c>
      <c r="H5" s="99" t="s">
        <v>110</v>
      </c>
      <c r="I5" s="72" t="s">
        <v>110</v>
      </c>
      <c r="J5" s="239" t="s">
        <v>110</v>
      </c>
      <c r="K5" s="72" t="s">
        <v>110</v>
      </c>
      <c r="L5" s="239" t="s">
        <v>110</v>
      </c>
      <c r="M5" s="84" t="s">
        <v>110</v>
      </c>
      <c r="N5" s="230" t="s">
        <v>110</v>
      </c>
      <c r="O5" s="78" t="s">
        <v>110</v>
      </c>
      <c r="P5" s="72" t="s">
        <v>110</v>
      </c>
      <c r="Q5" s="72" t="s">
        <v>99</v>
      </c>
      <c r="R5" s="239" t="s">
        <v>110</v>
      </c>
      <c r="S5" s="278" t="s">
        <v>99</v>
      </c>
      <c r="T5" s="214" t="s">
        <v>99</v>
      </c>
      <c r="U5" s="214" t="s">
        <v>99</v>
      </c>
      <c r="V5" s="72" t="s">
        <v>110</v>
      </c>
      <c r="W5" s="461" t="s">
        <v>99</v>
      </c>
      <c r="X5" s="214" t="s">
        <v>99</v>
      </c>
      <c r="Y5" s="72" t="s">
        <v>110</v>
      </c>
      <c r="Z5" s="461" t="s">
        <v>99</v>
      </c>
      <c r="AA5" s="72" t="s">
        <v>110</v>
      </c>
      <c r="AB5" s="165" t="s">
        <v>99</v>
      </c>
      <c r="AC5" s="75" t="s">
        <v>99</v>
      </c>
      <c r="AD5" s="75" t="s">
        <v>99</v>
      </c>
      <c r="AE5" s="75" t="s">
        <v>110</v>
      </c>
      <c r="AF5" s="75" t="s">
        <v>110</v>
      </c>
      <c r="AG5" s="214" t="s">
        <v>99</v>
      </c>
      <c r="AH5" s="214" t="s">
        <v>99</v>
      </c>
      <c r="AI5" s="72" t="s">
        <v>110</v>
      </c>
      <c r="AJ5" s="72" t="s">
        <v>110</v>
      </c>
      <c r="AK5" s="461" t="s">
        <v>99</v>
      </c>
      <c r="AL5" s="72" t="s">
        <v>110</v>
      </c>
      <c r="AM5" s="99" t="s">
        <v>110</v>
      </c>
      <c r="AN5" s="72" t="s">
        <v>110</v>
      </c>
    </row>
    <row r="6" spans="1:40" s="62" customFormat="1" x14ac:dyDescent="0.2">
      <c r="A6" s="66" t="s">
        <v>201</v>
      </c>
      <c r="B6" s="66" t="s">
        <v>201</v>
      </c>
      <c r="C6" s="66" t="s">
        <v>201</v>
      </c>
      <c r="D6" s="66" t="s">
        <v>201</v>
      </c>
      <c r="E6" s="126" t="s">
        <v>93</v>
      </c>
      <c r="F6" s="72" t="s">
        <v>93</v>
      </c>
      <c r="G6" s="205" t="s">
        <v>93</v>
      </c>
      <c r="H6" s="99" t="s">
        <v>111</v>
      </c>
      <c r="I6" s="72" t="s">
        <v>93</v>
      </c>
      <c r="J6" s="239" t="s">
        <v>111</v>
      </c>
      <c r="K6" s="72" t="s">
        <v>93</v>
      </c>
      <c r="L6" s="239" t="s">
        <v>111</v>
      </c>
      <c r="M6" s="84" t="s">
        <v>93</v>
      </c>
      <c r="N6" s="230" t="s">
        <v>111</v>
      </c>
      <c r="O6" s="78" t="s">
        <v>111</v>
      </c>
      <c r="P6" s="72" t="s">
        <v>93</v>
      </c>
      <c r="Q6" s="72" t="s">
        <v>94</v>
      </c>
      <c r="R6" s="239" t="s">
        <v>111</v>
      </c>
      <c r="S6" s="278" t="s">
        <v>113</v>
      </c>
      <c r="T6" s="214" t="s">
        <v>113</v>
      </c>
      <c r="U6" s="214" t="s">
        <v>113</v>
      </c>
      <c r="V6" s="72" t="s">
        <v>93</v>
      </c>
      <c r="W6" s="461" t="s">
        <v>113</v>
      </c>
      <c r="X6" s="214" t="s">
        <v>113</v>
      </c>
      <c r="Y6" s="72" t="s">
        <v>93</v>
      </c>
      <c r="Z6" s="461" t="s">
        <v>113</v>
      </c>
      <c r="AA6" s="72" t="s">
        <v>93</v>
      </c>
      <c r="AB6" s="165" t="s">
        <v>94</v>
      </c>
      <c r="AC6" s="75" t="s">
        <v>94</v>
      </c>
      <c r="AD6" s="75" t="s">
        <v>94</v>
      </c>
      <c r="AE6" s="75" t="s">
        <v>111</v>
      </c>
      <c r="AF6" s="75" t="s">
        <v>111</v>
      </c>
      <c r="AG6" s="214" t="s">
        <v>113</v>
      </c>
      <c r="AH6" s="214" t="s">
        <v>113</v>
      </c>
      <c r="AI6" s="72" t="s">
        <v>93</v>
      </c>
      <c r="AJ6" s="72" t="s">
        <v>93</v>
      </c>
      <c r="AK6" s="461" t="s">
        <v>113</v>
      </c>
      <c r="AL6" s="72" t="s">
        <v>93</v>
      </c>
      <c r="AM6" s="99" t="s">
        <v>111</v>
      </c>
      <c r="AN6" s="72" t="s">
        <v>93</v>
      </c>
    </row>
    <row r="7" spans="1:40" s="62" customFormat="1" x14ac:dyDescent="0.2">
      <c r="A7" s="66" t="s">
        <v>109</v>
      </c>
      <c r="B7" s="66" t="s">
        <v>109</v>
      </c>
      <c r="C7" s="66" t="s">
        <v>109</v>
      </c>
      <c r="D7" s="66" t="s">
        <v>109</v>
      </c>
      <c r="E7" s="126" t="s">
        <v>95</v>
      </c>
      <c r="F7" s="72" t="s">
        <v>95</v>
      </c>
      <c r="G7" s="205" t="s">
        <v>96</v>
      </c>
      <c r="H7" s="99" t="s">
        <v>95</v>
      </c>
      <c r="I7" s="72" t="s">
        <v>95</v>
      </c>
      <c r="J7" s="239" t="s">
        <v>95</v>
      </c>
      <c r="K7" s="72" t="s">
        <v>95</v>
      </c>
      <c r="L7" s="239" t="s">
        <v>95</v>
      </c>
      <c r="M7" s="84" t="s">
        <v>95</v>
      </c>
      <c r="N7" s="230" t="s">
        <v>95</v>
      </c>
      <c r="O7" s="78" t="s">
        <v>95</v>
      </c>
      <c r="P7" s="72" t="s">
        <v>95</v>
      </c>
      <c r="Q7" s="72" t="s">
        <v>95</v>
      </c>
      <c r="R7" s="239" t="s">
        <v>95</v>
      </c>
      <c r="S7" s="278" t="s">
        <v>96</v>
      </c>
      <c r="T7" s="214" t="s">
        <v>96</v>
      </c>
      <c r="U7" s="214" t="s">
        <v>96</v>
      </c>
      <c r="V7" s="72" t="s">
        <v>95</v>
      </c>
      <c r="W7" s="461" t="s">
        <v>96</v>
      </c>
      <c r="X7" s="214" t="s">
        <v>96</v>
      </c>
      <c r="Y7" s="72" t="s">
        <v>95</v>
      </c>
      <c r="Z7" s="461" t="s">
        <v>96</v>
      </c>
      <c r="AA7" s="72" t="s">
        <v>95</v>
      </c>
      <c r="AB7" s="165" t="s">
        <v>96</v>
      </c>
      <c r="AC7" s="75" t="s">
        <v>95</v>
      </c>
      <c r="AD7" s="75" t="s">
        <v>95</v>
      </c>
      <c r="AE7" s="75" t="s">
        <v>95</v>
      </c>
      <c r="AF7" s="75" t="s">
        <v>95</v>
      </c>
      <c r="AG7" s="214" t="s">
        <v>96</v>
      </c>
      <c r="AH7" s="214" t="s">
        <v>96</v>
      </c>
      <c r="AI7" s="72" t="s">
        <v>95</v>
      </c>
      <c r="AJ7" s="72" t="s">
        <v>95</v>
      </c>
      <c r="AK7" s="461" t="s">
        <v>96</v>
      </c>
      <c r="AL7" s="72" t="s">
        <v>95</v>
      </c>
      <c r="AM7" s="99" t="s">
        <v>95</v>
      </c>
      <c r="AN7" s="72" t="s">
        <v>95</v>
      </c>
    </row>
    <row r="8" spans="1:40" s="62" customFormat="1" x14ac:dyDescent="0.2">
      <c r="A8" s="66"/>
      <c r="B8" s="66"/>
      <c r="C8" s="66"/>
      <c r="D8" s="66"/>
      <c r="E8" s="321" t="s">
        <v>177</v>
      </c>
      <c r="F8" s="319" t="s">
        <v>286</v>
      </c>
      <c r="G8" s="468" t="s">
        <v>287</v>
      </c>
      <c r="H8" s="324" t="s">
        <v>187</v>
      </c>
      <c r="I8" s="319" t="s">
        <v>1062</v>
      </c>
      <c r="J8" s="329" t="s">
        <v>189</v>
      </c>
      <c r="K8" s="319" t="s">
        <v>189</v>
      </c>
      <c r="L8" s="329" t="s">
        <v>178</v>
      </c>
      <c r="M8" s="323" t="s">
        <v>178</v>
      </c>
      <c r="N8" s="325" t="s">
        <v>776</v>
      </c>
      <c r="O8" s="330" t="s">
        <v>256</v>
      </c>
      <c r="P8" s="319" t="s">
        <v>256</v>
      </c>
      <c r="Q8" s="72"/>
      <c r="R8" s="329" t="s">
        <v>185</v>
      </c>
      <c r="S8" s="278"/>
      <c r="T8" s="214"/>
      <c r="U8" s="214"/>
      <c r="V8" s="319" t="s">
        <v>185</v>
      </c>
      <c r="W8" s="461"/>
      <c r="X8" s="214"/>
      <c r="Y8" s="319" t="s">
        <v>252</v>
      </c>
      <c r="Z8" s="461"/>
      <c r="AA8" s="319" t="s">
        <v>251</v>
      </c>
      <c r="AB8" s="165"/>
      <c r="AC8" s="75"/>
      <c r="AD8" s="75"/>
      <c r="AE8" s="322" t="s">
        <v>183</v>
      </c>
      <c r="AF8" s="322" t="s">
        <v>183</v>
      </c>
      <c r="AG8" s="214"/>
      <c r="AH8" s="214"/>
      <c r="AI8" s="319" t="s">
        <v>183</v>
      </c>
      <c r="AJ8" s="319" t="s">
        <v>183</v>
      </c>
      <c r="AK8" s="461"/>
      <c r="AL8" s="319" t="s">
        <v>248</v>
      </c>
      <c r="AM8" s="331" t="s">
        <v>270</v>
      </c>
      <c r="AN8" s="319" t="s">
        <v>270</v>
      </c>
    </row>
    <row r="9" spans="1:40" s="62" customFormat="1" x14ac:dyDescent="0.2">
      <c r="A9" s="66"/>
      <c r="B9" s="66"/>
      <c r="C9" s="66"/>
      <c r="D9" s="66"/>
      <c r="E9" s="321"/>
      <c r="F9" s="319"/>
      <c r="G9" s="468"/>
      <c r="H9" s="324" t="s">
        <v>188</v>
      </c>
      <c r="I9" s="319" t="s">
        <v>1063</v>
      </c>
      <c r="J9" s="329" t="s">
        <v>190</v>
      </c>
      <c r="K9" s="319" t="s">
        <v>190</v>
      </c>
      <c r="L9" s="329" t="s">
        <v>179</v>
      </c>
      <c r="M9" s="323" t="s">
        <v>179</v>
      </c>
      <c r="N9" s="325" t="s">
        <v>777</v>
      </c>
      <c r="O9" s="330" t="s">
        <v>257</v>
      </c>
      <c r="P9" s="319" t="s">
        <v>257</v>
      </c>
      <c r="Q9" s="72"/>
      <c r="R9" s="329" t="s">
        <v>186</v>
      </c>
      <c r="S9" s="278"/>
      <c r="T9" s="214"/>
      <c r="U9" s="214"/>
      <c r="V9" s="319" t="s">
        <v>186</v>
      </c>
      <c r="W9" s="461"/>
      <c r="X9" s="214"/>
      <c r="Y9" s="319" t="s">
        <v>253</v>
      </c>
      <c r="Z9" s="461"/>
      <c r="AA9" s="319" t="s">
        <v>250</v>
      </c>
      <c r="AB9" s="165"/>
      <c r="AC9" s="75"/>
      <c r="AD9" s="75"/>
      <c r="AE9" s="322" t="s">
        <v>184</v>
      </c>
      <c r="AF9" s="322" t="s">
        <v>184</v>
      </c>
      <c r="AG9" s="214"/>
      <c r="AH9" s="214"/>
      <c r="AI9" s="319" t="s">
        <v>184</v>
      </c>
      <c r="AJ9" s="319" t="s">
        <v>184</v>
      </c>
      <c r="AK9" s="461"/>
      <c r="AL9" s="319" t="s">
        <v>289</v>
      </c>
      <c r="AM9" s="331" t="s">
        <v>269</v>
      </c>
      <c r="AN9" s="319" t="s">
        <v>269</v>
      </c>
    </row>
    <row r="10" spans="1:40" s="62" customFormat="1" x14ac:dyDescent="0.2">
      <c r="A10" s="66"/>
      <c r="B10" s="66"/>
      <c r="C10" s="66"/>
      <c r="D10" s="66"/>
      <c r="E10" s="321"/>
      <c r="F10" s="319" t="s">
        <v>105</v>
      </c>
      <c r="G10" s="468" t="s">
        <v>105</v>
      </c>
      <c r="H10" s="324"/>
      <c r="I10" s="319"/>
      <c r="J10" s="329"/>
      <c r="K10" s="319"/>
      <c r="L10" s="329"/>
      <c r="M10" s="323"/>
      <c r="N10" s="325" t="s">
        <v>105</v>
      </c>
      <c r="O10" s="330" t="s">
        <v>105</v>
      </c>
      <c r="P10" s="319" t="s">
        <v>105</v>
      </c>
      <c r="Q10" s="72"/>
      <c r="R10" s="329" t="s">
        <v>105</v>
      </c>
      <c r="S10" s="278"/>
      <c r="T10" s="214"/>
      <c r="U10" s="214"/>
      <c r="V10" s="319" t="s">
        <v>105</v>
      </c>
      <c r="W10" s="461"/>
      <c r="X10" s="214"/>
      <c r="Y10" s="319" t="s">
        <v>105</v>
      </c>
      <c r="Z10" s="461"/>
      <c r="AA10" s="319" t="s">
        <v>105</v>
      </c>
      <c r="AB10" s="165"/>
      <c r="AC10" s="75"/>
      <c r="AD10" s="75"/>
      <c r="AE10" s="322" t="s">
        <v>105</v>
      </c>
      <c r="AF10" s="322" t="s">
        <v>122</v>
      </c>
      <c r="AG10" s="214"/>
      <c r="AH10" s="214"/>
      <c r="AI10" s="319" t="s">
        <v>105</v>
      </c>
      <c r="AJ10" s="319" t="s">
        <v>122</v>
      </c>
      <c r="AK10" s="461"/>
      <c r="AL10" s="319" t="s">
        <v>105</v>
      </c>
      <c r="AM10" s="331"/>
      <c r="AN10" s="319"/>
    </row>
    <row r="11" spans="1:40" s="62" customFormat="1" x14ac:dyDescent="0.2">
      <c r="A11" s="66"/>
      <c r="B11" s="66"/>
      <c r="C11" s="66"/>
      <c r="D11" s="66"/>
      <c r="E11" s="126"/>
      <c r="F11" s="123"/>
      <c r="G11" s="469"/>
      <c r="H11" s="99"/>
      <c r="I11" s="72"/>
      <c r="J11" s="239"/>
      <c r="K11" s="72"/>
      <c r="L11" s="239"/>
      <c r="M11" s="220"/>
      <c r="N11" s="231"/>
      <c r="O11" s="227"/>
      <c r="P11" s="72"/>
      <c r="Q11" s="72"/>
      <c r="R11" s="239"/>
      <c r="S11" s="278"/>
      <c r="T11" s="214"/>
      <c r="U11" s="214"/>
      <c r="V11" s="72"/>
      <c r="W11" s="461"/>
      <c r="X11" s="214"/>
      <c r="Y11" s="72"/>
      <c r="Z11" s="461"/>
      <c r="AA11" s="72"/>
      <c r="AB11" s="165"/>
      <c r="AC11" s="75"/>
      <c r="AD11" s="75"/>
      <c r="AE11" s="75"/>
      <c r="AF11" s="75"/>
      <c r="AG11" s="214"/>
      <c r="AH11" s="214"/>
      <c r="AI11" s="72"/>
      <c r="AJ11" s="72"/>
      <c r="AK11" s="461"/>
      <c r="AL11" s="72"/>
      <c r="AM11" s="99"/>
      <c r="AN11" s="72"/>
    </row>
    <row r="12" spans="1:40" s="62" customFormat="1" x14ac:dyDescent="0.2">
      <c r="A12" s="66"/>
      <c r="B12" s="66"/>
      <c r="C12" s="66"/>
      <c r="D12" s="66"/>
      <c r="E12" s="126"/>
      <c r="F12" s="72"/>
      <c r="G12" s="205"/>
      <c r="H12" s="99"/>
      <c r="I12" s="72"/>
      <c r="J12" s="239"/>
      <c r="K12" s="72"/>
      <c r="L12" s="239"/>
      <c r="M12" s="84"/>
      <c r="N12" s="230"/>
      <c r="O12" s="78"/>
      <c r="P12" s="72"/>
      <c r="Q12" s="72"/>
      <c r="R12" s="239"/>
      <c r="S12" s="278"/>
      <c r="T12" s="214"/>
      <c r="U12" s="214"/>
      <c r="V12" s="72"/>
      <c r="W12" s="461"/>
      <c r="X12" s="214"/>
      <c r="Y12" s="72"/>
      <c r="Z12" s="461"/>
      <c r="AA12" s="72"/>
      <c r="AB12" s="165"/>
      <c r="AC12" s="75"/>
      <c r="AD12" s="75"/>
      <c r="AE12" s="75"/>
      <c r="AF12" s="75"/>
      <c r="AG12" s="214"/>
      <c r="AH12" s="214"/>
      <c r="AI12" s="72"/>
      <c r="AJ12" s="72"/>
      <c r="AK12" s="461"/>
      <c r="AL12" s="72"/>
      <c r="AM12" s="99"/>
      <c r="AN12" s="72"/>
    </row>
    <row r="13" spans="1:40" s="62" customFormat="1" x14ac:dyDescent="0.2">
      <c r="A13" s="66"/>
      <c r="B13" s="66"/>
      <c r="C13" s="66"/>
      <c r="D13" s="66"/>
      <c r="E13" s="126" t="s">
        <v>701</v>
      </c>
      <c r="F13" s="72" t="s">
        <v>701</v>
      </c>
      <c r="G13" s="205" t="s">
        <v>701</v>
      </c>
      <c r="H13" s="99" t="s">
        <v>701</v>
      </c>
      <c r="I13" s="72" t="s">
        <v>701</v>
      </c>
      <c r="J13" s="239" t="s">
        <v>701</v>
      </c>
      <c r="K13" s="72" t="s">
        <v>701</v>
      </c>
      <c r="L13" s="239" t="s">
        <v>701</v>
      </c>
      <c r="M13" s="72" t="s">
        <v>701</v>
      </c>
      <c r="N13" s="230" t="s">
        <v>701</v>
      </c>
      <c r="O13" s="78" t="s">
        <v>701</v>
      </c>
      <c r="P13" s="72" t="s">
        <v>701</v>
      </c>
      <c r="Q13" s="72" t="s">
        <v>701</v>
      </c>
      <c r="R13" s="239" t="s">
        <v>701</v>
      </c>
      <c r="S13" s="278" t="s">
        <v>701</v>
      </c>
      <c r="T13" s="214" t="s">
        <v>701</v>
      </c>
      <c r="U13" s="214" t="s">
        <v>701</v>
      </c>
      <c r="V13" s="72" t="s">
        <v>701</v>
      </c>
      <c r="W13" s="461" t="s">
        <v>701</v>
      </c>
      <c r="X13" s="214" t="s">
        <v>701</v>
      </c>
      <c r="Y13" s="72" t="s">
        <v>701</v>
      </c>
      <c r="Z13" s="461" t="s">
        <v>701</v>
      </c>
      <c r="AA13" s="72" t="s">
        <v>701</v>
      </c>
      <c r="AB13" s="165" t="s">
        <v>701</v>
      </c>
      <c r="AC13" s="75" t="s">
        <v>701</v>
      </c>
      <c r="AD13" s="75" t="s">
        <v>701</v>
      </c>
      <c r="AE13" s="75" t="s">
        <v>701</v>
      </c>
      <c r="AF13" s="75" t="s">
        <v>701</v>
      </c>
      <c r="AG13" s="214" t="s">
        <v>701</v>
      </c>
      <c r="AH13" s="214" t="s">
        <v>701</v>
      </c>
      <c r="AI13" s="72" t="s">
        <v>701</v>
      </c>
      <c r="AJ13" s="72" t="s">
        <v>701</v>
      </c>
      <c r="AK13" s="461" t="s">
        <v>701</v>
      </c>
      <c r="AL13" s="72" t="s">
        <v>701</v>
      </c>
      <c r="AM13" s="99" t="s">
        <v>701</v>
      </c>
      <c r="AN13" s="72" t="s">
        <v>701</v>
      </c>
    </row>
    <row r="14" spans="1:40" s="62" customFormat="1" x14ac:dyDescent="0.2">
      <c r="A14" s="52" t="s">
        <v>591</v>
      </c>
      <c r="B14" s="52" t="s">
        <v>5</v>
      </c>
      <c r="C14" s="52" t="s">
        <v>73</v>
      </c>
      <c r="D14" s="52" t="s">
        <v>76</v>
      </c>
      <c r="E14" s="256" t="s">
        <v>786</v>
      </c>
      <c r="F14" s="176" t="s">
        <v>787</v>
      </c>
      <c r="G14" s="204" t="s">
        <v>788</v>
      </c>
      <c r="H14" s="178" t="s">
        <v>463</v>
      </c>
      <c r="I14" s="176" t="s">
        <v>912</v>
      </c>
      <c r="J14" s="178" t="s">
        <v>464</v>
      </c>
      <c r="K14" s="176" t="s">
        <v>465</v>
      </c>
      <c r="L14" s="178" t="s">
        <v>446</v>
      </c>
      <c r="M14" s="176" t="s">
        <v>447</v>
      </c>
      <c r="N14" s="178" t="s">
        <v>618</v>
      </c>
      <c r="O14" s="92" t="s">
        <v>619</v>
      </c>
      <c r="P14" s="176" t="s">
        <v>457</v>
      </c>
      <c r="Q14" s="176" t="s">
        <v>620</v>
      </c>
      <c r="R14" s="178" t="s">
        <v>455</v>
      </c>
      <c r="S14" s="255" t="s">
        <v>621</v>
      </c>
      <c r="T14" s="215" t="s">
        <v>623</v>
      </c>
      <c r="U14" s="215" t="s">
        <v>622</v>
      </c>
      <c r="V14" s="176" t="s">
        <v>456</v>
      </c>
      <c r="W14" s="391" t="s">
        <v>458</v>
      </c>
      <c r="X14" s="215" t="s">
        <v>459</v>
      </c>
      <c r="Y14" s="176" t="s">
        <v>460</v>
      </c>
      <c r="Z14" s="391" t="s">
        <v>461</v>
      </c>
      <c r="AA14" s="176" t="s">
        <v>462</v>
      </c>
      <c r="AB14" s="391" t="s">
        <v>624</v>
      </c>
      <c r="AC14" s="92" t="s">
        <v>625</v>
      </c>
      <c r="AD14" s="92" t="s">
        <v>626</v>
      </c>
      <c r="AE14" s="92" t="s">
        <v>737</v>
      </c>
      <c r="AF14" s="92" t="s">
        <v>738</v>
      </c>
      <c r="AG14" s="215" t="s">
        <v>627</v>
      </c>
      <c r="AH14" s="215" t="s">
        <v>628</v>
      </c>
      <c r="AI14" s="176" t="s">
        <v>450</v>
      </c>
      <c r="AJ14" s="176" t="s">
        <v>451</v>
      </c>
      <c r="AK14" s="391" t="s">
        <v>452</v>
      </c>
      <c r="AL14" s="176" t="s">
        <v>453</v>
      </c>
      <c r="AM14" s="178" t="s">
        <v>617</v>
      </c>
      <c r="AN14" s="176" t="s">
        <v>454</v>
      </c>
    </row>
    <row r="15" spans="1:40" s="40" customFormat="1" x14ac:dyDescent="0.2">
      <c r="A15" s="53"/>
      <c r="B15" s="53"/>
      <c r="C15" s="53"/>
      <c r="D15" s="53" t="str">
        <f>B15&amp;"|"&amp;C15</f>
        <v>|</v>
      </c>
      <c r="E15" s="126"/>
      <c r="F15" s="72"/>
      <c r="G15" s="205"/>
      <c r="H15" s="99"/>
      <c r="I15" s="72"/>
      <c r="J15" s="99"/>
      <c r="K15" s="72"/>
      <c r="L15" s="126"/>
      <c r="M15" s="84"/>
      <c r="N15" s="116"/>
      <c r="O15" s="79"/>
      <c r="P15" s="72"/>
      <c r="Q15" s="84" t="str">
        <f>IF(SUM($O15,$P15)=0,"",$P15-$O15)</f>
        <v/>
      </c>
      <c r="R15" s="116"/>
      <c r="S15" s="254" t="str">
        <f>IF(SUM($Q15)=0,"",100%)</f>
        <v/>
      </c>
      <c r="T15" s="36" t="str">
        <f>IF(SUM($P15)=0,"",98%)</f>
        <v/>
      </c>
      <c r="U15" s="36" t="str">
        <f>IF(SUM($P15)=0,"",98%)</f>
        <v/>
      </c>
      <c r="V15" s="72" t="str">
        <f>IF(SUM($P15)=0,"",ROUND(($P15-($O15*$T15))/$U15,0))</f>
        <v/>
      </c>
      <c r="W15" s="167" t="str">
        <f>IF(SUM($V15)=0,"",70%)</f>
        <v/>
      </c>
      <c r="X15" s="55" t="str">
        <f>IF(SUM($V15)=0,"",100%)</f>
        <v/>
      </c>
      <c r="Y15" s="72" t="str">
        <f>IF(SUM($V15,$O15)=0,"",ROUND(($V15*$W15+$O15)*$X15,0))</f>
        <v/>
      </c>
      <c r="Z15" s="167" t="str">
        <f>IF(SUM($Y15)=0,"",95%)</f>
        <v/>
      </c>
      <c r="AA15" s="72" t="str">
        <f>IF(SUM($Y15)=0,"",ROUND($Y15*$Z15,0))</f>
        <v/>
      </c>
      <c r="AB15" s="165"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5" t="str">
        <f>IF(SUM($AI15)=0,"",100%)</f>
        <v/>
      </c>
      <c r="AL15" s="72" t="str">
        <f>IF(SUM($AI15)=0,"",ROUND($AI15*$AK15,0))</f>
        <v/>
      </c>
      <c r="AM15" s="99"/>
      <c r="AN15" s="72"/>
    </row>
  </sheetData>
  <conditionalFormatting sqref="X1:X1048576">
    <cfRule type="expression" dxfId="125" priority="31">
      <formula>AND(ISNUMBER($X1),ROUND(SUM($Y1),0)&gt;0,ROUND(SUM($X1),2)&lt;1)</formula>
    </cfRule>
  </conditionalFormatting>
  <conditionalFormatting sqref="Z1:Z1048576">
    <cfRule type="expression" dxfId="124" priority="32">
      <formula>AND(ISNUMBER($Z1),SUM($Y1)&gt;0,ROUND(SUM($Z1),2)&lt;95%)</formula>
    </cfRule>
  </conditionalFormatting>
  <conditionalFormatting sqref="AK1:AK1048576">
    <cfRule type="expression" dxfId="123" priority="30">
      <formula>AND(ISNUMBER($AK1),SUM($AI1)&gt;0,ROUND(SUM($AK1),2)&lt;1)</formula>
    </cfRule>
  </conditionalFormatting>
  <conditionalFormatting sqref="E1:G1048576">
    <cfRule type="expression" dxfId="122" priority="17">
      <formula>LEFT($B1,4)="_Mil"</formula>
    </cfRule>
  </conditionalFormatting>
  <conditionalFormatting sqref="W1:W1048576">
    <cfRule type="expression" dxfId="121" priority="11">
      <formula>AND(ISNUMBER($W1),ROUND(SUM($V1),0)&gt;0,ROUND(SUM($W1),2)&lt;70%)</formula>
    </cfRule>
  </conditionalFormatting>
  <conditionalFormatting sqref="AG1:AG1048576">
    <cfRule type="expression" dxfId="120" priority="10">
      <formula>AND(ISNUMBER($AG1),ROUND(SUM($V1),0)&gt;0,ROUND(SUM($AG1),2)&lt;95%)</formula>
    </cfRule>
  </conditionalFormatting>
  <conditionalFormatting sqref="U1:U1048576">
    <cfRule type="expression" dxfId="119" priority="8">
      <formula>AND(ISNUMBER($U1),SUM($V1)&gt;0,ROUND(SUM($U1),2)&lt;98%)</formula>
    </cfRule>
  </conditionalFormatting>
  <conditionalFormatting sqref="S1:S1048576">
    <cfRule type="expression" dxfId="118" priority="4">
      <formula>AND(ISNUMBER($S1),ROUND(SUM($S1),2)&lt;100%)</formula>
    </cfRule>
  </conditionalFormatting>
  <conditionalFormatting sqref="AB1:AB1048576">
    <cfRule type="expression" dxfId="117" priority="5">
      <formula>AND(ISNUMBER($AB1),ROUND(SUM($V1),0)&gt;0,ROUND(SUM($AB1),2)&gt;0)</formula>
    </cfRule>
  </conditionalFormatting>
  <conditionalFormatting sqref="E1:F1048576 H1:R1048576 V1:V1048576 Y1:Y1048576 AA1:AA1048576 AC1:AF1048576 AI1:AJ1048576 AL1:AN1048576">
    <cfRule type="expression" dxfId="116" priority="2">
      <formula>AND(ISNUMBER(E1),ROUND(E1,0)&lt;0)</formula>
    </cfRule>
  </conditionalFormatting>
  <conditionalFormatting sqref="G1:G1048576 S1:U1048576 W1:X1048576 Z1:Z1048576 AB1:AB1048576 AG1:AH1048576 AK1:AK1048576">
    <cfRule type="expression" dxfId="115" priority="1">
      <formula>AND(ISNUMBER(G1),OR(ROUND(G1,2)&lt;0,ROUND(G1,2)&gt;1))</formula>
    </cfRule>
  </conditionalFormatting>
  <conditionalFormatting sqref="T1:T1048576">
    <cfRule type="expression" dxfId="114"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62" customWidth="1"/>
    <col min="7" max="15" width="11.83203125" customWidth="1"/>
    <col min="16" max="16" width="11.83203125" style="462" customWidth="1"/>
    <col min="17" max="33" width="11.83203125" customWidth="1"/>
    <col min="34" max="34" width="11.83203125" style="462" customWidth="1"/>
    <col min="35" max="36" width="11.83203125" customWidth="1"/>
    <col min="37" max="37" width="11.83203125" style="462" customWidth="1"/>
    <col min="38" max="39" width="11.83203125" customWidth="1"/>
    <col min="40" max="40" width="11.83203125" style="462" customWidth="1"/>
    <col min="41" max="42" width="11.83203125" customWidth="1"/>
    <col min="43" max="43" width="11.83203125" style="462" customWidth="1"/>
    <col min="44" max="45" width="11.83203125" customWidth="1"/>
    <col min="46" max="46" width="11.83203125" style="462" customWidth="1"/>
    <col min="47" max="48" width="11.83203125" customWidth="1"/>
    <col min="49" max="49" width="11.83203125" style="462" customWidth="1"/>
    <col min="50" max="51" width="11.83203125" customWidth="1"/>
    <col min="52" max="52" width="11.83203125" style="462" customWidth="1"/>
    <col min="53" max="54" width="11.83203125" customWidth="1"/>
    <col min="55" max="55" width="11.83203125" style="462" customWidth="1"/>
    <col min="56" max="57" width="11.83203125" customWidth="1"/>
    <col min="58" max="58" width="11.83203125" style="462" customWidth="1"/>
    <col min="59" max="60" width="11.83203125" customWidth="1"/>
    <col min="61" max="61" width="11.83203125" style="462" customWidth="1"/>
    <col min="62" max="63" width="11.83203125" customWidth="1"/>
    <col min="64" max="64" width="11.83203125" style="462" customWidth="1"/>
    <col min="65" max="66" width="11.83203125" customWidth="1"/>
    <col min="67" max="67" width="11.83203125" style="462" customWidth="1"/>
    <col min="68" max="78" width="11.83203125" customWidth="1"/>
    <col min="79" max="79" width="11.83203125" style="462" customWidth="1"/>
    <col min="80" max="81" width="11.83203125" customWidth="1"/>
  </cols>
  <sheetData>
    <row r="1" spans="1:81" s="57" customFormat="1" ht="31" customHeight="1" thickBot="1" x14ac:dyDescent="0.35">
      <c r="A1" s="5" t="s">
        <v>10</v>
      </c>
      <c r="B1" s="5"/>
      <c r="C1" s="1"/>
      <c r="D1" s="1"/>
      <c r="E1" s="1"/>
      <c r="F1" s="248" t="s">
        <v>607</v>
      </c>
      <c r="G1" s="393"/>
      <c r="H1" s="134"/>
      <c r="I1" s="134"/>
      <c r="J1" s="134"/>
      <c r="K1" s="134"/>
      <c r="L1" s="134"/>
      <c r="M1" s="134"/>
      <c r="N1" s="134"/>
      <c r="O1" s="134"/>
      <c r="P1" s="248" t="s">
        <v>58</v>
      </c>
      <c r="Q1" s="250"/>
      <c r="R1" s="250"/>
      <c r="S1" s="250"/>
      <c r="T1" s="250"/>
      <c r="U1" s="250"/>
      <c r="V1" s="45"/>
      <c r="W1" s="45"/>
      <c r="X1" s="45"/>
      <c r="Y1" s="45"/>
      <c r="Z1" s="45"/>
      <c r="AA1" s="45"/>
      <c r="AB1" s="45"/>
      <c r="AC1" s="45"/>
      <c r="AD1" s="250"/>
      <c r="AE1" s="250"/>
      <c r="AF1" s="45"/>
      <c r="AG1" s="45"/>
      <c r="AH1" s="248" t="s">
        <v>62</v>
      </c>
      <c r="AI1" s="67"/>
      <c r="AJ1" s="67"/>
      <c r="AK1" s="248" t="s">
        <v>64</v>
      </c>
      <c r="AL1" s="67"/>
      <c r="AM1" s="67"/>
      <c r="AN1" s="248" t="s">
        <v>63</v>
      </c>
      <c r="AO1" s="67"/>
      <c r="AP1" s="67"/>
      <c r="AQ1" s="248" t="s">
        <v>65</v>
      </c>
      <c r="AR1" s="67"/>
      <c r="AS1" s="67"/>
      <c r="AT1" s="248" t="s">
        <v>61</v>
      </c>
      <c r="AU1" s="67"/>
      <c r="AV1" s="67"/>
      <c r="AW1" s="248" t="s">
        <v>67</v>
      </c>
      <c r="AX1" s="67"/>
      <c r="AY1" s="67"/>
      <c r="AZ1" s="248" t="s">
        <v>66</v>
      </c>
      <c r="BA1" s="67"/>
      <c r="BB1" s="67"/>
      <c r="BC1" s="248" t="s">
        <v>930</v>
      </c>
      <c r="BD1" s="67"/>
      <c r="BE1" s="67"/>
      <c r="BF1" s="248" t="s">
        <v>54</v>
      </c>
      <c r="BG1" s="67"/>
      <c r="BH1" s="67"/>
      <c r="BI1" s="248" t="s">
        <v>926</v>
      </c>
      <c r="BJ1" s="67"/>
      <c r="BK1" s="67"/>
      <c r="BL1" s="248" t="s">
        <v>60</v>
      </c>
      <c r="BM1" s="67"/>
      <c r="BN1" s="67"/>
      <c r="BO1" s="114" t="s">
        <v>255</v>
      </c>
      <c r="BP1" s="118"/>
      <c r="BQ1" s="118"/>
      <c r="BR1" s="118"/>
      <c r="BS1" s="118"/>
      <c r="BT1" s="118"/>
      <c r="BU1" s="118"/>
      <c r="BV1" s="118"/>
      <c r="BW1" s="118"/>
      <c r="BX1" s="118"/>
      <c r="BY1" s="118"/>
      <c r="BZ1" s="35"/>
      <c r="CA1" s="114" t="s">
        <v>53</v>
      </c>
      <c r="CB1" s="45"/>
      <c r="CC1" s="67"/>
    </row>
    <row r="2" spans="1:81" s="56" customFormat="1" ht="19" customHeight="1" x14ac:dyDescent="0.25">
      <c r="A2" s="365" t="s">
        <v>774</v>
      </c>
      <c r="B2" s="366"/>
      <c r="C2" s="2"/>
      <c r="D2" s="2"/>
      <c r="E2" s="2"/>
      <c r="F2" s="249" t="s">
        <v>74</v>
      </c>
      <c r="G2" s="251"/>
      <c r="H2" s="159"/>
      <c r="I2" s="159"/>
      <c r="J2" s="159"/>
      <c r="K2" s="159"/>
      <c r="L2" s="159"/>
      <c r="M2" s="159"/>
      <c r="N2" s="159"/>
      <c r="O2" s="159"/>
      <c r="P2" s="249" t="s">
        <v>74</v>
      </c>
      <c r="Q2" s="251"/>
      <c r="R2" s="251"/>
      <c r="S2" s="251"/>
      <c r="T2" s="251"/>
      <c r="U2" s="251"/>
      <c r="V2" s="34" t="s">
        <v>2</v>
      </c>
      <c r="W2" s="34"/>
      <c r="X2" s="34"/>
      <c r="Y2" s="34"/>
      <c r="Z2" s="34"/>
      <c r="AA2" s="34"/>
      <c r="AB2" s="34"/>
      <c r="AC2" s="34"/>
      <c r="AD2" s="251"/>
      <c r="AE2" s="251"/>
      <c r="AF2" s="34"/>
      <c r="AG2" s="34" t="s">
        <v>59</v>
      </c>
      <c r="AH2" s="249" t="s">
        <v>2</v>
      </c>
      <c r="AI2" s="68" t="s">
        <v>3</v>
      </c>
      <c r="AJ2" s="68"/>
      <c r="AK2" s="249" t="s">
        <v>2</v>
      </c>
      <c r="AL2" s="68" t="s">
        <v>3</v>
      </c>
      <c r="AM2" s="68"/>
      <c r="AN2" s="249" t="s">
        <v>2</v>
      </c>
      <c r="AO2" s="68" t="s">
        <v>3</v>
      </c>
      <c r="AP2" s="68"/>
      <c r="AQ2" s="249" t="s">
        <v>2</v>
      </c>
      <c r="AR2" s="68" t="s">
        <v>3</v>
      </c>
      <c r="AS2" s="68"/>
      <c r="AT2" s="249" t="s">
        <v>2</v>
      </c>
      <c r="AU2" s="68" t="s">
        <v>3</v>
      </c>
      <c r="AV2" s="68"/>
      <c r="AW2" s="249" t="s">
        <v>2</v>
      </c>
      <c r="AX2" s="68" t="s">
        <v>3</v>
      </c>
      <c r="AY2" s="68"/>
      <c r="AZ2" s="249" t="s">
        <v>2</v>
      </c>
      <c r="BA2" s="68" t="s">
        <v>3</v>
      </c>
      <c r="BB2" s="68"/>
      <c r="BC2" s="249" t="s">
        <v>2</v>
      </c>
      <c r="BD2" s="68" t="s">
        <v>3</v>
      </c>
      <c r="BE2" s="68"/>
      <c r="BF2" s="249" t="s">
        <v>2</v>
      </c>
      <c r="BG2" s="68" t="s">
        <v>3</v>
      </c>
      <c r="BH2" s="68"/>
      <c r="BI2" s="249" t="s">
        <v>2</v>
      </c>
      <c r="BJ2" s="68" t="s">
        <v>3</v>
      </c>
      <c r="BK2" s="68"/>
      <c r="BL2" s="249" t="s">
        <v>2</v>
      </c>
      <c r="BM2" s="68" t="s">
        <v>3</v>
      </c>
      <c r="BN2" s="68"/>
      <c r="BO2" s="115" t="s">
        <v>59</v>
      </c>
      <c r="BP2" s="275"/>
      <c r="BQ2" s="119"/>
      <c r="BR2" s="119" t="s">
        <v>74</v>
      </c>
      <c r="BS2" s="119"/>
      <c r="BT2" s="119"/>
      <c r="BU2" s="119"/>
      <c r="BV2" s="119"/>
      <c r="BW2" s="119"/>
      <c r="BX2" s="275" t="s">
        <v>3</v>
      </c>
      <c r="BY2" s="275"/>
      <c r="BZ2" s="34"/>
      <c r="CA2" s="112" t="s">
        <v>74</v>
      </c>
      <c r="CB2" s="34" t="s">
        <v>2</v>
      </c>
      <c r="CC2" s="68" t="s">
        <v>3</v>
      </c>
    </row>
    <row r="3" spans="1:81" s="40" customFormat="1" ht="117" customHeight="1" thickBot="1" x14ac:dyDescent="0.25">
      <c r="A3" s="367"/>
      <c r="B3" s="368"/>
      <c r="C3" s="47"/>
      <c r="D3" s="47"/>
      <c r="E3" s="47"/>
      <c r="F3" s="267" t="s">
        <v>815</v>
      </c>
      <c r="G3" s="266" t="s">
        <v>1106</v>
      </c>
      <c r="H3" s="265" t="s">
        <v>808</v>
      </c>
      <c r="I3" s="265" t="s">
        <v>1024</v>
      </c>
      <c r="J3" s="265" t="s">
        <v>1025</v>
      </c>
      <c r="K3" s="265" t="s">
        <v>856</v>
      </c>
      <c r="L3" s="265" t="s">
        <v>857</v>
      </c>
      <c r="M3" s="265" t="s">
        <v>858</v>
      </c>
      <c r="N3" s="265" t="s">
        <v>859</v>
      </c>
      <c r="O3" s="265" t="s">
        <v>860</v>
      </c>
      <c r="P3" s="267" t="s">
        <v>797</v>
      </c>
      <c r="Q3" s="266" t="s">
        <v>796</v>
      </c>
      <c r="R3" s="266" t="s">
        <v>735</v>
      </c>
      <c r="S3" s="266" t="s">
        <v>734</v>
      </c>
      <c r="T3" s="266" t="s">
        <v>733</v>
      </c>
      <c r="U3" s="266" t="s">
        <v>732</v>
      </c>
      <c r="V3" s="268" t="s">
        <v>84</v>
      </c>
      <c r="W3" s="268" t="s">
        <v>86</v>
      </c>
      <c r="X3" s="268" t="s">
        <v>85</v>
      </c>
      <c r="Y3" s="268" t="s">
        <v>87</v>
      </c>
      <c r="Z3" s="268" t="s">
        <v>83</v>
      </c>
      <c r="AA3" s="268" t="s">
        <v>89</v>
      </c>
      <c r="AB3" s="268" t="s">
        <v>88</v>
      </c>
      <c r="AC3" s="268" t="s">
        <v>1018</v>
      </c>
      <c r="AD3" s="269" t="s">
        <v>81</v>
      </c>
      <c r="AE3" s="269" t="s">
        <v>1019</v>
      </c>
      <c r="AF3" s="268" t="s">
        <v>82</v>
      </c>
      <c r="AG3" s="409" t="s">
        <v>90</v>
      </c>
      <c r="AH3" s="412" t="s">
        <v>55</v>
      </c>
      <c r="AI3" s="70" t="s">
        <v>56</v>
      </c>
      <c r="AJ3" s="69" t="s">
        <v>57</v>
      </c>
      <c r="AK3" s="412" t="s">
        <v>55</v>
      </c>
      <c r="AL3" s="70" t="s">
        <v>56</v>
      </c>
      <c r="AM3" s="69" t="s">
        <v>57</v>
      </c>
      <c r="AN3" s="412" t="s">
        <v>55</v>
      </c>
      <c r="AO3" s="70" t="s">
        <v>56</v>
      </c>
      <c r="AP3" s="69" t="s">
        <v>57</v>
      </c>
      <c r="AQ3" s="412" t="s">
        <v>55</v>
      </c>
      <c r="AR3" s="70" t="s">
        <v>56</v>
      </c>
      <c r="AS3" s="69" t="s">
        <v>57</v>
      </c>
      <c r="AT3" s="412" t="s">
        <v>55</v>
      </c>
      <c r="AU3" s="70" t="s">
        <v>56</v>
      </c>
      <c r="AV3" s="69" t="s">
        <v>57</v>
      </c>
      <c r="AW3" s="412" t="s">
        <v>55</v>
      </c>
      <c r="AX3" s="70" t="s">
        <v>56</v>
      </c>
      <c r="AY3" s="69" t="s">
        <v>57</v>
      </c>
      <c r="AZ3" s="412" t="s">
        <v>55</v>
      </c>
      <c r="BA3" s="70" t="s">
        <v>56</v>
      </c>
      <c r="BB3" s="69" t="s">
        <v>57</v>
      </c>
      <c r="BC3" s="412" t="s">
        <v>55</v>
      </c>
      <c r="BD3" s="70" t="s">
        <v>56</v>
      </c>
      <c r="BE3" s="69" t="s">
        <v>57</v>
      </c>
      <c r="BF3" s="412" t="s">
        <v>55</v>
      </c>
      <c r="BG3" s="70" t="s">
        <v>56</v>
      </c>
      <c r="BH3" s="69" t="s">
        <v>57</v>
      </c>
      <c r="BI3" s="412" t="s">
        <v>55</v>
      </c>
      <c r="BJ3" s="70" t="s">
        <v>56</v>
      </c>
      <c r="BK3" s="69" t="s">
        <v>57</v>
      </c>
      <c r="BL3" s="412" t="s">
        <v>55</v>
      </c>
      <c r="BM3" s="70" t="s">
        <v>56</v>
      </c>
      <c r="BN3" s="69" t="s">
        <v>57</v>
      </c>
      <c r="BO3" s="261" t="s">
        <v>1085</v>
      </c>
      <c r="BP3" s="259" t="s">
        <v>1029</v>
      </c>
      <c r="BQ3" s="120" t="s">
        <v>264</v>
      </c>
      <c r="BR3" s="265" t="s">
        <v>1022</v>
      </c>
      <c r="BS3" s="265" t="s">
        <v>1023</v>
      </c>
      <c r="BT3" s="265" t="s">
        <v>861</v>
      </c>
      <c r="BU3" s="265" t="s">
        <v>862</v>
      </c>
      <c r="BV3" s="265" t="s">
        <v>863</v>
      </c>
      <c r="BW3" s="265" t="s">
        <v>864</v>
      </c>
      <c r="BX3" s="259" t="s">
        <v>1084</v>
      </c>
      <c r="BY3" s="259" t="s">
        <v>1083</v>
      </c>
      <c r="BZ3" s="409" t="s">
        <v>1082</v>
      </c>
      <c r="CA3" s="148" t="s">
        <v>1053</v>
      </c>
      <c r="CB3" s="48" t="s">
        <v>261</v>
      </c>
      <c r="CC3" s="69" t="s">
        <v>865</v>
      </c>
    </row>
    <row r="4" spans="1:81" s="40" customFormat="1" x14ac:dyDescent="0.2">
      <c r="A4" s="49"/>
      <c r="B4" s="49"/>
      <c r="C4" s="49"/>
      <c r="D4" s="49" t="s">
        <v>4</v>
      </c>
      <c r="E4" s="49"/>
      <c r="F4" s="164"/>
      <c r="G4" s="253"/>
      <c r="H4" s="121">
        <f>SUBTOTAL(109,H$15:INDEX(H:H,COUNTA($B:$B)+14-COUNTA($B$1:$B$14)))</f>
        <v>0</v>
      </c>
      <c r="I4" s="121">
        <f>SUBTOTAL(109,I$15:INDEX(I:I,COUNTA($B:$B)+14-COUNTA($B$1:$B$14)))</f>
        <v>0</v>
      </c>
      <c r="J4" s="121">
        <f>SUBTOTAL(109,J$15:INDEX(J:J,COUNTA($B:$B)+14-COUNTA($B$1:$B$14)))</f>
        <v>0</v>
      </c>
      <c r="K4" s="121">
        <f>SUBTOTAL(109,K$15:INDEX(K:K,COUNTA($B:$B)+14-COUNTA($B$1:$B$14)))</f>
        <v>0</v>
      </c>
      <c r="L4" s="121">
        <f>SUBTOTAL(109,L$15:INDEX(L:L,COUNTA($B:$B)+14-COUNTA($B$1:$B$14)))</f>
        <v>0</v>
      </c>
      <c r="M4" s="121">
        <f>SUBTOTAL(109,M$15:INDEX(M:M,COUNTA($B:$B)+14-COUNTA($B$1:$B$14)))</f>
        <v>0</v>
      </c>
      <c r="N4" s="121">
        <f>SUBTOTAL(109,N$15:INDEX(N:N,COUNTA($B:$B)+14-COUNTA($B$1:$B$14)))</f>
        <v>0</v>
      </c>
      <c r="O4" s="121">
        <f>SUBTOTAL(109,O$15:INDEX(O:O,COUNTA($B:$B)+14-COUNTA($B$1:$B$14)))</f>
        <v>0</v>
      </c>
      <c r="P4" s="164" t="str">
        <f>IF(OR(SUM($I$4)=0,SUM($H$4)=0),"",SUM($I$4)/SUM($H$4))</f>
        <v/>
      </c>
      <c r="Q4" s="253" t="str">
        <f>IF(OR(SUM($J$4)=0,SUM($H$4)=0),"",SUM($J$4)/SUM($H$4))</f>
        <v/>
      </c>
      <c r="R4" s="253" t="str">
        <f>IF(OR(SUM($H$4)=0,SUM($K$4)=0),"",SUM($K$4)/SUM($H$4))</f>
        <v/>
      </c>
      <c r="S4" s="253" t="str">
        <f>IF(OR(SUM($H$4)=0,SUM($L$4)=0),"",SUM($L$4)/SUM($H$4))</f>
        <v/>
      </c>
      <c r="T4" s="253" t="str">
        <f>IF(OR(SUM($H$4)=0,SUM($M$4)=0),"",SUM($M$4)/SUM($H$4))</f>
        <v/>
      </c>
      <c r="U4" s="253"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53" t="str">
        <f>IF(OR(SUM($H$4)=0,SUM($BG$4)=0),"",SUM($BG$4)/SUM($H$4))</f>
        <v/>
      </c>
      <c r="AE4" s="253" t="str">
        <f>IF(OR(SUM($H$4)=0,SUM($BJ$4)=0),"",SUM($BJ$4)/SUM($H$4))</f>
        <v/>
      </c>
      <c r="AF4" s="50" t="str">
        <f>IF(OR(SUM($H$4)=0,SUM($BM$4)=0),"",SUM($BM$4)/SUM($H$4))</f>
        <v/>
      </c>
      <c r="AG4" s="50">
        <f>SUM($P4:$AF4)</f>
        <v>0</v>
      </c>
      <c r="AH4" s="164" t="str">
        <f>IF(SUM(AI4:AJ4)=0,"",AI4/(SUM(AI4:AJ4)))</f>
        <v/>
      </c>
      <c r="AI4" s="71">
        <f>SUBTOTAL(109,AI$15:INDEX(AI:AI,COUNTA($B:$B)+14-COUNTA($B$1:$B$14)))</f>
        <v>0</v>
      </c>
      <c r="AJ4" s="71">
        <f>SUBTOTAL(109,AJ$15:INDEX(AJ:AJ,COUNTA($B:$B)+14-COUNTA($B$1:$B$14)))</f>
        <v>0</v>
      </c>
      <c r="AK4" s="164" t="str">
        <f>IF(SUM(AL4:AM4)=0,"",AL4/(SUM(AL4:AM4)))</f>
        <v/>
      </c>
      <c r="AL4" s="71">
        <f>SUBTOTAL(109,AL$15:INDEX(AL:AL,COUNTA($B:$B)+14-COUNTA($B$1:$B$14)))</f>
        <v>0</v>
      </c>
      <c r="AM4" s="71">
        <f>SUBTOTAL(109,AM$15:INDEX(AM:AM,COUNTA($B:$B)+14-COUNTA($B$1:$B$14)))</f>
        <v>0</v>
      </c>
      <c r="AN4" s="164" t="str">
        <f>IF(SUM(AO4:AP4)=0,"",AO4/(SUM(AO4:AP4)))</f>
        <v/>
      </c>
      <c r="AO4" s="71">
        <f>SUBTOTAL(109,AO$15:INDEX(AO:AO,COUNTA($B:$B)+14-COUNTA($B$1:$B$14)))</f>
        <v>0</v>
      </c>
      <c r="AP4" s="71">
        <f>SUBTOTAL(109,AP$15:INDEX(AP:AP,COUNTA($B:$B)+14-COUNTA($B$1:$B$14)))</f>
        <v>0</v>
      </c>
      <c r="AQ4" s="164" t="str">
        <f>IF(SUM(AR4:AS4)=0,"",AR4/(SUM(AR4:AS4)))</f>
        <v/>
      </c>
      <c r="AR4" s="71">
        <f>SUBTOTAL(109,AR$15:INDEX(AR:AR,COUNTA($B:$B)+14-COUNTA($B$1:$B$14)))</f>
        <v>0</v>
      </c>
      <c r="AS4" s="71">
        <f>SUBTOTAL(109,AS$15:INDEX(AS:AS,COUNTA($B:$B)+14-COUNTA($B$1:$B$14)))</f>
        <v>0</v>
      </c>
      <c r="AT4" s="164" t="str">
        <f>IF(SUM(AU4:AV4)=0,"",AU4/(SUM(AU4:AV4)))</f>
        <v/>
      </c>
      <c r="AU4" s="71">
        <f>SUBTOTAL(109,AU$15:INDEX(AU:AU,COUNTA($B:$B)+14-COUNTA($B$1:$B$14)))</f>
        <v>0</v>
      </c>
      <c r="AV4" s="71">
        <f>SUBTOTAL(109,AV$15:INDEX(AV:AV,COUNTA($B:$B)+14-COUNTA($B$1:$B$14)))</f>
        <v>0</v>
      </c>
      <c r="AW4" s="164" t="str">
        <f>IF(SUM(AX4:AY4)=0,"",AX4/(SUM(AX4:AY4)))</f>
        <v/>
      </c>
      <c r="AX4" s="71">
        <f>SUBTOTAL(109,AX$15:INDEX(AX:AX,COUNTA($B:$B)+14-COUNTA($B$1:$B$14)))</f>
        <v>0</v>
      </c>
      <c r="AY4" s="71">
        <f>SUBTOTAL(109,AY$15:INDEX(AY:AY,COUNTA($B:$B)+14-COUNTA($B$1:$B$14)))</f>
        <v>0</v>
      </c>
      <c r="AZ4" s="164" t="str">
        <f>IF(SUM(BA4:BB4)=0,"",BA4/(SUM(BA4:BB4)))</f>
        <v/>
      </c>
      <c r="BA4" s="71">
        <f>SUBTOTAL(109,BA$15:INDEX(BA:BA,COUNTA($B:$B)+14-COUNTA($B$1:$B$14)))</f>
        <v>0</v>
      </c>
      <c r="BB4" s="71">
        <f>SUBTOTAL(109,BB$15:INDEX(BB:BB,COUNTA($B:$B)+14-COUNTA($B$1:$B$14)))</f>
        <v>0</v>
      </c>
      <c r="BC4" s="164" t="str">
        <f>IF(SUM(BD4:BE4)=0,"",BD4/(SUM(BD4:BE4)))</f>
        <v/>
      </c>
      <c r="BD4" s="71">
        <f>SUBTOTAL(109,BD$15:INDEX(BD:BD,COUNTA($B:$B)+14-COUNTA($B$1:$B$14)))</f>
        <v>0</v>
      </c>
      <c r="BE4" s="71">
        <f>SUBTOTAL(109,BE$15:INDEX(BE:BE,COUNTA($B:$B)+14-COUNTA($B$1:$B$14)))</f>
        <v>0</v>
      </c>
      <c r="BF4" s="164" t="str">
        <f>IF(SUM(BG4:BH4)=0,"",BG4/(SUM(BG4:BH4)))</f>
        <v/>
      </c>
      <c r="BG4" s="71">
        <f>SUBTOTAL(109,BG$15:INDEX(BG:BG,COUNTA($B:$B)+14-COUNTA($B$1:$B$14)))</f>
        <v>0</v>
      </c>
      <c r="BH4" s="71">
        <f>SUBTOTAL(109,BH$15:INDEX(BH:BH,COUNTA($B:$B)+14-COUNTA($B$1:$B$14)))</f>
        <v>0</v>
      </c>
      <c r="BI4" s="164" t="str">
        <f>IF(SUM(BJ4:BK4)=0,"",BJ4/(SUM(BJ4:BK4)))</f>
        <v/>
      </c>
      <c r="BJ4" s="71">
        <f>SUBTOTAL(109,BJ$15:INDEX(BJ:BJ,COUNTA($B:$B)+14-COUNTA($B$1:$B$14)))</f>
        <v>0</v>
      </c>
      <c r="BK4" s="71">
        <f>SUBTOTAL(109,BK$15:INDEX(BK:BK,COUNTA($B:$B)+14-COUNTA($B$1:$B$14)))</f>
        <v>0</v>
      </c>
      <c r="BL4" s="164" t="str">
        <f>IF(SUM(BM4:BN4)=0,"",BM4/(SUM(BM4:BN4)))</f>
        <v/>
      </c>
      <c r="BM4" s="71">
        <f>SUBTOTAL(109,BM$15:INDEX(BM:BM,COUNTA($B:$B)+14-COUNTA($B$1:$B$14)))</f>
        <v>0</v>
      </c>
      <c r="BN4" s="71">
        <f>SUBTOTAL(109,BN$15:INDEX(BN:BN,COUNTA($B:$B)+14-COUNTA($B$1:$B$14)))</f>
        <v>0</v>
      </c>
      <c r="BO4" s="113">
        <f>SUBTOTAL(109,BO$15:INDEX(BO:BO,COUNTA($B:$B)+14-COUNTA($B$1:$B$14)))</f>
        <v>0</v>
      </c>
      <c r="BP4" s="179">
        <f>SUBTOTAL(109,BP$15:INDEX(BP:BP,COUNTA($B:$B)+14-COUNTA($B$1:$B$14)))</f>
        <v>0</v>
      </c>
      <c r="BQ4" s="121">
        <f>SUBTOTAL(109,BQ$15:INDEX(BQ:BQ,COUNTA($B:$B)+14-COUNTA($B$1:$B$14)))</f>
        <v>0</v>
      </c>
      <c r="BR4" s="121">
        <f>SUBTOTAL(109,BR$15:INDEX(BR:BR,COUNTA($B:$B)+14-COUNTA($B$1:$B$14)))</f>
        <v>0</v>
      </c>
      <c r="BS4" s="121">
        <f>SUBTOTAL(109,BS$15:INDEX(BS:BS,COUNTA($B:$B)+14-COUNTA($B$1:$B$14)))</f>
        <v>0</v>
      </c>
      <c r="BT4" s="121">
        <f>SUBTOTAL(109,BT$15:INDEX(BT:BT,COUNTA($B:$B)+14-COUNTA($B$1:$B$14)))</f>
        <v>0</v>
      </c>
      <c r="BU4" s="121">
        <f>SUBTOTAL(109,BU$15:INDEX(BU:BU,COUNTA($B:$B)+14-COUNTA($B$1:$B$14)))</f>
        <v>0</v>
      </c>
      <c r="BV4" s="121">
        <f>SUBTOTAL(109,BV$15:INDEX(BV:BV,COUNTA($B:$B)+14-COUNTA($B$1:$B$14)))</f>
        <v>0</v>
      </c>
      <c r="BW4" s="121">
        <f>SUBTOTAL(109,BW$15:INDEX(BW:BW,COUNTA($B:$B)+14-COUNTA($B$1:$B$14)))</f>
        <v>0</v>
      </c>
      <c r="BX4" s="179">
        <f>SUBTOTAL(109,BX$15:INDEX(BX:BX,COUNTA($B:$B)+14-COUNTA($B$1:$B$14)))</f>
        <v>0</v>
      </c>
      <c r="BY4" s="71">
        <f>SUBTOTAL(109,BY$15:INDEX(BY:BY,COUNTA($B:$B)+14-COUNTA($B$1:$B$14)))</f>
        <v>0</v>
      </c>
      <c r="BZ4" s="50" t="str">
        <f>IF($BY$4=0,"",$BP$4/$BY$4)</f>
        <v/>
      </c>
      <c r="CA4" s="113">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5" t="s">
        <v>99</v>
      </c>
      <c r="G5" s="173" t="s">
        <v>99</v>
      </c>
      <c r="H5" s="98" t="s">
        <v>99</v>
      </c>
      <c r="I5" s="98" t="s">
        <v>99</v>
      </c>
      <c r="J5" s="98" t="s">
        <v>99</v>
      </c>
      <c r="K5" s="98" t="s">
        <v>99</v>
      </c>
      <c r="L5" s="98" t="s">
        <v>99</v>
      </c>
      <c r="M5" s="98" t="s">
        <v>99</v>
      </c>
      <c r="N5" s="98" t="s">
        <v>99</v>
      </c>
      <c r="O5" s="98" t="s">
        <v>99</v>
      </c>
      <c r="P5" s="165" t="s">
        <v>99</v>
      </c>
      <c r="Q5" s="36" t="s">
        <v>99</v>
      </c>
      <c r="R5" s="254"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5" t="s">
        <v>99</v>
      </c>
      <c r="AI5" s="72" t="s">
        <v>110</v>
      </c>
      <c r="AJ5" s="72" t="s">
        <v>110</v>
      </c>
      <c r="AK5" s="165" t="s">
        <v>99</v>
      </c>
      <c r="AL5" s="72" t="s">
        <v>110</v>
      </c>
      <c r="AM5" s="72" t="s">
        <v>110</v>
      </c>
      <c r="AN5" s="165" t="s">
        <v>99</v>
      </c>
      <c r="AO5" s="72" t="s">
        <v>110</v>
      </c>
      <c r="AP5" s="72" t="s">
        <v>110</v>
      </c>
      <c r="AQ5" s="165" t="s">
        <v>99</v>
      </c>
      <c r="AR5" s="72" t="s">
        <v>110</v>
      </c>
      <c r="AS5" s="72" t="s">
        <v>110</v>
      </c>
      <c r="AT5" s="165" t="s">
        <v>99</v>
      </c>
      <c r="AU5" s="72" t="s">
        <v>110</v>
      </c>
      <c r="AV5" s="72" t="s">
        <v>110</v>
      </c>
      <c r="AW5" s="165" t="s">
        <v>99</v>
      </c>
      <c r="AX5" s="72" t="s">
        <v>110</v>
      </c>
      <c r="AY5" s="72" t="s">
        <v>110</v>
      </c>
      <c r="AZ5" s="165" t="s">
        <v>99</v>
      </c>
      <c r="BA5" s="72" t="s">
        <v>110</v>
      </c>
      <c r="BB5" s="72" t="s">
        <v>110</v>
      </c>
      <c r="BC5" s="165" t="s">
        <v>99</v>
      </c>
      <c r="BD5" s="72" t="s">
        <v>110</v>
      </c>
      <c r="BE5" s="72" t="s">
        <v>110</v>
      </c>
      <c r="BF5" s="165" t="s">
        <v>99</v>
      </c>
      <c r="BG5" s="72" t="s">
        <v>110</v>
      </c>
      <c r="BH5" s="72" t="s">
        <v>110</v>
      </c>
      <c r="BI5" s="165" t="s">
        <v>99</v>
      </c>
      <c r="BJ5" s="72" t="s">
        <v>110</v>
      </c>
      <c r="BK5" s="72" t="s">
        <v>110</v>
      </c>
      <c r="BL5" s="165" t="s">
        <v>99</v>
      </c>
      <c r="BM5" s="72" t="s">
        <v>110</v>
      </c>
      <c r="BN5" s="72" t="s">
        <v>110</v>
      </c>
      <c r="BO5" s="99" t="s">
        <v>99</v>
      </c>
      <c r="BP5" s="108" t="s">
        <v>99</v>
      </c>
      <c r="BQ5" s="98" t="s">
        <v>99</v>
      </c>
      <c r="BR5" s="98" t="s">
        <v>99</v>
      </c>
      <c r="BS5" s="98" t="s">
        <v>99</v>
      </c>
      <c r="BT5" s="98" t="s">
        <v>99</v>
      </c>
      <c r="BU5" s="98" t="s">
        <v>99</v>
      </c>
      <c r="BV5" s="98" t="s">
        <v>99</v>
      </c>
      <c r="BW5" s="98" t="s">
        <v>99</v>
      </c>
      <c r="BX5" s="108" t="s">
        <v>99</v>
      </c>
      <c r="BY5" s="72" t="s">
        <v>99</v>
      </c>
      <c r="BZ5" s="36" t="s">
        <v>99</v>
      </c>
      <c r="CA5" s="99" t="s">
        <v>110</v>
      </c>
      <c r="CB5" s="36" t="s">
        <v>99</v>
      </c>
      <c r="CC5" s="72" t="s">
        <v>110</v>
      </c>
    </row>
    <row r="6" spans="1:81" s="40" customFormat="1" x14ac:dyDescent="0.2">
      <c r="A6" s="42" t="s">
        <v>201</v>
      </c>
      <c r="B6" s="42" t="s">
        <v>201</v>
      </c>
      <c r="C6" s="42" t="s">
        <v>201</v>
      </c>
      <c r="D6" s="42" t="s">
        <v>201</v>
      </c>
      <c r="E6" s="42" t="s">
        <v>201</v>
      </c>
      <c r="F6" s="165" t="s">
        <v>94</v>
      </c>
      <c r="G6" s="173" t="s">
        <v>94</v>
      </c>
      <c r="H6" s="98" t="s">
        <v>94</v>
      </c>
      <c r="I6" s="98" t="s">
        <v>94</v>
      </c>
      <c r="J6" s="98" t="s">
        <v>94</v>
      </c>
      <c r="K6" s="98" t="s">
        <v>94</v>
      </c>
      <c r="L6" s="98" t="s">
        <v>94</v>
      </c>
      <c r="M6" s="98" t="s">
        <v>94</v>
      </c>
      <c r="N6" s="98" t="s">
        <v>94</v>
      </c>
      <c r="O6" s="98" t="s">
        <v>94</v>
      </c>
      <c r="P6" s="165" t="s">
        <v>94</v>
      </c>
      <c r="Q6" s="36" t="s">
        <v>94</v>
      </c>
      <c r="R6" s="254"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5" t="s">
        <v>112</v>
      </c>
      <c r="AI6" s="72" t="s">
        <v>93</v>
      </c>
      <c r="AJ6" s="72" t="s">
        <v>93</v>
      </c>
      <c r="AK6" s="165" t="s">
        <v>112</v>
      </c>
      <c r="AL6" s="72" t="s">
        <v>93</v>
      </c>
      <c r="AM6" s="72" t="s">
        <v>93</v>
      </c>
      <c r="AN6" s="165" t="s">
        <v>112</v>
      </c>
      <c r="AO6" s="72" t="s">
        <v>93</v>
      </c>
      <c r="AP6" s="72" t="s">
        <v>93</v>
      </c>
      <c r="AQ6" s="165" t="s">
        <v>112</v>
      </c>
      <c r="AR6" s="72" t="s">
        <v>93</v>
      </c>
      <c r="AS6" s="72" t="s">
        <v>93</v>
      </c>
      <c r="AT6" s="165" t="s">
        <v>112</v>
      </c>
      <c r="AU6" s="72" t="s">
        <v>93</v>
      </c>
      <c r="AV6" s="72" t="s">
        <v>93</v>
      </c>
      <c r="AW6" s="165" t="s">
        <v>112</v>
      </c>
      <c r="AX6" s="72" t="s">
        <v>93</v>
      </c>
      <c r="AY6" s="72" t="s">
        <v>93</v>
      </c>
      <c r="AZ6" s="165" t="s">
        <v>112</v>
      </c>
      <c r="BA6" s="72" t="s">
        <v>93</v>
      </c>
      <c r="BB6" s="72" t="s">
        <v>93</v>
      </c>
      <c r="BC6" s="165" t="s">
        <v>113</v>
      </c>
      <c r="BD6" s="72" t="s">
        <v>93</v>
      </c>
      <c r="BE6" s="72" t="s">
        <v>93</v>
      </c>
      <c r="BF6" s="165" t="s">
        <v>112</v>
      </c>
      <c r="BG6" s="72" t="s">
        <v>93</v>
      </c>
      <c r="BH6" s="72" t="s">
        <v>93</v>
      </c>
      <c r="BI6" s="165" t="s">
        <v>113</v>
      </c>
      <c r="BJ6" s="72" t="s">
        <v>93</v>
      </c>
      <c r="BK6" s="72" t="s">
        <v>93</v>
      </c>
      <c r="BL6" s="165" t="s">
        <v>112</v>
      </c>
      <c r="BM6" s="72" t="s">
        <v>93</v>
      </c>
      <c r="BN6" s="72" t="s">
        <v>93</v>
      </c>
      <c r="BO6" s="99" t="s">
        <v>94</v>
      </c>
      <c r="BP6" s="108" t="s">
        <v>94</v>
      </c>
      <c r="BQ6" s="98" t="s">
        <v>94</v>
      </c>
      <c r="BR6" s="98" t="s">
        <v>94</v>
      </c>
      <c r="BS6" s="98" t="s">
        <v>94</v>
      </c>
      <c r="BT6" s="98" t="s">
        <v>94</v>
      </c>
      <c r="BU6" s="98" t="s">
        <v>94</v>
      </c>
      <c r="BV6" s="98" t="s">
        <v>94</v>
      </c>
      <c r="BW6" s="98" t="s">
        <v>94</v>
      </c>
      <c r="BX6" s="108" t="s">
        <v>94</v>
      </c>
      <c r="BY6" s="72" t="s">
        <v>94</v>
      </c>
      <c r="BZ6" s="36" t="s">
        <v>94</v>
      </c>
      <c r="CA6" s="99" t="s">
        <v>111</v>
      </c>
      <c r="CB6" s="36" t="s">
        <v>113</v>
      </c>
      <c r="CC6" s="72" t="s">
        <v>93</v>
      </c>
    </row>
    <row r="7" spans="1:81" s="40" customFormat="1" x14ac:dyDescent="0.2">
      <c r="A7" s="42" t="s">
        <v>109</v>
      </c>
      <c r="B7" s="42" t="s">
        <v>109</v>
      </c>
      <c r="C7" s="42" t="s">
        <v>109</v>
      </c>
      <c r="D7" s="42" t="s">
        <v>109</v>
      </c>
      <c r="E7" s="42" t="s">
        <v>109</v>
      </c>
      <c r="F7" s="165" t="s">
        <v>96</v>
      </c>
      <c r="G7" s="173" t="s">
        <v>96</v>
      </c>
      <c r="H7" s="98" t="s">
        <v>95</v>
      </c>
      <c r="I7" s="98" t="s">
        <v>95</v>
      </c>
      <c r="J7" s="98" t="s">
        <v>95</v>
      </c>
      <c r="K7" s="98" t="s">
        <v>95</v>
      </c>
      <c r="L7" s="98" t="s">
        <v>95</v>
      </c>
      <c r="M7" s="98" t="s">
        <v>95</v>
      </c>
      <c r="N7" s="98" t="s">
        <v>95</v>
      </c>
      <c r="O7" s="98" t="s">
        <v>95</v>
      </c>
      <c r="P7" s="165" t="s">
        <v>96</v>
      </c>
      <c r="Q7" s="36" t="s">
        <v>96</v>
      </c>
      <c r="R7" s="254"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5" t="s">
        <v>96</v>
      </c>
      <c r="AI7" s="72" t="s">
        <v>95</v>
      </c>
      <c r="AJ7" s="72" t="s">
        <v>95</v>
      </c>
      <c r="AK7" s="165" t="s">
        <v>96</v>
      </c>
      <c r="AL7" s="72" t="s">
        <v>95</v>
      </c>
      <c r="AM7" s="72" t="s">
        <v>95</v>
      </c>
      <c r="AN7" s="165" t="s">
        <v>96</v>
      </c>
      <c r="AO7" s="72" t="s">
        <v>95</v>
      </c>
      <c r="AP7" s="72" t="s">
        <v>95</v>
      </c>
      <c r="AQ7" s="165" t="s">
        <v>96</v>
      </c>
      <c r="AR7" s="72" t="s">
        <v>95</v>
      </c>
      <c r="AS7" s="72" t="s">
        <v>95</v>
      </c>
      <c r="AT7" s="165" t="s">
        <v>96</v>
      </c>
      <c r="AU7" s="72" t="s">
        <v>95</v>
      </c>
      <c r="AV7" s="72" t="s">
        <v>95</v>
      </c>
      <c r="AW7" s="165" t="s">
        <v>96</v>
      </c>
      <c r="AX7" s="72" t="s">
        <v>95</v>
      </c>
      <c r="AY7" s="72" t="s">
        <v>95</v>
      </c>
      <c r="AZ7" s="165" t="s">
        <v>96</v>
      </c>
      <c r="BA7" s="72" t="s">
        <v>95</v>
      </c>
      <c r="BB7" s="72" t="s">
        <v>95</v>
      </c>
      <c r="BC7" s="165" t="s">
        <v>96</v>
      </c>
      <c r="BD7" s="72" t="s">
        <v>95</v>
      </c>
      <c r="BE7" s="72" t="s">
        <v>95</v>
      </c>
      <c r="BF7" s="165" t="s">
        <v>96</v>
      </c>
      <c r="BG7" s="72" t="s">
        <v>95</v>
      </c>
      <c r="BH7" s="72" t="s">
        <v>95</v>
      </c>
      <c r="BI7" s="165" t="s">
        <v>96</v>
      </c>
      <c r="BJ7" s="72" t="s">
        <v>95</v>
      </c>
      <c r="BK7" s="72" t="s">
        <v>95</v>
      </c>
      <c r="BL7" s="165" t="s">
        <v>96</v>
      </c>
      <c r="BM7" s="72" t="s">
        <v>95</v>
      </c>
      <c r="BN7" s="72" t="s">
        <v>95</v>
      </c>
      <c r="BO7" s="99" t="s">
        <v>95</v>
      </c>
      <c r="BP7" s="108" t="s">
        <v>95</v>
      </c>
      <c r="BQ7" s="98" t="s">
        <v>95</v>
      </c>
      <c r="BR7" s="98" t="s">
        <v>95</v>
      </c>
      <c r="BS7" s="98" t="s">
        <v>95</v>
      </c>
      <c r="BT7" s="98" t="s">
        <v>95</v>
      </c>
      <c r="BU7" s="98" t="s">
        <v>95</v>
      </c>
      <c r="BV7" s="98" t="s">
        <v>95</v>
      </c>
      <c r="BW7" s="98" t="s">
        <v>95</v>
      </c>
      <c r="BX7" s="108" t="s">
        <v>95</v>
      </c>
      <c r="BY7" s="72" t="s">
        <v>95</v>
      </c>
      <c r="BZ7" s="36" t="s">
        <v>96</v>
      </c>
      <c r="CA7" s="99" t="s">
        <v>95</v>
      </c>
      <c r="CB7" s="36" t="s">
        <v>96</v>
      </c>
      <c r="CC7" s="72" t="s">
        <v>95</v>
      </c>
    </row>
    <row r="8" spans="1:81" s="40" customFormat="1" x14ac:dyDescent="0.2">
      <c r="A8" s="42"/>
      <c r="B8" s="42"/>
      <c r="C8" s="42"/>
      <c r="D8" s="42"/>
      <c r="E8" s="42"/>
      <c r="F8" s="165"/>
      <c r="G8" s="173"/>
      <c r="H8" s="98"/>
      <c r="I8" s="98"/>
      <c r="J8" s="98"/>
      <c r="K8" s="98"/>
      <c r="L8" s="98"/>
      <c r="M8" s="98"/>
      <c r="N8" s="98"/>
      <c r="O8" s="98"/>
      <c r="P8" s="165"/>
      <c r="Q8" s="36"/>
      <c r="R8" s="254"/>
      <c r="S8" s="36"/>
      <c r="T8" s="36"/>
      <c r="U8" s="36"/>
      <c r="V8" s="36"/>
      <c r="W8" s="36"/>
      <c r="X8" s="36"/>
      <c r="Y8" s="36"/>
      <c r="Z8" s="36"/>
      <c r="AA8" s="36"/>
      <c r="AB8" s="36"/>
      <c r="AC8" s="36"/>
      <c r="AD8" s="36"/>
      <c r="AE8" s="36"/>
      <c r="AF8" s="36"/>
      <c r="AG8" s="36"/>
      <c r="AH8" s="165"/>
      <c r="AI8" s="319" t="s">
        <v>155</v>
      </c>
      <c r="AJ8" s="319" t="s">
        <v>155</v>
      </c>
      <c r="AK8" s="341"/>
      <c r="AL8" s="319" t="s">
        <v>159</v>
      </c>
      <c r="AM8" s="319" t="s">
        <v>159</v>
      </c>
      <c r="AN8" s="341"/>
      <c r="AO8" s="319" t="s">
        <v>157</v>
      </c>
      <c r="AP8" s="319" t="s">
        <v>157</v>
      </c>
      <c r="AQ8" s="165"/>
      <c r="AR8" s="319" t="s">
        <v>161</v>
      </c>
      <c r="AS8" s="319" t="s">
        <v>161</v>
      </c>
      <c r="AT8" s="341"/>
      <c r="AU8" s="319" t="s">
        <v>153</v>
      </c>
      <c r="AV8" s="319" t="s">
        <v>153</v>
      </c>
      <c r="AW8" s="341"/>
      <c r="AX8" s="319" t="s">
        <v>165</v>
      </c>
      <c r="AY8" s="319" t="s">
        <v>165</v>
      </c>
      <c r="AZ8" s="341"/>
      <c r="BA8" s="319" t="s">
        <v>163</v>
      </c>
      <c r="BB8" s="319" t="s">
        <v>163</v>
      </c>
      <c r="BC8" s="165"/>
      <c r="BD8" s="319" t="s">
        <v>1064</v>
      </c>
      <c r="BE8" s="319" t="s">
        <v>1064</v>
      </c>
      <c r="BF8" s="165"/>
      <c r="BG8" s="319" t="s">
        <v>149</v>
      </c>
      <c r="BH8" s="319" t="s">
        <v>149</v>
      </c>
      <c r="BI8" s="165"/>
      <c r="BJ8" s="319" t="s">
        <v>1066</v>
      </c>
      <c r="BK8" s="319" t="s">
        <v>1066</v>
      </c>
      <c r="BL8" s="165"/>
      <c r="BM8" s="319" t="s">
        <v>151</v>
      </c>
      <c r="BN8" s="319" t="s">
        <v>151</v>
      </c>
      <c r="BO8" s="99"/>
      <c r="BP8" s="108"/>
      <c r="BQ8" s="98"/>
      <c r="BR8" s="98"/>
      <c r="BS8" s="98"/>
      <c r="BT8" s="98"/>
      <c r="BU8" s="98"/>
      <c r="BV8" s="98"/>
      <c r="BW8" s="98"/>
      <c r="BX8" s="108"/>
      <c r="BY8" s="72"/>
      <c r="BZ8" s="36"/>
      <c r="CA8" s="328" t="s">
        <v>267</v>
      </c>
      <c r="CB8" s="36"/>
      <c r="CC8" s="319" t="s">
        <v>267</v>
      </c>
    </row>
    <row r="9" spans="1:81" s="40" customFormat="1" x14ac:dyDescent="0.2">
      <c r="A9" s="42"/>
      <c r="B9" s="42"/>
      <c r="C9" s="42"/>
      <c r="D9" s="42"/>
      <c r="E9" s="42"/>
      <c r="F9" s="165"/>
      <c r="G9" s="173"/>
      <c r="H9" s="98"/>
      <c r="I9" s="98"/>
      <c r="J9" s="98"/>
      <c r="K9" s="98"/>
      <c r="L9" s="98"/>
      <c r="M9" s="98"/>
      <c r="N9" s="98"/>
      <c r="O9" s="98"/>
      <c r="P9" s="165"/>
      <c r="Q9" s="36"/>
      <c r="R9" s="254"/>
      <c r="S9" s="36"/>
      <c r="T9" s="36"/>
      <c r="U9" s="36"/>
      <c r="V9" s="36"/>
      <c r="W9" s="36"/>
      <c r="X9" s="36"/>
      <c r="Y9" s="36"/>
      <c r="Z9" s="36"/>
      <c r="AA9" s="36"/>
      <c r="AB9" s="36"/>
      <c r="AC9" s="36"/>
      <c r="AD9" s="36"/>
      <c r="AE9" s="36"/>
      <c r="AF9" s="36"/>
      <c r="AG9" s="36"/>
      <c r="AH9" s="165"/>
      <c r="AI9" s="319" t="s">
        <v>156</v>
      </c>
      <c r="AJ9" s="319" t="s">
        <v>156</v>
      </c>
      <c r="AK9" s="341"/>
      <c r="AL9" s="319" t="s">
        <v>160</v>
      </c>
      <c r="AM9" s="319" t="s">
        <v>160</v>
      </c>
      <c r="AN9" s="341"/>
      <c r="AO9" s="319" t="s">
        <v>158</v>
      </c>
      <c r="AP9" s="319" t="s">
        <v>158</v>
      </c>
      <c r="AQ9" s="165"/>
      <c r="AR9" s="319" t="s">
        <v>162</v>
      </c>
      <c r="AS9" s="319" t="s">
        <v>162</v>
      </c>
      <c r="AT9" s="341"/>
      <c r="AU9" s="319" t="s">
        <v>154</v>
      </c>
      <c r="AV9" s="319" t="s">
        <v>154</v>
      </c>
      <c r="AW9" s="341"/>
      <c r="AX9" s="319" t="s">
        <v>166</v>
      </c>
      <c r="AY9" s="319" t="s">
        <v>166</v>
      </c>
      <c r="AZ9" s="341"/>
      <c r="BA9" s="319" t="s">
        <v>164</v>
      </c>
      <c r="BB9" s="319" t="s">
        <v>164</v>
      </c>
      <c r="BC9" s="165"/>
      <c r="BD9" s="319" t="s">
        <v>1065</v>
      </c>
      <c r="BE9" s="319" t="s">
        <v>1065</v>
      </c>
      <c r="BF9" s="165"/>
      <c r="BG9" s="319" t="s">
        <v>150</v>
      </c>
      <c r="BH9" s="319" t="s">
        <v>150</v>
      </c>
      <c r="BI9" s="165"/>
      <c r="BJ9" s="319" t="s">
        <v>1067</v>
      </c>
      <c r="BK9" s="319" t="s">
        <v>1067</v>
      </c>
      <c r="BL9" s="165"/>
      <c r="BM9" s="319" t="s">
        <v>152</v>
      </c>
      <c r="BN9" s="319" t="s">
        <v>152</v>
      </c>
      <c r="BO9" s="99"/>
      <c r="BP9" s="108"/>
      <c r="BQ9" s="98"/>
      <c r="BR9" s="98"/>
      <c r="BS9" s="98"/>
      <c r="BT9" s="98"/>
      <c r="BU9" s="98"/>
      <c r="BV9" s="98"/>
      <c r="BW9" s="98"/>
      <c r="BX9" s="108"/>
      <c r="BY9" s="72"/>
      <c r="BZ9" s="36"/>
      <c r="CA9" s="328" t="s">
        <v>268</v>
      </c>
      <c r="CB9" s="36"/>
      <c r="CC9" s="319" t="s">
        <v>268</v>
      </c>
    </row>
    <row r="10" spans="1:81" s="40" customFormat="1" x14ac:dyDescent="0.2">
      <c r="A10" s="42"/>
      <c r="B10" s="42"/>
      <c r="C10" s="42"/>
      <c r="D10" s="42"/>
      <c r="E10" s="42"/>
      <c r="F10" s="165"/>
      <c r="G10" s="173"/>
      <c r="H10" s="98"/>
      <c r="I10" s="98"/>
      <c r="J10" s="98"/>
      <c r="K10" s="98"/>
      <c r="L10" s="98"/>
      <c r="M10" s="98"/>
      <c r="N10" s="98"/>
      <c r="O10" s="98"/>
      <c r="P10" s="165"/>
      <c r="Q10" s="36"/>
      <c r="R10" s="254"/>
      <c r="S10" s="36"/>
      <c r="T10" s="36"/>
      <c r="U10" s="36"/>
      <c r="V10" s="36"/>
      <c r="W10" s="36"/>
      <c r="X10" s="36"/>
      <c r="Y10" s="36"/>
      <c r="Z10" s="36"/>
      <c r="AA10" s="36"/>
      <c r="AB10" s="36"/>
      <c r="AC10" s="36"/>
      <c r="AD10" s="36"/>
      <c r="AE10" s="36"/>
      <c r="AF10" s="36"/>
      <c r="AG10" s="36"/>
      <c r="AH10" s="165"/>
      <c r="AI10" s="319" t="s">
        <v>105</v>
      </c>
      <c r="AJ10" s="319" t="s">
        <v>122</v>
      </c>
      <c r="AK10" s="341"/>
      <c r="AL10" s="319" t="s">
        <v>105</v>
      </c>
      <c r="AM10" s="319" t="s">
        <v>122</v>
      </c>
      <c r="AN10" s="341"/>
      <c r="AO10" s="319" t="s">
        <v>105</v>
      </c>
      <c r="AP10" s="319" t="s">
        <v>122</v>
      </c>
      <c r="AQ10" s="165"/>
      <c r="AR10" s="319" t="s">
        <v>105</v>
      </c>
      <c r="AS10" s="319" t="s">
        <v>122</v>
      </c>
      <c r="AT10" s="341"/>
      <c r="AU10" s="319" t="s">
        <v>105</v>
      </c>
      <c r="AV10" s="319" t="s">
        <v>122</v>
      </c>
      <c r="AW10" s="341"/>
      <c r="AX10" s="319" t="s">
        <v>105</v>
      </c>
      <c r="AY10" s="319" t="s">
        <v>122</v>
      </c>
      <c r="AZ10" s="341"/>
      <c r="BA10" s="319" t="s">
        <v>105</v>
      </c>
      <c r="BB10" s="319" t="s">
        <v>122</v>
      </c>
      <c r="BC10" s="165"/>
      <c r="BD10" s="319" t="s">
        <v>105</v>
      </c>
      <c r="BE10" s="319" t="s">
        <v>122</v>
      </c>
      <c r="BF10" s="165"/>
      <c r="BG10" s="319" t="s">
        <v>105</v>
      </c>
      <c r="BH10" s="319" t="s">
        <v>122</v>
      </c>
      <c r="BI10" s="165"/>
      <c r="BJ10" s="319" t="s">
        <v>105</v>
      </c>
      <c r="BK10" s="319" t="s">
        <v>122</v>
      </c>
      <c r="BL10" s="165"/>
      <c r="BM10" s="319" t="s">
        <v>105</v>
      </c>
      <c r="BN10" s="319" t="s">
        <v>122</v>
      </c>
      <c r="BO10" s="99"/>
      <c r="BP10" s="108"/>
      <c r="BQ10" s="98"/>
      <c r="BR10" s="98"/>
      <c r="BS10" s="98"/>
      <c r="BT10" s="98"/>
      <c r="BU10" s="98"/>
      <c r="BV10" s="98"/>
      <c r="BW10" s="98"/>
      <c r="BX10" s="108"/>
      <c r="BY10" s="72"/>
      <c r="BZ10" s="36"/>
      <c r="CA10" s="324"/>
      <c r="CB10" s="36"/>
      <c r="CC10" s="319"/>
    </row>
    <row r="11" spans="1:81" s="40" customFormat="1" x14ac:dyDescent="0.2">
      <c r="A11" s="42"/>
      <c r="B11" s="42"/>
      <c r="C11" s="42"/>
      <c r="D11" s="42"/>
      <c r="E11" s="42"/>
      <c r="F11" s="165" t="s">
        <v>1045</v>
      </c>
      <c r="G11" s="254" t="s">
        <v>206</v>
      </c>
      <c r="H11" s="98" t="s">
        <v>1045</v>
      </c>
      <c r="I11" s="98" t="s">
        <v>1045</v>
      </c>
      <c r="J11" s="98" t="s">
        <v>1045</v>
      </c>
      <c r="K11" s="98" t="s">
        <v>1046</v>
      </c>
      <c r="L11" s="98" t="s">
        <v>1046</v>
      </c>
      <c r="M11" s="98" t="s">
        <v>1045</v>
      </c>
      <c r="N11" s="98" t="s">
        <v>1047</v>
      </c>
      <c r="O11" s="98" t="s">
        <v>1045</v>
      </c>
      <c r="P11" s="165" t="s">
        <v>1045</v>
      </c>
      <c r="Q11" s="36" t="s">
        <v>1045</v>
      </c>
      <c r="R11" s="254" t="s">
        <v>1046</v>
      </c>
      <c r="S11" s="36" t="s">
        <v>1046</v>
      </c>
      <c r="T11" s="36" t="s">
        <v>1045</v>
      </c>
      <c r="U11" s="36" t="s">
        <v>1047</v>
      </c>
      <c r="V11" s="36" t="s">
        <v>1045</v>
      </c>
      <c r="W11" s="36" t="s">
        <v>695</v>
      </c>
      <c r="X11" s="36" t="s">
        <v>695</v>
      </c>
      <c r="Y11" s="36" t="s">
        <v>1045</v>
      </c>
      <c r="Z11" s="36" t="s">
        <v>1045</v>
      </c>
      <c r="AA11" s="36" t="s">
        <v>1045</v>
      </c>
      <c r="AB11" s="36" t="s">
        <v>1045</v>
      </c>
      <c r="AC11" s="36" t="s">
        <v>1045</v>
      </c>
      <c r="AD11" s="36" t="s">
        <v>1045</v>
      </c>
      <c r="AE11" s="36" t="s">
        <v>1045</v>
      </c>
      <c r="AF11" s="36" t="s">
        <v>1045</v>
      </c>
      <c r="AG11" s="36" t="s">
        <v>1045</v>
      </c>
      <c r="AH11" s="165" t="s">
        <v>1045</v>
      </c>
      <c r="AI11" s="72" t="s">
        <v>1045</v>
      </c>
      <c r="AJ11" s="72" t="s">
        <v>1045</v>
      </c>
      <c r="AK11" s="165" t="s">
        <v>695</v>
      </c>
      <c r="AL11" s="117" t="s">
        <v>695</v>
      </c>
      <c r="AM11" s="117" t="s">
        <v>695</v>
      </c>
      <c r="AN11" s="165" t="s">
        <v>695</v>
      </c>
      <c r="AO11" s="117" t="s">
        <v>695</v>
      </c>
      <c r="AP11" s="117" t="s">
        <v>695</v>
      </c>
      <c r="AQ11" s="165" t="s">
        <v>1045</v>
      </c>
      <c r="AR11" s="72" t="s">
        <v>1045</v>
      </c>
      <c r="AS11" s="72" t="s">
        <v>1045</v>
      </c>
      <c r="AT11" s="165" t="s">
        <v>1045</v>
      </c>
      <c r="AU11" s="72" t="s">
        <v>1045</v>
      </c>
      <c r="AV11" s="72" t="s">
        <v>1045</v>
      </c>
      <c r="AW11" s="165" t="s">
        <v>1045</v>
      </c>
      <c r="AX11" s="72" t="s">
        <v>1045</v>
      </c>
      <c r="AY11" s="72" t="s">
        <v>1045</v>
      </c>
      <c r="AZ11" s="165" t="s">
        <v>1045</v>
      </c>
      <c r="BA11" s="72" t="s">
        <v>1045</v>
      </c>
      <c r="BB11" s="72" t="s">
        <v>1045</v>
      </c>
      <c r="BC11" s="165" t="s">
        <v>1045</v>
      </c>
      <c r="BD11" s="72" t="s">
        <v>1045</v>
      </c>
      <c r="BE11" s="72" t="s">
        <v>1045</v>
      </c>
      <c r="BF11" s="165" t="s">
        <v>1045</v>
      </c>
      <c r="BG11" s="72" t="s">
        <v>1045</v>
      </c>
      <c r="BH11" s="72" t="s">
        <v>1045</v>
      </c>
      <c r="BI11" s="165" t="s">
        <v>1045</v>
      </c>
      <c r="BJ11" s="72" t="s">
        <v>1045</v>
      </c>
      <c r="BK11" s="72" t="s">
        <v>1045</v>
      </c>
      <c r="BL11" s="165" t="s">
        <v>1045</v>
      </c>
      <c r="BM11" s="72" t="s">
        <v>1045</v>
      </c>
      <c r="BN11" s="72" t="s">
        <v>1045</v>
      </c>
      <c r="BO11" s="99" t="s">
        <v>1045</v>
      </c>
      <c r="BP11" s="108" t="s">
        <v>1045</v>
      </c>
      <c r="BQ11" s="98" t="s">
        <v>1045</v>
      </c>
      <c r="BR11" s="98" t="s">
        <v>1045</v>
      </c>
      <c r="BS11" s="98" t="s">
        <v>1045</v>
      </c>
      <c r="BT11" s="98" t="s">
        <v>1046</v>
      </c>
      <c r="BU11" s="98" t="s">
        <v>1046</v>
      </c>
      <c r="BV11" s="98" t="s">
        <v>1045</v>
      </c>
      <c r="BW11" s="98" t="s">
        <v>1047</v>
      </c>
      <c r="BX11" s="108" t="s">
        <v>1045</v>
      </c>
      <c r="BY11" s="72" t="s">
        <v>1045</v>
      </c>
      <c r="BZ11" s="36" t="s">
        <v>1045</v>
      </c>
      <c r="CA11" s="99" t="s">
        <v>1046</v>
      </c>
      <c r="CB11" s="36" t="s">
        <v>1046</v>
      </c>
      <c r="CC11" s="72" t="s">
        <v>1046</v>
      </c>
    </row>
    <row r="12" spans="1:81" s="40" customFormat="1" x14ac:dyDescent="0.2">
      <c r="A12" s="42"/>
      <c r="B12" s="42"/>
      <c r="C12" s="42"/>
      <c r="D12" s="42"/>
      <c r="E12" s="42"/>
      <c r="F12" s="165" t="s">
        <v>202</v>
      </c>
      <c r="G12" s="254" t="s">
        <v>694</v>
      </c>
      <c r="H12" s="98" t="s">
        <v>202</v>
      </c>
      <c r="I12" s="98" t="s">
        <v>202</v>
      </c>
      <c r="J12" s="98" t="s">
        <v>202</v>
      </c>
      <c r="K12" s="98" t="s">
        <v>693</v>
      </c>
      <c r="L12" s="98" t="s">
        <v>693</v>
      </c>
      <c r="M12" s="98" t="s">
        <v>202</v>
      </c>
      <c r="N12" s="98" t="s">
        <v>694</v>
      </c>
      <c r="O12" s="98" t="s">
        <v>202</v>
      </c>
      <c r="P12" s="165" t="s">
        <v>202</v>
      </c>
      <c r="Q12" s="36" t="s">
        <v>202</v>
      </c>
      <c r="R12" s="254" t="s">
        <v>693</v>
      </c>
      <c r="S12" s="36" t="s">
        <v>693</v>
      </c>
      <c r="T12" s="36" t="s">
        <v>202</v>
      </c>
      <c r="U12" s="36" t="s">
        <v>694</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5" t="s">
        <v>202</v>
      </c>
      <c r="AI12" s="72" t="s">
        <v>202</v>
      </c>
      <c r="AJ12" s="72" t="s">
        <v>202</v>
      </c>
      <c r="AK12" s="165" t="s">
        <v>202</v>
      </c>
      <c r="AL12" s="72" t="s">
        <v>202</v>
      </c>
      <c r="AM12" s="72" t="s">
        <v>202</v>
      </c>
      <c r="AN12" s="165" t="s">
        <v>202</v>
      </c>
      <c r="AO12" s="72" t="s">
        <v>202</v>
      </c>
      <c r="AP12" s="72" t="s">
        <v>202</v>
      </c>
      <c r="AQ12" s="165" t="s">
        <v>202</v>
      </c>
      <c r="AR12" s="72" t="s">
        <v>202</v>
      </c>
      <c r="AS12" s="72" t="s">
        <v>202</v>
      </c>
      <c r="AT12" s="165" t="s">
        <v>202</v>
      </c>
      <c r="AU12" s="72" t="s">
        <v>202</v>
      </c>
      <c r="AV12" s="72" t="s">
        <v>202</v>
      </c>
      <c r="AW12" s="165" t="s">
        <v>202</v>
      </c>
      <c r="AX12" s="72" t="s">
        <v>202</v>
      </c>
      <c r="AY12" s="72" t="s">
        <v>202</v>
      </c>
      <c r="AZ12" s="165" t="s">
        <v>202</v>
      </c>
      <c r="BA12" s="72" t="s">
        <v>202</v>
      </c>
      <c r="BB12" s="72" t="s">
        <v>202</v>
      </c>
      <c r="BC12" s="165" t="s">
        <v>202</v>
      </c>
      <c r="BD12" s="72" t="s">
        <v>202</v>
      </c>
      <c r="BE12" s="72" t="s">
        <v>202</v>
      </c>
      <c r="BF12" s="165" t="s">
        <v>202</v>
      </c>
      <c r="BG12" s="72" t="s">
        <v>202</v>
      </c>
      <c r="BH12" s="72" t="s">
        <v>202</v>
      </c>
      <c r="BI12" s="165" t="s">
        <v>202</v>
      </c>
      <c r="BJ12" s="72" t="s">
        <v>202</v>
      </c>
      <c r="BK12" s="72" t="s">
        <v>202</v>
      </c>
      <c r="BL12" s="165" t="s">
        <v>202</v>
      </c>
      <c r="BM12" s="72" t="s">
        <v>202</v>
      </c>
      <c r="BN12" s="72" t="s">
        <v>202</v>
      </c>
      <c r="BO12" s="99" t="s">
        <v>202</v>
      </c>
      <c r="BP12" s="108" t="s">
        <v>202</v>
      </c>
      <c r="BQ12" s="98" t="s">
        <v>202</v>
      </c>
      <c r="BR12" s="98" t="s">
        <v>202</v>
      </c>
      <c r="BS12" s="98" t="s">
        <v>202</v>
      </c>
      <c r="BT12" s="98" t="s">
        <v>693</v>
      </c>
      <c r="BU12" s="98" t="s">
        <v>693</v>
      </c>
      <c r="BV12" s="98" t="s">
        <v>202</v>
      </c>
      <c r="BW12" s="98" t="s">
        <v>694</v>
      </c>
      <c r="BX12" s="108" t="s">
        <v>202</v>
      </c>
      <c r="BY12" s="72" t="s">
        <v>202</v>
      </c>
      <c r="BZ12" s="36" t="s">
        <v>202</v>
      </c>
      <c r="CA12" s="99" t="s">
        <v>202</v>
      </c>
      <c r="CB12" s="36" t="s">
        <v>202</v>
      </c>
      <c r="CC12" s="72" t="s">
        <v>202</v>
      </c>
    </row>
    <row r="13" spans="1:81" s="40" customFormat="1" x14ac:dyDescent="0.2">
      <c r="A13" s="42"/>
      <c r="B13" s="42"/>
      <c r="C13" s="42"/>
      <c r="D13" s="42"/>
      <c r="E13" s="42"/>
      <c r="F13" s="165"/>
      <c r="G13" s="173"/>
      <c r="H13" s="98"/>
      <c r="I13" s="98"/>
      <c r="J13" s="98"/>
      <c r="K13" s="98"/>
      <c r="L13" s="98"/>
      <c r="M13" s="98"/>
      <c r="N13" s="98"/>
      <c r="O13" s="98"/>
      <c r="P13" s="165"/>
      <c r="Q13" s="36"/>
      <c r="R13" s="254"/>
      <c r="S13" s="36"/>
      <c r="T13" s="36"/>
      <c r="U13" s="36"/>
      <c r="V13" s="36"/>
      <c r="W13" s="36"/>
      <c r="X13" s="36"/>
      <c r="Y13" s="36"/>
      <c r="Z13" s="36"/>
      <c r="AA13" s="36"/>
      <c r="AB13" s="36"/>
      <c r="AC13" s="36"/>
      <c r="AD13" s="36"/>
      <c r="AE13" s="36"/>
      <c r="AF13" s="36"/>
      <c r="AG13" s="36"/>
      <c r="AH13" s="165"/>
      <c r="AI13" s="72"/>
      <c r="AJ13" s="72"/>
      <c r="AK13" s="165"/>
      <c r="AL13" s="72"/>
      <c r="AM13" s="72"/>
      <c r="AN13" s="165"/>
      <c r="AO13" s="72"/>
      <c r="AP13" s="72"/>
      <c r="AQ13" s="165"/>
      <c r="AR13" s="72"/>
      <c r="AS13" s="72"/>
      <c r="AT13" s="165"/>
      <c r="AU13" s="72"/>
      <c r="AV13" s="72"/>
      <c r="AW13" s="165"/>
      <c r="AX13" s="72"/>
      <c r="AY13" s="72"/>
      <c r="AZ13" s="165"/>
      <c r="BA13" s="72"/>
      <c r="BB13" s="72"/>
      <c r="BC13" s="165"/>
      <c r="BD13" s="72"/>
      <c r="BE13" s="72"/>
      <c r="BF13" s="165"/>
      <c r="BG13" s="72"/>
      <c r="BH13" s="72"/>
      <c r="BI13" s="165"/>
      <c r="BJ13" s="72"/>
      <c r="BK13" s="72"/>
      <c r="BL13" s="165"/>
      <c r="BM13" s="72"/>
      <c r="BN13" s="72"/>
      <c r="BO13" s="99"/>
      <c r="BP13" s="108"/>
      <c r="BQ13" s="98"/>
      <c r="BR13" s="98"/>
      <c r="BS13" s="98"/>
      <c r="BT13" s="98"/>
      <c r="BU13" s="98"/>
      <c r="BV13" s="98"/>
      <c r="BW13" s="98"/>
      <c r="BX13" s="108"/>
      <c r="BY13" s="72"/>
      <c r="BZ13" s="36"/>
      <c r="CA13" s="99"/>
      <c r="CB13" s="36"/>
      <c r="CC13" s="72"/>
    </row>
    <row r="14" spans="1:81" s="40" customFormat="1" x14ac:dyDescent="0.2">
      <c r="A14" s="52" t="s">
        <v>591</v>
      </c>
      <c r="B14" s="52" t="s">
        <v>5</v>
      </c>
      <c r="C14" s="54" t="s">
        <v>35</v>
      </c>
      <c r="D14" s="54" t="s">
        <v>6</v>
      </c>
      <c r="E14" s="54" t="s">
        <v>76</v>
      </c>
      <c r="F14" s="391" t="s">
        <v>501</v>
      </c>
      <c r="G14" s="255" t="s">
        <v>1103</v>
      </c>
      <c r="H14" s="180" t="s">
        <v>521</v>
      </c>
      <c r="I14" s="180" t="s">
        <v>340</v>
      </c>
      <c r="J14" s="180" t="s">
        <v>342</v>
      </c>
      <c r="K14" s="180" t="s">
        <v>371</v>
      </c>
      <c r="L14" s="180" t="s">
        <v>373</v>
      </c>
      <c r="M14" s="180" t="s">
        <v>369</v>
      </c>
      <c r="N14" s="180" t="s">
        <v>375</v>
      </c>
      <c r="O14" s="180" t="s">
        <v>577</v>
      </c>
      <c r="P14" s="391" t="s">
        <v>344</v>
      </c>
      <c r="Q14" s="215" t="s">
        <v>345</v>
      </c>
      <c r="R14" s="215" t="s">
        <v>350</v>
      </c>
      <c r="S14" s="215" t="s">
        <v>351</v>
      </c>
      <c r="T14" s="215" t="s">
        <v>349</v>
      </c>
      <c r="U14" s="215" t="s">
        <v>352</v>
      </c>
      <c r="V14" s="215" t="s">
        <v>346</v>
      </c>
      <c r="W14" s="215" t="s">
        <v>347</v>
      </c>
      <c r="X14" s="215" t="s">
        <v>348</v>
      </c>
      <c r="Y14" s="215" t="s">
        <v>353</v>
      </c>
      <c r="Z14" s="215" t="s">
        <v>354</v>
      </c>
      <c r="AA14" s="215" t="s">
        <v>355</v>
      </c>
      <c r="AB14" s="215" t="s">
        <v>356</v>
      </c>
      <c r="AC14" s="215" t="s">
        <v>921</v>
      </c>
      <c r="AD14" s="215" t="s">
        <v>357</v>
      </c>
      <c r="AE14" s="215" t="s">
        <v>1020</v>
      </c>
      <c r="AF14" s="215" t="s">
        <v>358</v>
      </c>
      <c r="AG14" s="215" t="s">
        <v>359</v>
      </c>
      <c r="AH14" s="391" t="s">
        <v>360</v>
      </c>
      <c r="AI14" s="92" t="s">
        <v>361</v>
      </c>
      <c r="AJ14" s="176" t="s">
        <v>362</v>
      </c>
      <c r="AK14" s="391" t="s">
        <v>363</v>
      </c>
      <c r="AL14" s="92" t="s">
        <v>364</v>
      </c>
      <c r="AM14" s="176" t="s">
        <v>365</v>
      </c>
      <c r="AN14" s="391" t="s">
        <v>366</v>
      </c>
      <c r="AO14" s="92" t="s">
        <v>367</v>
      </c>
      <c r="AP14" s="176" t="s">
        <v>368</v>
      </c>
      <c r="AQ14" s="391" t="s">
        <v>377</v>
      </c>
      <c r="AR14" s="92" t="s">
        <v>378</v>
      </c>
      <c r="AS14" s="176" t="s">
        <v>379</v>
      </c>
      <c r="AT14" s="391" t="s">
        <v>380</v>
      </c>
      <c r="AU14" s="92" t="s">
        <v>381</v>
      </c>
      <c r="AV14" s="176" t="s">
        <v>382</v>
      </c>
      <c r="AW14" s="391" t="s">
        <v>383</v>
      </c>
      <c r="AX14" s="92" t="s">
        <v>384</v>
      </c>
      <c r="AY14" s="176" t="s">
        <v>385</v>
      </c>
      <c r="AZ14" s="391" t="s">
        <v>386</v>
      </c>
      <c r="BA14" s="92" t="s">
        <v>387</v>
      </c>
      <c r="BB14" s="176" t="s">
        <v>388</v>
      </c>
      <c r="BC14" s="391" t="s">
        <v>1021</v>
      </c>
      <c r="BD14" s="92" t="s">
        <v>922</v>
      </c>
      <c r="BE14" s="176" t="s">
        <v>923</v>
      </c>
      <c r="BF14" s="391" t="s">
        <v>389</v>
      </c>
      <c r="BG14" s="92" t="s">
        <v>390</v>
      </c>
      <c r="BH14" s="176" t="s">
        <v>391</v>
      </c>
      <c r="BI14" s="391" t="s">
        <v>927</v>
      </c>
      <c r="BJ14" s="92" t="s">
        <v>928</v>
      </c>
      <c r="BK14" s="176" t="s">
        <v>929</v>
      </c>
      <c r="BL14" s="391" t="s">
        <v>392</v>
      </c>
      <c r="BM14" s="92" t="s">
        <v>393</v>
      </c>
      <c r="BN14" s="176" t="s">
        <v>394</v>
      </c>
      <c r="BO14" s="178" t="s">
        <v>395</v>
      </c>
      <c r="BP14" s="176" t="s">
        <v>396</v>
      </c>
      <c r="BQ14" s="92" t="s">
        <v>397</v>
      </c>
      <c r="BR14" s="92" t="s">
        <v>341</v>
      </c>
      <c r="BS14" s="92" t="s">
        <v>343</v>
      </c>
      <c r="BT14" s="92" t="s">
        <v>372</v>
      </c>
      <c r="BU14" s="92" t="s">
        <v>374</v>
      </c>
      <c r="BV14" s="92" t="s">
        <v>370</v>
      </c>
      <c r="BW14" s="92" t="s">
        <v>376</v>
      </c>
      <c r="BX14" s="176" t="s">
        <v>398</v>
      </c>
      <c r="BY14" s="176" t="s">
        <v>399</v>
      </c>
      <c r="BZ14" s="215" t="s">
        <v>400</v>
      </c>
      <c r="CA14" s="178" t="s">
        <v>704</v>
      </c>
      <c r="CB14" s="215" t="s">
        <v>401</v>
      </c>
      <c r="CC14" s="176" t="s">
        <v>402</v>
      </c>
    </row>
    <row r="15" spans="1:81" s="40" customFormat="1" x14ac:dyDescent="0.2">
      <c r="A15" s="42"/>
      <c r="B15" s="42"/>
      <c r="C15" s="42"/>
      <c r="D15" s="42"/>
      <c r="E15" s="42" t="str">
        <f>B15&amp;"|"&amp;C15&amp;"|"&amp;D15</f>
        <v>||</v>
      </c>
      <c r="F15" s="165" t="str" cm="1">
        <f t="array" ref="F15">IFERROR(1/(1/IF($C15="50+",SUM(SUMIFS(Cascade!$AP:$AP,Cascade!$B:$B,$B15,Cascade!$C:$C,{"50-54","55-59","60-64","65+"},Cascade!$D:$D,$D15)),INDEX(Cascade!$AP:$AP,MATCH($E15,Cascade!$E:$E,0)))),"")</f>
        <v/>
      </c>
      <c r="G15" s="254" t="str" cm="1">
        <f t="array" ref="G15">IFERROR(1/(1/IF($C15="50+",SUM(SUMIFS(Cascade!$BO:$BO,Cascade!$B:$B,$B15,Cascade!$C:$C,{"50-54","55-59","60-64","65+"},Cascade!$D:$D,$D15)),INDEX(Cascade!$BO:$BO,MATCH($E15,Cascade!$E:$E,0)))),"")</f>
        <v/>
      </c>
      <c r="H15" s="122" t="str" cm="1">
        <f t="array" ref="H15">IFERROR(1/(1/IF($C15="50+",SUM(SUMIFS(Cascade!$CH:$CH,Cascade!$B:$B,$B15,Cascade!$C:$C,{"50-54","55-59","60-64","65+"},Cascade!$D:$D,$D15)),INDEX(Cascade!$CH:$CH,MATCH($E15,Cascade!$E:$E,0)))),"")</f>
        <v/>
      </c>
      <c r="I15" s="122" t="str" cm="1">
        <f t="array" ref="I15">IFERROR(1/(1/IF($C15="50+",SUM(SUMIFS(Cascade!$CZ:$CZ,Cascade!$B:$B,$B15,Cascade!$C:$C,{"50-54","55-59","60-64","65+"},Cascade!$D:$D,$D15)),INDEX(Cascade!$CZ:$CZ,MATCH($E15,Cascade!$E:$E,0)))),"")</f>
        <v/>
      </c>
      <c r="J15" s="122" t="str" cm="1">
        <f t="array" ref="J15">IFERROR(1/(1/IF($C15="50+",SUM(SUMIFS(Cascade!$DB:$DB,Cascade!$B:$B,$B15,Cascade!$C:$C,{"50-54","55-59","60-64","65+"},Cascade!$D:$D,$D15)),INDEX(Cascade!$DB:$DB,MATCH($E15,Cascade!$E:$E,0)))),"")</f>
        <v/>
      </c>
      <c r="K15" s="122" t="str" cm="1">
        <f t="array" ref="K15">IFERROR(1/(1/IF($C15="50+",SUM(SUMIFS(Cascade!$CJ:$CJ,Cascade!$B:$B,$B15,Cascade!$C:$C,{"50-54","55-59","60-64","65+"},Cascade!$D:$D,$D15)),INDEX(Cascade!$CJ:$CJ,MATCH($E15,Cascade!$E:$E,0)))),"")</f>
        <v/>
      </c>
      <c r="L15" s="122" t="str" cm="1">
        <f t="array" ref="L15">IFERROR(1/(1/IF($C15="50+",SUM(SUMIFS(Cascade!$CK:$CK,Cascade!$B:$B,$B15,Cascade!$C:$C,{"50-54","55-59","60-64","65+"},Cascade!$D:$D,$D15)),INDEX(Cascade!$CK:$CK,MATCH($E15,Cascade!$E:$E,0)))),"")</f>
        <v/>
      </c>
      <c r="M15" s="122" t="str" cm="1">
        <f t="array" ref="M15">IFERROR(1/(1/IF($C15="50+",SUM(SUMIFS(Cascade!$CL:$CL,Cascade!$B:$B,$B15,Cascade!$C:$C,{"50-54","55-59","60-64","65+"},Cascade!$D:$D,$D15)),INDEX(Cascade!$CL:$CL,MATCH($E15,Cascade!$E:$E,0)))),"")</f>
        <v/>
      </c>
      <c r="N15" s="122" t="str" cm="1">
        <f t="array" ref="N15">IFERROR(1/(1/IF($C15="50+",SUM(SUMIFS(Cascade!$CM:$CM,Cascade!$B:$B,$B15,Cascade!$C:$C,{"50-54","55-59","60-64","65+"},Cascade!$D:$D,$D15)),INDEX(Cascade!$CM:$CM,MATCH($E15,Cascade!$E:$E,0)))),"")</f>
        <v/>
      </c>
      <c r="O15" s="122" t="str" cm="1">
        <f t="array" ref="O15">IFERROR(1/(1/IF($C15="50+",SUM(SUMIFS(Cascade!$CO:$CO,Cascade!$B:$B,$B15,Cascade!$C:$C,{"50-54","55-59","60-64","65+"},Cascade!$D:$D,$D15)),INDEX(Cascade!$CO:$CO,MATCH($E15,Cascade!$E:$E,0)))),"")</f>
        <v/>
      </c>
      <c r="P15" s="165" t="str">
        <f>IF(OR(SUM($I15)=0,SUM($H15)=0),"",SUM($I15)/SUM($H15))</f>
        <v/>
      </c>
      <c r="Q15" s="254" t="str">
        <f>IF(OR(SUM($J15)=0,SUM($H15)=0),"",SUM($J15)/SUM($H15))</f>
        <v/>
      </c>
      <c r="R15" s="254" t="str">
        <f>IF(OR(SUM($H15)=0,SUM($K15)=0),"",SUM($K15)/SUM($H15))</f>
        <v/>
      </c>
      <c r="S15" s="254" t="str">
        <f>IF(OR(SUM($H15)=0,SUM($L15)=0),"",SUM($L15)/SUM($H15))</f>
        <v/>
      </c>
      <c r="T15" s="254" t="str">
        <f>IF(OR(SUM($H15)=0,SUM($M15)=0),"",SUM($M15)/SUM($H15))</f>
        <v/>
      </c>
      <c r="U15" s="254" t="str">
        <f>IF(OR(SUM($H15)=0,SUM($N15)=0),"",SUM($N15)/SUM($H15))</f>
        <v/>
      </c>
      <c r="V15" s="36"/>
      <c r="W15" s="36"/>
      <c r="X15" s="36"/>
      <c r="Y15" s="36"/>
      <c r="Z15" s="36"/>
      <c r="AA15" s="36"/>
      <c r="AB15" s="36"/>
      <c r="AC15" s="36"/>
      <c r="AD15" s="36"/>
      <c r="AE15" s="36"/>
      <c r="AF15" s="36"/>
      <c r="AG15" s="36" t="str">
        <f>IF(SUM($H15)=0,"",SUM($P15:$AF15))</f>
        <v/>
      </c>
      <c r="AH15" s="165"/>
      <c r="AI15" s="72" t="str">
        <f>IF(OR(SUM($V15)=0,SUM($H15)=0),"",ROUND($H15*$V15,0))</f>
        <v/>
      </c>
      <c r="AJ15" s="72" t="str">
        <f>IF($AI15="","",IF(SUM($AH15)=0,"ENTER VALID YIELD!",ROUND($AI15/$AH15,0)-$AI15))</f>
        <v/>
      </c>
      <c r="AK15" s="165"/>
      <c r="AL15" s="72" t="str">
        <f>IF(OR(SUM($W15)=0,SUM($H15)=0),"",ROUND($H15*$W15,0))</f>
        <v/>
      </c>
      <c r="AM15" s="72" t="str">
        <f>IF($AL15="","",IF(SUM($AK15)=0,"ENTER VALID YIELD!",ROUND($AL15/$AK15,0)-$AL15))</f>
        <v/>
      </c>
      <c r="AN15" s="165"/>
      <c r="AO15" s="72" t="str">
        <f>IF(OR(SUM($X15)=0,SUM($H15)=0),"",ROUND($H15*$X15,0))</f>
        <v/>
      </c>
      <c r="AP15" s="72" t="str">
        <f>IF($AO15="","",IF(SUM($AN15)=0,"ENTER VALID YIELD!",ROUND($AO15/$AN15,0)-$AO15))</f>
        <v/>
      </c>
      <c r="AQ15" s="165"/>
      <c r="AR15" s="72" t="str">
        <f>IF(OR(SUM($Y15)=0,SUM($H15)=0),"",ROUND($H15*$Y15,0))</f>
        <v/>
      </c>
      <c r="AS15" s="72" t="str">
        <f>IF($AR15="","",IF(SUM($AQ15)=0,"ENTER VALID YIELD!",ROUND($AR15/$AQ15,0)-$AR15))</f>
        <v/>
      </c>
      <c r="AT15" s="165"/>
      <c r="AU15" s="72" t="str">
        <f>IF(OR(SUM($Z15)=0,SUM($H15)=0),"",ROUND($H15*$Z15,0))</f>
        <v/>
      </c>
      <c r="AV15" s="72" t="str">
        <f>IF($AU15="","",IF(SUM($AT15)=0,"ENTER VALID YIELD!",ROUND($AU15/$AT15,0)-$AU15))</f>
        <v/>
      </c>
      <c r="AW15" s="165"/>
      <c r="AX15" s="72" t="str">
        <f>IF(OR(SUM($AA15)=0,SUM($H15)=0),"",ROUND($H15*$AA15,0))</f>
        <v/>
      </c>
      <c r="AY15" s="72" t="str">
        <f>IF($AX15="","",IF(SUM($AW15)=0,"ENTER VALID YIELD!",ROUND($AX15/$AW15,0)-$AX15))</f>
        <v/>
      </c>
      <c r="AZ15" s="165"/>
      <c r="BA15" s="72" t="str">
        <f>IF(OR(SUM($AB15)=0,SUM($H15)=0),"",ROUND($H15*$AB15,0))</f>
        <v/>
      </c>
      <c r="BB15" s="72" t="str">
        <f>IF($BA15="","",IF(SUM($AZ15)=0,"ENTER VALID YIELD!",ROUND($BA15/$AZ15,0)-$BA15))</f>
        <v/>
      </c>
      <c r="BC15" s="165" t="str">
        <f>IF(OR(SUM($H15)=0,SUM($AC15)=0),"",5%)</f>
        <v/>
      </c>
      <c r="BD15" s="72" t="str">
        <f>IF(OR(SUM($AC15)=0,SUM($H15)=0),"",ROUND($H15*$AC15,0))</f>
        <v/>
      </c>
      <c r="BE15" s="72" t="str">
        <f>IF($BD15="","",IF(SUM($BC15)=0,"ENTER VALID YIELD!",ROUND($BD15/$BC15,0)-$BD15))</f>
        <v/>
      </c>
      <c r="BF15" s="165"/>
      <c r="BG15" s="72" t="str">
        <f>IF(OR(SUM($AD15)=0,SUM($H15)=0),"",ROUND($H15*$AD15,0))</f>
        <v/>
      </c>
      <c r="BH15" s="72" t="str">
        <f>IF($BG15="","",IF(SUM($BF15)=0,"ENTER VALID YIELD!",ROUND($BG15/$BF15,0)-$BG15))</f>
        <v/>
      </c>
      <c r="BI15" s="165" t="str">
        <f>IF(OR(SUM($H15)=0,SUM($AE15)=0),"",5%)</f>
        <v/>
      </c>
      <c r="BJ15" s="72" t="str">
        <f>IF(OR(SUM($AE15)=0,SUM($H15)=0),"",ROUND($H15*$AE15,0))</f>
        <v/>
      </c>
      <c r="BK15" s="72" t="str">
        <f>IF($BJ15="","",IF(SUM($BI15)=0,"ENTER VALID YIELD!",ROUND($BJ15/$BI15,0)-$BJ15))</f>
        <v/>
      </c>
      <c r="BL15" s="165"/>
      <c r="BM15" s="72" t="str">
        <f>IF(OR(SUM($AF15)=0,SUM($H15)=0),"",ROUND($H15*$AF15,0))</f>
        <v/>
      </c>
      <c r="BN15" s="72" t="str">
        <f>IF($BM15="","",IF(SUM($BL15)=0,"ENTER VALID YIELD!",ROUND($BM15/$BL15,0)-$BM15))</f>
        <v/>
      </c>
      <c r="BO15" s="116" t="str">
        <f>IF(SUM($H15)=0,"",$H15)</f>
        <v/>
      </c>
      <c r="BP15" s="223" t="str">
        <f>IF(SUM($H15)=0,"",SUM($I15:$N15,$AI15,$AL15,$AO15,$AR15,$AU15,$AX15,$BA15,$BD15,$BG15,$BJ15,$BM15))</f>
        <v/>
      </c>
      <c r="BQ15" s="122" t="str">
        <f>IF(AND(SUM($BP15)=0,SUM($BO15)=0),"",SUM($BP15)-SUM($BO15))</f>
        <v/>
      </c>
      <c r="BR15" s="122" t="str" cm="1">
        <f t="array" ref="BR15">IFERROR(1/(1/IF($C15="50+",SUM(SUMIFS(Cascade!$DA:$DA,Cascade!$B:$B,$B15,Cascade!$C:$C,{"50-54","55-59","60-64","65+"},Cascade!$D:$D,$D15)),INDEX(Cascade!$DA:$DA,MATCH($E15,Cascade!$E:$E,0)))),"")</f>
        <v/>
      </c>
      <c r="BS15" s="122" t="str" cm="1">
        <f t="array" ref="BS15">IFERROR(1/(1/IF($C15="50+",SUM(SUMIFS(Cascade!$DC:$DC,Cascade!$B:$B,$B15,Cascade!$C:$C,{"50-54","55-59","60-64","65+"},Cascade!$D:$D,$D15)),INDEX(Cascade!$DC:$DC,MATCH($E15,Cascade!$E:$E,0)))),"")</f>
        <v/>
      </c>
      <c r="BT15" s="122" t="str" cm="1">
        <f t="array" ref="BT15">IFERROR(1/(1/IF($C15="50+",SUM(SUMIFS(PMTCT!$AG:$AG,PMTCT!$B:$B,$B15,PMTCT!$C:$C,{"50-54","55-59","60-64","65+"},PMTCT!$D:$D,$D15)),INDEX(PMTCT!$AG:$AG,MATCH($E15,PMTCT!$E:$E,0)))),"")</f>
        <v/>
      </c>
      <c r="BU15" s="122" t="str" cm="1">
        <f t="array" ref="BU15">IFERROR(1/(1/IF($C15="50+",SUM(SUMIFS(PMTCT!$AW:$AW,PMTCT!$B:$B,$B15,PMTCT!$C:$C,{"50-54","55-59","60-64","65+"},PMTCT!$D:$D,$D15)),INDEX(PMTCT!$AW:$AW,MATCH($E15,PMTCT!$E:$E,0)))),"")</f>
        <v/>
      </c>
      <c r="BV15" s="122" t="str" cm="1">
        <f t="array" ref="BV15">IFERROR(1/(1/IF($C15="50+",SUM(SUMIFS(TB!$R:$R,TB!$B:$B,$B15,TB!$C:$C,{"50-54","55-59","60-64","65+"},TB!$D:$D,$D15)),INDEX(TB!$R:$R,MATCH($E15,TB!$E:$E,0)))),"")</f>
        <v/>
      </c>
      <c r="BW15" s="122" t="str" cm="1">
        <f t="array" ref="BW15">IFERROR(1/(1/IF($C15="50+",SUM(SUMIFS(VMMC!$AD:$AD,VMMC!$B:$B,$B15,VMMC!$C:$C,{"50-54","55-59","60-64","65+"},VMMC!$D:$D,$D15)),INDEX(VMMC!$AD:$AD,MATCH($E15,VMMC!$E:$E,0)))),"")</f>
        <v/>
      </c>
      <c r="BX15" s="223" t="str">
        <f>IFERROR(1/(1/SUM($AJ15,$AM15,$AP15,$AS15,$AV15,$AY15,$BB15,$BE15,$BH15,$BK15,$BN15,$BR15:$BW15)),"")</f>
        <v/>
      </c>
      <c r="BY15" s="223" t="str">
        <f>IFERROR(1/(1/SUM($BX15,$BP15)),"")</f>
        <v/>
      </c>
      <c r="BZ15" s="36" t="str">
        <f>IF(AND(SUM($BP15)=0,SUM($BY15)=0),"",$BP15/$BY15)</f>
        <v/>
      </c>
      <c r="CA15" s="99"/>
      <c r="CB15" s="36" t="str">
        <f>IF(OR($C15="01-04",$C15="05-09",SUM($CA15)=0),"",0%)</f>
        <v/>
      </c>
      <c r="CC15" s="72" t="str">
        <f>IF(OR($C15="01-04",$C15="05-09",SUM($CA15)=0),"",ROUND($CA15*(1+$CB15),0))</f>
        <v/>
      </c>
    </row>
  </sheetData>
  <mergeCells count="1">
    <mergeCell ref="A2:B3"/>
  </mergeCells>
  <conditionalFormatting sqref="N1:N1048576 U1:U1048576 BW1:BW1048576">
    <cfRule type="expression" dxfId="113" priority="25">
      <formula>OR($D1="Female",$C1="01-04",$C1="05-09",$C1="10-14")</formula>
    </cfRule>
  </conditionalFormatting>
  <conditionalFormatting sqref="W1:X1048576 AK1:AP1048576">
    <cfRule type="expression" dxfId="112" priority="355">
      <formula>AND(ROW(W1)&gt;14,$B1&lt;&gt;"",$C1&lt;&gt;"01-04")</formula>
    </cfRule>
  </conditionalFormatting>
  <conditionalFormatting sqref="CA1:CC1048576">
    <cfRule type="expression" dxfId="111" priority="197">
      <formula>OR($C1="01-04",$C1="05-09")</formula>
    </cfRule>
  </conditionalFormatting>
  <conditionalFormatting sqref="K1:L1048576 R1:S1048576 BT1:BU1048576">
    <cfRule type="expression" dxfId="110" priority="34">
      <formula>OR($D1="Male",$C1="01-04",$C1="05-09")</formula>
    </cfRule>
  </conditionalFormatting>
  <conditionalFormatting sqref="BQ1:BQ1048576">
    <cfRule type="expression" dxfId="109" priority="680">
      <formula>AND(ISNUMBER($BQ1),ROUND(SUM($BQ1),0)&lt;&gt;0)</formula>
    </cfRule>
  </conditionalFormatting>
  <conditionalFormatting sqref="AH1:AH1048576 AQ1:AQ1048576 AT1:AT1048576 AW1:AW1048576 AZ1:AZ1048576 BC1:BC1048576">
    <cfRule type="expression" dxfId="108"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07" priority="26" operator="containsText" text="ENTER YIELD!">
      <formula>NOT(ISERROR(SEARCH("ENTER YIELD!",AJ1)))</formula>
    </cfRule>
  </conditionalFormatting>
  <conditionalFormatting sqref="AF1:AF1048576">
    <cfRule type="expression" dxfId="106" priority="2165">
      <formula>AND(ISNUMBER($AF1),ROUND(SUM($F1),2)&gt;=80%,(SUM($H1)*SUM($AF1))&gt;0)</formula>
    </cfRule>
  </conditionalFormatting>
  <conditionalFormatting sqref="P1:AG1048576">
    <cfRule type="expression" dxfId="105" priority="2168">
      <formula>AND(ISNUMBER($AG1),ROUND($AG1,2)&lt;&gt;1,ROUND($H1,0)&lt;&gt;0)</formula>
    </cfRule>
  </conditionalFormatting>
  <conditionalFormatting sqref="BM1:BN1048576">
    <cfRule type="expression" dxfId="104" priority="2170">
      <formula>AND(ISNUMBER(BM1),SUM($F1)&gt;=80%,SUM(BM1)&gt;0)</formula>
    </cfRule>
  </conditionalFormatting>
  <conditionalFormatting sqref="F1:G1048576">
    <cfRule type="expression" dxfId="103"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02"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01"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6"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4" t="s">
        <v>15</v>
      </c>
      <c r="G1" s="80"/>
      <c r="H1" s="80"/>
      <c r="I1" s="45"/>
      <c r="J1" s="45"/>
      <c r="K1" s="67"/>
    </row>
    <row r="2" spans="1:11" s="56" customFormat="1" ht="19" customHeight="1" x14ac:dyDescent="0.25">
      <c r="A2" s="365" t="s">
        <v>763</v>
      </c>
      <c r="B2" s="366"/>
      <c r="C2" s="2"/>
      <c r="D2" s="2"/>
      <c r="E2" s="2"/>
      <c r="F2" s="115" t="s">
        <v>74</v>
      </c>
      <c r="G2" s="94"/>
      <c r="H2" s="94"/>
      <c r="I2" s="34"/>
      <c r="J2" s="34" t="s">
        <v>2</v>
      </c>
      <c r="K2" s="68" t="s">
        <v>3</v>
      </c>
    </row>
    <row r="3" spans="1:11" ht="117" customHeight="1" thickBot="1" x14ac:dyDescent="0.25">
      <c r="A3" s="367"/>
      <c r="B3" s="368"/>
      <c r="C3" s="47"/>
      <c r="D3" s="47"/>
      <c r="E3" s="47"/>
      <c r="F3" s="148" t="s">
        <v>1087</v>
      </c>
      <c r="G3" s="141" t="s">
        <v>1088</v>
      </c>
      <c r="H3" s="262" t="s">
        <v>794</v>
      </c>
      <c r="I3" s="470" t="s">
        <v>869</v>
      </c>
      <c r="J3" s="48" t="s">
        <v>1028</v>
      </c>
      <c r="K3" s="69" t="s">
        <v>868</v>
      </c>
    </row>
    <row r="4" spans="1:11" x14ac:dyDescent="0.2">
      <c r="A4" s="49"/>
      <c r="B4" s="49"/>
      <c r="C4" s="49"/>
      <c r="D4" s="49" t="s">
        <v>4</v>
      </c>
      <c r="E4" s="49"/>
      <c r="F4" s="113">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6" t="s">
        <v>110</v>
      </c>
      <c r="G5" s="79" t="s">
        <v>110</v>
      </c>
      <c r="H5" s="79" t="s">
        <v>99</v>
      </c>
      <c r="I5" s="36" t="s">
        <v>99</v>
      </c>
      <c r="J5" s="36" t="s">
        <v>99</v>
      </c>
      <c r="K5" s="72" t="s">
        <v>110</v>
      </c>
    </row>
    <row r="6" spans="1:11" x14ac:dyDescent="0.2">
      <c r="A6" s="42" t="s">
        <v>201</v>
      </c>
      <c r="B6" s="42" t="s">
        <v>201</v>
      </c>
      <c r="C6" s="42" t="s">
        <v>201</v>
      </c>
      <c r="D6" s="42" t="s">
        <v>201</v>
      </c>
      <c r="E6" s="42" t="s">
        <v>201</v>
      </c>
      <c r="F6" s="116" t="s">
        <v>111</v>
      </c>
      <c r="G6" s="79" t="s">
        <v>111</v>
      </c>
      <c r="H6" s="79" t="s">
        <v>94</v>
      </c>
      <c r="I6" s="36" t="s">
        <v>112</v>
      </c>
      <c r="J6" s="36" t="s">
        <v>113</v>
      </c>
      <c r="K6" s="72" t="s">
        <v>93</v>
      </c>
    </row>
    <row r="7" spans="1:11" x14ac:dyDescent="0.2">
      <c r="A7" s="42" t="s">
        <v>109</v>
      </c>
      <c r="B7" s="42" t="s">
        <v>109</v>
      </c>
      <c r="C7" s="42" t="s">
        <v>109</v>
      </c>
      <c r="D7" s="42" t="s">
        <v>109</v>
      </c>
      <c r="E7" s="42" t="s">
        <v>109</v>
      </c>
      <c r="F7" s="116" t="s">
        <v>95</v>
      </c>
      <c r="G7" s="79" t="s">
        <v>95</v>
      </c>
      <c r="H7" s="79" t="s">
        <v>95</v>
      </c>
      <c r="I7" s="36" t="s">
        <v>96</v>
      </c>
      <c r="J7" s="36" t="s">
        <v>96</v>
      </c>
      <c r="K7" s="72" t="s">
        <v>95</v>
      </c>
    </row>
    <row r="8" spans="1:11" x14ac:dyDescent="0.2">
      <c r="F8" s="326" t="s">
        <v>482</v>
      </c>
      <c r="G8" s="322" t="s">
        <v>143</v>
      </c>
      <c r="K8" s="319" t="s">
        <v>143</v>
      </c>
    </row>
    <row r="9" spans="1:11" x14ac:dyDescent="0.2">
      <c r="F9" s="326" t="s">
        <v>483</v>
      </c>
      <c r="G9" s="322" t="s">
        <v>144</v>
      </c>
      <c r="K9" s="319" t="s">
        <v>144</v>
      </c>
    </row>
    <row r="10" spans="1:11" x14ac:dyDescent="0.2">
      <c r="F10" s="324" t="s">
        <v>105</v>
      </c>
      <c r="G10" s="322" t="s">
        <v>105</v>
      </c>
      <c r="K10" s="319" t="s">
        <v>105</v>
      </c>
    </row>
    <row r="11" spans="1:11" x14ac:dyDescent="0.2">
      <c r="F11" s="116" t="s">
        <v>205</v>
      </c>
      <c r="G11" s="79" t="s">
        <v>205</v>
      </c>
      <c r="H11" s="79" t="s">
        <v>205</v>
      </c>
      <c r="I11" s="36" t="s">
        <v>205</v>
      </c>
      <c r="J11" s="36" t="s">
        <v>205</v>
      </c>
      <c r="K11" s="72" t="s">
        <v>205</v>
      </c>
    </row>
    <row r="12" spans="1:11" x14ac:dyDescent="0.2">
      <c r="F12" s="116" t="s">
        <v>693</v>
      </c>
      <c r="G12" s="79" t="s">
        <v>693</v>
      </c>
      <c r="H12" s="79" t="s">
        <v>693</v>
      </c>
      <c r="I12" s="36" t="s">
        <v>693</v>
      </c>
      <c r="J12" s="36" t="s">
        <v>693</v>
      </c>
      <c r="K12" s="72" t="s">
        <v>693</v>
      </c>
    </row>
    <row r="14" spans="1:11" x14ac:dyDescent="0.2">
      <c r="A14" s="52" t="s">
        <v>591</v>
      </c>
      <c r="B14" s="52" t="s">
        <v>5</v>
      </c>
      <c r="C14" s="52" t="s">
        <v>35</v>
      </c>
      <c r="D14" s="52" t="s">
        <v>6</v>
      </c>
      <c r="E14" s="52" t="s">
        <v>76</v>
      </c>
      <c r="F14" s="178" t="s">
        <v>547</v>
      </c>
      <c r="G14" s="92" t="s">
        <v>548</v>
      </c>
      <c r="H14" s="92" t="s">
        <v>317</v>
      </c>
      <c r="I14" s="215" t="s">
        <v>549</v>
      </c>
      <c r="J14" s="215" t="s">
        <v>550</v>
      </c>
      <c r="K14" s="176" t="s">
        <v>403</v>
      </c>
    </row>
    <row r="15" spans="1:11" x14ac:dyDescent="0.2">
      <c r="E15" s="42" t="str">
        <f>B15&amp;"|"&amp;C15&amp;"|"&amp;D15</f>
        <v>||</v>
      </c>
      <c r="H15" s="79" t="str">
        <f>IFERROR(1/(1/INDEX(Cascade!$BZ:$BZ,MATCH($E15,Cascade!$E:$E,0))),"")</f>
        <v/>
      </c>
      <c r="J15" s="36">
        <v>0.5</v>
      </c>
      <c r="K15" s="72" t="str">
        <f>IF(SUM($H15)=0,"",ROUND($J15*$H15,0))</f>
        <v/>
      </c>
    </row>
  </sheetData>
  <mergeCells count="1">
    <mergeCell ref="A2:B3"/>
  </mergeCells>
  <conditionalFormatting sqref="J1:J1048576">
    <cfRule type="expression" dxfId="100" priority="6">
      <formula>AND(ISNUMBER($J1),ROUND($J1,2)&lt;0.5)</formula>
    </cfRule>
  </conditionalFormatting>
  <conditionalFormatting sqref="I1:J1048576">
    <cfRule type="expression" dxfId="99" priority="2">
      <formula>AND(ISNUMBER(I1),OR(ROUND(I1,2)&gt;1,ROUND(I1,2)&lt;0))</formula>
    </cfRule>
  </conditionalFormatting>
  <conditionalFormatting sqref="F1:H1048576 K1:K1048576">
    <cfRule type="expression" dxfId="98"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5" customWidth="1"/>
    <col min="7" max="7" width="11.83203125" style="72" customWidth="1"/>
    <col min="8" max="8" width="11.83203125" style="165" customWidth="1"/>
    <col min="9" max="9" width="11.83203125" style="72" customWidth="1"/>
    <col min="10" max="10" width="11.83203125" style="165" customWidth="1"/>
    <col min="11" max="11" width="11.83203125" style="72" customWidth="1"/>
    <col min="12" max="12" width="11.83203125" style="165" customWidth="1"/>
    <col min="13" max="13" width="11.83203125" style="72" customWidth="1"/>
    <col min="14" max="14" width="11.83203125" style="165" customWidth="1"/>
    <col min="15" max="15" width="11.83203125" style="72" customWidth="1"/>
    <col min="16" max="16" width="11.83203125" style="165" customWidth="1"/>
    <col min="17" max="17" width="11.83203125" style="72" customWidth="1"/>
    <col min="18" max="18" width="11.83203125" style="165" customWidth="1"/>
    <col min="19" max="19" width="11.83203125" style="72" customWidth="1"/>
    <col min="20" max="20" width="11.83203125" style="165" customWidth="1"/>
    <col min="21" max="21" width="11.83203125" style="72" customWidth="1"/>
    <col min="22" max="22" width="11.83203125" style="165" customWidth="1"/>
    <col min="23" max="23" width="11.83203125" style="72" customWidth="1"/>
    <col min="24" max="24" width="11.83203125" style="165" customWidth="1"/>
    <col min="25" max="25" width="11.83203125" style="72" customWidth="1"/>
    <col min="26" max="26" width="11.83203125" style="165" customWidth="1"/>
    <col min="27" max="27" width="11.83203125" style="72" customWidth="1"/>
    <col min="28" max="28" width="11.83203125" style="165" customWidth="1"/>
    <col min="29" max="29" width="11.83203125" style="72" customWidth="1"/>
    <col min="30" max="30" width="11.83203125" style="165" customWidth="1"/>
    <col min="31" max="31" width="11.83203125" style="72" customWidth="1"/>
    <col min="32" max="32" width="11.83203125" style="165" customWidth="1"/>
    <col min="33" max="33" width="11.83203125" style="72" customWidth="1"/>
    <col min="34" max="34" width="11.83203125" style="165" customWidth="1"/>
    <col min="35" max="35" width="11.83203125" style="72" customWidth="1"/>
    <col min="36" max="36" width="11.83203125" style="116" customWidth="1"/>
    <col min="37" max="37" width="11.83203125" style="273" customWidth="1"/>
    <col min="38" max="38" width="11.83203125" style="254" customWidth="1"/>
    <col min="39" max="16384" width="10.83203125" style="40"/>
  </cols>
  <sheetData>
    <row r="1" spans="1:38" s="57" customFormat="1" ht="31" customHeight="1" x14ac:dyDescent="0.3">
      <c r="A1" s="260" t="s">
        <v>207</v>
      </c>
      <c r="B1" s="5"/>
      <c r="C1" s="1"/>
      <c r="D1" s="1"/>
      <c r="E1" s="314"/>
      <c r="F1" s="248" t="s">
        <v>217</v>
      </c>
      <c r="G1" s="67"/>
      <c r="H1" s="248" t="s">
        <v>218</v>
      </c>
      <c r="I1" s="67"/>
      <c r="J1" s="248" t="s">
        <v>219</v>
      </c>
      <c r="K1" s="67"/>
      <c r="L1" s="248" t="s">
        <v>220</v>
      </c>
      <c r="M1" s="67"/>
      <c r="N1" s="248" t="s">
        <v>216</v>
      </c>
      <c r="O1" s="67"/>
      <c r="P1" s="248" t="s">
        <v>215</v>
      </c>
      <c r="Q1" s="67"/>
      <c r="R1" s="248" t="s">
        <v>62</v>
      </c>
      <c r="S1" s="67"/>
      <c r="T1" s="248" t="s">
        <v>65</v>
      </c>
      <c r="U1" s="67"/>
      <c r="V1" s="248" t="s">
        <v>61</v>
      </c>
      <c r="W1" s="67"/>
      <c r="X1" s="248" t="s">
        <v>67</v>
      </c>
      <c r="Y1" s="67"/>
      <c r="Z1" s="248" t="s">
        <v>66</v>
      </c>
      <c r="AA1" s="67"/>
      <c r="AB1" s="248" t="s">
        <v>930</v>
      </c>
      <c r="AC1" s="67"/>
      <c r="AD1" s="248" t="s">
        <v>54</v>
      </c>
      <c r="AE1" s="67"/>
      <c r="AF1" s="248" t="s">
        <v>926</v>
      </c>
      <c r="AG1" s="67"/>
      <c r="AH1" s="248" t="s">
        <v>60</v>
      </c>
      <c r="AI1" s="67"/>
      <c r="AJ1" s="114" t="s">
        <v>254</v>
      </c>
      <c r="AK1" s="370"/>
      <c r="AL1" s="250"/>
    </row>
    <row r="2" spans="1:38" s="56" customFormat="1" ht="19" x14ac:dyDescent="0.25">
      <c r="B2" s="2"/>
      <c r="C2" s="2"/>
      <c r="D2" s="2"/>
      <c r="E2" s="315"/>
      <c r="F2" s="249" t="s">
        <v>2</v>
      </c>
      <c r="G2" s="68" t="s">
        <v>3</v>
      </c>
      <c r="H2" s="249" t="s">
        <v>2</v>
      </c>
      <c r="I2" s="68" t="s">
        <v>3</v>
      </c>
      <c r="J2" s="249" t="s">
        <v>2</v>
      </c>
      <c r="K2" s="68" t="s">
        <v>3</v>
      </c>
      <c r="L2" s="249" t="s">
        <v>2</v>
      </c>
      <c r="M2" s="68" t="s">
        <v>3</v>
      </c>
      <c r="N2" s="249" t="s">
        <v>2</v>
      </c>
      <c r="O2" s="68" t="s">
        <v>3</v>
      </c>
      <c r="P2" s="249" t="s">
        <v>2</v>
      </c>
      <c r="Q2" s="68" t="s">
        <v>3</v>
      </c>
      <c r="R2" s="249" t="s">
        <v>2</v>
      </c>
      <c r="S2" s="68" t="s">
        <v>3</v>
      </c>
      <c r="T2" s="249" t="s">
        <v>2</v>
      </c>
      <c r="U2" s="68" t="s">
        <v>3</v>
      </c>
      <c r="V2" s="249" t="s">
        <v>2</v>
      </c>
      <c r="W2" s="68" t="s">
        <v>3</v>
      </c>
      <c r="X2" s="249" t="s">
        <v>2</v>
      </c>
      <c r="Y2" s="68" t="s">
        <v>3</v>
      </c>
      <c r="Z2" s="249" t="s">
        <v>2</v>
      </c>
      <c r="AA2" s="68" t="s">
        <v>3</v>
      </c>
      <c r="AB2" s="249" t="s">
        <v>2</v>
      </c>
      <c r="AC2" s="68" t="s">
        <v>3</v>
      </c>
      <c r="AD2" s="249" t="s">
        <v>2</v>
      </c>
      <c r="AE2" s="68" t="s">
        <v>3</v>
      </c>
      <c r="AF2" s="249" t="s">
        <v>2</v>
      </c>
      <c r="AG2" s="68" t="s">
        <v>3</v>
      </c>
      <c r="AH2" s="249" t="s">
        <v>2</v>
      </c>
      <c r="AI2" s="68" t="s">
        <v>3</v>
      </c>
      <c r="AJ2" s="115" t="s">
        <v>59</v>
      </c>
      <c r="AK2" s="119"/>
      <c r="AL2" s="251"/>
    </row>
    <row r="3" spans="1:38" ht="117" customHeight="1" x14ac:dyDescent="0.2">
      <c r="B3"/>
      <c r="C3"/>
      <c r="D3" s="47"/>
      <c r="E3" s="316"/>
      <c r="F3" s="270" t="s">
        <v>208</v>
      </c>
      <c r="G3" s="69" t="s">
        <v>214</v>
      </c>
      <c r="H3" s="270" t="s">
        <v>208</v>
      </c>
      <c r="I3" s="69" t="s">
        <v>214</v>
      </c>
      <c r="J3" s="270" t="s">
        <v>208</v>
      </c>
      <c r="K3" s="69" t="s">
        <v>214</v>
      </c>
      <c r="L3" s="270" t="s">
        <v>208</v>
      </c>
      <c r="M3" s="69" t="s">
        <v>214</v>
      </c>
      <c r="N3" s="270" t="s">
        <v>208</v>
      </c>
      <c r="O3" s="69" t="s">
        <v>214</v>
      </c>
      <c r="P3" s="270" t="s">
        <v>208</v>
      </c>
      <c r="Q3" s="69" t="s">
        <v>214</v>
      </c>
      <c r="R3" s="270" t="s">
        <v>208</v>
      </c>
      <c r="S3" s="69" t="s">
        <v>214</v>
      </c>
      <c r="T3" s="270" t="s">
        <v>208</v>
      </c>
      <c r="U3" s="69" t="s">
        <v>214</v>
      </c>
      <c r="V3" s="270" t="s">
        <v>208</v>
      </c>
      <c r="W3" s="69" t="s">
        <v>214</v>
      </c>
      <c r="X3" s="270" t="s">
        <v>208</v>
      </c>
      <c r="Y3" s="69" t="s">
        <v>214</v>
      </c>
      <c r="Z3" s="270" t="s">
        <v>208</v>
      </c>
      <c r="AA3" s="69" t="s">
        <v>214</v>
      </c>
      <c r="AB3" s="270" t="s">
        <v>208</v>
      </c>
      <c r="AC3" s="69" t="s">
        <v>214</v>
      </c>
      <c r="AD3" s="270" t="s">
        <v>208</v>
      </c>
      <c r="AE3" s="69" t="s">
        <v>214</v>
      </c>
      <c r="AF3" s="270" t="s">
        <v>208</v>
      </c>
      <c r="AG3" s="69" t="s">
        <v>214</v>
      </c>
      <c r="AH3" s="270" t="s">
        <v>208</v>
      </c>
      <c r="AI3" s="69" t="s">
        <v>214</v>
      </c>
      <c r="AJ3" s="140" t="s">
        <v>1090</v>
      </c>
      <c r="AK3" s="452" t="s">
        <v>1029</v>
      </c>
      <c r="AL3" s="252" t="s">
        <v>1089</v>
      </c>
    </row>
    <row r="4" spans="1:38" x14ac:dyDescent="0.2">
      <c r="B4" s="49"/>
      <c r="C4" s="49"/>
      <c r="D4" s="49" t="s">
        <v>4</v>
      </c>
      <c r="E4" s="317"/>
      <c r="F4" s="164"/>
      <c r="G4" s="71">
        <f>SUBTOTAL(109,G$15:INDEX(G:G,COUNTA($B:$B)+14-COUNTA($B$1:$B$14)))</f>
        <v>0</v>
      </c>
      <c r="H4" s="164"/>
      <c r="I4" s="71">
        <f>SUBTOTAL(109,I$15:INDEX(I:I,COUNTA($B:$B)+14-COUNTA($B$1:$B$14)))</f>
        <v>0</v>
      </c>
      <c r="J4" s="164"/>
      <c r="K4" s="71">
        <f>SUBTOTAL(109,K$15:INDEX(K:K,COUNTA($B:$B)+14-COUNTA($B$1:$B$14)))</f>
        <v>0</v>
      </c>
      <c r="L4" s="164"/>
      <c r="M4" s="71">
        <f>SUBTOTAL(109,M$15:INDEX(M:M,COUNTA($B:$B)+14-COUNTA($B$1:$B$14)))</f>
        <v>0</v>
      </c>
      <c r="N4" s="164"/>
      <c r="O4" s="71">
        <f>SUBTOTAL(109,O$15:INDEX(O:O,COUNTA($B:$B)+14-COUNTA($B$1:$B$14)))</f>
        <v>0</v>
      </c>
      <c r="P4" s="164"/>
      <c r="Q4" s="71">
        <f>SUBTOTAL(109,Q$15:INDEX(Q:Q,COUNTA($B:$B)+14-COUNTA($B$1:$B$14)))</f>
        <v>0</v>
      </c>
      <c r="R4" s="164"/>
      <c r="S4" s="71">
        <f>SUBTOTAL(109,S$15:INDEX(S:S,COUNTA($B:$B)+14-COUNTA($B$1:$B$14)))</f>
        <v>0</v>
      </c>
      <c r="T4" s="164"/>
      <c r="U4" s="71">
        <f>SUBTOTAL(109,U$15:INDEX(U:U,COUNTA($B:$B)+14-COUNTA($B$1:$B$14)))</f>
        <v>0</v>
      </c>
      <c r="V4" s="164"/>
      <c r="W4" s="71">
        <f>SUBTOTAL(109,W$15:INDEX(W:W,COUNTA($B:$B)+14-COUNTA($B$1:$B$14)))</f>
        <v>0</v>
      </c>
      <c r="X4" s="164"/>
      <c r="Y4" s="71">
        <f>SUBTOTAL(109,Y$15:INDEX(Y:Y,COUNTA($B:$B)+14-COUNTA($B$1:$B$14)))</f>
        <v>0</v>
      </c>
      <c r="Z4" s="164"/>
      <c r="AA4" s="71">
        <f>SUBTOTAL(109,AA$15:INDEX(AA:AA,COUNTA($B:$B)+14-COUNTA($B$1:$B$14)))</f>
        <v>0</v>
      </c>
      <c r="AB4" s="164"/>
      <c r="AC4" s="71">
        <f>SUBTOTAL(109,AC$15:INDEX(AC:AC,COUNTA($B:$B)+14-COUNTA($B$1:$B$14)))</f>
        <v>0</v>
      </c>
      <c r="AD4" s="164"/>
      <c r="AE4" s="71">
        <f>SUBTOTAL(109,AE$15:INDEX(AE:AE,COUNTA($B:$B)+14-COUNTA($B$1:$B$14)))</f>
        <v>0</v>
      </c>
      <c r="AF4" s="164"/>
      <c r="AG4" s="71">
        <f>SUBTOTAL(109,AG$15:INDEX(AG:AG,COUNTA($B:$B)+14-COUNTA($B$1:$B$14)))</f>
        <v>0</v>
      </c>
      <c r="AH4" s="164"/>
      <c r="AI4" s="71">
        <f>SUBTOTAL(109,AI$15:INDEX(AI:AI,COUNTA($B:$B)+14-COUNTA($B$1:$B$14)))</f>
        <v>0</v>
      </c>
      <c r="AJ4" s="113">
        <f>SUBTOTAL(109,AJ$15:INDEX(AJ:AJ,COUNTA($B:$B)+14-COUNTA($B$1:$B$14)))</f>
        <v>0</v>
      </c>
      <c r="AK4" s="121">
        <f>SUBTOTAL(109,AK$15:INDEX(AK:AK,COUNTA($B:$B)+14-COUNTA($B$1:$B$14)))</f>
        <v>0</v>
      </c>
      <c r="AL4" s="253" t="str">
        <f>IF(SUM($AK4)=0,"",$AJ4/$AK4)</f>
        <v/>
      </c>
    </row>
    <row r="5" spans="1:38" x14ac:dyDescent="0.2">
      <c r="A5" s="40" t="s">
        <v>99</v>
      </c>
      <c r="B5" s="42" t="s">
        <v>99</v>
      </c>
      <c r="C5" s="42" t="s">
        <v>99</v>
      </c>
      <c r="D5" s="42" t="s">
        <v>99</v>
      </c>
      <c r="E5" s="44" t="s">
        <v>99</v>
      </c>
      <c r="F5" s="165" t="s">
        <v>99</v>
      </c>
      <c r="G5" s="72" t="s">
        <v>110</v>
      </c>
      <c r="H5" s="165" t="s">
        <v>99</v>
      </c>
      <c r="I5" s="72" t="s">
        <v>110</v>
      </c>
      <c r="J5" s="165" t="s">
        <v>99</v>
      </c>
      <c r="K5" s="72" t="s">
        <v>110</v>
      </c>
      <c r="L5" s="165" t="s">
        <v>99</v>
      </c>
      <c r="M5" s="72" t="s">
        <v>110</v>
      </c>
      <c r="N5" s="165" t="s">
        <v>99</v>
      </c>
      <c r="O5" s="72" t="s">
        <v>110</v>
      </c>
      <c r="P5" s="165" t="s">
        <v>99</v>
      </c>
      <c r="Q5" s="72" t="s">
        <v>110</v>
      </c>
      <c r="R5" s="165" t="s">
        <v>99</v>
      </c>
      <c r="S5" s="72" t="s">
        <v>110</v>
      </c>
      <c r="T5" s="165" t="s">
        <v>99</v>
      </c>
      <c r="U5" s="72" t="s">
        <v>110</v>
      </c>
      <c r="V5" s="165" t="s">
        <v>99</v>
      </c>
      <c r="W5" s="72" t="s">
        <v>110</v>
      </c>
      <c r="X5" s="165" t="s">
        <v>99</v>
      </c>
      <c r="Y5" s="72" t="s">
        <v>110</v>
      </c>
      <c r="Z5" s="165" t="s">
        <v>99</v>
      </c>
      <c r="AA5" s="72" t="s">
        <v>110</v>
      </c>
      <c r="AB5" s="165" t="s">
        <v>99</v>
      </c>
      <c r="AC5" s="72" t="s">
        <v>110</v>
      </c>
      <c r="AD5" s="165" t="s">
        <v>99</v>
      </c>
      <c r="AE5" s="72" t="s">
        <v>110</v>
      </c>
      <c r="AF5" s="165" t="s">
        <v>99</v>
      </c>
      <c r="AG5" s="72" t="s">
        <v>110</v>
      </c>
      <c r="AH5" s="165" t="s">
        <v>99</v>
      </c>
      <c r="AI5" s="72" t="s">
        <v>110</v>
      </c>
      <c r="AJ5" s="99" t="s">
        <v>99</v>
      </c>
      <c r="AK5" s="75" t="s">
        <v>99</v>
      </c>
      <c r="AL5" s="36" t="s">
        <v>99</v>
      </c>
    </row>
    <row r="6" spans="1:38" x14ac:dyDescent="0.2">
      <c r="A6" s="40" t="s">
        <v>201</v>
      </c>
      <c r="B6" s="42" t="s">
        <v>201</v>
      </c>
      <c r="C6" s="42" t="s">
        <v>201</v>
      </c>
      <c r="D6" s="42" t="s">
        <v>201</v>
      </c>
      <c r="E6" s="44" t="s">
        <v>201</v>
      </c>
      <c r="F6" s="165" t="s">
        <v>113</v>
      </c>
      <c r="G6" s="72" t="s">
        <v>93</v>
      </c>
      <c r="H6" s="165" t="s">
        <v>113</v>
      </c>
      <c r="I6" s="72" t="s">
        <v>93</v>
      </c>
      <c r="J6" s="165" t="s">
        <v>113</v>
      </c>
      <c r="K6" s="72" t="s">
        <v>93</v>
      </c>
      <c r="L6" s="165" t="s">
        <v>113</v>
      </c>
      <c r="M6" s="72" t="s">
        <v>93</v>
      </c>
      <c r="N6" s="165" t="s">
        <v>113</v>
      </c>
      <c r="O6" s="72" t="s">
        <v>93</v>
      </c>
      <c r="P6" s="165" t="s">
        <v>113</v>
      </c>
      <c r="Q6" s="72" t="s">
        <v>93</v>
      </c>
      <c r="R6" s="165" t="s">
        <v>113</v>
      </c>
      <c r="S6" s="72" t="s">
        <v>93</v>
      </c>
      <c r="T6" s="165" t="s">
        <v>113</v>
      </c>
      <c r="U6" s="72" t="s">
        <v>93</v>
      </c>
      <c r="V6" s="165" t="s">
        <v>113</v>
      </c>
      <c r="W6" s="72" t="s">
        <v>93</v>
      </c>
      <c r="X6" s="165" t="s">
        <v>113</v>
      </c>
      <c r="Y6" s="72" t="s">
        <v>93</v>
      </c>
      <c r="Z6" s="165" t="s">
        <v>113</v>
      </c>
      <c r="AA6" s="72" t="s">
        <v>93</v>
      </c>
      <c r="AB6" s="165" t="s">
        <v>113</v>
      </c>
      <c r="AC6" s="72" t="s">
        <v>93</v>
      </c>
      <c r="AD6" s="165" t="s">
        <v>113</v>
      </c>
      <c r="AE6" s="72" t="s">
        <v>93</v>
      </c>
      <c r="AF6" s="165" t="s">
        <v>113</v>
      </c>
      <c r="AG6" s="72" t="s">
        <v>93</v>
      </c>
      <c r="AH6" s="165" t="s">
        <v>113</v>
      </c>
      <c r="AI6" s="72" t="s">
        <v>93</v>
      </c>
      <c r="AJ6" s="99" t="s">
        <v>94</v>
      </c>
      <c r="AK6" s="75" t="s">
        <v>94</v>
      </c>
      <c r="AL6" s="36" t="s">
        <v>94</v>
      </c>
    </row>
    <row r="7" spans="1:38" x14ac:dyDescent="0.2">
      <c r="A7" s="40" t="s">
        <v>109</v>
      </c>
      <c r="B7" s="42" t="s">
        <v>109</v>
      </c>
      <c r="C7" s="42" t="s">
        <v>109</v>
      </c>
      <c r="D7" s="42" t="s">
        <v>109</v>
      </c>
      <c r="E7" s="44" t="s">
        <v>109</v>
      </c>
      <c r="F7" s="165" t="s">
        <v>96</v>
      </c>
      <c r="G7" s="72" t="s">
        <v>95</v>
      </c>
      <c r="H7" s="165" t="s">
        <v>96</v>
      </c>
      <c r="I7" s="72" t="s">
        <v>95</v>
      </c>
      <c r="J7" s="165" t="s">
        <v>96</v>
      </c>
      <c r="K7" s="72" t="s">
        <v>95</v>
      </c>
      <c r="L7" s="165" t="s">
        <v>96</v>
      </c>
      <c r="M7" s="72" t="s">
        <v>95</v>
      </c>
      <c r="N7" s="165" t="s">
        <v>96</v>
      </c>
      <c r="O7" s="72" t="s">
        <v>95</v>
      </c>
      <c r="P7" s="165" t="s">
        <v>96</v>
      </c>
      <c r="Q7" s="72" t="s">
        <v>95</v>
      </c>
      <c r="R7" s="165" t="s">
        <v>96</v>
      </c>
      <c r="S7" s="72" t="s">
        <v>95</v>
      </c>
      <c r="T7" s="165" t="s">
        <v>96</v>
      </c>
      <c r="U7" s="72" t="s">
        <v>95</v>
      </c>
      <c r="V7" s="165" t="s">
        <v>96</v>
      </c>
      <c r="W7" s="72" t="s">
        <v>95</v>
      </c>
      <c r="X7" s="165" t="s">
        <v>96</v>
      </c>
      <c r="Y7" s="72" t="s">
        <v>95</v>
      </c>
      <c r="Z7" s="165" t="s">
        <v>96</v>
      </c>
      <c r="AA7" s="72" t="s">
        <v>95</v>
      </c>
      <c r="AB7" s="165" t="s">
        <v>96</v>
      </c>
      <c r="AC7" s="72" t="s">
        <v>95</v>
      </c>
      <c r="AD7" s="165" t="s">
        <v>96</v>
      </c>
      <c r="AE7" s="72" t="s">
        <v>95</v>
      </c>
      <c r="AF7" s="165" t="s">
        <v>96</v>
      </c>
      <c r="AG7" s="72" t="s">
        <v>95</v>
      </c>
      <c r="AH7" s="165" t="s">
        <v>96</v>
      </c>
      <c r="AI7" s="72" t="s">
        <v>95</v>
      </c>
      <c r="AJ7" s="99" t="s">
        <v>95</v>
      </c>
      <c r="AK7" s="75" t="s">
        <v>95</v>
      </c>
      <c r="AL7" s="36" t="s">
        <v>96</v>
      </c>
    </row>
    <row r="8" spans="1:38" s="338" customFormat="1" x14ac:dyDescent="0.2">
      <c r="B8" s="339"/>
      <c r="C8" s="339"/>
      <c r="D8" s="339"/>
      <c r="E8" s="340"/>
      <c r="F8" s="341"/>
      <c r="G8" s="319" t="s">
        <v>225</v>
      </c>
      <c r="H8" s="341"/>
      <c r="I8" s="319" t="s">
        <v>226</v>
      </c>
      <c r="J8" s="341"/>
      <c r="K8" s="319" t="s">
        <v>228</v>
      </c>
      <c r="L8" s="341"/>
      <c r="M8" s="319" t="s">
        <v>230</v>
      </c>
      <c r="N8" s="341"/>
      <c r="O8" s="319" t="s">
        <v>232</v>
      </c>
      <c r="P8" s="341"/>
      <c r="Q8" s="319" t="s">
        <v>222</v>
      </c>
      <c r="R8" s="341"/>
      <c r="S8" s="471" t="s">
        <v>224</v>
      </c>
      <c r="T8" s="341"/>
      <c r="U8" s="319" t="s">
        <v>227</v>
      </c>
      <c r="V8" s="341"/>
      <c r="W8" s="319" t="s">
        <v>223</v>
      </c>
      <c r="X8" s="341"/>
      <c r="Y8" s="319" t="s">
        <v>231</v>
      </c>
      <c r="Z8" s="341"/>
      <c r="AA8" s="319" t="s">
        <v>229</v>
      </c>
      <c r="AB8" s="341"/>
      <c r="AC8" s="319" t="s">
        <v>1068</v>
      </c>
      <c r="AD8" s="341"/>
      <c r="AE8" s="319" t="s">
        <v>233</v>
      </c>
      <c r="AF8" s="341"/>
      <c r="AG8" s="319" t="s">
        <v>1070</v>
      </c>
      <c r="AH8" s="341"/>
      <c r="AI8" s="319" t="s">
        <v>234</v>
      </c>
      <c r="AJ8" s="219"/>
      <c r="AK8" s="177"/>
      <c r="AL8" s="342"/>
    </row>
    <row r="9" spans="1:38" s="338" customFormat="1" x14ac:dyDescent="0.2">
      <c r="B9" s="339"/>
      <c r="C9" s="339"/>
      <c r="D9" s="339"/>
      <c r="E9" s="340"/>
      <c r="F9" s="341"/>
      <c r="G9" s="319" t="s">
        <v>237</v>
      </c>
      <c r="H9" s="341"/>
      <c r="I9" s="319" t="s">
        <v>238</v>
      </c>
      <c r="J9" s="341"/>
      <c r="K9" s="319" t="s">
        <v>240</v>
      </c>
      <c r="L9" s="341"/>
      <c r="M9" s="319" t="s">
        <v>242</v>
      </c>
      <c r="N9" s="341"/>
      <c r="O9" s="319" t="s">
        <v>244</v>
      </c>
      <c r="P9" s="341"/>
      <c r="Q9" s="319" t="s">
        <v>221</v>
      </c>
      <c r="R9" s="341"/>
      <c r="S9" s="319" t="s">
        <v>236</v>
      </c>
      <c r="T9" s="341"/>
      <c r="U9" s="319" t="s">
        <v>239</v>
      </c>
      <c r="V9" s="341"/>
      <c r="W9" s="319" t="s">
        <v>235</v>
      </c>
      <c r="X9" s="341"/>
      <c r="Y9" s="319" t="s">
        <v>243</v>
      </c>
      <c r="Z9" s="341"/>
      <c r="AA9" s="319" t="s">
        <v>241</v>
      </c>
      <c r="AB9" s="341"/>
      <c r="AC9" s="319" t="s">
        <v>1069</v>
      </c>
      <c r="AD9" s="341"/>
      <c r="AE9" s="319" t="s">
        <v>245</v>
      </c>
      <c r="AF9" s="341"/>
      <c r="AG9" s="319" t="s">
        <v>1071</v>
      </c>
      <c r="AH9" s="341"/>
      <c r="AI9" s="319" t="s">
        <v>246</v>
      </c>
      <c r="AJ9" s="219"/>
      <c r="AK9" s="177"/>
      <c r="AL9" s="342"/>
    </row>
    <row r="10" spans="1:38" s="338" customFormat="1" x14ac:dyDescent="0.2">
      <c r="B10" s="339"/>
      <c r="C10" s="339"/>
      <c r="D10" s="339"/>
      <c r="E10" s="340"/>
      <c r="F10" s="341"/>
      <c r="G10" s="319" t="s">
        <v>105</v>
      </c>
      <c r="H10" s="341"/>
      <c r="I10" s="319" t="s">
        <v>105</v>
      </c>
      <c r="J10" s="341"/>
      <c r="K10" s="319" t="s">
        <v>105</v>
      </c>
      <c r="L10" s="341"/>
      <c r="M10" s="319" t="s">
        <v>105</v>
      </c>
      <c r="N10" s="341"/>
      <c r="O10" s="319" t="s">
        <v>105</v>
      </c>
      <c r="P10" s="341"/>
      <c r="Q10" s="319" t="s">
        <v>105</v>
      </c>
      <c r="R10" s="341"/>
      <c r="S10" s="319" t="s">
        <v>105</v>
      </c>
      <c r="T10" s="341"/>
      <c r="U10" s="319" t="s">
        <v>105</v>
      </c>
      <c r="V10" s="341"/>
      <c r="W10" s="319" t="s">
        <v>105</v>
      </c>
      <c r="X10" s="341"/>
      <c r="Y10" s="319" t="s">
        <v>105</v>
      </c>
      <c r="Z10" s="341"/>
      <c r="AA10" s="319" t="s">
        <v>105</v>
      </c>
      <c r="AB10" s="341"/>
      <c r="AC10" s="319" t="s">
        <v>105</v>
      </c>
      <c r="AD10" s="341"/>
      <c r="AE10" s="319" t="s">
        <v>105</v>
      </c>
      <c r="AF10" s="341"/>
      <c r="AG10" s="319" t="s">
        <v>105</v>
      </c>
      <c r="AH10" s="341"/>
      <c r="AI10" s="319" t="s">
        <v>105</v>
      </c>
      <c r="AJ10" s="219"/>
      <c r="AK10" s="177"/>
      <c r="AL10" s="342"/>
    </row>
    <row r="11" spans="1:38" x14ac:dyDescent="0.2">
      <c r="F11" s="165" t="s">
        <v>1047</v>
      </c>
      <c r="G11" s="72" t="s">
        <v>1047</v>
      </c>
      <c r="H11" s="165" t="s">
        <v>1047</v>
      </c>
      <c r="I11" s="72" t="s">
        <v>1047</v>
      </c>
      <c r="J11" s="165" t="s">
        <v>1047</v>
      </c>
      <c r="K11" s="72" t="s">
        <v>1047</v>
      </c>
      <c r="L11" s="165" t="s">
        <v>1047</v>
      </c>
      <c r="M11" s="72" t="s">
        <v>1047</v>
      </c>
      <c r="N11" s="165" t="s">
        <v>1047</v>
      </c>
      <c r="O11" s="72" t="s">
        <v>1047</v>
      </c>
      <c r="P11" s="165" t="s">
        <v>1047</v>
      </c>
      <c r="Q11" s="72" t="s">
        <v>1047</v>
      </c>
      <c r="R11" s="165" t="s">
        <v>1047</v>
      </c>
      <c r="S11" s="72" t="s">
        <v>1047</v>
      </c>
      <c r="T11" s="165" t="s">
        <v>1047</v>
      </c>
      <c r="U11" s="72" t="s">
        <v>1047</v>
      </c>
      <c r="V11" s="165" t="s">
        <v>1047</v>
      </c>
      <c r="W11" s="72" t="s">
        <v>1047</v>
      </c>
      <c r="X11" s="165" t="s">
        <v>1047</v>
      </c>
      <c r="Y11" s="72" t="s">
        <v>1047</v>
      </c>
      <c r="Z11" s="165" t="s">
        <v>1047</v>
      </c>
      <c r="AA11" s="72" t="s">
        <v>1047</v>
      </c>
      <c r="AB11" s="165" t="s">
        <v>1047</v>
      </c>
      <c r="AC11" s="72" t="s">
        <v>1047</v>
      </c>
      <c r="AD11" s="165" t="s">
        <v>1047</v>
      </c>
      <c r="AE11" s="72" t="s">
        <v>1047</v>
      </c>
      <c r="AF11" s="165" t="s">
        <v>1047</v>
      </c>
      <c r="AG11" s="72" t="s">
        <v>1047</v>
      </c>
      <c r="AH11" s="165" t="s">
        <v>1047</v>
      </c>
      <c r="AI11" s="72" t="s">
        <v>1047</v>
      </c>
      <c r="AJ11" s="99" t="s">
        <v>1047</v>
      </c>
      <c r="AK11" s="75" t="s">
        <v>1047</v>
      </c>
      <c r="AL11" s="36" t="s">
        <v>1047</v>
      </c>
    </row>
    <row r="12" spans="1:38" x14ac:dyDescent="0.2">
      <c r="F12" s="165" t="s">
        <v>693</v>
      </c>
      <c r="G12" s="72" t="s">
        <v>693</v>
      </c>
      <c r="H12" s="165" t="s">
        <v>693</v>
      </c>
      <c r="I12" s="72" t="s">
        <v>693</v>
      </c>
      <c r="J12" s="165" t="s">
        <v>202</v>
      </c>
      <c r="K12" s="72" t="s">
        <v>202</v>
      </c>
      <c r="L12" s="165" t="s">
        <v>694</v>
      </c>
      <c r="M12" s="72" t="s">
        <v>694</v>
      </c>
      <c r="N12" s="165" t="s">
        <v>202</v>
      </c>
      <c r="O12" s="72" t="s">
        <v>202</v>
      </c>
      <c r="P12" s="165" t="s">
        <v>202</v>
      </c>
      <c r="Q12" s="72" t="s">
        <v>202</v>
      </c>
      <c r="R12" s="165" t="s">
        <v>202</v>
      </c>
      <c r="S12" s="72" t="s">
        <v>202</v>
      </c>
      <c r="T12" s="165" t="s">
        <v>202</v>
      </c>
      <c r="U12" s="72" t="s">
        <v>202</v>
      </c>
      <c r="V12" s="165" t="s">
        <v>202</v>
      </c>
      <c r="W12" s="72" t="s">
        <v>202</v>
      </c>
      <c r="X12" s="165" t="s">
        <v>202</v>
      </c>
      <c r="Y12" s="72" t="s">
        <v>202</v>
      </c>
      <c r="Z12" s="165" t="s">
        <v>202</v>
      </c>
      <c r="AA12" s="72" t="s">
        <v>202</v>
      </c>
      <c r="AB12" s="165" t="s">
        <v>202</v>
      </c>
      <c r="AC12" s="72" t="s">
        <v>202</v>
      </c>
      <c r="AD12" s="165" t="s">
        <v>202</v>
      </c>
      <c r="AE12" s="72" t="s">
        <v>202</v>
      </c>
      <c r="AF12" s="165" t="s">
        <v>202</v>
      </c>
      <c r="AG12" s="72" t="s">
        <v>202</v>
      </c>
      <c r="AH12" s="165" t="s">
        <v>202</v>
      </c>
      <c r="AI12" s="72" t="s">
        <v>202</v>
      </c>
      <c r="AJ12" s="99" t="s">
        <v>202</v>
      </c>
      <c r="AK12" s="75" t="s">
        <v>202</v>
      </c>
      <c r="AL12" s="36" t="s">
        <v>202</v>
      </c>
    </row>
    <row r="13" spans="1:38" x14ac:dyDescent="0.2">
      <c r="AJ13" s="99"/>
      <c r="AK13" s="75"/>
      <c r="AL13" s="36"/>
    </row>
    <row r="14" spans="1:38" x14ac:dyDescent="0.2">
      <c r="A14" s="52" t="s">
        <v>591</v>
      </c>
      <c r="B14" s="52" t="s">
        <v>5</v>
      </c>
      <c r="C14" s="54" t="s">
        <v>35</v>
      </c>
      <c r="D14" s="54" t="s">
        <v>6</v>
      </c>
      <c r="E14" s="318" t="s">
        <v>76</v>
      </c>
      <c r="F14" s="391" t="s">
        <v>551</v>
      </c>
      <c r="G14" s="176" t="s">
        <v>552</v>
      </c>
      <c r="H14" s="391" t="s">
        <v>412</v>
      </c>
      <c r="I14" s="176" t="s">
        <v>413</v>
      </c>
      <c r="J14" s="391" t="s">
        <v>410</v>
      </c>
      <c r="K14" s="176" t="s">
        <v>411</v>
      </c>
      <c r="L14" s="391" t="s">
        <v>414</v>
      </c>
      <c r="M14" s="176" t="s">
        <v>415</v>
      </c>
      <c r="N14" s="391" t="s">
        <v>404</v>
      </c>
      <c r="O14" s="176" t="s">
        <v>405</v>
      </c>
      <c r="P14" s="391" t="s">
        <v>406</v>
      </c>
      <c r="Q14" s="176" t="s">
        <v>407</v>
      </c>
      <c r="R14" s="391" t="s">
        <v>408</v>
      </c>
      <c r="S14" s="176" t="s">
        <v>409</v>
      </c>
      <c r="T14" s="391" t="s">
        <v>416</v>
      </c>
      <c r="U14" s="176" t="s">
        <v>417</v>
      </c>
      <c r="V14" s="391" t="s">
        <v>418</v>
      </c>
      <c r="W14" s="176" t="s">
        <v>419</v>
      </c>
      <c r="X14" s="391" t="s">
        <v>420</v>
      </c>
      <c r="Y14" s="176" t="s">
        <v>421</v>
      </c>
      <c r="Z14" s="391" t="s">
        <v>422</v>
      </c>
      <c r="AA14" s="176" t="s">
        <v>423</v>
      </c>
      <c r="AB14" s="391" t="s">
        <v>924</v>
      </c>
      <c r="AC14" s="176" t="s">
        <v>925</v>
      </c>
      <c r="AD14" s="391" t="s">
        <v>424</v>
      </c>
      <c r="AE14" s="176" t="s">
        <v>425</v>
      </c>
      <c r="AF14" s="391" t="s">
        <v>931</v>
      </c>
      <c r="AG14" s="176" t="s">
        <v>932</v>
      </c>
      <c r="AH14" s="391" t="s">
        <v>426</v>
      </c>
      <c r="AI14" s="176" t="s">
        <v>427</v>
      </c>
      <c r="AJ14" s="178" t="s">
        <v>428</v>
      </c>
      <c r="AK14" s="92" t="s">
        <v>396</v>
      </c>
      <c r="AL14" s="215" t="s">
        <v>553</v>
      </c>
    </row>
    <row r="15" spans="1:38" x14ac:dyDescent="0.2">
      <c r="E15" s="44" t="str">
        <f>$B15&amp;"|"&amp;$C15&amp;"|"&amp;$D15</f>
        <v>||</v>
      </c>
      <c r="F15" s="165" t="str">
        <f>IF($D15="Female",100%,"")</f>
        <v/>
      </c>
      <c r="G15" s="72" t="str" cm="1">
        <f t="array" ref="G15">IFERROR(ROUND($F15*IF($C15="50+",SUM(SUMIFS(PMTCT!$AF:$AF,PMTCT!$B:$B,$B15,PMTCT!$C:$C,{"50-54","55-59","60-64","65+"},PMTCT!$D:$D,$D15)),INDEX(PMTCT!$AF:$AF,MATCH($E15,PMTCT!$E:$E,0))),0),"")</f>
        <v/>
      </c>
      <c r="H15" s="165" t="str">
        <f>IF($D15="Female",100%,"")</f>
        <v/>
      </c>
      <c r="I15" s="72" t="str" cm="1">
        <f t="array" ref="I15">IFERROR(ROUND($H15*IF($C15="50+",SUM(SUMIFS(PMTCT!$AV:$AV,PMTCT!$B:$B,$B15,PMTCT!$C:$C,{"50-54","55-59","60-64","65+"},PMTCT!$D:$D,$D15)),INDEX(PMTCT!$AV:$AV,MATCH($E15,PMTCT!$E:$E,0))),0),"")</f>
        <v/>
      </c>
      <c r="J15" s="165">
        <v>1</v>
      </c>
      <c r="K15" s="72" cm="1">
        <f t="array" ref="K15">IFERROR(ROUND($J15*IF($C15="50+",SUM(SUMIFS(TB!$Q:$Q,TB!$B:$B,$B15,TB!$C:$C,{"50-54","55-59","60-64","65+"},TB!$D:$D,$D15)),INDEX(TB!$Q:$Q,MATCH($E15,TB!$E:$E,0))),0),"")</f>
        <v>0</v>
      </c>
      <c r="L15" s="165" t="str">
        <f>IF($D15="Male",100%,"")</f>
        <v/>
      </c>
      <c r="M15" s="87" t="str" cm="1">
        <f t="array" ref="M15">IFERROR(ROUND($L14*IF($C14="50+",SUM(SUMIFS(VMMC!$AC:$AC,VMMC!$B:$B,$B14,VMMC!$C:$C,{"50-54","55-59","60-64","65+"},VMMC!$D:$D,$D14)),INDEX(VMMC!$AC:$AC,MATCH($E14,VMMC!$E:$E,0))),0),"")</f>
        <v/>
      </c>
      <c r="N15" s="165">
        <v>1</v>
      </c>
      <c r="O15" s="72" t="str" cm="1">
        <f t="array" ref="O15">IFERROR(ROUND($N15*IF($C15="50+",SUM(SUMIFS(Cascade!$CZ:$CZ,Cascade!$B:$B,$B15,Cascade!$C:$C,{"50-54","55-59","60-64","65+"},Cascade!$D:$D,$D15)),INDEX(Cascade!$CZ:$CZ,MATCH($E15,Cascade!$E:$E,0))),0),"")</f>
        <v/>
      </c>
      <c r="P15" s="165">
        <v>1</v>
      </c>
      <c r="Q15" s="72" t="str" cm="1">
        <f t="array" ref="Q15">IFERROR(ROUND($P15*IF($C15="50+",SUM(SUMIFS(Cascade!$DB:$DB,Cascade!$B:$B,$B15,Cascade!$C:$C,{"50-54","55-59","60-64","65+"},Cascade!$D:$D,$D15)),INDEX(Cascade!$DB:$DB,MATCH($E15,Cascade!$E:$E,0))),0),"")</f>
        <v/>
      </c>
      <c r="R15" s="165">
        <v>1</v>
      </c>
      <c r="S15" s="72" t="str">
        <f>IFERROR(ROUND($R15*INDEX(HTS!$AI:$AI,MATCH($E15,HTS!$E:$E,0)),0),"")</f>
        <v/>
      </c>
      <c r="T15" s="165">
        <v>1</v>
      </c>
      <c r="U15" s="72" t="str">
        <f>IFERROR(ROUND($T15*INDEX(HTS!$AR:$AR,MATCH($E15,HTS!$E:$E,0)),0),"")</f>
        <v/>
      </c>
      <c r="V15" s="165">
        <v>1</v>
      </c>
      <c r="W15" s="72" t="str">
        <f>IFERROR(ROUND($V15*INDEX(HTS!$AU:$AU,MATCH($E15,HTS!$E:$E,0)),0),"")</f>
        <v/>
      </c>
      <c r="X15" s="165">
        <v>1</v>
      </c>
      <c r="Y15" s="72" t="str">
        <f>IFERROR(ROUND($X15*INDEX(HTS!$AX:$AX,MATCH($E15,HTS!$E:$E,0)),0),"")</f>
        <v/>
      </c>
      <c r="Z15" s="165">
        <v>1</v>
      </c>
      <c r="AA15" s="72" t="str">
        <f>IFERROR(ROUND($Z15*INDEX(HTS!$BA:$BA,MATCH($E15,HTS!$E:$E,0)),0),"")</f>
        <v/>
      </c>
      <c r="AB15" s="165">
        <v>1</v>
      </c>
      <c r="AC15" s="72" t="str">
        <f>IFERROR(ROUND($AB15*INDEX(HTS!$BD:$BD,MATCH($E15,HTS!$E:$E,0)),0),"")</f>
        <v/>
      </c>
      <c r="AD15" s="165">
        <v>1</v>
      </c>
      <c r="AE15" s="72" t="str">
        <f>IFERROR(ROUND($AD15*INDEX(HTS!$BG:$BG,MATCH($E15,HTS!$E:$E,0)),0),"")</f>
        <v/>
      </c>
      <c r="AF15" s="165">
        <v>1</v>
      </c>
      <c r="AG15" s="72" t="str">
        <f>IFERROR(ROUND($AF15*INDEX(HTS!$BJ:$BJ,MATCH($E15,HTS!$E:$E,0)),0),"")</f>
        <v/>
      </c>
      <c r="AH15" s="165">
        <v>1</v>
      </c>
      <c r="AI15" s="72" t="str">
        <f>IFERROR(ROUND($AH15*INDEX(HTS!$BM:$BM,MATCH($E15,HTS!$E:$E,0)),0),"")</f>
        <v/>
      </c>
      <c r="AJ15" s="116">
        <f>SUM($G15,$I15,$K15,$M15,$O15,$Q15,$S15,$U15,$W15,$Y15,$AA15,$AC15,$AE15,$AG15,$AI15)</f>
        <v>0</v>
      </c>
      <c r="AK15" s="273" t="str">
        <f>INDEX(HTS!$BP:$BP,MATCH($E15,HTS!$E:$E,0))</f>
        <v/>
      </c>
      <c r="AL15" s="254" t="str">
        <f>IF(SUM($AK15)=0,"",$AJ15/$AK15)</f>
        <v/>
      </c>
    </row>
    <row r="16" spans="1:38" x14ac:dyDescent="0.2">
      <c r="M16" s="87"/>
    </row>
  </sheetData>
  <conditionalFormatting sqref="F1:I1048576">
    <cfRule type="expression" dxfId="97" priority="6">
      <formula>$D1="Male"</formula>
    </cfRule>
  </conditionalFormatting>
  <conditionalFormatting sqref="L1:M1048576">
    <cfRule type="expression" dxfId="96"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95" priority="2">
      <formula>AND(ISNUMBER(F1),OR(ROUND(F1,2)&gt;1,ROUND(F1,2)&lt;0))</formula>
    </cfRule>
    <cfRule type="expression" dxfId="94"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93"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63BE7B"/>
  </sheetPr>
  <dimension ref="A1:AB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7" width="11.83203125" style="75" customWidth="1"/>
    <col min="8" max="11" width="11.83203125" style="36" customWidth="1"/>
    <col min="12" max="15" width="11.83203125" style="72" customWidth="1"/>
    <col min="16" max="16" width="11.83203125" style="99" customWidth="1"/>
    <col min="17" max="17" width="11.83203125" style="98" customWidth="1"/>
    <col min="18" max="18" width="11.83203125" style="75" customWidth="1"/>
    <col min="19" max="19" width="11.83203125" style="254" customWidth="1"/>
    <col min="20" max="20" width="11.83203125" style="122" customWidth="1"/>
    <col min="21" max="21" width="11.83203125" style="36" customWidth="1"/>
    <col min="22" max="23" width="11.83203125" style="72" customWidth="1"/>
    <col min="24" max="24" width="11.83203125" style="165" customWidth="1"/>
    <col min="25" max="26" width="11.83203125" style="72" customWidth="1"/>
    <col min="27" max="28" width="11.83203125" style="36" customWidth="1"/>
    <col min="29" max="16384" width="10.83203125" style="40"/>
  </cols>
  <sheetData>
    <row r="1" spans="1:28" s="57" customFormat="1" ht="31" customHeight="1" x14ac:dyDescent="0.3">
      <c r="A1" s="5" t="s">
        <v>91</v>
      </c>
      <c r="B1" s="5"/>
      <c r="C1" s="1"/>
      <c r="D1" s="1"/>
      <c r="E1" s="1"/>
      <c r="F1" s="111" t="s">
        <v>19</v>
      </c>
      <c r="G1" s="77"/>
      <c r="H1" s="45"/>
      <c r="I1" s="45"/>
      <c r="J1" s="45"/>
      <c r="K1" s="45"/>
      <c r="L1" s="67"/>
      <c r="M1" s="67"/>
      <c r="N1" s="67"/>
      <c r="O1" s="67"/>
      <c r="P1" s="111" t="s">
        <v>20</v>
      </c>
      <c r="Q1" s="118"/>
      <c r="R1" s="80"/>
      <c r="S1" s="250"/>
      <c r="T1" s="118"/>
      <c r="U1" s="45"/>
      <c r="V1" s="67"/>
      <c r="W1" s="67"/>
      <c r="X1" s="248" t="s">
        <v>41</v>
      </c>
      <c r="Y1" s="67"/>
      <c r="Z1" s="67"/>
      <c r="AA1" s="35"/>
      <c r="AB1" s="35"/>
    </row>
    <row r="2" spans="1:28" s="56" customFormat="1" ht="19" x14ac:dyDescent="0.25">
      <c r="A2" s="2"/>
      <c r="B2" s="2"/>
      <c r="C2" s="2"/>
      <c r="D2" s="2"/>
      <c r="E2" s="2"/>
      <c r="F2" s="112" t="s">
        <v>74</v>
      </c>
      <c r="G2" s="73"/>
      <c r="H2" s="34" t="s">
        <v>2</v>
      </c>
      <c r="I2" s="34"/>
      <c r="J2" s="34"/>
      <c r="K2" s="34"/>
      <c r="L2" s="68" t="s">
        <v>3</v>
      </c>
      <c r="M2" s="68"/>
      <c r="N2" s="68"/>
      <c r="O2" s="68"/>
      <c r="P2" s="112" t="s">
        <v>74</v>
      </c>
      <c r="Q2" s="119"/>
      <c r="R2" s="94"/>
      <c r="S2" s="251" t="s">
        <v>2</v>
      </c>
      <c r="T2" s="119"/>
      <c r="U2" s="34"/>
      <c r="V2" s="68" t="s">
        <v>3</v>
      </c>
      <c r="W2" s="68"/>
      <c r="X2" s="249" t="s">
        <v>2</v>
      </c>
      <c r="Y2" s="68" t="s">
        <v>3</v>
      </c>
      <c r="Z2" s="68"/>
      <c r="AA2" s="34" t="s">
        <v>74</v>
      </c>
      <c r="AB2" s="34"/>
    </row>
    <row r="3" spans="1:28" ht="117" customHeight="1" x14ac:dyDescent="0.2">
      <c r="A3" s="47"/>
      <c r="B3" s="47"/>
      <c r="C3" s="47"/>
      <c r="D3" s="47"/>
      <c r="E3" s="47"/>
      <c r="F3" s="261" t="s">
        <v>793</v>
      </c>
      <c r="G3" s="262" t="s">
        <v>1030</v>
      </c>
      <c r="H3" s="48" t="s">
        <v>1081</v>
      </c>
      <c r="I3" s="48" t="s">
        <v>1080</v>
      </c>
      <c r="J3" s="48" t="s">
        <v>1079</v>
      </c>
      <c r="K3" s="48" t="s">
        <v>1078</v>
      </c>
      <c r="L3" s="69" t="s">
        <v>92</v>
      </c>
      <c r="M3" s="69" t="s">
        <v>36</v>
      </c>
      <c r="N3" s="69" t="s">
        <v>37</v>
      </c>
      <c r="O3" s="69" t="s">
        <v>40</v>
      </c>
      <c r="P3" s="148" t="s">
        <v>1219</v>
      </c>
      <c r="Q3" s="120" t="s">
        <v>1221</v>
      </c>
      <c r="R3" s="149" t="s">
        <v>1222</v>
      </c>
      <c r="S3" s="390" t="s">
        <v>1077</v>
      </c>
      <c r="T3" s="120" t="s">
        <v>1223</v>
      </c>
      <c r="U3" s="48" t="s">
        <v>1224</v>
      </c>
      <c r="V3" s="69" t="s">
        <v>32</v>
      </c>
      <c r="W3" s="69" t="s">
        <v>33</v>
      </c>
      <c r="X3" s="412" t="s">
        <v>1076</v>
      </c>
      <c r="Y3" s="69" t="s">
        <v>32</v>
      </c>
      <c r="Z3" s="69" t="s">
        <v>33</v>
      </c>
      <c r="AA3" s="409" t="s">
        <v>262</v>
      </c>
      <c r="AB3" s="409" t="s">
        <v>263</v>
      </c>
    </row>
    <row r="4" spans="1:28" x14ac:dyDescent="0.2">
      <c r="A4" s="49"/>
      <c r="B4" s="49"/>
      <c r="C4" s="49"/>
      <c r="D4" s="49" t="s">
        <v>4</v>
      </c>
      <c r="E4" s="49"/>
      <c r="F4" s="113">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13">
        <f>SUBTOTAL(109,P$15:INDEX(P:P,COUNTA($B:$B)+14-COUNTA($B$1:$B$14)))</f>
        <v>0</v>
      </c>
      <c r="Q4" s="121">
        <f>SUBTOTAL(109,Q$15:INDEX(Q:Q,COUNTA($B:$B)+14-COUNTA($B$1:$B$14)))</f>
        <v>0</v>
      </c>
      <c r="R4" s="74">
        <f>SUBTOTAL(109,R$15:INDEX(R:R,COUNTA($B:$B)+14-COUNTA($B$1:$B$14)))</f>
        <v>0</v>
      </c>
      <c r="S4" s="253" t="str">
        <f>IF(SUM($M$4)=0,"",$V$4/$M$4)</f>
        <v/>
      </c>
      <c r="T4" s="349">
        <f>SUBTOTAL(109,T$15:INDEX(T:T,COUNTA($B:$B)+14-COUNTA($B$1:$B$14)))</f>
        <v>0</v>
      </c>
      <c r="U4" s="50" t="str">
        <f>IF(SUM($O$4)=0,"",$W$4/$O$4)</f>
        <v/>
      </c>
      <c r="V4" s="71">
        <f>SUBTOTAL(109,V$15:INDEX(V:V,COUNTA($B:$B)+14-COUNTA($B$1:$B$14)))</f>
        <v>0</v>
      </c>
      <c r="W4" s="71">
        <f>SUBTOTAL(109,W$15:INDEX(W:W,COUNTA($B:$B)+14-COUNTA($B$1:$B$14)))</f>
        <v>0</v>
      </c>
      <c r="X4" s="164" t="str">
        <f>IF(SUM($V$4,$W$4)=0,"",SUM($Y$4,$Z$4)/SUM($V$4,$W$4))</f>
        <v/>
      </c>
      <c r="Y4" s="71">
        <f>SUBTOTAL(109,Y$15:INDEX(Y:Y,COUNTA($B:$B)+14-COUNTA($B$1:$B$14)))</f>
        <v>0</v>
      </c>
      <c r="Z4" s="71">
        <f>SUBTOTAL(109,Z$15:INDEX(Z:Z,COUNTA($B:$B)+14-COUNTA($B$1:$B$14)))</f>
        <v>0</v>
      </c>
      <c r="AA4" s="50" t="str">
        <f>IF(SUM($Q4)=0,"",(SUM($Y4)-$Q4)/$Q4)</f>
        <v/>
      </c>
      <c r="AB4" s="50" t="str">
        <f>IF(SUM($R4)=0,"",(SUM($Z4)-$R4)/$R4)</f>
        <v/>
      </c>
    </row>
    <row r="5" spans="1:28" x14ac:dyDescent="0.2">
      <c r="A5" s="42" t="s">
        <v>99</v>
      </c>
      <c r="B5" s="42" t="s">
        <v>99</v>
      </c>
      <c r="C5" s="42" t="s">
        <v>99</v>
      </c>
      <c r="D5" s="42" t="s">
        <v>99</v>
      </c>
      <c r="E5" s="42" t="s">
        <v>99</v>
      </c>
      <c r="F5" s="99" t="s">
        <v>99</v>
      </c>
      <c r="G5" s="75" t="s">
        <v>99</v>
      </c>
      <c r="H5" s="36" t="s">
        <v>99</v>
      </c>
      <c r="I5" s="36" t="s">
        <v>99</v>
      </c>
      <c r="J5" s="36" t="s">
        <v>99</v>
      </c>
      <c r="K5" s="36" t="s">
        <v>99</v>
      </c>
      <c r="L5" s="72" t="s">
        <v>110</v>
      </c>
      <c r="M5" s="72" t="s">
        <v>110</v>
      </c>
      <c r="N5" s="72" t="s">
        <v>110</v>
      </c>
      <c r="O5" s="72" t="s">
        <v>110</v>
      </c>
      <c r="P5" s="99" t="s">
        <v>99</v>
      </c>
      <c r="Q5" s="98" t="s">
        <v>110</v>
      </c>
      <c r="R5" s="75" t="s">
        <v>110</v>
      </c>
      <c r="S5" s="254" t="s">
        <v>99</v>
      </c>
      <c r="T5" s="122" t="s">
        <v>99</v>
      </c>
      <c r="U5" s="36" t="s">
        <v>99</v>
      </c>
      <c r="V5" s="72" t="s">
        <v>110</v>
      </c>
      <c r="W5" s="72" t="s">
        <v>110</v>
      </c>
      <c r="X5" s="165" t="s">
        <v>99</v>
      </c>
      <c r="Y5" s="72" t="s">
        <v>110</v>
      </c>
      <c r="Z5" s="72" t="s">
        <v>110</v>
      </c>
      <c r="AA5" s="36" t="s">
        <v>99</v>
      </c>
      <c r="AB5" s="36" t="s">
        <v>99</v>
      </c>
    </row>
    <row r="6" spans="1:28" x14ac:dyDescent="0.2">
      <c r="A6" s="42" t="s">
        <v>201</v>
      </c>
      <c r="B6" s="42" t="s">
        <v>201</v>
      </c>
      <c r="C6" s="42" t="s">
        <v>201</v>
      </c>
      <c r="D6" s="42" t="s">
        <v>201</v>
      </c>
      <c r="E6" s="42" t="s">
        <v>201</v>
      </c>
      <c r="F6" s="99" t="s">
        <v>94</v>
      </c>
      <c r="G6" s="75" t="s">
        <v>94</v>
      </c>
      <c r="H6" s="36" t="s">
        <v>113</v>
      </c>
      <c r="I6" s="36" t="s">
        <v>113</v>
      </c>
      <c r="J6" s="36" t="s">
        <v>112</v>
      </c>
      <c r="K6" s="36" t="s">
        <v>112</v>
      </c>
      <c r="L6" s="72" t="s">
        <v>93</v>
      </c>
      <c r="M6" s="72" t="s">
        <v>93</v>
      </c>
      <c r="N6" s="72" t="s">
        <v>93</v>
      </c>
      <c r="O6" s="72" t="s">
        <v>93</v>
      </c>
      <c r="P6" s="99" t="s">
        <v>112</v>
      </c>
      <c r="Q6" s="98" t="s">
        <v>111</v>
      </c>
      <c r="R6" s="75" t="s">
        <v>111</v>
      </c>
      <c r="S6" s="254" t="s">
        <v>113</v>
      </c>
      <c r="T6" s="122" t="s">
        <v>94</v>
      </c>
      <c r="U6" s="36" t="s">
        <v>113</v>
      </c>
      <c r="V6" s="72" t="s">
        <v>93</v>
      </c>
      <c r="W6" s="72" t="s">
        <v>93</v>
      </c>
      <c r="X6" s="165" t="s">
        <v>113</v>
      </c>
      <c r="Y6" s="72" t="s">
        <v>93</v>
      </c>
      <c r="Z6" s="72" t="s">
        <v>93</v>
      </c>
      <c r="AA6" s="36" t="s">
        <v>94</v>
      </c>
      <c r="AB6" s="36" t="s">
        <v>94</v>
      </c>
    </row>
    <row r="7" spans="1:28" x14ac:dyDescent="0.2">
      <c r="A7" s="42" t="s">
        <v>109</v>
      </c>
      <c r="B7" s="42" t="s">
        <v>109</v>
      </c>
      <c r="C7" s="42" t="s">
        <v>109</v>
      </c>
      <c r="D7" s="42" t="s">
        <v>109</v>
      </c>
      <c r="E7" s="42" t="s">
        <v>109</v>
      </c>
      <c r="F7" s="99" t="s">
        <v>95</v>
      </c>
      <c r="G7" s="75" t="s">
        <v>95</v>
      </c>
      <c r="H7" s="36" t="s">
        <v>96</v>
      </c>
      <c r="I7" s="36" t="s">
        <v>96</v>
      </c>
      <c r="J7" s="36" t="s">
        <v>96</v>
      </c>
      <c r="K7" s="36" t="s">
        <v>96</v>
      </c>
      <c r="L7" s="72" t="s">
        <v>95</v>
      </c>
      <c r="M7" s="72" t="s">
        <v>95</v>
      </c>
      <c r="N7" s="72" t="s">
        <v>95</v>
      </c>
      <c r="O7" s="72" t="s">
        <v>95</v>
      </c>
      <c r="P7" s="99" t="s">
        <v>95</v>
      </c>
      <c r="Q7" s="98" t="s">
        <v>95</v>
      </c>
      <c r="R7" s="75" t="s">
        <v>95</v>
      </c>
      <c r="S7" s="254" t="s">
        <v>96</v>
      </c>
      <c r="T7" s="122" t="s">
        <v>95</v>
      </c>
      <c r="U7" s="36" t="s">
        <v>96</v>
      </c>
      <c r="V7" s="72" t="s">
        <v>95</v>
      </c>
      <c r="W7" s="72" t="s">
        <v>95</v>
      </c>
      <c r="X7" s="165" t="s">
        <v>96</v>
      </c>
      <c r="Y7" s="72" t="s">
        <v>95</v>
      </c>
      <c r="Z7" s="72" t="s">
        <v>95</v>
      </c>
      <c r="AA7" s="36" t="s">
        <v>96</v>
      </c>
      <c r="AB7" s="36" t="s">
        <v>96</v>
      </c>
    </row>
    <row r="8" spans="1:28" x14ac:dyDescent="0.2">
      <c r="L8" s="319" t="s">
        <v>167</v>
      </c>
      <c r="M8" s="319" t="s">
        <v>167</v>
      </c>
      <c r="N8" s="319" t="s">
        <v>167</v>
      </c>
      <c r="O8" s="319" t="s">
        <v>167</v>
      </c>
      <c r="P8" s="219"/>
      <c r="Q8" s="422" t="s">
        <v>212</v>
      </c>
      <c r="R8" s="322" t="s">
        <v>212</v>
      </c>
      <c r="V8" s="319" t="s">
        <v>211</v>
      </c>
      <c r="W8" s="319" t="s">
        <v>211</v>
      </c>
      <c r="Y8" s="319" t="s">
        <v>212</v>
      </c>
      <c r="Z8" s="319" t="s">
        <v>212</v>
      </c>
    </row>
    <row r="9" spans="1:28" x14ac:dyDescent="0.2">
      <c r="L9" s="319" t="s">
        <v>168</v>
      </c>
      <c r="M9" s="319" t="s">
        <v>168</v>
      </c>
      <c r="N9" s="319" t="s">
        <v>168</v>
      </c>
      <c r="O9" s="319" t="s">
        <v>168</v>
      </c>
      <c r="P9" s="219"/>
      <c r="Q9" s="422" t="s">
        <v>213</v>
      </c>
      <c r="R9" s="322" t="s">
        <v>213</v>
      </c>
      <c r="V9" s="319" t="s">
        <v>210</v>
      </c>
      <c r="W9" s="319" t="s">
        <v>210</v>
      </c>
      <c r="Y9" s="319" t="s">
        <v>213</v>
      </c>
      <c r="Z9" s="319" t="s">
        <v>213</v>
      </c>
    </row>
    <row r="10" spans="1:28" x14ac:dyDescent="0.2">
      <c r="L10" s="319" t="s">
        <v>169</v>
      </c>
      <c r="M10" s="319" t="s">
        <v>170</v>
      </c>
      <c r="N10" s="319" t="s">
        <v>171</v>
      </c>
      <c r="O10" s="319" t="s">
        <v>172</v>
      </c>
      <c r="P10" s="219"/>
      <c r="Q10" s="422" t="s">
        <v>120</v>
      </c>
      <c r="R10" s="322" t="s">
        <v>121</v>
      </c>
      <c r="V10" s="319" t="s">
        <v>120</v>
      </c>
      <c r="W10" s="319" t="s">
        <v>121</v>
      </c>
      <c r="Y10" s="319" t="s">
        <v>120</v>
      </c>
      <c r="Z10" s="319" t="s">
        <v>121</v>
      </c>
    </row>
    <row r="11" spans="1:28" x14ac:dyDescent="0.2">
      <c r="F11" s="99" t="s">
        <v>696</v>
      </c>
      <c r="G11" s="75" t="s">
        <v>696</v>
      </c>
      <c r="H11" s="36" t="s">
        <v>696</v>
      </c>
      <c r="I11" s="36" t="s">
        <v>696</v>
      </c>
      <c r="J11" s="36" t="s">
        <v>696</v>
      </c>
      <c r="K11" s="36" t="s">
        <v>696</v>
      </c>
      <c r="L11" s="72" t="s">
        <v>696</v>
      </c>
      <c r="M11" s="72" t="s">
        <v>696</v>
      </c>
      <c r="N11" s="72" t="s">
        <v>696</v>
      </c>
      <c r="O11" s="72" t="s">
        <v>696</v>
      </c>
      <c r="P11" s="99" t="s">
        <v>696</v>
      </c>
      <c r="Q11" s="98" t="s">
        <v>696</v>
      </c>
      <c r="R11" s="75" t="s">
        <v>696</v>
      </c>
      <c r="S11" s="254" t="s">
        <v>696</v>
      </c>
      <c r="T11" s="122" t="s">
        <v>696</v>
      </c>
      <c r="U11" s="36" t="s">
        <v>696</v>
      </c>
      <c r="V11" s="72" t="s">
        <v>696</v>
      </c>
      <c r="W11" s="72" t="s">
        <v>696</v>
      </c>
      <c r="X11" s="165" t="s">
        <v>696</v>
      </c>
      <c r="Y11" s="72" t="s">
        <v>696</v>
      </c>
      <c r="Z11" s="72" t="s">
        <v>696</v>
      </c>
      <c r="AA11" s="36" t="s">
        <v>696</v>
      </c>
      <c r="AB11" s="36" t="s">
        <v>696</v>
      </c>
    </row>
    <row r="12" spans="1:28" x14ac:dyDescent="0.2">
      <c r="F12" s="99" t="s">
        <v>202</v>
      </c>
      <c r="G12" s="75" t="s">
        <v>202</v>
      </c>
      <c r="H12" s="36" t="s">
        <v>202</v>
      </c>
      <c r="I12" s="36" t="s">
        <v>202</v>
      </c>
      <c r="J12" s="36" t="s">
        <v>202</v>
      </c>
      <c r="K12" s="36" t="s">
        <v>202</v>
      </c>
      <c r="L12" s="72" t="s">
        <v>202</v>
      </c>
      <c r="M12" s="72" t="s">
        <v>202</v>
      </c>
      <c r="N12" s="72" t="s">
        <v>202</v>
      </c>
      <c r="O12" s="72" t="s">
        <v>202</v>
      </c>
      <c r="P12" s="99" t="s">
        <v>202</v>
      </c>
      <c r="Q12" s="98" t="s">
        <v>202</v>
      </c>
      <c r="R12" s="75" t="s">
        <v>202</v>
      </c>
      <c r="S12" s="254" t="s">
        <v>202</v>
      </c>
      <c r="T12" s="122" t="s">
        <v>202</v>
      </c>
      <c r="U12" s="36" t="s">
        <v>202</v>
      </c>
      <c r="V12" s="72" t="s">
        <v>202</v>
      </c>
      <c r="W12" s="72" t="s">
        <v>202</v>
      </c>
      <c r="X12" s="165" t="s">
        <v>202</v>
      </c>
      <c r="Y12" s="72" t="s">
        <v>202</v>
      </c>
      <c r="Z12" s="72" t="s">
        <v>202</v>
      </c>
      <c r="AA12" s="36" t="s">
        <v>202</v>
      </c>
      <c r="AB12" s="36" t="s">
        <v>202</v>
      </c>
    </row>
    <row r="14" spans="1:28" x14ac:dyDescent="0.2">
      <c r="A14" s="52" t="s">
        <v>591</v>
      </c>
      <c r="B14" s="52" t="s">
        <v>5</v>
      </c>
      <c r="C14" s="54" t="s">
        <v>35</v>
      </c>
      <c r="D14" s="54" t="s">
        <v>6</v>
      </c>
      <c r="E14" s="54" t="s">
        <v>76</v>
      </c>
      <c r="F14" s="178" t="s">
        <v>318</v>
      </c>
      <c r="G14" s="92" t="s">
        <v>316</v>
      </c>
      <c r="H14" s="215" t="s">
        <v>1031</v>
      </c>
      <c r="I14" s="215" t="s">
        <v>1032</v>
      </c>
      <c r="J14" s="215" t="s">
        <v>429</v>
      </c>
      <c r="K14" s="215" t="s">
        <v>430</v>
      </c>
      <c r="L14" s="176" t="s">
        <v>431</v>
      </c>
      <c r="M14" s="176" t="s">
        <v>432</v>
      </c>
      <c r="N14" s="176" t="s">
        <v>433</v>
      </c>
      <c r="O14" s="176" t="s">
        <v>434</v>
      </c>
      <c r="P14" s="178" t="s">
        <v>1220</v>
      </c>
      <c r="Q14" s="180" t="s">
        <v>439</v>
      </c>
      <c r="R14" s="92" t="s">
        <v>440</v>
      </c>
      <c r="S14" s="255" t="s">
        <v>435</v>
      </c>
      <c r="T14" s="180"/>
      <c r="U14" s="215" t="s">
        <v>436</v>
      </c>
      <c r="V14" s="176" t="s">
        <v>437</v>
      </c>
      <c r="W14" s="176" t="s">
        <v>438</v>
      </c>
      <c r="X14" s="391" t="s">
        <v>441</v>
      </c>
      <c r="Y14" s="176" t="s">
        <v>442</v>
      </c>
      <c r="Z14" s="176" t="s">
        <v>443</v>
      </c>
      <c r="AA14" s="215" t="s">
        <v>444</v>
      </c>
      <c r="AB14" s="215" t="s">
        <v>445</v>
      </c>
    </row>
    <row r="15" spans="1:28" x14ac:dyDescent="0.2">
      <c r="E15" s="42" t="str">
        <f>B15&amp;"|"&amp;C15&amp;"|"&amp;D15</f>
        <v>||</v>
      </c>
      <c r="F15" s="99" t="str" cm="1">
        <f t="array" ref="F15">IFERROR(1/(1/IF($C15="&lt;15",SUM(SUMIFS(Cascade!$CB:$CB,Cascade!$B:$B,$B15,Cascade!$C:$C,{"=&lt;01","01-04","05-09","10-14"},Cascade!$D:$D,$D15)),SUM(SUMIFS(Cascade!$CB:$CB,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254">
        <v>1</v>
      </c>
      <c r="T15" s="122" t="str">
        <f>IF(SUM($O15)=0,"",$O15-SUM($P15:$R15))</f>
        <v/>
      </c>
      <c r="U15" s="36">
        <v>0.9</v>
      </c>
      <c r="V15" s="72">
        <f>ROUND(SUM($M15)*$S15,0)</f>
        <v>0</v>
      </c>
      <c r="W15" s="72">
        <f>ROUND(SUM($T15)*$U15,0)</f>
        <v>0</v>
      </c>
      <c r="X15" s="165">
        <v>0.9</v>
      </c>
      <c r="Y15" s="72">
        <f>ROUND(SUM($V15)*$X15,0)</f>
        <v>0</v>
      </c>
      <c r="Z15" s="72">
        <f>ROUND(SUM($W15)*$X15,0)</f>
        <v>0</v>
      </c>
      <c r="AA15" s="36" t="str">
        <f>IF(SUM($Q15)=0,"",(SUM($Y15)-$Q15)/$Q15)</f>
        <v/>
      </c>
      <c r="AB15" s="36" t="str">
        <f>IF(SUM($R15)=0,"",(SUM($Z15)-$R15)/$R15)</f>
        <v/>
      </c>
    </row>
  </sheetData>
  <conditionalFormatting sqref="U1:U1048576 X1:X1048576">
    <cfRule type="expression" dxfId="92" priority="7">
      <formula>AND(ISNUMBER(U1),ROUND(SUM(U1),2)&lt;90%)</formula>
    </cfRule>
  </conditionalFormatting>
  <conditionalFormatting sqref="H1:K1048576 S1:S1048576 U1:U1048576 X1:X1048576">
    <cfRule type="expression" dxfId="91" priority="3">
      <formula>AND(ISNUMBER(H1),OR(ROUND(SUM(H1),2)&gt;1,ROUND(SUM(H1),2)&lt;0))</formula>
    </cfRule>
  </conditionalFormatting>
  <conditionalFormatting sqref="H1:H1048576 J1:J1048576">
    <cfRule type="expression" dxfId="90" priority="2164">
      <formula>AND(SUM($F1)&lt;&gt;0,H1="",ROW(H1)&gt;14)</formula>
    </cfRule>
  </conditionalFormatting>
  <conditionalFormatting sqref="I1:I1048576 K1:K1048576">
    <cfRule type="expression" dxfId="89" priority="2166">
      <formula>AND(SUM($G1)&gt;0,I1="",ROW(I1)&gt;14)</formula>
    </cfRule>
  </conditionalFormatting>
  <conditionalFormatting sqref="H1:H1048576 I1:I1048576 S1:S1048576">
    <cfRule type="expression" dxfId="88" priority="4">
      <formula>AND(ISNUMBER(H1),ROUND(SUM(H1),2)&lt;100%)</formula>
    </cfRule>
  </conditionalFormatting>
  <conditionalFormatting sqref="F1:G1048576 L1:R1048576 T1:T1048576 V1:W1048576 Y1:Z1048576">
    <cfRule type="expression" dxfId="87" priority="1">
      <formula>AND(ISNUMBER(XEQ1),ROUND(SUM(XEQ1),2)&lt;0)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63BE7B"/>
  </sheetPr>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11" t="s">
        <v>47</v>
      </c>
      <c r="G1" s="45"/>
      <c r="H1" s="67"/>
    </row>
    <row r="2" spans="1:8" s="56" customFormat="1" ht="19" x14ac:dyDescent="0.25">
      <c r="A2" s="2"/>
      <c r="B2" s="2"/>
      <c r="C2" s="2"/>
      <c r="D2" s="2"/>
      <c r="E2" s="2"/>
      <c r="F2" s="112" t="s">
        <v>74</v>
      </c>
      <c r="G2" s="34" t="s">
        <v>2</v>
      </c>
      <c r="H2" s="68" t="s">
        <v>3</v>
      </c>
    </row>
    <row r="3" spans="1:8" ht="117" customHeight="1" x14ac:dyDescent="0.2">
      <c r="A3" s="47"/>
      <c r="B3" s="47"/>
      <c r="C3" s="47"/>
      <c r="D3" s="47"/>
      <c r="E3" s="47"/>
      <c r="F3" s="148" t="s">
        <v>870</v>
      </c>
      <c r="G3" s="48" t="s">
        <v>259</v>
      </c>
      <c r="H3" s="69" t="s">
        <v>871</v>
      </c>
    </row>
    <row r="4" spans="1:8" x14ac:dyDescent="0.2">
      <c r="A4" s="49"/>
      <c r="B4" s="49"/>
      <c r="C4" s="49"/>
      <c r="D4" s="49" t="s">
        <v>4</v>
      </c>
      <c r="E4" s="49"/>
      <c r="F4" s="113">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9" t="s">
        <v>110</v>
      </c>
      <c r="G5" s="36" t="s">
        <v>99</v>
      </c>
      <c r="H5" s="72" t="s">
        <v>110</v>
      </c>
    </row>
    <row r="6" spans="1:8" x14ac:dyDescent="0.2">
      <c r="A6" s="42" t="s">
        <v>201</v>
      </c>
      <c r="B6" s="42" t="s">
        <v>201</v>
      </c>
      <c r="C6" s="42" t="s">
        <v>201</v>
      </c>
      <c r="D6" s="42" t="s">
        <v>201</v>
      </c>
      <c r="E6" s="42" t="s">
        <v>201</v>
      </c>
      <c r="F6" s="99" t="s">
        <v>111</v>
      </c>
      <c r="G6" s="36" t="s">
        <v>113</v>
      </c>
      <c r="H6" s="72" t="s">
        <v>93</v>
      </c>
    </row>
    <row r="7" spans="1:8" x14ac:dyDescent="0.2">
      <c r="A7" s="42" t="s">
        <v>109</v>
      </c>
      <c r="B7" s="42" t="s">
        <v>109</v>
      </c>
      <c r="C7" s="42" t="s">
        <v>109</v>
      </c>
      <c r="D7" s="42" t="s">
        <v>109</v>
      </c>
      <c r="E7" s="42" t="s">
        <v>109</v>
      </c>
      <c r="F7" s="99" t="s">
        <v>95</v>
      </c>
      <c r="G7" s="36" t="s">
        <v>96</v>
      </c>
      <c r="H7" s="72" t="s">
        <v>95</v>
      </c>
    </row>
    <row r="8" spans="1:8" x14ac:dyDescent="0.2">
      <c r="F8" s="324" t="s">
        <v>191</v>
      </c>
      <c r="H8" s="319" t="s">
        <v>191</v>
      </c>
    </row>
    <row r="9" spans="1:8" x14ac:dyDescent="0.2">
      <c r="F9" s="324" t="s">
        <v>192</v>
      </c>
      <c r="H9" s="319" t="s">
        <v>192</v>
      </c>
    </row>
    <row r="10" spans="1:8" x14ac:dyDescent="0.2">
      <c r="F10" s="324"/>
      <c r="H10" s="319"/>
    </row>
    <row r="11" spans="1:8" x14ac:dyDescent="0.2">
      <c r="F11" s="99" t="s">
        <v>1046</v>
      </c>
      <c r="G11" s="51" t="s">
        <v>1046</v>
      </c>
      <c r="H11" s="72" t="s">
        <v>1046</v>
      </c>
    </row>
    <row r="12" spans="1:8" x14ac:dyDescent="0.2">
      <c r="F12" s="99" t="s">
        <v>202</v>
      </c>
      <c r="G12" s="36" t="s">
        <v>202</v>
      </c>
      <c r="H12" s="72" t="s">
        <v>202</v>
      </c>
    </row>
    <row r="14" spans="1:8" x14ac:dyDescent="0.2">
      <c r="A14" s="54" t="s">
        <v>591</v>
      </c>
      <c r="B14" s="54" t="s">
        <v>5</v>
      </c>
      <c r="C14" s="54" t="s">
        <v>35</v>
      </c>
      <c r="D14" s="54" t="s">
        <v>6</v>
      </c>
      <c r="E14" s="54" t="s">
        <v>76</v>
      </c>
      <c r="F14" s="178" t="s">
        <v>466</v>
      </c>
      <c r="G14" s="215" t="s">
        <v>555</v>
      </c>
      <c r="H14" s="176" t="s">
        <v>467</v>
      </c>
    </row>
    <row r="15" spans="1:8" x14ac:dyDescent="0.2">
      <c r="E15" s="42" t="str">
        <f>B15&amp;"|"&amp;C15&amp;"|"&amp;D15</f>
        <v>||</v>
      </c>
      <c r="G15" s="36" t="str">
        <f>IF(SUM($F15)=0,"",0%)</f>
        <v/>
      </c>
      <c r="H15" s="72" t="str">
        <f>IF(SUM($F15)=0,"",ROUND($F15*(1+$G15),0))</f>
        <v/>
      </c>
    </row>
  </sheetData>
  <conditionalFormatting sqref="F1:F1048576 H1:H1048576">
    <cfRule type="expression" dxfId="86"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63BE7B"/>
  </sheetPr>
  <dimension ref="A1:U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6" t="s">
        <v>46</v>
      </c>
      <c r="G1" s="146"/>
      <c r="H1" s="146"/>
      <c r="I1" s="67"/>
      <c r="J1" s="45"/>
      <c r="K1" s="45"/>
      <c r="L1" s="45"/>
      <c r="M1" s="45"/>
      <c r="N1" s="45"/>
      <c r="O1" s="67"/>
      <c r="P1" s="67"/>
      <c r="Q1" s="67"/>
      <c r="R1" s="67"/>
      <c r="S1" s="67"/>
      <c r="T1" s="248" t="s">
        <v>48</v>
      </c>
      <c r="U1" s="67"/>
    </row>
    <row r="2" spans="1:21" s="56" customFormat="1" ht="19" x14ac:dyDescent="0.25">
      <c r="A2" s="2"/>
      <c r="B2" s="2"/>
      <c r="C2" s="2"/>
      <c r="D2" s="2"/>
      <c r="E2" s="2"/>
      <c r="F2" s="188" t="s">
        <v>74</v>
      </c>
      <c r="G2" s="188"/>
      <c r="H2" s="188"/>
      <c r="I2" s="73"/>
      <c r="J2" s="34" t="s">
        <v>2</v>
      </c>
      <c r="K2" s="34"/>
      <c r="L2" s="34"/>
      <c r="M2" s="34"/>
      <c r="N2" s="34"/>
      <c r="O2" s="68" t="s">
        <v>3</v>
      </c>
      <c r="P2" s="68"/>
      <c r="Q2" s="68"/>
      <c r="R2" s="68"/>
      <c r="S2" s="68"/>
      <c r="T2" s="249" t="s">
        <v>2</v>
      </c>
      <c r="U2" s="68" t="s">
        <v>3</v>
      </c>
    </row>
    <row r="3" spans="1:21" s="40" customFormat="1" ht="117" customHeight="1" x14ac:dyDescent="0.2">
      <c r="A3" s="47"/>
      <c r="B3" s="47"/>
      <c r="C3" s="47"/>
      <c r="D3" s="47"/>
      <c r="E3" s="47"/>
      <c r="F3" s="262" t="s">
        <v>610</v>
      </c>
      <c r="G3" s="141" t="s">
        <v>498</v>
      </c>
      <c r="H3" s="141" t="s">
        <v>872</v>
      </c>
      <c r="I3" s="141" t="s">
        <v>870</v>
      </c>
      <c r="J3" s="48" t="s">
        <v>258</v>
      </c>
      <c r="K3" s="48" t="s">
        <v>1091</v>
      </c>
      <c r="L3" s="48" t="s">
        <v>1092</v>
      </c>
      <c r="M3" s="409" t="s">
        <v>1093</v>
      </c>
      <c r="N3" s="48" t="s">
        <v>1094</v>
      </c>
      <c r="O3" s="69" t="s">
        <v>276</v>
      </c>
      <c r="P3" s="69" t="s">
        <v>495</v>
      </c>
      <c r="Q3" s="69" t="s">
        <v>496</v>
      </c>
      <c r="R3" s="69" t="s">
        <v>588</v>
      </c>
      <c r="S3" s="69" t="s">
        <v>589</v>
      </c>
      <c r="T3" s="412" t="s">
        <v>1225</v>
      </c>
      <c r="U3" s="69" t="s">
        <v>1095</v>
      </c>
    </row>
    <row r="4" spans="1:21" s="40" customFormat="1" x14ac:dyDescent="0.2">
      <c r="A4" s="49"/>
      <c r="B4" s="49"/>
      <c r="C4" s="49"/>
      <c r="D4" s="49" t="s">
        <v>4</v>
      </c>
      <c r="E4" s="49"/>
      <c r="F4" s="89">
        <f>SUBTOTAL(109,F$15:INDEX(F:F,COUNTA($B:$B)+14-COUNTA($B$1:$B$14)))</f>
        <v>0</v>
      </c>
      <c r="G4" s="186"/>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4" t="str">
        <f>IF(SUM($R$4,$S$4)=0,"",$U$4/SUM($R$4,$S$4))</f>
        <v/>
      </c>
      <c r="U4" s="71">
        <f>SUBTOTAL(109,U$15:INDEX(U:U,COUNTA($B:$B)+14-COUNTA($B$1:$B$14)))</f>
        <v>0</v>
      </c>
    </row>
    <row r="5" spans="1:21" s="40" customFormat="1" x14ac:dyDescent="0.2">
      <c r="A5" s="42" t="s">
        <v>99</v>
      </c>
      <c r="B5" s="42" t="s">
        <v>99</v>
      </c>
      <c r="C5" s="42" t="s">
        <v>99</v>
      </c>
      <c r="D5" s="42" t="s">
        <v>99</v>
      </c>
      <c r="E5" s="42" t="s">
        <v>99</v>
      </c>
      <c r="F5" s="216" t="s">
        <v>99</v>
      </c>
      <c r="G5" s="216" t="s">
        <v>99</v>
      </c>
      <c r="H5" s="216" t="s">
        <v>99</v>
      </c>
      <c r="I5" s="216" t="s">
        <v>99</v>
      </c>
      <c r="J5" s="36" t="s">
        <v>99</v>
      </c>
      <c r="K5" s="36" t="s">
        <v>99</v>
      </c>
      <c r="L5" s="36" t="s">
        <v>99</v>
      </c>
      <c r="M5" s="36" t="s">
        <v>99</v>
      </c>
      <c r="N5" s="36" t="s">
        <v>99</v>
      </c>
      <c r="O5" s="72" t="s">
        <v>99</v>
      </c>
      <c r="P5" s="72" t="s">
        <v>110</v>
      </c>
      <c r="Q5" s="72" t="s">
        <v>110</v>
      </c>
      <c r="R5" s="72" t="s">
        <v>110</v>
      </c>
      <c r="S5" s="72" t="s">
        <v>110</v>
      </c>
      <c r="T5" s="165" t="s">
        <v>99</v>
      </c>
      <c r="U5" s="72" t="s">
        <v>110</v>
      </c>
    </row>
    <row r="6" spans="1:21" s="40" customFormat="1" x14ac:dyDescent="0.2">
      <c r="A6" s="42" t="s">
        <v>201</v>
      </c>
      <c r="B6" s="42" t="s">
        <v>201</v>
      </c>
      <c r="C6" s="42" t="s">
        <v>201</v>
      </c>
      <c r="D6" s="42" t="s">
        <v>201</v>
      </c>
      <c r="E6" s="42" t="s">
        <v>201</v>
      </c>
      <c r="F6" s="216" t="s">
        <v>94</v>
      </c>
      <c r="G6" s="216" t="s">
        <v>112</v>
      </c>
      <c r="H6" s="216" t="s">
        <v>112</v>
      </c>
      <c r="I6" s="216" t="s">
        <v>112</v>
      </c>
      <c r="J6" s="36" t="s">
        <v>113</v>
      </c>
      <c r="K6" s="36" t="s">
        <v>113</v>
      </c>
      <c r="L6" s="36" t="s">
        <v>113</v>
      </c>
      <c r="M6" s="36" t="s">
        <v>113</v>
      </c>
      <c r="N6" s="36" t="s">
        <v>113</v>
      </c>
      <c r="O6" s="72" t="s">
        <v>94</v>
      </c>
      <c r="P6" s="72" t="s">
        <v>93</v>
      </c>
      <c r="Q6" s="72" t="s">
        <v>93</v>
      </c>
      <c r="R6" s="72" t="s">
        <v>93</v>
      </c>
      <c r="S6" s="72" t="s">
        <v>93</v>
      </c>
      <c r="T6" s="165" t="s">
        <v>113</v>
      </c>
      <c r="U6" s="72" t="s">
        <v>93</v>
      </c>
    </row>
    <row r="7" spans="1:21" s="40" customFormat="1" x14ac:dyDescent="0.2">
      <c r="A7" s="42" t="s">
        <v>109</v>
      </c>
      <c r="B7" s="42" t="s">
        <v>109</v>
      </c>
      <c r="C7" s="42" t="s">
        <v>109</v>
      </c>
      <c r="D7" s="42" t="s">
        <v>109</v>
      </c>
      <c r="E7" s="42" t="s">
        <v>109</v>
      </c>
      <c r="F7" s="216" t="s">
        <v>95</v>
      </c>
      <c r="G7" s="216" t="s">
        <v>109</v>
      </c>
      <c r="H7" s="216" t="s">
        <v>95</v>
      </c>
      <c r="I7" s="75" t="s">
        <v>95</v>
      </c>
      <c r="J7" s="36" t="s">
        <v>96</v>
      </c>
      <c r="K7" s="36" t="s">
        <v>96</v>
      </c>
      <c r="L7" s="36" t="s">
        <v>96</v>
      </c>
      <c r="M7" s="36" t="s">
        <v>96</v>
      </c>
      <c r="N7" s="36" t="s">
        <v>96</v>
      </c>
      <c r="O7" s="72" t="s">
        <v>95</v>
      </c>
      <c r="P7" s="72" t="s">
        <v>95</v>
      </c>
      <c r="Q7" s="72" t="s">
        <v>95</v>
      </c>
      <c r="R7" s="72" t="s">
        <v>95</v>
      </c>
      <c r="S7" s="72" t="s">
        <v>95</v>
      </c>
      <c r="T7" s="165" t="s">
        <v>96</v>
      </c>
      <c r="U7" s="72" t="s">
        <v>95</v>
      </c>
    </row>
    <row r="8" spans="1:21" s="40" customFormat="1" x14ac:dyDescent="0.2">
      <c r="A8" s="42"/>
      <c r="B8" s="42"/>
      <c r="C8" s="42"/>
      <c r="D8" s="42"/>
      <c r="E8" s="42"/>
      <c r="F8" s="216"/>
      <c r="G8" s="186"/>
      <c r="H8" s="335" t="s">
        <v>1054</v>
      </c>
      <c r="I8" s="327" t="s">
        <v>1055</v>
      </c>
      <c r="J8" s="36"/>
      <c r="K8" s="36"/>
      <c r="L8" s="36"/>
      <c r="M8" s="36"/>
      <c r="N8" s="36"/>
      <c r="O8" s="72"/>
      <c r="P8" s="337" t="s">
        <v>707</v>
      </c>
      <c r="Q8" s="337" t="s">
        <v>705</v>
      </c>
      <c r="R8" s="319" t="s">
        <v>709</v>
      </c>
      <c r="S8" s="319" t="s">
        <v>709</v>
      </c>
      <c r="T8" s="341"/>
      <c r="U8" s="319" t="s">
        <v>175</v>
      </c>
    </row>
    <row r="9" spans="1:21" s="40" customFormat="1" x14ac:dyDescent="0.2">
      <c r="A9" s="42"/>
      <c r="B9" s="42"/>
      <c r="C9" s="42"/>
      <c r="D9" s="42"/>
      <c r="E9" s="42"/>
      <c r="F9" s="216"/>
      <c r="G9" s="186"/>
      <c r="H9" s="335" t="s">
        <v>1056</v>
      </c>
      <c r="I9" s="327" t="s">
        <v>1057</v>
      </c>
      <c r="J9" s="36"/>
      <c r="K9" s="36"/>
      <c r="L9" s="36"/>
      <c r="M9" s="36"/>
      <c r="N9" s="36"/>
      <c r="O9" s="72"/>
      <c r="P9" s="337" t="s">
        <v>708</v>
      </c>
      <c r="Q9" s="337" t="s">
        <v>706</v>
      </c>
      <c r="R9" s="319" t="s">
        <v>710</v>
      </c>
      <c r="S9" s="319" t="s">
        <v>710</v>
      </c>
      <c r="T9" s="341"/>
      <c r="U9" s="319" t="s">
        <v>176</v>
      </c>
    </row>
    <row r="10" spans="1:21" s="40" customFormat="1" x14ac:dyDescent="0.2">
      <c r="A10" s="42"/>
      <c r="B10" s="42"/>
      <c r="C10" s="42"/>
      <c r="D10" s="42"/>
      <c r="E10" s="42"/>
      <c r="F10" s="216"/>
      <c r="G10" s="186"/>
      <c r="H10" s="336"/>
      <c r="I10" s="322"/>
      <c r="J10" s="36"/>
      <c r="K10" s="36"/>
      <c r="L10" s="36"/>
      <c r="M10" s="36"/>
      <c r="N10" s="36"/>
      <c r="O10" s="72"/>
      <c r="P10" s="319"/>
      <c r="Q10" s="319"/>
      <c r="R10" s="319" t="s">
        <v>174</v>
      </c>
      <c r="S10" s="319" t="s">
        <v>173</v>
      </c>
      <c r="T10" s="341"/>
      <c r="U10" s="319"/>
    </row>
    <row r="11" spans="1:21" s="40" customFormat="1" x14ac:dyDescent="0.2">
      <c r="A11" s="42"/>
      <c r="B11" s="42"/>
      <c r="C11" s="42"/>
      <c r="D11" s="42"/>
      <c r="E11" s="42"/>
      <c r="F11" s="216" t="s">
        <v>697</v>
      </c>
      <c r="G11" s="186"/>
      <c r="H11" s="216" t="s">
        <v>697</v>
      </c>
      <c r="I11" s="75" t="s">
        <v>697</v>
      </c>
      <c r="J11" s="51" t="s">
        <v>697</v>
      </c>
      <c r="K11" s="51" t="s">
        <v>698</v>
      </c>
      <c r="L11" s="51" t="s">
        <v>699</v>
      </c>
      <c r="M11" s="51" t="s">
        <v>697</v>
      </c>
      <c r="N11" s="36" t="s">
        <v>697</v>
      </c>
      <c r="O11" s="72" t="s">
        <v>697</v>
      </c>
      <c r="P11" s="72" t="s">
        <v>698</v>
      </c>
      <c r="Q11" s="72" t="s">
        <v>699</v>
      </c>
      <c r="R11" s="72" t="s">
        <v>697</v>
      </c>
      <c r="S11" s="72" t="s">
        <v>697</v>
      </c>
      <c r="T11" s="165" t="s">
        <v>700</v>
      </c>
      <c r="U11" s="72" t="s">
        <v>700</v>
      </c>
    </row>
    <row r="12" spans="1:21" s="40" customFormat="1" x14ac:dyDescent="0.2">
      <c r="A12" s="42"/>
      <c r="B12" s="42"/>
      <c r="C12" s="42"/>
      <c r="D12" s="42"/>
      <c r="E12" s="42"/>
      <c r="F12" s="216" t="s">
        <v>202</v>
      </c>
      <c r="G12" s="186"/>
      <c r="H12" s="216" t="s">
        <v>202</v>
      </c>
      <c r="I12" s="75" t="s">
        <v>202</v>
      </c>
      <c r="J12" s="51" t="s">
        <v>202</v>
      </c>
      <c r="K12" s="51" t="s">
        <v>693</v>
      </c>
      <c r="L12" s="51" t="s">
        <v>202</v>
      </c>
      <c r="M12" s="51" t="s">
        <v>202</v>
      </c>
      <c r="N12" s="36" t="s">
        <v>202</v>
      </c>
      <c r="O12" s="72" t="s">
        <v>202</v>
      </c>
      <c r="P12" s="72" t="s">
        <v>693</v>
      </c>
      <c r="Q12" s="72" t="s">
        <v>202</v>
      </c>
      <c r="R12" s="72" t="s">
        <v>202</v>
      </c>
      <c r="S12" s="72" t="s">
        <v>202</v>
      </c>
      <c r="T12" s="165" t="s">
        <v>202</v>
      </c>
      <c r="U12" s="72" t="s">
        <v>202</v>
      </c>
    </row>
    <row r="13" spans="1:21" s="40" customFormat="1" x14ac:dyDescent="0.2">
      <c r="A13" s="42"/>
      <c r="B13" s="42"/>
      <c r="C13" s="42"/>
      <c r="D13" s="42"/>
      <c r="E13" s="42"/>
      <c r="F13" s="216"/>
      <c r="G13" s="186"/>
      <c r="H13" s="216"/>
      <c r="I13" s="75"/>
      <c r="J13" s="36"/>
      <c r="K13" s="36"/>
      <c r="L13" s="36"/>
      <c r="M13" s="36"/>
      <c r="N13" s="36"/>
      <c r="O13" s="72"/>
      <c r="P13" s="72"/>
      <c r="Q13" s="72"/>
      <c r="R13" s="72"/>
      <c r="S13" s="72"/>
      <c r="T13" s="165"/>
      <c r="U13" s="72"/>
    </row>
    <row r="14" spans="1:21" s="40" customFormat="1" x14ac:dyDescent="0.2">
      <c r="A14" s="52" t="s">
        <v>591</v>
      </c>
      <c r="B14" s="52" t="s">
        <v>5</v>
      </c>
      <c r="C14" s="52" t="s">
        <v>35</v>
      </c>
      <c r="D14" s="52" t="s">
        <v>6</v>
      </c>
      <c r="E14" s="52" t="s">
        <v>76</v>
      </c>
      <c r="F14" s="183" t="s">
        <v>303</v>
      </c>
      <c r="G14" s="187" t="s">
        <v>559</v>
      </c>
      <c r="H14" s="183" t="s">
        <v>587</v>
      </c>
      <c r="I14" s="92" t="s">
        <v>468</v>
      </c>
      <c r="J14" s="215" t="s">
        <v>562</v>
      </c>
      <c r="K14" s="215" t="s">
        <v>563</v>
      </c>
      <c r="L14" s="215" t="s">
        <v>565</v>
      </c>
      <c r="M14" s="215" t="s">
        <v>564</v>
      </c>
      <c r="N14" s="215" t="s">
        <v>566</v>
      </c>
      <c r="O14" s="176" t="s">
        <v>568</v>
      </c>
      <c r="P14" s="176" t="s">
        <v>497</v>
      </c>
      <c r="Q14" s="176" t="s">
        <v>569</v>
      </c>
      <c r="R14" s="176" t="s">
        <v>567</v>
      </c>
      <c r="S14" s="176" t="s">
        <v>469</v>
      </c>
      <c r="T14" s="391" t="s">
        <v>570</v>
      </c>
      <c r="U14" s="176" t="s">
        <v>470</v>
      </c>
    </row>
    <row r="15" spans="1:21" s="40" customFormat="1" x14ac:dyDescent="0.2">
      <c r="A15" s="42"/>
      <c r="B15" s="42"/>
      <c r="C15" s="42"/>
      <c r="D15" s="42"/>
      <c r="E15" s="42" t="str">
        <f>B15&amp;"|"&amp;C15&amp;"|"&amp;D15</f>
        <v>||</v>
      </c>
      <c r="F15" s="75" t="str" cm="1">
        <f t="array" ref="F15">IFERROR(1/(1/IF(OR($C15="15-17",$C15="18-20"),INDEX(Cascade!$F:$F,MATCH($B15&amp;"|"&amp;"15-19"&amp;"|"&amp;$D15,Cascade!$E:$E,0))/2,IF($C15="18+",SUM(SUMIFS(Cascade!$F:$F,Cascade!$B:$B,$B15,Cascade!$C:$C,{"20-24","25-29","30-34","35-39","40-44","45-49","50-54","55-59","60-64","65+"},Cascade!$D:$D,$D15)),INDEX(Cascade!$F:$F,MATCH($E15,Cascade!$E:$E,0))))),"")</f>
        <v/>
      </c>
      <c r="G15" s="186"/>
      <c r="H15" s="186"/>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5" t="str">
        <f>IF(OR($C15="18+",$C15="18-20",SUM($O15)=0),"",100%)</f>
        <v/>
      </c>
      <c r="U15" s="84" t="str">
        <f>IF(OR($C15="18+",$C15="18-20",(SUM($R15,$S15)=0)),"",ROUND(SUM($R15,$S15)*$T15,0))</f>
        <v/>
      </c>
    </row>
  </sheetData>
  <conditionalFormatting sqref="T1:U1048576">
    <cfRule type="expression" dxfId="36" priority="26">
      <formula>OR($C1="18-20",$C1="18+")</formula>
    </cfRule>
  </conditionalFormatting>
  <conditionalFormatting sqref="N1:N1048576">
    <cfRule type="expression" dxfId="35" priority="24">
      <formula>AND(ISNUMBER($N1),ROUND(SUM($N1),2)&lt;20%)</formula>
    </cfRule>
  </conditionalFormatting>
  <conditionalFormatting sqref="K1:K1048576 P1:P1048576">
    <cfRule type="expression" dxfId="34" priority="18">
      <formula>AND($B1&lt;&gt;"",ROW(K1)&gt;14,NOT(AND($D1="Female",$G1="Y",OR($C1="10-14",$C1="15-17"))))</formula>
    </cfRule>
  </conditionalFormatting>
  <conditionalFormatting sqref="Q1:Q1048576 L1:L1048576">
    <cfRule type="expression" dxfId="33" priority="17">
      <formula>AND($E1&lt;&gt;"",ROW(L1)&gt;14,NOT(OR($C1="05-09",$C1="10-14")))</formula>
    </cfRule>
  </conditionalFormatting>
  <conditionalFormatting sqref="F1:F1048576">
    <cfRule type="expression" dxfId="32" priority="4">
      <formula>AND(ROW(F1)&gt;14,LEFT(B1,4)="_Mil")</formula>
    </cfRule>
  </conditionalFormatting>
  <conditionalFormatting sqref="F1:F1048576 H1:I1048576 O1:S1048576 U1:U1048576">
    <cfRule type="expression" dxfId="31" priority="2">
      <formula>AND(ISNUMBER(F1),ROUND(SUM(F1),0)&lt;0)</formula>
    </cfRule>
  </conditionalFormatting>
  <conditionalFormatting sqref="K1:N1048576 T1:T1048576">
    <cfRule type="expression" dxfId="30" priority="1">
      <formula>AND(ISNUMBER(K1),OR(ROUND(SUM(K1),2)&lt;0,ROUND(SUM(K1),2)&gt;1))</formula>
    </cfRule>
  </conditionalFormatting>
  <conditionalFormatting sqref="T1:T1048576">
    <cfRule type="expression" dxfId="2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63BE7B"/>
  </sheetPr>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52.33203125" style="42" customWidth="1"/>
    <col min="3" max="3" width="11.83203125" style="99"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73" t="s">
        <v>25</v>
      </c>
      <c r="D1" s="146"/>
      <c r="E1" s="472"/>
      <c r="F1" s="472"/>
      <c r="G1" s="146"/>
      <c r="H1" s="146"/>
    </row>
    <row r="2" spans="1:8" s="38" customFormat="1" ht="19" x14ac:dyDescent="0.25">
      <c r="A2" s="9"/>
      <c r="B2" s="9"/>
      <c r="C2" s="112" t="s">
        <v>74</v>
      </c>
      <c r="D2" s="73"/>
      <c r="E2" s="34" t="s">
        <v>2</v>
      </c>
      <c r="F2" s="34"/>
      <c r="G2" s="68" t="s">
        <v>3</v>
      </c>
      <c r="H2" s="68"/>
    </row>
    <row r="3" spans="1:8" ht="117" customHeight="1" x14ac:dyDescent="0.2">
      <c r="C3" s="148" t="s">
        <v>875</v>
      </c>
      <c r="D3" s="141" t="s">
        <v>876</v>
      </c>
      <c r="E3" s="48" t="s">
        <v>1033</v>
      </c>
      <c r="F3" s="48" t="s">
        <v>1034</v>
      </c>
      <c r="G3" s="69" t="s">
        <v>873</v>
      </c>
      <c r="H3" s="69" t="s">
        <v>874</v>
      </c>
    </row>
    <row r="4" spans="1:8" x14ac:dyDescent="0.2">
      <c r="A4" s="49"/>
      <c r="B4" s="49" t="s">
        <v>4</v>
      </c>
      <c r="C4" s="99">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9" t="s">
        <v>110</v>
      </c>
      <c r="D5" s="75" t="s">
        <v>110</v>
      </c>
      <c r="E5" s="36" t="s">
        <v>99</v>
      </c>
      <c r="F5" s="36" t="s">
        <v>99</v>
      </c>
      <c r="G5" s="72" t="s">
        <v>110</v>
      </c>
      <c r="H5" s="72" t="s">
        <v>110</v>
      </c>
    </row>
    <row r="6" spans="1:8" x14ac:dyDescent="0.2">
      <c r="A6" s="49" t="s">
        <v>201</v>
      </c>
      <c r="B6" s="49" t="s">
        <v>201</v>
      </c>
      <c r="C6" s="99" t="s">
        <v>111</v>
      </c>
      <c r="D6" s="75" t="s">
        <v>111</v>
      </c>
      <c r="E6" s="36" t="s">
        <v>113</v>
      </c>
      <c r="F6" s="36" t="s">
        <v>113</v>
      </c>
      <c r="G6" s="72" t="s">
        <v>93</v>
      </c>
      <c r="H6" s="72" t="s">
        <v>93</v>
      </c>
    </row>
    <row r="7" spans="1:8" x14ac:dyDescent="0.2">
      <c r="A7" s="49" t="s">
        <v>109</v>
      </c>
      <c r="B7" s="49" t="s">
        <v>109</v>
      </c>
      <c r="C7" s="99" t="s">
        <v>95</v>
      </c>
      <c r="D7" s="75" t="s">
        <v>95</v>
      </c>
      <c r="E7" s="36" t="s">
        <v>96</v>
      </c>
      <c r="F7" s="36" t="s">
        <v>96</v>
      </c>
      <c r="G7" s="72" t="s">
        <v>95</v>
      </c>
      <c r="H7" s="72" t="s">
        <v>95</v>
      </c>
    </row>
    <row r="8" spans="1:8" x14ac:dyDescent="0.2">
      <c r="A8" s="49"/>
      <c r="B8" s="49"/>
      <c r="C8" s="324" t="s">
        <v>197</v>
      </c>
      <c r="D8" s="322" t="s">
        <v>197</v>
      </c>
      <c r="G8" s="319" t="s">
        <v>197</v>
      </c>
      <c r="H8" s="319" t="s">
        <v>197</v>
      </c>
    </row>
    <row r="9" spans="1:8" x14ac:dyDescent="0.2">
      <c r="A9" s="49"/>
      <c r="B9" s="49"/>
      <c r="C9" s="324" t="s">
        <v>198</v>
      </c>
      <c r="D9" s="322" t="s">
        <v>198</v>
      </c>
      <c r="G9" s="319" t="s">
        <v>198</v>
      </c>
      <c r="H9" s="319" t="s">
        <v>198</v>
      </c>
    </row>
    <row r="10" spans="1:8" x14ac:dyDescent="0.2">
      <c r="A10" s="49"/>
      <c r="B10" s="49"/>
      <c r="C10" s="324" t="s">
        <v>199</v>
      </c>
      <c r="D10" s="322" t="s">
        <v>200</v>
      </c>
      <c r="G10" s="319" t="s">
        <v>199</v>
      </c>
      <c r="H10" s="319" t="s">
        <v>200</v>
      </c>
    </row>
    <row r="11" spans="1:8" x14ac:dyDescent="0.2">
      <c r="A11" s="49"/>
      <c r="B11" s="49"/>
    </row>
    <row r="12" spans="1:8" x14ac:dyDescent="0.2">
      <c r="A12" s="49"/>
      <c r="B12" s="49"/>
    </row>
    <row r="13" spans="1:8" x14ac:dyDescent="0.2">
      <c r="A13" s="49"/>
      <c r="B13" s="49"/>
    </row>
    <row r="14" spans="1:8" x14ac:dyDescent="0.2">
      <c r="A14" s="52" t="s">
        <v>591</v>
      </c>
      <c r="B14" s="52" t="s">
        <v>5</v>
      </c>
      <c r="C14" s="178" t="s">
        <v>474</v>
      </c>
      <c r="D14" s="441" t="s">
        <v>475</v>
      </c>
      <c r="E14" s="443" t="s">
        <v>557</v>
      </c>
      <c r="F14" s="443" t="s">
        <v>558</v>
      </c>
      <c r="G14" s="424" t="s">
        <v>476</v>
      </c>
      <c r="H14" s="424"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37"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63BE7B"/>
  </sheetPr>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9" customWidth="1"/>
    <col min="7" max="17" width="11.83203125" style="75" customWidth="1"/>
    <col min="18" max="20" width="11.83203125" style="214" customWidth="1"/>
    <col min="21" max="22" width="12.6640625" style="72" customWidth="1"/>
    <col min="23" max="16384" width="10.83203125" style="40"/>
  </cols>
  <sheetData>
    <row r="1" spans="1:22" s="57" customFormat="1" ht="31" customHeight="1" thickBot="1" x14ac:dyDescent="0.35">
      <c r="A1" s="5" t="s">
        <v>484</v>
      </c>
      <c r="B1" s="5"/>
      <c r="C1" s="1"/>
      <c r="D1" s="1"/>
      <c r="E1" s="1"/>
      <c r="F1" s="111" t="s">
        <v>485</v>
      </c>
      <c r="G1" s="77"/>
      <c r="H1" s="451"/>
      <c r="I1" s="451"/>
      <c r="J1" s="451"/>
      <c r="K1" s="451"/>
      <c r="L1" s="451"/>
      <c r="M1" s="77"/>
      <c r="N1" s="77"/>
      <c r="O1" s="77"/>
      <c r="P1" s="77"/>
      <c r="Q1" s="77"/>
      <c r="R1" s="35"/>
      <c r="S1" s="35"/>
      <c r="T1" s="35"/>
      <c r="U1" s="67"/>
      <c r="V1" s="67"/>
    </row>
    <row r="2" spans="1:22" s="56" customFormat="1" ht="19" x14ac:dyDescent="0.25">
      <c r="A2" s="365" t="s">
        <v>1036</v>
      </c>
      <c r="B2" s="366"/>
      <c r="C2" s="2"/>
      <c r="D2" s="2"/>
      <c r="E2" s="2"/>
      <c r="F2" s="112" t="s">
        <v>74</v>
      </c>
      <c r="G2" s="73"/>
      <c r="H2" s="159"/>
      <c r="I2" s="159"/>
      <c r="J2" s="159"/>
      <c r="K2" s="159"/>
      <c r="L2" s="159"/>
      <c r="M2" s="73"/>
      <c r="N2" s="73"/>
      <c r="O2" s="73"/>
      <c r="P2" s="73"/>
      <c r="Q2" s="73"/>
      <c r="R2" s="34"/>
      <c r="S2" s="34" t="s">
        <v>2</v>
      </c>
      <c r="T2" s="34"/>
      <c r="U2" s="68" t="s">
        <v>3</v>
      </c>
      <c r="V2" s="68"/>
    </row>
    <row r="3" spans="1:22" ht="117" customHeight="1" thickBot="1" x14ac:dyDescent="0.25">
      <c r="A3" s="367"/>
      <c r="B3" s="368"/>
      <c r="C3" s="47"/>
      <c r="D3" s="47"/>
      <c r="E3" s="47"/>
      <c r="F3" s="476" t="s">
        <v>814</v>
      </c>
      <c r="G3" s="76" t="s">
        <v>1035</v>
      </c>
      <c r="H3" s="376" t="s">
        <v>877</v>
      </c>
      <c r="I3" s="376" t="s">
        <v>1037</v>
      </c>
      <c r="J3" s="376" t="s">
        <v>878</v>
      </c>
      <c r="K3" s="376" t="s">
        <v>1038</v>
      </c>
      <c r="L3" s="376" t="s">
        <v>1039</v>
      </c>
      <c r="M3" s="141" t="s">
        <v>879</v>
      </c>
      <c r="N3" s="141" t="s">
        <v>880</v>
      </c>
      <c r="O3" s="141" t="s">
        <v>881</v>
      </c>
      <c r="P3" s="141" t="s">
        <v>882</v>
      </c>
      <c r="Q3" s="141" t="s">
        <v>883</v>
      </c>
      <c r="R3" s="348" t="s">
        <v>884</v>
      </c>
      <c r="S3" s="210" t="s">
        <v>1098</v>
      </c>
      <c r="T3" s="210" t="s">
        <v>885</v>
      </c>
      <c r="U3" s="69" t="s">
        <v>1096</v>
      </c>
      <c r="V3" s="69" t="s">
        <v>1097</v>
      </c>
    </row>
    <row r="4" spans="1:22" x14ac:dyDescent="0.2">
      <c r="A4" s="49"/>
      <c r="B4" s="49"/>
      <c r="C4" s="49"/>
      <c r="D4" s="49" t="s">
        <v>4</v>
      </c>
      <c r="E4" s="49"/>
      <c r="F4" s="113">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12" t="str">
        <f>IF($Q$4=0,"",SUM($O$4,$P$4)/$Q$4)</f>
        <v/>
      </c>
      <c r="S4" s="212" t="str">
        <f>IF($U$4=0,"",$V$4/$U$4)</f>
        <v/>
      </c>
      <c r="T4" s="212"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9" t="s">
        <v>99</v>
      </c>
      <c r="G5" s="75" t="s">
        <v>99</v>
      </c>
      <c r="H5" s="75" t="s">
        <v>99</v>
      </c>
      <c r="I5" s="75" t="s">
        <v>99</v>
      </c>
      <c r="J5" s="75" t="s">
        <v>99</v>
      </c>
      <c r="K5" s="75" t="s">
        <v>99</v>
      </c>
      <c r="L5" s="75" t="s">
        <v>99</v>
      </c>
      <c r="M5" s="75" t="s">
        <v>110</v>
      </c>
      <c r="N5" s="75" t="s">
        <v>110</v>
      </c>
      <c r="O5" s="75" t="s">
        <v>110</v>
      </c>
      <c r="P5" s="75" t="s">
        <v>110</v>
      </c>
      <c r="Q5" s="75" t="s">
        <v>99</v>
      </c>
      <c r="R5" s="214" t="s">
        <v>99</v>
      </c>
      <c r="S5" s="214" t="s">
        <v>99</v>
      </c>
      <c r="T5" s="214" t="s">
        <v>99</v>
      </c>
      <c r="U5" s="72" t="s">
        <v>110</v>
      </c>
      <c r="V5" s="72" t="s">
        <v>110</v>
      </c>
    </row>
    <row r="6" spans="1:22" x14ac:dyDescent="0.2">
      <c r="A6" s="42" t="s">
        <v>201</v>
      </c>
      <c r="B6" s="42" t="s">
        <v>201</v>
      </c>
      <c r="C6" s="42" t="s">
        <v>201</v>
      </c>
      <c r="D6" s="42" t="s">
        <v>201</v>
      </c>
      <c r="E6" s="42" t="s">
        <v>201</v>
      </c>
      <c r="F6" s="99" t="s">
        <v>94</v>
      </c>
      <c r="G6" s="75" t="s">
        <v>113</v>
      </c>
      <c r="H6" s="75" t="s">
        <v>94</v>
      </c>
      <c r="I6" s="75" t="s">
        <v>94</v>
      </c>
      <c r="J6" s="75" t="s">
        <v>94</v>
      </c>
      <c r="K6" s="75" t="s">
        <v>94</v>
      </c>
      <c r="L6" s="75" t="s">
        <v>94</v>
      </c>
      <c r="M6" s="75" t="s">
        <v>111</v>
      </c>
      <c r="N6" s="75" t="s">
        <v>111</v>
      </c>
      <c r="O6" s="75" t="s">
        <v>111</v>
      </c>
      <c r="P6" s="75" t="s">
        <v>111</v>
      </c>
      <c r="Q6" s="75" t="s">
        <v>94</v>
      </c>
      <c r="R6" s="214" t="s">
        <v>94</v>
      </c>
      <c r="S6" s="214" t="s">
        <v>113</v>
      </c>
      <c r="T6" s="214" t="s">
        <v>113</v>
      </c>
      <c r="U6" s="72" t="s">
        <v>93</v>
      </c>
      <c r="V6" s="72" t="s">
        <v>93</v>
      </c>
    </row>
    <row r="7" spans="1:22" x14ac:dyDescent="0.2">
      <c r="A7" s="42" t="s">
        <v>109</v>
      </c>
      <c r="B7" s="42" t="s">
        <v>109</v>
      </c>
      <c r="C7" s="42" t="s">
        <v>109</v>
      </c>
      <c r="D7" s="42" t="s">
        <v>109</v>
      </c>
      <c r="E7" s="42" t="s">
        <v>109</v>
      </c>
      <c r="F7" s="99" t="s">
        <v>95</v>
      </c>
      <c r="G7" s="75" t="s">
        <v>95</v>
      </c>
      <c r="H7" s="75" t="s">
        <v>95</v>
      </c>
      <c r="I7" s="75" t="s">
        <v>95</v>
      </c>
      <c r="J7" s="75" t="s">
        <v>95</v>
      </c>
      <c r="K7" s="75" t="s">
        <v>95</v>
      </c>
      <c r="L7" s="75" t="s">
        <v>95</v>
      </c>
      <c r="M7" s="75" t="s">
        <v>95</v>
      </c>
      <c r="N7" s="75" t="s">
        <v>95</v>
      </c>
      <c r="O7" s="75" t="s">
        <v>95</v>
      </c>
      <c r="P7" s="75" t="s">
        <v>95</v>
      </c>
      <c r="Q7" s="75" t="s">
        <v>95</v>
      </c>
      <c r="R7" s="214" t="s">
        <v>96</v>
      </c>
      <c r="S7" s="214" t="s">
        <v>96</v>
      </c>
      <c r="T7" s="214" t="s">
        <v>96</v>
      </c>
      <c r="U7" s="72" t="s">
        <v>95</v>
      </c>
      <c r="V7" s="72" t="s">
        <v>95</v>
      </c>
    </row>
    <row r="8" spans="1:22" x14ac:dyDescent="0.2">
      <c r="M8" s="322" t="s">
        <v>490</v>
      </c>
      <c r="N8" s="322" t="s">
        <v>489</v>
      </c>
      <c r="O8" s="322" t="s">
        <v>488</v>
      </c>
      <c r="P8" s="322" t="s">
        <v>487</v>
      </c>
      <c r="Q8" s="177"/>
      <c r="R8" s="475"/>
      <c r="U8" s="319" t="s">
        <v>711</v>
      </c>
      <c r="V8" s="319" t="s">
        <v>712</v>
      </c>
    </row>
    <row r="9" spans="1:22" x14ac:dyDescent="0.2">
      <c r="F9" s="219"/>
      <c r="G9" s="177"/>
      <c r="H9" s="177"/>
      <c r="I9" s="177"/>
      <c r="J9" s="177"/>
      <c r="K9" s="177"/>
      <c r="L9" s="177"/>
      <c r="M9" s="327"/>
      <c r="N9" s="327"/>
      <c r="O9" s="327"/>
      <c r="P9" s="327"/>
      <c r="Q9" s="221"/>
      <c r="R9" s="474"/>
      <c r="U9" s="319"/>
      <c r="V9" s="319"/>
    </row>
    <row r="10" spans="1:22" x14ac:dyDescent="0.2">
      <c r="F10" s="219"/>
      <c r="G10" s="177"/>
      <c r="H10" s="177"/>
      <c r="I10" s="177"/>
      <c r="J10" s="177"/>
      <c r="K10" s="177"/>
      <c r="L10" s="177"/>
      <c r="M10" s="322" t="s">
        <v>1043</v>
      </c>
      <c r="N10" s="322" t="s">
        <v>1041</v>
      </c>
      <c r="O10" s="322" t="s">
        <v>1044</v>
      </c>
      <c r="P10" s="322" t="s">
        <v>1042</v>
      </c>
      <c r="Q10" s="177"/>
      <c r="R10" s="475"/>
      <c r="S10" s="475"/>
      <c r="T10" s="475"/>
      <c r="U10" s="319" t="s">
        <v>722</v>
      </c>
      <c r="V10" s="319" t="s">
        <v>723</v>
      </c>
    </row>
    <row r="11" spans="1:22" x14ac:dyDescent="0.2">
      <c r="F11" s="99" t="s">
        <v>486</v>
      </c>
      <c r="G11" s="75" t="s">
        <v>486</v>
      </c>
      <c r="H11" s="75" t="s">
        <v>615</v>
      </c>
      <c r="I11" s="75" t="s">
        <v>615</v>
      </c>
      <c r="J11" s="75" t="s">
        <v>486</v>
      </c>
      <c r="K11" s="75" t="s">
        <v>486</v>
      </c>
      <c r="L11" s="75" t="s">
        <v>486</v>
      </c>
      <c r="M11" s="75" t="s">
        <v>486</v>
      </c>
      <c r="N11" s="75" t="s">
        <v>486</v>
      </c>
      <c r="O11" s="75" t="s">
        <v>486</v>
      </c>
      <c r="P11" s="75" t="s">
        <v>486</v>
      </c>
      <c r="Q11" s="75" t="s">
        <v>486</v>
      </c>
      <c r="R11" s="214" t="s">
        <v>486</v>
      </c>
      <c r="S11" s="51" t="s">
        <v>486</v>
      </c>
      <c r="T11" s="51" t="s">
        <v>486</v>
      </c>
      <c r="U11" s="72" t="s">
        <v>486</v>
      </c>
      <c r="V11" s="72" t="s">
        <v>486</v>
      </c>
    </row>
    <row r="12" spans="1:22" x14ac:dyDescent="0.2">
      <c r="F12" s="99" t="s">
        <v>693</v>
      </c>
      <c r="G12" s="75" t="s">
        <v>693</v>
      </c>
      <c r="H12" s="75" t="s">
        <v>693</v>
      </c>
      <c r="I12" s="75" t="s">
        <v>693</v>
      </c>
      <c r="J12" s="75" t="s">
        <v>693</v>
      </c>
      <c r="K12" s="75" t="s">
        <v>693</v>
      </c>
      <c r="L12" s="75" t="s">
        <v>693</v>
      </c>
      <c r="M12" s="75" t="s">
        <v>693</v>
      </c>
      <c r="N12" s="75" t="s">
        <v>693</v>
      </c>
      <c r="O12" s="75" t="s">
        <v>693</v>
      </c>
      <c r="P12" s="75" t="s">
        <v>693</v>
      </c>
      <c r="Q12" s="75" t="s">
        <v>693</v>
      </c>
      <c r="R12" s="214" t="s">
        <v>693</v>
      </c>
      <c r="S12" s="51" t="s">
        <v>693</v>
      </c>
      <c r="T12" s="51" t="s">
        <v>693</v>
      </c>
      <c r="U12" s="72" t="s">
        <v>693</v>
      </c>
      <c r="V12" s="72" t="s">
        <v>693</v>
      </c>
    </row>
    <row r="14" spans="1:22" x14ac:dyDescent="0.2">
      <c r="A14" s="54" t="s">
        <v>591</v>
      </c>
      <c r="B14" s="54" t="s">
        <v>5</v>
      </c>
      <c r="C14" s="54" t="s">
        <v>35</v>
      </c>
      <c r="D14" s="54" t="s">
        <v>6</v>
      </c>
      <c r="E14" s="54" t="s">
        <v>76</v>
      </c>
      <c r="F14" s="178" t="s">
        <v>302</v>
      </c>
      <c r="G14" s="92" t="s">
        <v>560</v>
      </c>
      <c r="H14" s="92" t="s">
        <v>472</v>
      </c>
      <c r="I14" s="92" t="s">
        <v>903</v>
      </c>
      <c r="J14" s="92" t="s">
        <v>467</v>
      </c>
      <c r="K14" s="92" t="s">
        <v>373</v>
      </c>
      <c r="L14" s="92" t="s">
        <v>374</v>
      </c>
      <c r="M14" s="92" t="s">
        <v>491</v>
      </c>
      <c r="N14" s="92" t="s">
        <v>492</v>
      </c>
      <c r="O14" s="92" t="s">
        <v>493</v>
      </c>
      <c r="P14" s="92" t="s">
        <v>494</v>
      </c>
      <c r="Q14" s="92" t="s">
        <v>728</v>
      </c>
      <c r="R14" s="215" t="s">
        <v>727</v>
      </c>
      <c r="S14" s="215" t="s">
        <v>561</v>
      </c>
      <c r="T14" s="215" t="s">
        <v>729</v>
      </c>
      <c r="U14" s="176" t="s">
        <v>499</v>
      </c>
      <c r="V14" s="176" t="s">
        <v>500</v>
      </c>
    </row>
    <row r="15" spans="1:22" x14ac:dyDescent="0.2">
      <c r="E15" s="42" t="str">
        <f>B15&amp;"|"&amp;C15&amp;"|"&amp;D15</f>
        <v>||</v>
      </c>
      <c r="F15" s="99"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14" t="str">
        <f>IF(SUM($Q15)=0,"",SUM($O15,$P15)/SUM($Q15))</f>
        <v/>
      </c>
      <c r="S15" s="214" t="str">
        <f>IF(SUM($Q15)=0,"",MAX(60%,SUM($R15)))</f>
        <v/>
      </c>
      <c r="T15" s="214" t="str">
        <f>IF(SUM($Q15)=0,"",0%)</f>
        <v/>
      </c>
      <c r="U15" s="72" t="str">
        <f>IF(SUM($Q15)=0,"",SUM($Q15)*(1+$T15))</f>
        <v/>
      </c>
      <c r="V15" s="72" t="str">
        <f>IF(SUM($U15)=0,"",ROUND(SUM($U15)*S15,0))</f>
        <v/>
      </c>
    </row>
  </sheetData>
  <mergeCells count="1">
    <mergeCell ref="A2:B3"/>
  </mergeCells>
  <phoneticPr fontId="27" type="noConversion"/>
  <conditionalFormatting sqref="V1:V1048576">
    <cfRule type="expression" dxfId="43" priority="14">
      <formula>AND(ISNUMBER(V1),SUM($V1)&gt;SUM($U1))</formula>
    </cfRule>
  </conditionalFormatting>
  <conditionalFormatting sqref="H1:I1048576">
    <cfRule type="expression" dxfId="42" priority="6">
      <formula>AND(ROW(H1)&gt;14,$C1="10-14")</formula>
    </cfRule>
  </conditionalFormatting>
  <conditionalFormatting sqref="F1:G1048576">
    <cfRule type="expression" dxfId="41" priority="3">
      <formula>AND(ROW(F1)&gt;14,LEFT(B1,4)="_Mil")</formula>
    </cfRule>
  </conditionalFormatting>
  <conditionalFormatting sqref="U1:V1048576 F1:N1048576">
    <cfRule type="expression" dxfId="40" priority="2">
      <formula>AND(ISNUMBER(F1),ROUND(SUM(F1),0)&lt;0)</formula>
    </cfRule>
  </conditionalFormatting>
  <conditionalFormatting sqref="R1:S1048576">
    <cfRule type="expression" dxfId="39" priority="1">
      <formula>AND(ISNUMBER(R1),OR(ROUND(SUM(R1),2)&lt;0,ROUND(SUM(R1),2)&gt;1))</formula>
    </cfRule>
  </conditionalFormatting>
  <conditionalFormatting sqref="S1:S1048576">
    <cfRule type="expression" dxfId="3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63BE7B"/>
  </sheetPr>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O15" sqref="O15"/>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11" width="11.83203125" style="75" customWidth="1"/>
    <col min="12" max="12" width="11.83203125" style="72" customWidth="1"/>
    <col min="13" max="13" width="11.83203125" style="99"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11" t="s">
        <v>24</v>
      </c>
      <c r="G1" s="67"/>
      <c r="H1" s="67"/>
      <c r="I1" s="67"/>
      <c r="J1" s="67"/>
      <c r="K1" s="67"/>
      <c r="L1" s="67"/>
      <c r="M1" s="111" t="s">
        <v>902</v>
      </c>
      <c r="N1" s="67"/>
      <c r="O1" s="67"/>
    </row>
    <row r="2" spans="1:15" s="56" customFormat="1" ht="19" x14ac:dyDescent="0.25">
      <c r="A2" s="2"/>
      <c r="B2" s="2"/>
      <c r="C2" s="2"/>
      <c r="D2" s="2"/>
      <c r="E2" s="2"/>
      <c r="F2" s="112" t="s">
        <v>74</v>
      </c>
      <c r="G2" s="73"/>
      <c r="H2" s="73"/>
      <c r="I2" s="73"/>
      <c r="J2" s="73"/>
      <c r="K2" s="73"/>
      <c r="L2" s="68" t="s">
        <v>3</v>
      </c>
      <c r="M2" s="112" t="s">
        <v>74</v>
      </c>
      <c r="N2" s="73"/>
      <c r="O2" s="68" t="s">
        <v>3</v>
      </c>
    </row>
    <row r="3" spans="1:15" ht="117" customHeight="1" x14ac:dyDescent="0.2">
      <c r="A3" s="47"/>
      <c r="B3" s="47"/>
      <c r="C3" s="47"/>
      <c r="D3" s="47"/>
      <c r="E3" s="47"/>
      <c r="F3" s="261" t="s">
        <v>886</v>
      </c>
      <c r="G3" s="262" t="s">
        <v>887</v>
      </c>
      <c r="H3" s="262" t="s">
        <v>888</v>
      </c>
      <c r="I3" s="262" t="s">
        <v>889</v>
      </c>
      <c r="J3" s="141" t="s">
        <v>892</v>
      </c>
      <c r="K3" s="141" t="s">
        <v>890</v>
      </c>
      <c r="L3" s="142" t="s">
        <v>877</v>
      </c>
      <c r="M3" s="148" t="s">
        <v>893</v>
      </c>
      <c r="N3" s="141" t="s">
        <v>891</v>
      </c>
      <c r="O3" s="142" t="s">
        <v>1117</v>
      </c>
    </row>
    <row r="4" spans="1:15" x14ac:dyDescent="0.2">
      <c r="A4" s="49"/>
      <c r="B4" s="49"/>
      <c r="C4" s="49"/>
      <c r="D4" s="49" t="s">
        <v>4</v>
      </c>
      <c r="E4" s="49"/>
      <c r="F4" s="113">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13">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9" t="s">
        <v>99</v>
      </c>
      <c r="G5" s="75" t="s">
        <v>99</v>
      </c>
      <c r="H5" s="75" t="s">
        <v>99</v>
      </c>
      <c r="I5" s="75" t="s">
        <v>99</v>
      </c>
      <c r="J5" s="75" t="s">
        <v>110</v>
      </c>
      <c r="K5" s="75" t="s">
        <v>110</v>
      </c>
      <c r="L5" s="72" t="s">
        <v>110</v>
      </c>
      <c r="M5" s="99" t="s">
        <v>110</v>
      </c>
      <c r="N5" s="75" t="s">
        <v>110</v>
      </c>
      <c r="O5" s="72" t="s">
        <v>110</v>
      </c>
    </row>
    <row r="6" spans="1:15" x14ac:dyDescent="0.2">
      <c r="A6" s="42" t="s">
        <v>201</v>
      </c>
      <c r="B6" s="42" t="s">
        <v>201</v>
      </c>
      <c r="C6" s="42" t="s">
        <v>201</v>
      </c>
      <c r="D6" s="42" t="s">
        <v>201</v>
      </c>
      <c r="E6" s="42" t="s">
        <v>201</v>
      </c>
      <c r="F6" s="99" t="s">
        <v>94</v>
      </c>
      <c r="G6" s="75" t="s">
        <v>94</v>
      </c>
      <c r="H6" s="75" t="s">
        <v>94</v>
      </c>
      <c r="I6" s="75" t="s">
        <v>94</v>
      </c>
      <c r="J6" s="75" t="s">
        <v>111</v>
      </c>
      <c r="K6" s="75" t="s">
        <v>111</v>
      </c>
      <c r="L6" s="72" t="s">
        <v>93</v>
      </c>
      <c r="M6" s="99" t="s">
        <v>111</v>
      </c>
      <c r="N6" s="75" t="s">
        <v>111</v>
      </c>
      <c r="O6" s="72" t="s">
        <v>93</v>
      </c>
    </row>
    <row r="7" spans="1:15" x14ac:dyDescent="0.2">
      <c r="A7" s="42" t="s">
        <v>109</v>
      </c>
      <c r="B7" s="42" t="s">
        <v>109</v>
      </c>
      <c r="C7" s="42" t="s">
        <v>109</v>
      </c>
      <c r="D7" s="42" t="s">
        <v>109</v>
      </c>
      <c r="E7" s="42" t="s">
        <v>109</v>
      </c>
      <c r="F7" s="99" t="s">
        <v>95</v>
      </c>
      <c r="G7" s="75" t="s">
        <v>95</v>
      </c>
      <c r="H7" s="75" t="s">
        <v>95</v>
      </c>
      <c r="I7" s="75" t="s">
        <v>95</v>
      </c>
      <c r="J7" s="75" t="s">
        <v>95</v>
      </c>
      <c r="K7" s="75" t="s">
        <v>95</v>
      </c>
      <c r="L7" s="72" t="s">
        <v>95</v>
      </c>
      <c r="M7" s="99" t="s">
        <v>95</v>
      </c>
      <c r="N7" s="75" t="s">
        <v>95</v>
      </c>
      <c r="O7" s="72" t="s">
        <v>95</v>
      </c>
    </row>
    <row r="8" spans="1:15" x14ac:dyDescent="0.2">
      <c r="J8" s="327" t="s">
        <v>601</v>
      </c>
      <c r="K8" s="322" t="s">
        <v>193</v>
      </c>
      <c r="L8" s="319" t="s">
        <v>193</v>
      </c>
      <c r="M8" s="328" t="s">
        <v>603</v>
      </c>
      <c r="N8" s="322" t="s">
        <v>195</v>
      </c>
      <c r="O8" s="319" t="s">
        <v>1060</v>
      </c>
    </row>
    <row r="9" spans="1:15" x14ac:dyDescent="0.2">
      <c r="J9" s="327" t="s">
        <v>602</v>
      </c>
      <c r="K9" s="322" t="s">
        <v>194</v>
      </c>
      <c r="L9" s="319" t="s">
        <v>194</v>
      </c>
      <c r="M9" s="328" t="s">
        <v>604</v>
      </c>
      <c r="N9" s="322" t="s">
        <v>196</v>
      </c>
      <c r="O9" s="319" t="s">
        <v>1061</v>
      </c>
    </row>
    <row r="10" spans="1:15" x14ac:dyDescent="0.2">
      <c r="J10" s="322"/>
      <c r="K10" s="322"/>
      <c r="L10" s="319"/>
      <c r="M10" s="324"/>
      <c r="N10" s="322"/>
      <c r="O10" s="319"/>
    </row>
    <row r="11" spans="1:15" x14ac:dyDescent="0.2">
      <c r="F11" s="99" t="s">
        <v>1047</v>
      </c>
      <c r="G11" s="75" t="s">
        <v>1047</v>
      </c>
      <c r="H11" s="75" t="s">
        <v>615</v>
      </c>
      <c r="I11" s="75" t="s">
        <v>615</v>
      </c>
      <c r="J11" s="75" t="s">
        <v>1047</v>
      </c>
      <c r="K11" s="75" t="s">
        <v>1047</v>
      </c>
      <c r="L11" s="72" t="s">
        <v>1047</v>
      </c>
      <c r="M11" s="99" t="s">
        <v>1047</v>
      </c>
      <c r="N11" s="75" t="s">
        <v>1047</v>
      </c>
      <c r="O11" s="72" t="s">
        <v>1047</v>
      </c>
    </row>
    <row r="12" spans="1:15" x14ac:dyDescent="0.2">
      <c r="F12" s="99" t="s">
        <v>202</v>
      </c>
      <c r="G12" s="75" t="s">
        <v>202</v>
      </c>
      <c r="H12" s="75" t="s">
        <v>693</v>
      </c>
      <c r="I12" s="75" t="s">
        <v>693</v>
      </c>
      <c r="J12" s="75" t="s">
        <v>202</v>
      </c>
      <c r="K12" s="75" t="s">
        <v>202</v>
      </c>
      <c r="L12" s="72" t="s">
        <v>202</v>
      </c>
      <c r="M12" s="99" t="s">
        <v>202</v>
      </c>
      <c r="N12" s="75" t="s">
        <v>202</v>
      </c>
      <c r="O12" s="72" t="s">
        <v>202</v>
      </c>
    </row>
    <row r="14" spans="1:15" x14ac:dyDescent="0.2">
      <c r="A14" s="54" t="s">
        <v>591</v>
      </c>
      <c r="B14" s="54" t="s">
        <v>5</v>
      </c>
      <c r="C14" s="54" t="s">
        <v>35</v>
      </c>
      <c r="D14" s="54" t="s">
        <v>6</v>
      </c>
      <c r="E14" s="54" t="s">
        <v>76</v>
      </c>
      <c r="F14" s="178" t="s">
        <v>303</v>
      </c>
      <c r="G14" s="92" t="s">
        <v>556</v>
      </c>
      <c r="H14" s="92" t="s">
        <v>499</v>
      </c>
      <c r="I14" s="92" t="s">
        <v>500</v>
      </c>
      <c r="J14" s="92" t="s">
        <v>594</v>
      </c>
      <c r="K14" s="92" t="s">
        <v>471</v>
      </c>
      <c r="L14" s="176" t="s">
        <v>472</v>
      </c>
      <c r="M14" s="178" t="s">
        <v>595</v>
      </c>
      <c r="N14" s="92" t="s">
        <v>473</v>
      </c>
      <c r="O14" s="176" t="s">
        <v>903</v>
      </c>
    </row>
    <row r="15" spans="1:15" x14ac:dyDescent="0.2">
      <c r="E15" s="42" t="str">
        <f>B15&amp;"|"&amp;C15&amp;"|"&amp;D15</f>
        <v>||</v>
      </c>
      <c r="F15" s="99" t="str" cm="1">
        <f t="array" ref="F15">IFERROR(1/(1/IF($C15="50+",SUM(SUMIFS(Cascade!$F:$F,Cascade!$B:$B,$B15,Cascade!$C:$C,{"50-54","55-59","60-64","65+"},Cascade!$D:$D,$D15)),INDEX(Cascade!$F:$F,MATCH($E15,Cascade!$E:$E,0)))),"")</f>
        <v/>
      </c>
      <c r="G15" s="75" t="str">
        <f>_xlfn.IFNA(INDEX(HTS!$BX:$BX,MATCH($E15,HTS!$E:$E,0)),"")</f>
        <v/>
      </c>
      <c r="H15" s="75" t="str">
        <f>_xlfn.IFNA(INDEX(AGYW!$U:$U,MATCH($E15,AGYW!$E:$E,0)),"")</f>
        <v/>
      </c>
      <c r="I15" s="75" t="str">
        <f>_xlfn.IFNA(INDEX(AGYW!$V:$V,MATCH($E15,AGYW!$E:$E,0)),"")</f>
        <v/>
      </c>
    </row>
  </sheetData>
  <conditionalFormatting sqref="H1:I1048576">
    <cfRule type="expression" dxfId="85" priority="3">
      <formula>AND(ROW(H1)&gt;14,$E1&lt;&gt;"",NOT(OR($C1="15-19",$C1="20-24",$C1="25-29")))</formula>
    </cfRule>
    <cfRule type="expression" dxfId="82" priority="4">
      <formula>AND(ROW(H1)&gt;14,$E1&lt;&gt;"",$D1&lt;&gt;"Females")</formula>
    </cfRule>
  </conditionalFormatting>
  <conditionalFormatting sqref="F1:F1048576">
    <cfRule type="expression" dxfId="84" priority="2">
      <formula>AND(ROW(F1)&gt;14,LEFT(B1,4)="_Mil")</formula>
    </cfRule>
  </conditionalFormatting>
  <conditionalFormatting sqref="F1:O1048576">
    <cfRule type="expression" dxfId="83"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63BE7B"/>
  </sheetPr>
  <dimension ref="A1:K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63" customWidth="1"/>
    <col min="6" max="6" width="11.83203125" style="300" customWidth="1"/>
    <col min="7" max="9" width="11.83203125" style="299" customWidth="1"/>
    <col min="10" max="11" width="11.83203125" style="72" customWidth="1"/>
  </cols>
  <sheetData>
    <row r="1" spans="1:11" ht="31" customHeight="1" x14ac:dyDescent="0.2">
      <c r="A1" s="5" t="s">
        <v>23</v>
      </c>
      <c r="B1" s="5"/>
      <c r="C1" s="1"/>
      <c r="D1" s="1"/>
      <c r="E1" s="111" t="s">
        <v>23</v>
      </c>
      <c r="F1" s="67"/>
      <c r="G1" s="43"/>
      <c r="H1" s="45"/>
      <c r="I1" s="45"/>
      <c r="J1" s="67"/>
      <c r="K1" s="67"/>
    </row>
    <row r="2" spans="1:11" ht="19" x14ac:dyDescent="0.25">
      <c r="A2" s="2"/>
      <c r="B2" s="2"/>
      <c r="C2" s="2"/>
      <c r="D2" s="2"/>
      <c r="E2" s="115" t="s">
        <v>74</v>
      </c>
      <c r="F2" s="94"/>
      <c r="G2" s="34"/>
      <c r="H2" s="34" t="s">
        <v>2</v>
      </c>
      <c r="I2" s="34"/>
      <c r="J2" s="68" t="s">
        <v>3</v>
      </c>
      <c r="K2" s="68"/>
    </row>
    <row r="3" spans="1:11" ht="117" customHeight="1" x14ac:dyDescent="0.2">
      <c r="D3" s="63"/>
      <c r="E3" s="477" t="s">
        <v>897</v>
      </c>
      <c r="F3" s="151" t="s">
        <v>898</v>
      </c>
      <c r="G3" s="209" t="s">
        <v>899</v>
      </c>
      <c r="H3" s="210" t="s">
        <v>894</v>
      </c>
      <c r="I3" s="210" t="s">
        <v>1040</v>
      </c>
      <c r="J3" s="69" t="s">
        <v>895</v>
      </c>
      <c r="K3" s="69" t="s">
        <v>896</v>
      </c>
    </row>
    <row r="4" spans="1:11" x14ac:dyDescent="0.2">
      <c r="A4" s="65"/>
      <c r="B4" s="65"/>
      <c r="C4" s="65" t="s">
        <v>4</v>
      </c>
      <c r="D4" s="65"/>
      <c r="E4" s="113">
        <f>SUBTOTAL(109,E$15:INDEX(E:E,COUNTA($B:$B)+14-COUNTA($B$1:$B$14)))</f>
        <v>0</v>
      </c>
      <c r="F4" s="144">
        <f>SUBTOTAL(109,F$15:INDEX(F:F,COUNTA($B:$B)+14-COUNTA($B$1:$B$14)))</f>
        <v>0</v>
      </c>
      <c r="G4" s="211" t="str">
        <f>IF($E$4=0,"",$F$4/$E$4)</f>
        <v/>
      </c>
      <c r="H4" s="212" t="str">
        <f>IF($K$4=0,"",$J$4/$K$4)</f>
        <v/>
      </c>
      <c r="I4" s="212" t="str">
        <f>IF($F$4=0,"",$J$4/$F$4-1)</f>
        <v/>
      </c>
      <c r="J4" s="71">
        <f>SUBTOTAL(109,J$15:INDEX(J:J,COUNTA($B:$B)+14-COUNTA($B$1:$B$14)))</f>
        <v>0</v>
      </c>
      <c r="K4" s="71">
        <f>SUBTOTAL(109,K$15:INDEX(K:K,COUNTA($B:$B)+14-COUNTA($B$1:$B$14)))</f>
        <v>0</v>
      </c>
    </row>
    <row r="5" spans="1:11" x14ac:dyDescent="0.2">
      <c r="A5" s="66" t="s">
        <v>99</v>
      </c>
      <c r="B5" s="66" t="s">
        <v>99</v>
      </c>
      <c r="C5" s="66" t="s">
        <v>99</v>
      </c>
      <c r="D5" s="66" t="s">
        <v>99</v>
      </c>
      <c r="E5" s="99" t="s">
        <v>108</v>
      </c>
      <c r="F5" s="145" t="s">
        <v>110</v>
      </c>
      <c r="G5" s="213" t="s">
        <v>99</v>
      </c>
      <c r="H5" s="214" t="s">
        <v>99</v>
      </c>
      <c r="I5" s="214" t="s">
        <v>99</v>
      </c>
      <c r="J5" s="72" t="s">
        <v>110</v>
      </c>
      <c r="K5" s="72" t="s">
        <v>108</v>
      </c>
    </row>
    <row r="6" spans="1:11" x14ac:dyDescent="0.2">
      <c r="A6" s="66" t="s">
        <v>201</v>
      </c>
      <c r="B6" s="66" t="s">
        <v>201</v>
      </c>
      <c r="C6" s="66" t="s">
        <v>201</v>
      </c>
      <c r="D6" s="66" t="s">
        <v>201</v>
      </c>
      <c r="E6" s="99" t="s">
        <v>93</v>
      </c>
      <c r="F6" s="145" t="s">
        <v>111</v>
      </c>
      <c r="G6" s="213" t="s">
        <v>94</v>
      </c>
      <c r="H6" s="214" t="s">
        <v>113</v>
      </c>
      <c r="I6" s="214" t="s">
        <v>113</v>
      </c>
      <c r="J6" s="72" t="s">
        <v>93</v>
      </c>
      <c r="K6" s="72" t="s">
        <v>93</v>
      </c>
    </row>
    <row r="7" spans="1:11" x14ac:dyDescent="0.2">
      <c r="A7" s="66" t="s">
        <v>109</v>
      </c>
      <c r="B7" s="66" t="s">
        <v>109</v>
      </c>
      <c r="C7" s="66" t="s">
        <v>109</v>
      </c>
      <c r="D7" s="66" t="s">
        <v>109</v>
      </c>
      <c r="E7" s="99" t="s">
        <v>95</v>
      </c>
      <c r="F7" s="145" t="s">
        <v>95</v>
      </c>
      <c r="G7" s="213" t="s">
        <v>96</v>
      </c>
      <c r="H7" s="214" t="s">
        <v>96</v>
      </c>
      <c r="I7" s="214" t="s">
        <v>96</v>
      </c>
      <c r="J7" s="72" t="s">
        <v>95</v>
      </c>
      <c r="K7" s="72" t="s">
        <v>95</v>
      </c>
    </row>
    <row r="8" spans="1:11" x14ac:dyDescent="0.2">
      <c r="A8" s="66"/>
      <c r="B8" s="66"/>
      <c r="C8" s="66"/>
      <c r="D8" s="66"/>
      <c r="E8" s="324" t="s">
        <v>180</v>
      </c>
      <c r="F8" s="332" t="s">
        <v>181</v>
      </c>
      <c r="G8" s="213"/>
      <c r="H8" s="214"/>
      <c r="I8" s="214"/>
      <c r="J8" s="319" t="s">
        <v>181</v>
      </c>
      <c r="K8" s="319" t="s">
        <v>180</v>
      </c>
    </row>
    <row r="9" spans="1:11" x14ac:dyDescent="0.2">
      <c r="A9" s="66"/>
      <c r="B9" s="66"/>
      <c r="C9" s="66"/>
      <c r="D9" s="66"/>
      <c r="E9" s="324"/>
      <c r="F9" s="332" t="s">
        <v>182</v>
      </c>
      <c r="G9" s="213"/>
      <c r="H9" s="214"/>
      <c r="I9" s="214"/>
      <c r="J9" s="319" t="s">
        <v>182</v>
      </c>
      <c r="K9" s="319"/>
    </row>
    <row r="10" spans="1:11" x14ac:dyDescent="0.2">
      <c r="A10" s="66"/>
      <c r="B10" s="66"/>
      <c r="C10" s="66"/>
      <c r="D10" s="66"/>
      <c r="E10" s="324"/>
      <c r="F10" s="332"/>
      <c r="G10" s="213"/>
      <c r="H10" s="214"/>
      <c r="I10" s="214"/>
      <c r="J10" s="319"/>
      <c r="K10" s="319"/>
    </row>
    <row r="11" spans="1:11" x14ac:dyDescent="0.2">
      <c r="A11" s="66"/>
      <c r="B11" s="66"/>
      <c r="C11" s="66"/>
      <c r="D11" s="66"/>
      <c r="E11" s="99"/>
      <c r="F11" s="145"/>
      <c r="G11" s="213"/>
      <c r="H11" s="214"/>
      <c r="I11" s="214"/>
    </row>
    <row r="12" spans="1:11" x14ac:dyDescent="0.2">
      <c r="A12" s="66"/>
      <c r="B12" s="66"/>
      <c r="C12" s="66"/>
      <c r="D12" s="66"/>
      <c r="E12" s="99" t="s">
        <v>202</v>
      </c>
      <c r="F12" s="145" t="s">
        <v>202</v>
      </c>
      <c r="G12" s="213" t="s">
        <v>202</v>
      </c>
      <c r="H12" s="214" t="s">
        <v>202</v>
      </c>
      <c r="I12" s="214" t="s">
        <v>202</v>
      </c>
      <c r="J12" s="72" t="s">
        <v>202</v>
      </c>
      <c r="K12" s="72" t="s">
        <v>202</v>
      </c>
    </row>
    <row r="13" spans="1:11" x14ac:dyDescent="0.2">
      <c r="A13" s="66"/>
      <c r="B13" s="66"/>
      <c r="C13" s="66"/>
      <c r="D13" s="66"/>
      <c r="E13" s="99"/>
      <c r="F13" s="145"/>
      <c r="G13" s="213"/>
      <c r="H13" s="214"/>
      <c r="I13" s="214"/>
    </row>
    <row r="14" spans="1:11" x14ac:dyDescent="0.2">
      <c r="A14" s="52" t="s">
        <v>591</v>
      </c>
      <c r="B14" s="52" t="s">
        <v>5</v>
      </c>
      <c r="C14" s="52" t="s">
        <v>6</v>
      </c>
      <c r="D14" s="52" t="s">
        <v>76</v>
      </c>
      <c r="E14" s="178" t="s">
        <v>554</v>
      </c>
      <c r="F14" s="92" t="s">
        <v>448</v>
      </c>
      <c r="G14" s="215" t="s">
        <v>573</v>
      </c>
      <c r="H14" s="215" t="s">
        <v>584</v>
      </c>
      <c r="I14" s="215" t="s">
        <v>585</v>
      </c>
      <c r="J14" s="176" t="s">
        <v>449</v>
      </c>
      <c r="K14" s="176" t="s">
        <v>574</v>
      </c>
    </row>
    <row r="15" spans="1:11" s="40" customFormat="1" x14ac:dyDescent="0.2">
      <c r="A15" s="53"/>
      <c r="B15" s="53"/>
      <c r="C15" s="53"/>
      <c r="D15" s="53" t="str">
        <f>B15&amp;"|"&amp;C15</f>
        <v>|</v>
      </c>
      <c r="E15" s="116"/>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47" priority="7">
      <formula>LEFT($B1,4)="_Mil"</formula>
    </cfRule>
  </conditionalFormatting>
  <conditionalFormatting sqref="H1:H1048576">
    <cfRule type="expression" dxfId="46" priority="3">
      <formula>AND(ISNUMBER(H1),H1&lt;&gt;G1)</formula>
    </cfRule>
  </conditionalFormatting>
  <conditionalFormatting sqref="J1:K1048576 E1:F1048576">
    <cfRule type="expression" dxfId="45" priority="2">
      <formula>AND(ISNUMBER(E1),ROUND(SUM(E1),0)&lt;0)</formula>
    </cfRule>
  </conditionalFormatting>
  <conditionalFormatting sqref="G1:H1048576">
    <cfRule type="expression" dxfId="44"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sheetPr>
    <tabColor rgb="FF63BE7B"/>
  </sheetPr>
  <dimension ref="A1:BV63"/>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66" customWidth="1"/>
    <col min="2" max="2" width="30.83203125" style="66" customWidth="1"/>
    <col min="3" max="3" width="11.83203125" style="230" customWidth="1"/>
    <col min="4" max="4" width="11.83203125" style="273" customWidth="1"/>
    <col min="5" max="5" width="11.83203125" style="245" customWidth="1"/>
    <col min="6" max="6" width="11.83203125" style="235" customWidth="1"/>
    <col min="7" max="8" width="11.83203125" style="108" customWidth="1"/>
    <col min="9" max="10" width="11.83203125" style="72" customWidth="1"/>
    <col min="11" max="11" width="11.83203125" style="230" customWidth="1"/>
    <col min="12" max="12" width="11.83203125" style="273" customWidth="1"/>
    <col min="13" max="13" width="11.83203125" style="245" customWidth="1"/>
    <col min="14" max="14" width="11.83203125" style="235" customWidth="1"/>
    <col min="15" max="16" width="11.83203125" style="108" customWidth="1"/>
    <col min="17" max="18" width="11.83203125" style="72" customWidth="1"/>
    <col min="19" max="19" width="11.83203125" style="230" customWidth="1"/>
    <col min="20" max="20" width="11.83203125" style="245" customWidth="1"/>
    <col min="21" max="21" width="11.83203125" style="235" customWidth="1"/>
    <col min="22" max="23" width="11.83203125" style="108" customWidth="1"/>
    <col min="24" max="25" width="11.83203125" style="72" customWidth="1"/>
    <col min="26" max="26" width="11.83203125" style="230" customWidth="1"/>
    <col min="27" max="27" width="11.83203125" style="245" customWidth="1"/>
    <col min="28" max="28" width="11.83203125" style="235" customWidth="1"/>
    <col min="29" max="30" width="11.83203125" style="108" customWidth="1"/>
    <col min="31" max="32" width="11.83203125" style="72" customWidth="1"/>
    <col min="33" max="33" width="11.83203125" style="230" customWidth="1"/>
    <col min="34" max="34" width="11.83203125" style="245" customWidth="1"/>
    <col min="35" max="35" width="11.83203125" style="235" customWidth="1"/>
    <col min="36" max="37" width="11.83203125" style="108" customWidth="1"/>
    <col min="38" max="39" width="11.83203125" style="72" customWidth="1"/>
    <col min="40" max="40" width="11.83203125" style="230" customWidth="1"/>
    <col min="41" max="41" width="11.83203125" style="245" customWidth="1"/>
    <col min="42" max="42" width="11.83203125" style="235" customWidth="1"/>
    <col min="43" max="44" width="11.83203125" style="108" customWidth="1"/>
    <col min="45" max="46" width="11.83203125" style="72" customWidth="1"/>
    <col min="47" max="47" width="11.83203125" style="230" customWidth="1"/>
    <col min="48" max="48" width="11.83203125" style="245" customWidth="1"/>
    <col min="49" max="49" width="11.83203125" style="235" customWidth="1"/>
    <col min="50" max="51" width="11.83203125" style="108" customWidth="1"/>
    <col min="52" max="53" width="11.83203125" style="72" customWidth="1"/>
    <col min="54" max="54" width="11.83203125" style="230" customWidth="1"/>
    <col min="55" max="55" width="11.83203125" style="245" customWidth="1"/>
    <col min="56" max="56" width="11.83203125" style="235" customWidth="1"/>
    <col min="57" max="58" width="11.83203125" style="108" customWidth="1"/>
    <col min="59" max="60" width="11.83203125" style="72" customWidth="1"/>
    <col min="61" max="61" width="11.83203125" style="230" customWidth="1"/>
    <col min="62" max="62" width="11.83203125" style="245" customWidth="1"/>
    <col min="63" max="63" width="11.83203125" style="235" customWidth="1"/>
    <col min="64" max="65" width="11.83203125" style="108" customWidth="1"/>
    <col min="66" max="67" width="11.83203125" style="72" customWidth="1"/>
    <col min="68" max="68" width="11.83203125" style="230" customWidth="1"/>
    <col min="69" max="69" width="11.83203125" style="245" customWidth="1"/>
    <col min="70" max="70" width="11.83203125" style="235" customWidth="1"/>
    <col min="71" max="72" width="11.83203125" style="108" customWidth="1"/>
    <col min="73" max="74" width="11.83203125" style="72" customWidth="1"/>
    <col min="75" max="16384" width="10.83203125" style="62"/>
  </cols>
  <sheetData>
    <row r="1" spans="1:74" s="57" customFormat="1" ht="31" customHeight="1" thickBot="1" x14ac:dyDescent="0.35">
      <c r="A1" s="5" t="s">
        <v>785</v>
      </c>
      <c r="B1" s="5"/>
      <c r="C1" s="111" t="s">
        <v>902</v>
      </c>
      <c r="D1" s="134"/>
      <c r="E1" s="242"/>
      <c r="F1" s="232"/>
      <c r="G1" s="134"/>
      <c r="H1" s="134"/>
      <c r="I1" s="67"/>
      <c r="J1" s="67"/>
      <c r="K1" s="111" t="s">
        <v>24</v>
      </c>
      <c r="L1" s="134"/>
      <c r="M1" s="242"/>
      <c r="N1" s="232"/>
      <c r="O1" s="134"/>
      <c r="P1" s="134"/>
      <c r="Q1" s="67"/>
      <c r="R1" s="67"/>
      <c r="S1" s="111" t="s">
        <v>0</v>
      </c>
      <c r="T1" s="242"/>
      <c r="U1" s="232"/>
      <c r="V1" s="134"/>
      <c r="W1" s="134"/>
      <c r="X1" s="67"/>
      <c r="Y1" s="67"/>
      <c r="Z1" s="111" t="s">
        <v>1</v>
      </c>
      <c r="AA1" s="242"/>
      <c r="AB1" s="232"/>
      <c r="AC1" s="134"/>
      <c r="AD1" s="134"/>
      <c r="AE1" s="67"/>
      <c r="AF1" s="67"/>
      <c r="AG1" s="111" t="s">
        <v>52</v>
      </c>
      <c r="AH1" s="242"/>
      <c r="AI1" s="232"/>
      <c r="AJ1" s="134"/>
      <c r="AK1" s="134"/>
      <c r="AL1" s="67"/>
      <c r="AM1" s="67"/>
      <c r="AN1" s="111" t="s">
        <v>51</v>
      </c>
      <c r="AO1" s="242"/>
      <c r="AP1" s="232"/>
      <c r="AQ1" s="134"/>
      <c r="AR1" s="134"/>
      <c r="AS1" s="67"/>
      <c r="AT1" s="67"/>
      <c r="AU1" s="111" t="s">
        <v>612</v>
      </c>
      <c r="AV1" s="242"/>
      <c r="AW1" s="232"/>
      <c r="AX1" s="134"/>
      <c r="AY1" s="134"/>
      <c r="AZ1" s="67"/>
      <c r="BA1" s="67"/>
      <c r="BB1" s="111" t="s">
        <v>613</v>
      </c>
      <c r="BC1" s="242"/>
      <c r="BD1" s="232"/>
      <c r="BE1" s="134"/>
      <c r="BF1" s="134"/>
      <c r="BG1" s="67"/>
      <c r="BH1" s="67"/>
      <c r="BI1" s="111" t="s">
        <v>207</v>
      </c>
      <c r="BJ1" s="242"/>
      <c r="BK1" s="232"/>
      <c r="BL1" s="134"/>
      <c r="BM1" s="134"/>
      <c r="BN1" s="67"/>
      <c r="BO1" s="67"/>
      <c r="BP1" s="111" t="s">
        <v>247</v>
      </c>
      <c r="BQ1" s="242"/>
      <c r="BR1" s="232"/>
      <c r="BS1" s="134"/>
      <c r="BT1" s="134"/>
      <c r="BU1" s="67"/>
      <c r="BV1" s="67"/>
    </row>
    <row r="2" spans="1:74" s="56" customFormat="1" ht="19" x14ac:dyDescent="0.25">
      <c r="A2" s="365" t="s">
        <v>1227</v>
      </c>
      <c r="B2" s="366"/>
      <c r="C2" s="115" t="s">
        <v>724</v>
      </c>
      <c r="D2" s="119"/>
      <c r="E2" s="243"/>
      <c r="F2" s="233" t="s">
        <v>611</v>
      </c>
      <c r="G2" s="135"/>
      <c r="H2" s="135"/>
      <c r="I2" s="257"/>
      <c r="J2" s="68"/>
      <c r="K2" s="115" t="s">
        <v>724</v>
      </c>
      <c r="L2" s="119"/>
      <c r="M2" s="243"/>
      <c r="N2" s="233" t="s">
        <v>611</v>
      </c>
      <c r="O2" s="135"/>
      <c r="P2" s="135"/>
      <c r="Q2" s="257"/>
      <c r="R2" s="68"/>
      <c r="S2" s="115" t="s">
        <v>724</v>
      </c>
      <c r="T2" s="243"/>
      <c r="U2" s="233" t="s">
        <v>611</v>
      </c>
      <c r="V2" s="135"/>
      <c r="W2" s="135"/>
      <c r="X2" s="257"/>
      <c r="Y2" s="68"/>
      <c r="Z2" s="115" t="s">
        <v>724</v>
      </c>
      <c r="AA2" s="243"/>
      <c r="AB2" s="233" t="s">
        <v>611</v>
      </c>
      <c r="AC2" s="135"/>
      <c r="AD2" s="135"/>
      <c r="AE2" s="257"/>
      <c r="AF2" s="68"/>
      <c r="AG2" s="115" t="s">
        <v>724</v>
      </c>
      <c r="AH2" s="243"/>
      <c r="AI2" s="233" t="s">
        <v>611</v>
      </c>
      <c r="AJ2" s="135"/>
      <c r="AK2" s="135"/>
      <c r="AL2" s="257"/>
      <c r="AM2" s="68"/>
      <c r="AN2" s="115" t="s">
        <v>724</v>
      </c>
      <c r="AO2" s="243"/>
      <c r="AP2" s="233" t="s">
        <v>611</v>
      </c>
      <c r="AQ2" s="135"/>
      <c r="AR2" s="135"/>
      <c r="AS2" s="257"/>
      <c r="AT2" s="68"/>
      <c r="AU2" s="115" t="s">
        <v>724</v>
      </c>
      <c r="AV2" s="243"/>
      <c r="AW2" s="233" t="s">
        <v>611</v>
      </c>
      <c r="AX2" s="135"/>
      <c r="AY2" s="135"/>
      <c r="AZ2" s="257"/>
      <c r="BA2" s="68"/>
      <c r="BB2" s="115" t="s">
        <v>724</v>
      </c>
      <c r="BC2" s="243"/>
      <c r="BD2" s="233" t="s">
        <v>611</v>
      </c>
      <c r="BE2" s="135"/>
      <c r="BF2" s="135"/>
      <c r="BG2" s="257"/>
      <c r="BH2" s="68"/>
      <c r="BI2" s="115" t="s">
        <v>724</v>
      </c>
      <c r="BJ2" s="243"/>
      <c r="BK2" s="233" t="s">
        <v>611</v>
      </c>
      <c r="BL2" s="135"/>
      <c r="BM2" s="135"/>
      <c r="BN2" s="257"/>
      <c r="BO2" s="68"/>
      <c r="BP2" s="115" t="s">
        <v>724</v>
      </c>
      <c r="BQ2" s="243"/>
      <c r="BR2" s="233" t="s">
        <v>611</v>
      </c>
      <c r="BS2" s="135"/>
      <c r="BT2" s="135"/>
      <c r="BU2" s="257"/>
      <c r="BV2" s="68"/>
    </row>
    <row r="3" spans="1:74" ht="117" customHeight="1" thickBot="1" x14ac:dyDescent="0.25">
      <c r="A3" s="367"/>
      <c r="B3" s="368"/>
      <c r="C3" s="261" t="s">
        <v>866</v>
      </c>
      <c r="D3" s="265" t="s">
        <v>1226</v>
      </c>
      <c r="E3" s="271" t="s">
        <v>867</v>
      </c>
      <c r="F3" s="483" t="s">
        <v>596</v>
      </c>
      <c r="G3" s="453" t="s">
        <v>597</v>
      </c>
      <c r="H3" s="453" t="s">
        <v>600</v>
      </c>
      <c r="I3" s="70" t="s">
        <v>598</v>
      </c>
      <c r="J3" s="70" t="s">
        <v>599</v>
      </c>
      <c r="K3" s="261" t="s">
        <v>866</v>
      </c>
      <c r="L3" s="265" t="s">
        <v>1226</v>
      </c>
      <c r="M3" s="271" t="s">
        <v>867</v>
      </c>
      <c r="N3" s="483" t="s">
        <v>596</v>
      </c>
      <c r="O3" s="453" t="s">
        <v>597</v>
      </c>
      <c r="P3" s="453" t="s">
        <v>600</v>
      </c>
      <c r="Q3" s="70" t="s">
        <v>598</v>
      </c>
      <c r="R3" s="70" t="s">
        <v>599</v>
      </c>
      <c r="S3" s="261" t="s">
        <v>866</v>
      </c>
      <c r="T3" s="271" t="s">
        <v>867</v>
      </c>
      <c r="U3" s="483" t="s">
        <v>596</v>
      </c>
      <c r="V3" s="453" t="s">
        <v>597</v>
      </c>
      <c r="W3" s="453" t="s">
        <v>600</v>
      </c>
      <c r="X3" s="70" t="s">
        <v>598</v>
      </c>
      <c r="Y3" s="70" t="s">
        <v>599</v>
      </c>
      <c r="Z3" s="261" t="s">
        <v>866</v>
      </c>
      <c r="AA3" s="271" t="s">
        <v>867</v>
      </c>
      <c r="AB3" s="483" t="s">
        <v>596</v>
      </c>
      <c r="AC3" s="453" t="s">
        <v>597</v>
      </c>
      <c r="AD3" s="453" t="s">
        <v>600</v>
      </c>
      <c r="AE3" s="70" t="s">
        <v>598</v>
      </c>
      <c r="AF3" s="70" t="s">
        <v>599</v>
      </c>
      <c r="AG3" s="261" t="s">
        <v>866</v>
      </c>
      <c r="AH3" s="271" t="s">
        <v>867</v>
      </c>
      <c r="AI3" s="483" t="s">
        <v>596</v>
      </c>
      <c r="AJ3" s="453" t="s">
        <v>597</v>
      </c>
      <c r="AK3" s="453" t="s">
        <v>600</v>
      </c>
      <c r="AL3" s="70" t="s">
        <v>598</v>
      </c>
      <c r="AM3" s="70" t="s">
        <v>599</v>
      </c>
      <c r="AN3" s="261" t="s">
        <v>866</v>
      </c>
      <c r="AO3" s="271" t="s">
        <v>867</v>
      </c>
      <c r="AP3" s="483" t="s">
        <v>596</v>
      </c>
      <c r="AQ3" s="453" t="s">
        <v>597</v>
      </c>
      <c r="AR3" s="453" t="s">
        <v>600</v>
      </c>
      <c r="AS3" s="70" t="s">
        <v>598</v>
      </c>
      <c r="AT3" s="70" t="s">
        <v>599</v>
      </c>
      <c r="AU3" s="261" t="s">
        <v>866</v>
      </c>
      <c r="AV3" s="271" t="s">
        <v>867</v>
      </c>
      <c r="AW3" s="483" t="s">
        <v>596</v>
      </c>
      <c r="AX3" s="453" t="s">
        <v>597</v>
      </c>
      <c r="AY3" s="453" t="s">
        <v>600</v>
      </c>
      <c r="AZ3" s="70" t="s">
        <v>598</v>
      </c>
      <c r="BA3" s="70" t="s">
        <v>599</v>
      </c>
      <c r="BB3" s="261" t="s">
        <v>866</v>
      </c>
      <c r="BC3" s="271" t="s">
        <v>867</v>
      </c>
      <c r="BD3" s="483" t="s">
        <v>596</v>
      </c>
      <c r="BE3" s="453" t="s">
        <v>597</v>
      </c>
      <c r="BF3" s="453" t="s">
        <v>600</v>
      </c>
      <c r="BG3" s="70" t="s">
        <v>598</v>
      </c>
      <c r="BH3" s="70" t="s">
        <v>599</v>
      </c>
      <c r="BI3" s="261" t="s">
        <v>866</v>
      </c>
      <c r="BJ3" s="271" t="s">
        <v>867</v>
      </c>
      <c r="BK3" s="483" t="s">
        <v>596</v>
      </c>
      <c r="BL3" s="453" t="s">
        <v>597</v>
      </c>
      <c r="BM3" s="453" t="s">
        <v>600</v>
      </c>
      <c r="BN3" s="70" t="s">
        <v>598</v>
      </c>
      <c r="BO3" s="70" t="s">
        <v>599</v>
      </c>
      <c r="BP3" s="261" t="s">
        <v>866</v>
      </c>
      <c r="BQ3" s="271" t="s">
        <v>867</v>
      </c>
      <c r="BR3" s="483" t="s">
        <v>596</v>
      </c>
      <c r="BS3" s="453" t="s">
        <v>597</v>
      </c>
      <c r="BT3" s="453" t="s">
        <v>600</v>
      </c>
      <c r="BU3" s="70" t="s">
        <v>598</v>
      </c>
      <c r="BV3" s="70" t="s">
        <v>599</v>
      </c>
    </row>
    <row r="4" spans="1:74" x14ac:dyDescent="0.2">
      <c r="A4" s="65"/>
      <c r="B4" s="65" t="s">
        <v>4</v>
      </c>
      <c r="C4" s="229">
        <f>SUBTOTAL(109,C$15:INDEX(C:C,COUNTA($B:$B)+14-COUNTA($B$1:$B$14)))</f>
        <v>0</v>
      </c>
      <c r="D4" s="272">
        <f>SUBTOTAL(109,D$15:INDEX(D:D,COUNTA($B:$B)+14-COUNTA($B$1:$B$14)))</f>
        <v>0</v>
      </c>
      <c r="E4" s="244">
        <f>SUBTOTAL(109,E$15:INDEX(E:E,COUNTA($B:$B)+14-COUNTA($B$1:$B$14)))</f>
        <v>0</v>
      </c>
      <c r="F4" s="234">
        <f>SUBTOTAL(109,F$15:INDEX(F:F,COUNTA($B:$B)+14-COUNTA($B$1:$B$14)))</f>
        <v>0</v>
      </c>
      <c r="G4" s="179">
        <f>SUBTOTAL(109,G$15:INDEX(G:G,COUNTA($B:$B)+14-COUNTA($B$1:$B$14)))</f>
        <v>0</v>
      </c>
      <c r="H4" s="179">
        <f>SUBTOTAL(109,H$15:INDEX(H:H,COUNTA($B:$B)+14-COUNTA($B$1:$B$14)))</f>
        <v>0</v>
      </c>
      <c r="I4" s="71">
        <f>SUBTOTAL(109,I$15:INDEX(I:I,COUNTA($B:$B)+14-COUNTA($B$1:$B$14)))</f>
        <v>0</v>
      </c>
      <c r="J4" s="71">
        <f>SUBTOTAL(109,J$15:INDEX(J:J,COUNTA($B:$B)+14-COUNTA($B$1:$B$14)))</f>
        <v>0</v>
      </c>
      <c r="K4" s="229">
        <f>SUBTOTAL(109,K$15:INDEX(K:K,COUNTA($B:$B)+14-COUNTA($B$1:$B$14)))</f>
        <v>0</v>
      </c>
      <c r="L4" s="272">
        <f>SUBTOTAL(109,L$15:INDEX(L:L,COUNTA($B:$B)+14-COUNTA($B$1:$B$14)))</f>
        <v>0</v>
      </c>
      <c r="M4" s="244">
        <f>SUBTOTAL(109,M$15:INDEX(M:M,COUNTA($B:$B)+14-COUNTA($B$1:$B$14)))</f>
        <v>0</v>
      </c>
      <c r="N4" s="234">
        <f>SUBTOTAL(109,N$15:INDEX(N:N,COUNTA($B:$B)+14-COUNTA($B$1:$B$14)))</f>
        <v>0</v>
      </c>
      <c r="O4" s="179">
        <f>SUBTOTAL(109,O$15:INDEX(O:O,COUNTA($B:$B)+14-COUNTA($B$1:$B$14)))</f>
        <v>0</v>
      </c>
      <c r="P4" s="179">
        <f>SUBTOTAL(109,P$15:INDEX(P:P,COUNTA($B:$B)+14-COUNTA($B$1:$B$14)))</f>
        <v>0</v>
      </c>
      <c r="Q4" s="71">
        <f>SUBTOTAL(109,Q$15:INDEX(Q:Q,COUNTA($B:$B)+14-COUNTA($B$1:$B$14)))</f>
        <v>0</v>
      </c>
      <c r="R4" s="71">
        <f>SUBTOTAL(109,R$15:INDEX(R:R,COUNTA($B:$B)+14-COUNTA($B$1:$B$14)))</f>
        <v>0</v>
      </c>
      <c r="S4" s="229">
        <f>SUBTOTAL(109,S$15:INDEX(S:S,COUNTA($B:$B)+14-COUNTA($B$1:$B$14)))</f>
        <v>0</v>
      </c>
      <c r="T4" s="244">
        <f>SUBTOTAL(109,T$15:INDEX(T:T,COUNTA($B:$B)+14-COUNTA($B$1:$B$14)))</f>
        <v>0</v>
      </c>
      <c r="U4" s="234">
        <f>SUBTOTAL(109,U$15:INDEX(U:U,COUNTA($B:$B)+14-COUNTA($B$1:$B$14)))</f>
        <v>0</v>
      </c>
      <c r="V4" s="179">
        <f>SUBTOTAL(109,V$15:INDEX(V:V,COUNTA($B:$B)+14-COUNTA($B$1:$B$14)))</f>
        <v>0</v>
      </c>
      <c r="W4" s="179">
        <f>SUBTOTAL(109,W$15:INDEX(W:W,COUNTA($B:$B)+14-COUNTA($B$1:$B$14)))</f>
        <v>0</v>
      </c>
      <c r="X4" s="71">
        <f>SUBTOTAL(109,X$15:INDEX(X:X,COUNTA($B:$B)+14-COUNTA($B$1:$B$14)))</f>
        <v>0</v>
      </c>
      <c r="Y4" s="71">
        <f>SUBTOTAL(109,Y$15:INDEX(Y:Y,COUNTA($B:$B)+14-COUNTA($B$1:$B$14)))</f>
        <v>0</v>
      </c>
      <c r="Z4" s="229">
        <f>SUBTOTAL(109,Z$15:INDEX(Z:Z,COUNTA($B:$B)+14-COUNTA($B$1:$B$14)))</f>
        <v>0</v>
      </c>
      <c r="AA4" s="244">
        <f>SUBTOTAL(109,AA$15:INDEX(AA:AA,COUNTA($B:$B)+14-COUNTA($B$1:$B$14)))</f>
        <v>0</v>
      </c>
      <c r="AB4" s="234">
        <f>SUBTOTAL(109,AB$15:INDEX(AB:AB,COUNTA($B:$B)+14-COUNTA($B$1:$B$14)))</f>
        <v>0</v>
      </c>
      <c r="AC4" s="179">
        <f>SUBTOTAL(109,AC$15:INDEX(AC:AC,COUNTA($B:$B)+14-COUNTA($B$1:$B$14)))</f>
        <v>0</v>
      </c>
      <c r="AD4" s="179">
        <f>SUBTOTAL(109,AD$15:INDEX(AD:AD,COUNTA($B:$B)+14-COUNTA($B$1:$B$14)))</f>
        <v>0</v>
      </c>
      <c r="AE4" s="71">
        <f>SUBTOTAL(109,AE$15:INDEX(AE:AE,COUNTA($B:$B)+14-COUNTA($B$1:$B$14)))</f>
        <v>0</v>
      </c>
      <c r="AF4" s="71">
        <f>SUBTOTAL(109,AF$15:INDEX(AF:AF,COUNTA($B:$B)+14-COUNTA($B$1:$B$14)))</f>
        <v>0</v>
      </c>
      <c r="AG4" s="229">
        <f>SUBTOTAL(109,AG$15:INDEX(AG:AG,COUNTA($B:$B)+14-COUNTA($B$1:$B$14)))</f>
        <v>0</v>
      </c>
      <c r="AH4" s="244">
        <f>SUBTOTAL(109,AH$15:INDEX(AH:AH,COUNTA($B:$B)+14-COUNTA($B$1:$B$14)))</f>
        <v>0</v>
      </c>
      <c r="AI4" s="234">
        <f>SUBTOTAL(109,AI$15:INDEX(AI:AI,COUNTA($B:$B)+14-COUNTA($B$1:$B$14)))</f>
        <v>0</v>
      </c>
      <c r="AJ4" s="179">
        <f>SUBTOTAL(109,AJ$15:INDEX(AJ:AJ,COUNTA($B:$B)+14-COUNTA($B$1:$B$14)))</f>
        <v>0</v>
      </c>
      <c r="AK4" s="179">
        <f>SUBTOTAL(109,AK$15:INDEX(AK:AK,COUNTA($B:$B)+14-COUNTA($B$1:$B$14)))</f>
        <v>0</v>
      </c>
      <c r="AL4" s="71">
        <f>SUBTOTAL(109,AL$15:INDEX(AL:AL,COUNTA($B:$B)+14-COUNTA($B$1:$B$14)))</f>
        <v>0</v>
      </c>
      <c r="AM4" s="71">
        <f>SUBTOTAL(109,AM$15:INDEX(AM:AM,COUNTA($B:$B)+14-COUNTA($B$1:$B$14)))</f>
        <v>0</v>
      </c>
      <c r="AN4" s="229">
        <f>SUBTOTAL(109,AN$15:INDEX(AN:AN,COUNTA($B:$B)+14-COUNTA($B$1:$B$14)))</f>
        <v>0</v>
      </c>
      <c r="AO4" s="244">
        <f>SUBTOTAL(109,AO$15:INDEX(AO:AO,COUNTA($B:$B)+14-COUNTA($B$1:$B$14)))</f>
        <v>0</v>
      </c>
      <c r="AP4" s="234">
        <f>SUBTOTAL(109,AP$15:INDEX(AP:AP,COUNTA($B:$B)+14-COUNTA($B$1:$B$14)))</f>
        <v>0</v>
      </c>
      <c r="AQ4" s="179">
        <f>SUBTOTAL(109,AQ$15:INDEX(AQ:AQ,COUNTA($B:$B)+14-COUNTA($B$1:$B$14)))</f>
        <v>0</v>
      </c>
      <c r="AR4" s="179">
        <f>SUBTOTAL(109,AR$15:INDEX(AR:AR,COUNTA($B:$B)+14-COUNTA($B$1:$B$14)))</f>
        <v>0</v>
      </c>
      <c r="AS4" s="71">
        <f>SUBTOTAL(109,AS$15:INDEX(AS:AS,COUNTA($B:$B)+14-COUNTA($B$1:$B$14)))</f>
        <v>0</v>
      </c>
      <c r="AT4" s="71">
        <f>SUBTOTAL(109,AT$15:INDEX(AT:AT,COUNTA($B:$B)+14-COUNTA($B$1:$B$14)))</f>
        <v>0</v>
      </c>
      <c r="AU4" s="229">
        <f>SUBTOTAL(109,AU$15:INDEX(AU:AU,COUNTA($B:$B)+14-COUNTA($B$1:$B$14)))</f>
        <v>0</v>
      </c>
      <c r="AV4" s="244">
        <f>SUBTOTAL(109,AV$15:INDEX(AV:AV,COUNTA($B:$B)+14-COUNTA($B$1:$B$14)))</f>
        <v>0</v>
      </c>
      <c r="AW4" s="234">
        <f>SUBTOTAL(109,AW$15:INDEX(AW:AW,COUNTA($B:$B)+14-COUNTA($B$1:$B$14)))</f>
        <v>0</v>
      </c>
      <c r="AX4" s="179">
        <f>SUBTOTAL(109,AX$15:INDEX(AX:AX,COUNTA($B:$B)+14-COUNTA($B$1:$B$14)))</f>
        <v>0</v>
      </c>
      <c r="AY4" s="179">
        <f>SUBTOTAL(109,AY$15:INDEX(AY:AY,COUNTA($B:$B)+14-COUNTA($B$1:$B$14)))</f>
        <v>0</v>
      </c>
      <c r="AZ4" s="71">
        <f>SUBTOTAL(109,AZ$15:INDEX(AZ:AZ,COUNTA($B:$B)+14-COUNTA($B$1:$B$14)))</f>
        <v>0</v>
      </c>
      <c r="BA4" s="71">
        <f>SUBTOTAL(109,BA$15:INDEX(BA:BA,COUNTA($B:$B)+14-COUNTA($B$1:$B$14)))</f>
        <v>0</v>
      </c>
      <c r="BB4" s="229">
        <f>SUBTOTAL(109,BB$15:INDEX(BB:BB,COUNTA($B:$B)+14-COUNTA($B$1:$B$14)))</f>
        <v>0</v>
      </c>
      <c r="BC4" s="244">
        <f>SUBTOTAL(109,BC$15:INDEX(BC:BC,COUNTA($B:$B)+14-COUNTA($B$1:$B$14)))</f>
        <v>0</v>
      </c>
      <c r="BD4" s="234">
        <f>SUBTOTAL(109,BD$15:INDEX(BD:BD,COUNTA($B:$B)+14-COUNTA($B$1:$B$14)))</f>
        <v>0</v>
      </c>
      <c r="BE4" s="179">
        <f>SUBTOTAL(109,BE$15:INDEX(BE:BE,COUNTA($B:$B)+14-COUNTA($B$1:$B$14)))</f>
        <v>0</v>
      </c>
      <c r="BF4" s="179">
        <f>SUBTOTAL(109,BF$15:INDEX(BF:BF,COUNTA($B:$B)+14-COUNTA($B$1:$B$14)))</f>
        <v>0</v>
      </c>
      <c r="BG4" s="71">
        <f>SUBTOTAL(109,BG$15:INDEX(BG:BG,COUNTA($B:$B)+14-COUNTA($B$1:$B$14)))</f>
        <v>0</v>
      </c>
      <c r="BH4" s="71">
        <f>SUBTOTAL(109,BH$15:INDEX(BH:BH,COUNTA($B:$B)+14-COUNTA($B$1:$B$14)))</f>
        <v>0</v>
      </c>
      <c r="BI4" s="229">
        <f>SUBTOTAL(109,BI$15:INDEX(BI:BI,COUNTA($B:$B)+14-COUNTA($B$1:$B$14)))</f>
        <v>0</v>
      </c>
      <c r="BJ4" s="244">
        <f>SUBTOTAL(109,BJ$15:INDEX(BJ:BJ,COUNTA($B:$B)+14-COUNTA($B$1:$B$14)))</f>
        <v>0</v>
      </c>
      <c r="BK4" s="234">
        <f>SUBTOTAL(109,BK$15:INDEX(BK:BK,COUNTA($B:$B)+14-COUNTA($B$1:$B$14)))</f>
        <v>0</v>
      </c>
      <c r="BL4" s="179">
        <f>SUBTOTAL(109,BL$15:INDEX(BL:BL,COUNTA($B:$B)+14-COUNTA($B$1:$B$14)))</f>
        <v>0</v>
      </c>
      <c r="BM4" s="179">
        <f>SUBTOTAL(109,BM$15:INDEX(BM:BM,COUNTA($B:$B)+14-COUNTA($B$1:$B$14)))</f>
        <v>0</v>
      </c>
      <c r="BN4" s="71">
        <f>SUBTOTAL(109,BN$15:INDEX(BN:BN,COUNTA($B:$B)+14-COUNTA($B$1:$B$14)))</f>
        <v>0</v>
      </c>
      <c r="BO4" s="71">
        <f>SUBTOTAL(109,BO$15:INDEX(BO:BO,COUNTA($B:$B)+14-COUNTA($B$1:$B$14)))</f>
        <v>0</v>
      </c>
      <c r="BP4" s="229">
        <f>SUBTOTAL(109,BP$15:INDEX(BP:BP,COUNTA($B:$B)+14-COUNTA($B$1:$B$14)))</f>
        <v>0</v>
      </c>
      <c r="BQ4" s="244">
        <f>SUBTOTAL(109,BQ$15:INDEX(BQ:BQ,COUNTA($B:$B)+14-COUNTA($B$1:$B$14)))</f>
        <v>0</v>
      </c>
      <c r="BR4" s="234">
        <f>SUBTOTAL(109,BR$15:INDEX(BR:BR,COUNTA($B:$B)+14-COUNTA($B$1:$B$14)))</f>
        <v>0</v>
      </c>
      <c r="BS4" s="179">
        <f>SUBTOTAL(109,BS$15:INDEX(BS:BS,COUNTA($B:$B)+14-COUNTA($B$1:$B$14)))</f>
        <v>0</v>
      </c>
      <c r="BT4" s="179">
        <f>SUBTOTAL(109,BT$15:INDEX(BT:BT,COUNTA($B:$B)+14-COUNTA($B$1:$B$14)))</f>
        <v>0</v>
      </c>
      <c r="BU4" s="71">
        <f>SUBTOTAL(109,BU$15:INDEX(BU:BU,COUNTA($B:$B)+14-COUNTA($B$1:$B$14)))</f>
        <v>0</v>
      </c>
      <c r="BV4" s="71">
        <f>SUBTOTAL(109,BV$15:INDEX(BV:BV,COUNTA($B:$B)+14-COUNTA($B$1:$B$14)))</f>
        <v>0</v>
      </c>
    </row>
    <row r="5" spans="1:74" x14ac:dyDescent="0.2">
      <c r="A5" s="66" t="s">
        <v>99</v>
      </c>
      <c r="B5" s="66" t="s">
        <v>99</v>
      </c>
      <c r="C5" s="230" t="s">
        <v>99</v>
      </c>
      <c r="D5" s="273" t="s">
        <v>99</v>
      </c>
      <c r="E5" s="245" t="s">
        <v>99</v>
      </c>
      <c r="F5" s="235" t="s">
        <v>99</v>
      </c>
      <c r="G5" s="108" t="s">
        <v>99</v>
      </c>
      <c r="H5" s="108" t="s">
        <v>99</v>
      </c>
      <c r="I5" s="72" t="s">
        <v>99</v>
      </c>
      <c r="J5" s="72" t="s">
        <v>99</v>
      </c>
      <c r="K5" s="230" t="s">
        <v>99</v>
      </c>
      <c r="L5" s="273" t="s">
        <v>99</v>
      </c>
      <c r="M5" s="245" t="s">
        <v>99</v>
      </c>
      <c r="N5" s="235" t="s">
        <v>99</v>
      </c>
      <c r="O5" s="108" t="s">
        <v>99</v>
      </c>
      <c r="P5" s="108" t="s">
        <v>99</v>
      </c>
      <c r="Q5" s="72" t="s">
        <v>99</v>
      </c>
      <c r="R5" s="72" t="s">
        <v>99</v>
      </c>
      <c r="S5" s="230" t="s">
        <v>99</v>
      </c>
      <c r="T5" s="245" t="s">
        <v>99</v>
      </c>
      <c r="U5" s="235" t="s">
        <v>99</v>
      </c>
      <c r="V5" s="108" t="s">
        <v>99</v>
      </c>
      <c r="W5" s="108" t="s">
        <v>99</v>
      </c>
      <c r="X5" s="72" t="s">
        <v>99</v>
      </c>
      <c r="Y5" s="72" t="s">
        <v>99</v>
      </c>
      <c r="Z5" s="230" t="s">
        <v>99</v>
      </c>
      <c r="AA5" s="245" t="s">
        <v>99</v>
      </c>
      <c r="AB5" s="235" t="s">
        <v>99</v>
      </c>
      <c r="AC5" s="108" t="s">
        <v>99</v>
      </c>
      <c r="AD5" s="108" t="s">
        <v>99</v>
      </c>
      <c r="AE5" s="72" t="s">
        <v>99</v>
      </c>
      <c r="AF5" s="72" t="s">
        <v>99</v>
      </c>
      <c r="AG5" s="230" t="s">
        <v>99</v>
      </c>
      <c r="AH5" s="245" t="s">
        <v>99</v>
      </c>
      <c r="AI5" s="235" t="s">
        <v>99</v>
      </c>
      <c r="AJ5" s="108" t="s">
        <v>99</v>
      </c>
      <c r="AK5" s="108" t="s">
        <v>99</v>
      </c>
      <c r="AL5" s="72" t="s">
        <v>99</v>
      </c>
      <c r="AM5" s="72" t="s">
        <v>99</v>
      </c>
      <c r="AN5" s="230" t="s">
        <v>99</v>
      </c>
      <c r="AO5" s="245" t="s">
        <v>99</v>
      </c>
      <c r="AP5" s="235" t="s">
        <v>99</v>
      </c>
      <c r="AQ5" s="108" t="s">
        <v>99</v>
      </c>
      <c r="AR5" s="108" t="s">
        <v>99</v>
      </c>
      <c r="AS5" s="72" t="s">
        <v>99</v>
      </c>
      <c r="AT5" s="72" t="s">
        <v>99</v>
      </c>
      <c r="AU5" s="230" t="s">
        <v>99</v>
      </c>
      <c r="AV5" s="245" t="s">
        <v>99</v>
      </c>
      <c r="AW5" s="235" t="s">
        <v>99</v>
      </c>
      <c r="AX5" s="108" t="s">
        <v>99</v>
      </c>
      <c r="AY5" s="108" t="s">
        <v>99</v>
      </c>
      <c r="AZ5" s="72" t="s">
        <v>99</v>
      </c>
      <c r="BA5" s="72" t="s">
        <v>99</v>
      </c>
      <c r="BB5" s="230" t="s">
        <v>99</v>
      </c>
      <c r="BC5" s="245" t="s">
        <v>99</v>
      </c>
      <c r="BD5" s="235" t="s">
        <v>99</v>
      </c>
      <c r="BE5" s="108" t="s">
        <v>99</v>
      </c>
      <c r="BF5" s="108" t="s">
        <v>99</v>
      </c>
      <c r="BG5" s="72" t="s">
        <v>99</v>
      </c>
      <c r="BH5" s="72" t="s">
        <v>99</v>
      </c>
      <c r="BI5" s="230" t="s">
        <v>99</v>
      </c>
      <c r="BJ5" s="245" t="s">
        <v>99</v>
      </c>
      <c r="BK5" s="235" t="s">
        <v>99</v>
      </c>
      <c r="BL5" s="108" t="s">
        <v>99</v>
      </c>
      <c r="BM5" s="108" t="s">
        <v>99</v>
      </c>
      <c r="BN5" s="72" t="s">
        <v>99</v>
      </c>
      <c r="BO5" s="72" t="s">
        <v>99</v>
      </c>
      <c r="BP5" s="230" t="s">
        <v>99</v>
      </c>
      <c r="BQ5" s="245" t="s">
        <v>99</v>
      </c>
      <c r="BR5" s="235" t="s">
        <v>99</v>
      </c>
      <c r="BS5" s="108" t="s">
        <v>99</v>
      </c>
      <c r="BT5" s="108" t="s">
        <v>99</v>
      </c>
      <c r="BU5" s="72" t="s">
        <v>99</v>
      </c>
      <c r="BV5" s="72" t="s">
        <v>99</v>
      </c>
    </row>
    <row r="6" spans="1:74" x14ac:dyDescent="0.2">
      <c r="A6" s="66" t="s">
        <v>201</v>
      </c>
      <c r="B6" s="66" t="s">
        <v>201</v>
      </c>
      <c r="C6" s="230" t="s">
        <v>94</v>
      </c>
      <c r="D6" s="273" t="s">
        <v>94</v>
      </c>
      <c r="E6" s="245" t="s">
        <v>94</v>
      </c>
      <c r="F6" s="235" t="s">
        <v>94</v>
      </c>
      <c r="G6" s="108" t="s">
        <v>94</v>
      </c>
      <c r="H6" s="108" t="s">
        <v>94</v>
      </c>
      <c r="I6" s="72" t="s">
        <v>94</v>
      </c>
      <c r="J6" s="72" t="s">
        <v>94</v>
      </c>
      <c r="K6" s="230" t="s">
        <v>94</v>
      </c>
      <c r="L6" s="273" t="s">
        <v>94</v>
      </c>
      <c r="M6" s="245" t="s">
        <v>94</v>
      </c>
      <c r="N6" s="235" t="s">
        <v>94</v>
      </c>
      <c r="O6" s="108" t="s">
        <v>94</v>
      </c>
      <c r="P6" s="108" t="s">
        <v>94</v>
      </c>
      <c r="Q6" s="72" t="s">
        <v>94</v>
      </c>
      <c r="R6" s="72" t="s">
        <v>94</v>
      </c>
      <c r="S6" s="230" t="s">
        <v>94</v>
      </c>
      <c r="T6" s="245" t="s">
        <v>94</v>
      </c>
      <c r="U6" s="235" t="s">
        <v>94</v>
      </c>
      <c r="V6" s="108" t="s">
        <v>94</v>
      </c>
      <c r="W6" s="108" t="s">
        <v>94</v>
      </c>
      <c r="X6" s="72" t="s">
        <v>94</v>
      </c>
      <c r="Y6" s="72" t="s">
        <v>94</v>
      </c>
      <c r="Z6" s="230" t="s">
        <v>94</v>
      </c>
      <c r="AA6" s="245" t="s">
        <v>94</v>
      </c>
      <c r="AB6" s="235" t="s">
        <v>94</v>
      </c>
      <c r="AC6" s="108" t="s">
        <v>94</v>
      </c>
      <c r="AD6" s="108" t="s">
        <v>94</v>
      </c>
      <c r="AE6" s="72" t="s">
        <v>94</v>
      </c>
      <c r="AF6" s="72" t="s">
        <v>94</v>
      </c>
      <c r="AG6" s="230" t="s">
        <v>94</v>
      </c>
      <c r="AH6" s="245" t="s">
        <v>94</v>
      </c>
      <c r="AI6" s="235" t="s">
        <v>94</v>
      </c>
      <c r="AJ6" s="108" t="s">
        <v>94</v>
      </c>
      <c r="AK6" s="108" t="s">
        <v>94</v>
      </c>
      <c r="AL6" s="72" t="s">
        <v>94</v>
      </c>
      <c r="AM6" s="72" t="s">
        <v>94</v>
      </c>
      <c r="AN6" s="230" t="s">
        <v>94</v>
      </c>
      <c r="AO6" s="245" t="s">
        <v>94</v>
      </c>
      <c r="AP6" s="235" t="s">
        <v>94</v>
      </c>
      <c r="AQ6" s="108" t="s">
        <v>94</v>
      </c>
      <c r="AR6" s="108" t="s">
        <v>94</v>
      </c>
      <c r="AS6" s="72" t="s">
        <v>94</v>
      </c>
      <c r="AT6" s="72" t="s">
        <v>94</v>
      </c>
      <c r="AU6" s="230" t="s">
        <v>94</v>
      </c>
      <c r="AV6" s="245" t="s">
        <v>94</v>
      </c>
      <c r="AW6" s="235" t="s">
        <v>94</v>
      </c>
      <c r="AX6" s="108" t="s">
        <v>94</v>
      </c>
      <c r="AY6" s="108" t="s">
        <v>94</v>
      </c>
      <c r="AZ6" s="72" t="s">
        <v>94</v>
      </c>
      <c r="BA6" s="72" t="s">
        <v>94</v>
      </c>
      <c r="BB6" s="230" t="s">
        <v>94</v>
      </c>
      <c r="BC6" s="245" t="s">
        <v>94</v>
      </c>
      <c r="BD6" s="235" t="s">
        <v>94</v>
      </c>
      <c r="BE6" s="108" t="s">
        <v>94</v>
      </c>
      <c r="BF6" s="108" t="s">
        <v>94</v>
      </c>
      <c r="BG6" s="72" t="s">
        <v>94</v>
      </c>
      <c r="BH6" s="72" t="s">
        <v>94</v>
      </c>
      <c r="BI6" s="230" t="s">
        <v>94</v>
      </c>
      <c r="BJ6" s="245" t="s">
        <v>94</v>
      </c>
      <c r="BK6" s="235" t="s">
        <v>94</v>
      </c>
      <c r="BL6" s="108" t="s">
        <v>94</v>
      </c>
      <c r="BM6" s="108" t="s">
        <v>94</v>
      </c>
      <c r="BN6" s="72" t="s">
        <v>94</v>
      </c>
      <c r="BO6" s="72" t="s">
        <v>94</v>
      </c>
      <c r="BP6" s="230" t="s">
        <v>94</v>
      </c>
      <c r="BQ6" s="245" t="s">
        <v>94</v>
      </c>
      <c r="BR6" s="235" t="s">
        <v>94</v>
      </c>
      <c r="BS6" s="108" t="s">
        <v>94</v>
      </c>
      <c r="BT6" s="108" t="s">
        <v>94</v>
      </c>
      <c r="BU6" s="72" t="s">
        <v>94</v>
      </c>
      <c r="BV6" s="72" t="s">
        <v>94</v>
      </c>
    </row>
    <row r="7" spans="1:74" x14ac:dyDescent="0.2">
      <c r="A7" s="66" t="s">
        <v>109</v>
      </c>
      <c r="B7" s="66" t="s">
        <v>109</v>
      </c>
      <c r="C7" s="231" t="s">
        <v>95</v>
      </c>
      <c r="D7" s="274" t="s">
        <v>95</v>
      </c>
      <c r="E7" s="246" t="s">
        <v>95</v>
      </c>
      <c r="F7" s="235" t="s">
        <v>95</v>
      </c>
      <c r="G7" s="108" t="s">
        <v>95</v>
      </c>
      <c r="H7" s="108" t="s">
        <v>95</v>
      </c>
      <c r="I7" s="72" t="s">
        <v>95</v>
      </c>
      <c r="J7" s="72" t="s">
        <v>95</v>
      </c>
      <c r="K7" s="231" t="s">
        <v>95</v>
      </c>
      <c r="L7" s="274" t="s">
        <v>95</v>
      </c>
      <c r="M7" s="246" t="s">
        <v>95</v>
      </c>
      <c r="N7" s="235" t="s">
        <v>95</v>
      </c>
      <c r="O7" s="108" t="s">
        <v>95</v>
      </c>
      <c r="P7" s="108" t="s">
        <v>95</v>
      </c>
      <c r="Q7" s="72" t="s">
        <v>95</v>
      </c>
      <c r="R7" s="72" t="s">
        <v>95</v>
      </c>
      <c r="S7" s="231" t="s">
        <v>95</v>
      </c>
      <c r="T7" s="246" t="s">
        <v>95</v>
      </c>
      <c r="U7" s="235" t="s">
        <v>95</v>
      </c>
      <c r="V7" s="108" t="s">
        <v>95</v>
      </c>
      <c r="W7" s="108" t="s">
        <v>95</v>
      </c>
      <c r="X7" s="72" t="s">
        <v>95</v>
      </c>
      <c r="Y7" s="72" t="s">
        <v>95</v>
      </c>
      <c r="Z7" s="231" t="s">
        <v>95</v>
      </c>
      <c r="AA7" s="246" t="s">
        <v>95</v>
      </c>
      <c r="AB7" s="235" t="s">
        <v>95</v>
      </c>
      <c r="AC7" s="108" t="s">
        <v>95</v>
      </c>
      <c r="AD7" s="108" t="s">
        <v>95</v>
      </c>
      <c r="AE7" s="72" t="s">
        <v>95</v>
      </c>
      <c r="AF7" s="72" t="s">
        <v>95</v>
      </c>
      <c r="AG7" s="231" t="s">
        <v>95</v>
      </c>
      <c r="AH7" s="246" t="s">
        <v>95</v>
      </c>
      <c r="AI7" s="235" t="s">
        <v>95</v>
      </c>
      <c r="AJ7" s="108" t="s">
        <v>95</v>
      </c>
      <c r="AK7" s="108" t="s">
        <v>95</v>
      </c>
      <c r="AL7" s="72" t="s">
        <v>95</v>
      </c>
      <c r="AM7" s="72" t="s">
        <v>95</v>
      </c>
      <c r="AN7" s="231" t="s">
        <v>95</v>
      </c>
      <c r="AO7" s="246" t="s">
        <v>95</v>
      </c>
      <c r="AP7" s="235" t="s">
        <v>95</v>
      </c>
      <c r="AQ7" s="108" t="s">
        <v>95</v>
      </c>
      <c r="AR7" s="108" t="s">
        <v>95</v>
      </c>
      <c r="AS7" s="72" t="s">
        <v>95</v>
      </c>
      <c r="AT7" s="72" t="s">
        <v>95</v>
      </c>
      <c r="AU7" s="231" t="s">
        <v>95</v>
      </c>
      <c r="AV7" s="246" t="s">
        <v>95</v>
      </c>
      <c r="AW7" s="235" t="s">
        <v>95</v>
      </c>
      <c r="AX7" s="108" t="s">
        <v>95</v>
      </c>
      <c r="AY7" s="108" t="s">
        <v>95</v>
      </c>
      <c r="AZ7" s="72" t="s">
        <v>95</v>
      </c>
      <c r="BA7" s="72" t="s">
        <v>95</v>
      </c>
      <c r="BB7" s="231" t="s">
        <v>95</v>
      </c>
      <c r="BC7" s="246" t="s">
        <v>95</v>
      </c>
      <c r="BD7" s="235" t="s">
        <v>95</v>
      </c>
      <c r="BE7" s="108" t="s">
        <v>95</v>
      </c>
      <c r="BF7" s="108" t="s">
        <v>95</v>
      </c>
      <c r="BG7" s="72" t="s">
        <v>95</v>
      </c>
      <c r="BH7" s="72" t="s">
        <v>95</v>
      </c>
      <c r="BI7" s="231" t="s">
        <v>95</v>
      </c>
      <c r="BJ7" s="246" t="s">
        <v>95</v>
      </c>
      <c r="BK7" s="235" t="s">
        <v>95</v>
      </c>
      <c r="BL7" s="108" t="s">
        <v>95</v>
      </c>
      <c r="BM7" s="108" t="s">
        <v>95</v>
      </c>
      <c r="BN7" s="72" t="s">
        <v>95</v>
      </c>
      <c r="BO7" s="72" t="s">
        <v>95</v>
      </c>
      <c r="BP7" s="231" t="s">
        <v>95</v>
      </c>
      <c r="BQ7" s="246" t="s">
        <v>95</v>
      </c>
      <c r="BR7" s="235" t="s">
        <v>95</v>
      </c>
      <c r="BS7" s="108" t="s">
        <v>95</v>
      </c>
      <c r="BT7" s="108" t="s">
        <v>95</v>
      </c>
      <c r="BU7" s="72" t="s">
        <v>95</v>
      </c>
      <c r="BV7" s="72" t="s">
        <v>95</v>
      </c>
    </row>
    <row r="8" spans="1:74" x14ac:dyDescent="0.2">
      <c r="C8" s="231"/>
      <c r="D8" s="274"/>
      <c r="E8" s="246"/>
      <c r="K8" s="231"/>
      <c r="L8" s="274"/>
      <c r="M8" s="246"/>
      <c r="S8" s="231"/>
      <c r="T8" s="246"/>
      <c r="Z8" s="231"/>
      <c r="AA8" s="246"/>
      <c r="AG8" s="231"/>
      <c r="AH8" s="246"/>
      <c r="AN8" s="231"/>
      <c r="AO8" s="246"/>
      <c r="AU8" s="231"/>
      <c r="AV8" s="246"/>
      <c r="BB8" s="231"/>
      <c r="BC8" s="246"/>
      <c r="BI8" s="231"/>
      <c r="BJ8" s="246"/>
      <c r="BP8" s="231"/>
      <c r="BQ8" s="246"/>
    </row>
    <row r="9" spans="1:74" x14ac:dyDescent="0.2">
      <c r="C9" s="231"/>
      <c r="D9" s="274"/>
      <c r="E9" s="246"/>
      <c r="K9" s="231"/>
      <c r="L9" s="274"/>
      <c r="M9" s="246"/>
      <c r="S9" s="231"/>
      <c r="T9" s="246"/>
      <c r="Z9" s="231"/>
      <c r="AA9" s="246"/>
      <c r="AG9" s="231"/>
      <c r="AH9" s="246"/>
      <c r="AN9" s="231"/>
      <c r="AO9" s="246"/>
      <c r="AU9" s="231"/>
      <c r="AV9" s="246"/>
      <c r="BB9" s="231"/>
      <c r="BC9" s="246"/>
      <c r="BI9" s="231"/>
      <c r="BJ9" s="246"/>
      <c r="BP9" s="231"/>
      <c r="BQ9" s="246"/>
    </row>
    <row r="10" spans="1:74" x14ac:dyDescent="0.2">
      <c r="C10" s="231"/>
      <c r="D10" s="274"/>
      <c r="E10" s="246"/>
      <c r="K10" s="231"/>
      <c r="L10" s="274"/>
      <c r="M10" s="246"/>
      <c r="S10" s="231"/>
      <c r="T10" s="246"/>
      <c r="Z10" s="231"/>
      <c r="AA10" s="246"/>
      <c r="AG10" s="231"/>
      <c r="AH10" s="246"/>
      <c r="AN10" s="231"/>
      <c r="AO10" s="246"/>
      <c r="AU10" s="231"/>
      <c r="AV10" s="246"/>
      <c r="BB10" s="231"/>
      <c r="BC10" s="246"/>
      <c r="BI10" s="231"/>
      <c r="BJ10" s="246"/>
      <c r="BP10" s="231"/>
      <c r="BQ10" s="246"/>
    </row>
    <row r="11" spans="1:74" x14ac:dyDescent="0.2">
      <c r="C11" s="231"/>
      <c r="D11" s="274"/>
      <c r="E11" s="246"/>
      <c r="K11" s="231"/>
      <c r="L11" s="274"/>
      <c r="M11" s="246"/>
      <c r="S11" s="231"/>
      <c r="T11" s="246"/>
      <c r="Z11" s="231"/>
      <c r="AA11" s="246"/>
      <c r="AG11" s="231"/>
      <c r="AH11" s="246"/>
      <c r="AN11" s="231"/>
      <c r="AO11" s="246"/>
      <c r="AU11" s="231"/>
      <c r="AV11" s="246"/>
      <c r="BB11" s="231"/>
      <c r="BC11" s="246"/>
      <c r="BI11" s="231"/>
      <c r="BJ11" s="246"/>
      <c r="BP11" s="231"/>
      <c r="BQ11" s="246"/>
    </row>
    <row r="14" spans="1:74" x14ac:dyDescent="0.2">
      <c r="A14" s="52" t="s">
        <v>591</v>
      </c>
      <c r="B14" s="52" t="s">
        <v>5</v>
      </c>
      <c r="C14" s="178" t="s">
        <v>913</v>
      </c>
      <c r="D14" s="180" t="s">
        <v>914</v>
      </c>
      <c r="E14" s="247" t="s">
        <v>915</v>
      </c>
      <c r="F14" s="258" t="s">
        <v>916</v>
      </c>
      <c r="G14" s="218" t="s">
        <v>917</v>
      </c>
      <c r="H14" s="218" t="s">
        <v>918</v>
      </c>
      <c r="I14" s="176" t="s">
        <v>919</v>
      </c>
      <c r="J14" s="176" t="s">
        <v>920</v>
      </c>
      <c r="K14" s="178" t="s">
        <v>634</v>
      </c>
      <c r="L14" s="180" t="s">
        <v>736</v>
      </c>
      <c r="M14" s="247" t="s">
        <v>635</v>
      </c>
      <c r="N14" s="258" t="s">
        <v>636</v>
      </c>
      <c r="O14" s="218" t="s">
        <v>637</v>
      </c>
      <c r="P14" s="218" t="s">
        <v>638</v>
      </c>
      <c r="Q14" s="176" t="s">
        <v>639</v>
      </c>
      <c r="R14" s="176" t="s">
        <v>640</v>
      </c>
      <c r="S14" s="178" t="s">
        <v>641</v>
      </c>
      <c r="T14" s="247" t="s">
        <v>642</v>
      </c>
      <c r="U14" s="258" t="s">
        <v>629</v>
      </c>
      <c r="V14" s="218" t="s">
        <v>630</v>
      </c>
      <c r="W14" s="218" t="s">
        <v>631</v>
      </c>
      <c r="X14" s="176" t="s">
        <v>632</v>
      </c>
      <c r="Y14" s="176" t="s">
        <v>633</v>
      </c>
      <c r="Z14" s="178" t="s">
        <v>643</v>
      </c>
      <c r="AA14" s="247" t="s">
        <v>644</v>
      </c>
      <c r="AB14" s="258" t="s">
        <v>645</v>
      </c>
      <c r="AC14" s="218" t="s">
        <v>646</v>
      </c>
      <c r="AD14" s="218" t="s">
        <v>647</v>
      </c>
      <c r="AE14" s="176" t="s">
        <v>648</v>
      </c>
      <c r="AF14" s="176" t="s">
        <v>649</v>
      </c>
      <c r="AG14" s="178" t="s">
        <v>650</v>
      </c>
      <c r="AH14" s="247" t="s">
        <v>651</v>
      </c>
      <c r="AI14" s="258" t="s">
        <v>652</v>
      </c>
      <c r="AJ14" s="218" t="s">
        <v>653</v>
      </c>
      <c r="AK14" s="218" t="s">
        <v>654</v>
      </c>
      <c r="AL14" s="176" t="s">
        <v>655</v>
      </c>
      <c r="AM14" s="176" t="s">
        <v>656</v>
      </c>
      <c r="AN14" s="178" t="s">
        <v>657</v>
      </c>
      <c r="AO14" s="247" t="s">
        <v>658</v>
      </c>
      <c r="AP14" s="258" t="s">
        <v>659</v>
      </c>
      <c r="AQ14" s="218" t="s">
        <v>660</v>
      </c>
      <c r="AR14" s="218" t="s">
        <v>661</v>
      </c>
      <c r="AS14" s="176" t="s">
        <v>662</v>
      </c>
      <c r="AT14" s="176" t="s">
        <v>663</v>
      </c>
      <c r="AU14" s="178" t="s">
        <v>664</v>
      </c>
      <c r="AV14" s="247" t="s">
        <v>665</v>
      </c>
      <c r="AW14" s="258" t="s">
        <v>666</v>
      </c>
      <c r="AX14" s="218" t="s">
        <v>667</v>
      </c>
      <c r="AY14" s="218" t="s">
        <v>668</v>
      </c>
      <c r="AZ14" s="176" t="s">
        <v>669</v>
      </c>
      <c r="BA14" s="176" t="s">
        <v>670</v>
      </c>
      <c r="BB14" s="178" t="s">
        <v>671</v>
      </c>
      <c r="BC14" s="247" t="s">
        <v>672</v>
      </c>
      <c r="BD14" s="258" t="s">
        <v>673</v>
      </c>
      <c r="BE14" s="218" t="s">
        <v>674</v>
      </c>
      <c r="BF14" s="218" t="s">
        <v>675</v>
      </c>
      <c r="BG14" s="176" t="s">
        <v>676</v>
      </c>
      <c r="BH14" s="176" t="s">
        <v>677</v>
      </c>
      <c r="BI14" s="178" t="s">
        <v>678</v>
      </c>
      <c r="BJ14" s="247" t="s">
        <v>679</v>
      </c>
      <c r="BK14" s="258" t="s">
        <v>680</v>
      </c>
      <c r="BL14" s="218" t="s">
        <v>681</v>
      </c>
      <c r="BM14" s="218" t="s">
        <v>682</v>
      </c>
      <c r="BN14" s="176" t="s">
        <v>683</v>
      </c>
      <c r="BO14" s="176" t="s">
        <v>684</v>
      </c>
      <c r="BP14" s="178" t="s">
        <v>685</v>
      </c>
      <c r="BQ14" s="247" t="s">
        <v>686</v>
      </c>
      <c r="BR14" s="258" t="s">
        <v>687</v>
      </c>
      <c r="BS14" s="218" t="s">
        <v>688</v>
      </c>
      <c r="BT14" s="218" t="s">
        <v>689</v>
      </c>
      <c r="BU14" s="176" t="s">
        <v>690</v>
      </c>
      <c r="BV14" s="176" t="s">
        <v>691</v>
      </c>
    </row>
    <row r="15" spans="1:74" s="40" customFormat="1" x14ac:dyDescent="0.2">
      <c r="A15" s="53"/>
      <c r="B15" s="53"/>
      <c r="C15" s="116" cm="1">
        <f t="array" ref="C15">SUM(SUMIFS(PrEP!$O:$O,PrEP!$B:$B,$B15,PrEP!$C:$C,{"15-19","20-24","25-29","30-34","35-39","40-44","45-49","50+"},PrEP!$D:$D,"Female"))</f>
        <v>0</v>
      </c>
      <c r="D15" s="122" cm="1">
        <f t="array" ref="D15">SUM(SUMIFS(PrEP!$O:$O,PrEP!$B:$B,$B15,PrEP!$C:$C,{"15-19","20-24","25-29"},PrEP!$D:$D,"Female"))</f>
        <v>0</v>
      </c>
      <c r="E15" s="457" cm="1">
        <f t="array" ref="E15">SUM(SUMIFS(PrEP!$O:$O,PrEP!$B:$B,$B15,PrEP!$C:$C,{"15-19","20-24","25-29","30-34","35-39","40-44","45-49","50+"},PrEP!$D:$D,"Male"))</f>
        <v>0</v>
      </c>
      <c r="F15" s="235" t="str">
        <f>_xlfn.IFNA(INDEX(KP!$I:$I,MATCH(($B15&amp;"|"&amp;F$3),KP!$D:$D,0)),"")</f>
        <v/>
      </c>
      <c r="G15" s="108" t="str">
        <f>_xlfn.IFNA(INDEX(KP!$I:$I,MATCH(($B15&amp;"|"&amp;G$3),KP!$D:$D,0)),"")</f>
        <v/>
      </c>
      <c r="H15" s="108" t="str">
        <f>_xlfn.IFNA(INDEX(KP!$I:$I,MATCH(($B15&amp;"|"&amp;H$3),KP!$D:$D,0)),"")</f>
        <v/>
      </c>
      <c r="I15" s="108" t="str">
        <f>_xlfn.IFNA(INDEX(KP!$I:$I,MATCH(($B15&amp;"|"&amp;I$3),KP!$D:$D,0)),"")</f>
        <v/>
      </c>
      <c r="J15" s="108" t="str">
        <f>_xlfn.IFNA(INDEX(KP!$I:$I,MATCH(($B15&amp;"|"&amp;J$3),KP!$D:$D,0)),"")</f>
        <v/>
      </c>
      <c r="K15" s="116" cm="1">
        <f t="array" ref="K15">SUM(SUMIFS(PrEP!$L:$L,PrEP!$B:$B,$B15,PrEP!$C:$C,{"15-19","20-24","25-29","30-34","35-39","40-44","45-49","50+"},PrEP!$D:$D,"Female"))</f>
        <v>0</v>
      </c>
      <c r="L15" s="122" cm="1">
        <f t="array" ref="L15">SUM(SUMIFS(PrEP!$L:$L,PrEP!$B:$B,$B15,PrEP!$C:$C,{"15-19","20-24","25-29"},PrEP!$D:$D,"Female"))</f>
        <v>0</v>
      </c>
      <c r="M15" s="457" cm="1">
        <f t="array" ref="M15">SUM(SUMIFS(PrEP!$L:$L,PrEP!$B:$B,$B15,PrEP!$C:$C,{"15-19","20-24","25-29","30-34","35-39","40-44","45-49","50+"},PrEP!$D:$D,"Male"))</f>
        <v>0</v>
      </c>
      <c r="N15" s="235" t="str">
        <f>_xlfn.IFNA(INDEX(KP!$K:$K,MATCH(($B15&amp;"|"&amp;N$3),KP!$D:$D,0)),"")</f>
        <v/>
      </c>
      <c r="O15" s="108" t="str">
        <f>_xlfn.IFNA(INDEX(KP!$K:$K,MATCH(($B15&amp;"|"&amp;O$3),KP!$D:$D,0)),"")</f>
        <v/>
      </c>
      <c r="P15" s="108" t="str">
        <f>_xlfn.IFNA(INDEX(KP!$K:$K,MATCH(($B15&amp;"|"&amp;P$3),KP!$D:$D,0)),"")</f>
        <v/>
      </c>
      <c r="Q15" s="108" t="str">
        <f>_xlfn.IFNA(INDEX(KP!$K:$K,MATCH(($B15&amp;"|"&amp;Q$3),KP!$D:$D,0)),"")</f>
        <v/>
      </c>
      <c r="R15" s="108" t="str">
        <f>_xlfn.IFNA(INDEX(KP!$K:$K,MATCH(($B15&amp;"|"&amp;R$3),KP!$D:$D,0)),"")</f>
        <v/>
      </c>
      <c r="S15" s="116" cm="1">
        <f t="array" ref="S15">SUM(SUMIFS(Cascade!$BZ:$BZ,Cascade!$B:$B,$B15,Cascade!$C:$C,{"15-19","20-24","25-29","30-34","35-39","40-44","45-49","50-54","55-59","60-64","65+"},Cascade!$D:$D,"Female"))</f>
        <v>0</v>
      </c>
      <c r="T15" s="457" cm="1">
        <f t="array" ref="T15">SUM(SUMIFS(Cascade!$BZ:$BZ,Cascade!$B:$B,$B15,Cascade!$C:$C,{"15-19","20-24","25-29","30-34","35-39","40-44","45-49","50-54","55-59","60-64","65+"},Cascade!$D:$D,"Male"))</f>
        <v>0</v>
      </c>
      <c r="U15" s="235" t="str">
        <f>_xlfn.IFNA(INDEX(KP!$P:$P,MATCH(($B15&amp;"|"&amp;U$3),KP!$D:$D,0)),"")</f>
        <v/>
      </c>
      <c r="V15" s="108" t="str">
        <f>_xlfn.IFNA(INDEX(KP!$P:$P,MATCH(($B15&amp;"|"&amp;V$3),KP!$D:$D,0)),"")</f>
        <v/>
      </c>
      <c r="W15" s="108" t="str">
        <f>_xlfn.IFNA(INDEX(KP!$P:$P,MATCH(($B15&amp;"|"&amp;W$3),KP!$D:$D,0)),"")</f>
        <v/>
      </c>
      <c r="X15" s="108" t="str">
        <f>_xlfn.IFNA(INDEX(KP!$P:$P,MATCH(($B15&amp;"|"&amp;X$3),KP!$D:$D,0)),"")</f>
        <v/>
      </c>
      <c r="Y15" s="108" t="str">
        <f>_xlfn.IFNA(INDEX(KP!$P:$P,MATCH(($B15&amp;"|"&amp;Y$3),KP!$D:$D,0)),"")</f>
        <v/>
      </c>
      <c r="Z15" s="116" cm="1">
        <f t="array" ref="Z15">SUM(SUMIFS(Cascade!$CB:$CB,Cascade!$B:$B,$B15,Cascade!$C:$C,{"15-19","20-24","25-29","30-34","35-39","40-44","45-49","50-54","55-59","60-64","65+"},Cascade!$D:$D,"Female"))</f>
        <v>0</v>
      </c>
      <c r="AA15" s="457" cm="1">
        <f t="array" ref="AA15">SUM(SUMIFS(Cascade!$CB:$CB,Cascade!$B:$B,$B15,Cascade!$C:$C,{"15-19","20-24","25-29","30-34","35-39","40-44","45-49","50-54","55-59","60-64","65+"},Cascade!$D:$D,"Male"))</f>
        <v>0</v>
      </c>
      <c r="AB15" s="235" t="str">
        <f>_xlfn.IFNA(INDEX(KP!$V:$V,MATCH(($B15&amp;"|"&amp;AB$3),KP!$D:$D,0)),"")</f>
        <v/>
      </c>
      <c r="AC15" s="108" t="str">
        <f>_xlfn.IFNA(INDEX(KP!$V:$V,MATCH(($B15&amp;"|"&amp;AC$3),KP!$D:$D,0)),"")</f>
        <v/>
      </c>
      <c r="AD15" s="108" t="str">
        <f>_xlfn.IFNA(INDEX(KP!$V:$V,MATCH(($B15&amp;"|"&amp;AD$3),KP!$D:$D,0)),"")</f>
        <v/>
      </c>
      <c r="AE15" s="108" t="str">
        <f>_xlfn.IFNA(INDEX(KP!$V:$V,MATCH(($B15&amp;"|"&amp;AE$3),KP!$D:$D,0)),"")</f>
        <v/>
      </c>
      <c r="AF15" s="108" t="str">
        <f>_xlfn.IFNA(INDEX(KP!$V:$V,MATCH(($B15&amp;"|"&amp;AF$3),KP!$D:$D,0)),"")</f>
        <v/>
      </c>
      <c r="AG15" s="116" cm="1">
        <f t="array" ref="AG15">SUM(SUMIFS(Cascade!$BW:$BW,Cascade!$B:$B,$B15,Cascade!$C:$C,{"15-19","20-24","25-29","30-34","35-39","40-44","45-49","50-54","55-59","60-64","65+"},Cascade!$D:$D,"Female"))</f>
        <v>0</v>
      </c>
      <c r="AH15" s="457" cm="1">
        <f t="array" ref="AH15">SUM(SUMIFS(Cascade!$BW:$BW,Cascade!$B:$B,$B15,Cascade!$C:$C,{"15-19","20-24","25-29","30-34","35-39","40-44","45-49","50-54","55-59","60-64","65+"},Cascade!$D:$D,"Male"))</f>
        <v>0</v>
      </c>
      <c r="AI15" s="235" t="str">
        <f>_xlfn.IFNA(INDEX(KP!$Y:$Y,MATCH(($B15&amp;"|"&amp;AI$3),KP!$D:$D,0)),"")</f>
        <v/>
      </c>
      <c r="AJ15" s="108" t="str">
        <f>_xlfn.IFNA(INDEX(KP!$Y:$Y,MATCH(($B15&amp;"|"&amp;AJ$3),KP!$D:$D,0)),"")</f>
        <v/>
      </c>
      <c r="AK15" s="108" t="str">
        <f>_xlfn.IFNA(INDEX(KP!$Y:$Y,MATCH(($B15&amp;"|"&amp;AK$3),KP!$D:$D,0)),"")</f>
        <v/>
      </c>
      <c r="AL15" s="108" t="str">
        <f>_xlfn.IFNA(INDEX(KP!$Y:$Y,MATCH(($B15&amp;"|"&amp;AL$3),KP!$D:$D,0)),"")</f>
        <v/>
      </c>
      <c r="AM15" s="108" t="str">
        <f>_xlfn.IFNA(INDEX(KP!$Y:$Y,MATCH(($B15&amp;"|"&amp;AM$3),KP!$D:$D,0)),"")</f>
        <v/>
      </c>
      <c r="AN15" s="116" cm="1">
        <f t="array" ref="AN15">SUM(SUMIFS(Cascade!$BV:$BV,Cascade!$B:$B,$B15,Cascade!$C:$C,{"15-19","20-24","25-29","30-34","35-39","40-44","45-49","50-54","55-59","60-64","65+"},Cascade!$D:$D,"Female"))</f>
        <v>0</v>
      </c>
      <c r="AO15" s="457" cm="1">
        <f t="array" ref="AO15">SUM(SUMIFS(Cascade!$BV:$BV,Cascade!$B:$B,$B15,Cascade!$C:$C,{"15-19","20-24","25-29","30-34","35-39","40-44","45-49","50-54","55-59","60-64","65+"},Cascade!$D:$D,"Male"))</f>
        <v>0</v>
      </c>
      <c r="AP15" s="235" t="str">
        <f>_xlfn.IFNA(INDEX(KP!$AA:$AA,MATCH(($B15&amp;"|"&amp;AP$3),KP!$D:$D,0)),"")</f>
        <v/>
      </c>
      <c r="AQ15" s="108" t="str">
        <f>_xlfn.IFNA(INDEX(KP!$AA:$AA,MATCH(($B15&amp;"|"&amp;AQ$3),KP!$D:$D,0)),"")</f>
        <v/>
      </c>
      <c r="AR15" s="108" t="str">
        <f>_xlfn.IFNA(INDEX(KP!$AA:$AA,MATCH(($B15&amp;"|"&amp;AR$3),KP!$D:$D,0)),"")</f>
        <v/>
      </c>
      <c r="AS15" s="108" t="str">
        <f>_xlfn.IFNA(INDEX(KP!$AA:$AA,MATCH(($B15&amp;"|"&amp;AS$3),KP!$D:$D,0)),"")</f>
        <v/>
      </c>
      <c r="AT15" s="108" t="str">
        <f>_xlfn.IFNA(INDEX(KP!$AA:$AA,MATCH(($B15&amp;"|"&amp;AT$3),KP!$D:$D,0)),"")</f>
        <v/>
      </c>
      <c r="AU15" s="116" cm="1">
        <f t="array" ref="AU15">SUM(SUMIFS(HTS!$BP:$BP,HTS!$B:$B,$B15,HTS!$C:$C,{"15-19","20-24","25-29","30-34","35-39","40-44","45-49","50+"},HTS!$D:$D,"Female"))</f>
        <v>0</v>
      </c>
      <c r="AV15" s="457" cm="1">
        <f t="array" ref="AV15">SUM(SUMIFS(HTS!$BP:$BP,HTS!$B:$B,$B15,HTS!$C:$C,{"15-19","20-24","25-29","30-34","35-39","40-44","45-49","50+"},HTS!$D:$D,"Male"))</f>
        <v>0</v>
      </c>
      <c r="AW15" s="235" t="str">
        <f>_xlfn.IFNA(INDEX(KP!$AI:$AI,MATCH(($B15&amp;"|"&amp;AW$3),KP!$D:$D,0)),"")</f>
        <v/>
      </c>
      <c r="AX15" s="108" t="str">
        <f>_xlfn.IFNA(INDEX(KP!$AI:$AI,MATCH(($B15&amp;"|"&amp;AX$3),KP!$D:$D,0)),"")</f>
        <v/>
      </c>
      <c r="AY15" s="108" t="str">
        <f>_xlfn.IFNA(INDEX(KP!$AI:$AI,MATCH(($B15&amp;"|"&amp;AY$3),KP!$D:$D,0)),"")</f>
        <v/>
      </c>
      <c r="AZ15" s="108" t="str">
        <f>_xlfn.IFNA(INDEX(KP!$AI:$AI,MATCH(($B15&amp;"|"&amp;AZ$3),KP!$D:$D,0)),"")</f>
        <v/>
      </c>
      <c r="BA15" s="108" t="str">
        <f>_xlfn.IFNA(INDEX(KP!$AI:$AI,MATCH(($B15&amp;"|"&amp;BA$3),KP!$D:$D,0)),"")</f>
        <v/>
      </c>
      <c r="BB15" s="116" cm="1">
        <f t="array" ref="BB15">SUM(SUMIFS(HTS!$BX:$BX,HTS!$B:$B,$B15,HTS!$C:$C,{"15-19","20-24","25-29","30-34","35-39","40-44","45-49","50+"},HTS!$D:$D,"Female"))</f>
        <v>0</v>
      </c>
      <c r="BC15" s="457" cm="1">
        <f t="array" ref="BC15">SUM(SUMIFS(HTS!$BX:$BX,HTS!$B:$B,$B15,HTS!$C:$C,{"15-19","20-24","25-29","30-34","35-39","40-44","45-49","50+"},HTS!$D:$D,"Male"))</f>
        <v>0</v>
      </c>
      <c r="BD15" s="235" t="str">
        <f>_xlfn.IFNA(INDEX(KP!$AJ:$AJ,MATCH(($B15&amp;"|"&amp;BD$3),KP!$D:$D,0)),"")</f>
        <v/>
      </c>
      <c r="BE15" s="108" t="str">
        <f>_xlfn.IFNA(INDEX(KP!$AJ:$AJ,MATCH(($B15&amp;"|"&amp;BE$3),KP!$D:$D,0)),"")</f>
        <v/>
      </c>
      <c r="BF15" s="108" t="str">
        <f>_xlfn.IFNA(INDEX(KP!$AJ:$AJ,MATCH(($B15&amp;"|"&amp;BF$3),KP!$D:$D,0)),"")</f>
        <v/>
      </c>
      <c r="BG15" s="108" t="str">
        <f>_xlfn.IFNA(INDEX(KP!$AJ:$AJ,MATCH(($B15&amp;"|"&amp;BG$3),KP!$D:$D,0)),"")</f>
        <v/>
      </c>
      <c r="BH15" s="108" t="str">
        <f>_xlfn.IFNA(INDEX(KP!$AJ:$AJ,MATCH(($B15&amp;"|"&amp;BH$3),KP!$D:$D,0)),"")</f>
        <v/>
      </c>
      <c r="BI15" s="116" cm="1">
        <f t="array" ref="BI15">SUM(SUMIFS(HTS_RECENT!$AJ:$AJ,HTS_RECENT!$B:$B,$B15,HTS_RECENT!$C:$C,{"15-19","20-24","25-29","30-34","35-39","40-44","45-49","50+"},HTS_RECENT!$D:$D,"Female"))</f>
        <v>0</v>
      </c>
      <c r="BJ15" s="457" cm="1">
        <f t="array" ref="BJ15">SUM(SUMIFS(HTS_RECENT!$AJ:$AJ,HTS_RECENT!$B:$B,$B15,HTS_RECENT!$C:$C,{"15-19","20-24","25-29","30-34","35-39","40-44","45-49","50+"},HTS_RECENT!$D:$D,"Male"))</f>
        <v>0</v>
      </c>
      <c r="BK15" s="235" t="str">
        <f>_xlfn.IFNA(INDEX(KP!$AL:$AL,MATCH(($B15&amp;"|"&amp;BK$3),KP!$D:$D,0)),"")</f>
        <v/>
      </c>
      <c r="BL15" s="108" t="str">
        <f>_xlfn.IFNA(INDEX(KP!$AL:$AL,MATCH(($B15&amp;"|"&amp;BL$3),KP!$D:$D,0)),"")</f>
        <v/>
      </c>
      <c r="BM15" s="108" t="str">
        <f>_xlfn.IFNA(INDEX(KP!$AL:$AL,MATCH(($B15&amp;"|"&amp;BM$3),KP!$D:$D,0)),"")</f>
        <v/>
      </c>
      <c r="BN15" s="108" t="str">
        <f>_xlfn.IFNA(INDEX(KP!$AL:$AL,MATCH(($B15&amp;"|"&amp;BN$3),KP!$D:$D,0)),"")</f>
        <v/>
      </c>
      <c r="BO15" s="108" t="str">
        <f>_xlfn.IFNA(INDEX(KP!$AL:$AL,MATCH(($B15&amp;"|"&amp;BO$3),KP!$D:$D,0)),"")</f>
        <v/>
      </c>
      <c r="BP15" s="116" cm="1">
        <f t="array" ref="BP15">SUM(SUMIFS(HTS!$CC:$CC,HTS!$B:$B,$B15,HTS!$C:$C,{"15-19","20-24","25-29","30-34","35-39","40-44","45-49","50+"},HTS!$D:$D,"Female"))</f>
        <v>0</v>
      </c>
      <c r="BQ15" s="457" cm="1">
        <f t="array" ref="BQ15">SUM(SUMIFS(HTS!$CC:$CC,HTS!$B:$B,$B15,HTS!$C:$C,{"15-19","20-24","25-29","30-34","35-39","40-44","45-49","50+"},HTS!$D:$D,"Male"))</f>
        <v>0</v>
      </c>
      <c r="BR15" s="235" t="str">
        <f>_xlfn.IFNA(INDEX(KP!$AN:$AN,MATCH(($B15&amp;"|"&amp;BR$3),KP!$D:$D,0)),"")</f>
        <v/>
      </c>
      <c r="BS15" s="108" t="str">
        <f>_xlfn.IFNA(INDEX(KP!$AN:$AN,MATCH(($B15&amp;"|"&amp;BS$3),KP!$D:$D,0)),"")</f>
        <v/>
      </c>
      <c r="BT15" s="108" t="str">
        <f>_xlfn.IFNA(INDEX(KP!$AN:$AN,MATCH(($B15&amp;"|"&amp;BT$3),KP!$D:$D,0)),"")</f>
        <v/>
      </c>
      <c r="BU15" s="108" t="str">
        <f>_xlfn.IFNA(INDEX(KP!$AN:$AN,MATCH(($B15&amp;"|"&amp;BU$3),KP!$D:$D,0)),"")</f>
        <v/>
      </c>
      <c r="BV15" s="108"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77" priority="10">
      <formula>AND(ROW($U1)&gt;14,SUM($U1)&gt;$S1)</formula>
    </cfRule>
  </conditionalFormatting>
  <conditionalFormatting sqref="T1:T1048576 V1:V1048576">
    <cfRule type="expression" dxfId="76" priority="9">
      <formula>AND(ROW($V1)&gt;14,SUM($V1)&gt;$T1)</formula>
    </cfRule>
  </conditionalFormatting>
  <conditionalFormatting sqref="S1:T1048576 W1:Y1048576">
    <cfRule type="expression" dxfId="75" priority="12">
      <formula>(($S1-$U1)+($T1-$V1))&lt;SUM($W1:$Y1)</formula>
    </cfRule>
  </conditionalFormatting>
  <conditionalFormatting sqref="Z1:Z1048576 AB1:AB1048576">
    <cfRule type="expression" dxfId="74" priority="13">
      <formula>AND(ROW($AB1)&gt;14,SUM($AB1)&gt;$Z1)</formula>
    </cfRule>
  </conditionalFormatting>
  <conditionalFormatting sqref="AA1:AA1048576 AC1:AC1048576">
    <cfRule type="expression" dxfId="73" priority="14">
      <formula>AND(ROW($AC1)&gt;14,SUM($AC1)&gt;$AA1)</formula>
    </cfRule>
  </conditionalFormatting>
  <conditionalFormatting sqref="Z1:AA1048576 AD1:AF1048576">
    <cfRule type="expression" dxfId="72" priority="16">
      <formula>(($Z1-$AB1)+($AA1-$AC1))&lt;SUM($AD1:$AF1)</formula>
    </cfRule>
  </conditionalFormatting>
  <conditionalFormatting sqref="AG1:AG1048576 AI1:AI1048576">
    <cfRule type="expression" dxfId="71" priority="17">
      <formula>AND(ROW($AI1)&gt;14,SUM($AI1)&gt;$AG1)</formula>
    </cfRule>
  </conditionalFormatting>
  <conditionalFormatting sqref="AH1:AH1048576 AJ1:AJ1048576">
    <cfRule type="expression" dxfId="70" priority="18">
      <formula>AND(ROW($AJ1)&gt;14,SUM($AJ1)&gt;$AH1)</formula>
    </cfRule>
  </conditionalFormatting>
  <conditionalFormatting sqref="AG1:AH1048576 AK1:AM1048576">
    <cfRule type="expression" dxfId="69" priority="20">
      <formula>(($AG1-$AI1)+($AH1-$AJ1))&lt;SUM($AK1:$AM1)</formula>
    </cfRule>
  </conditionalFormatting>
  <conditionalFormatting sqref="AN1:AN1048576 AP1:AP1048576">
    <cfRule type="expression" dxfId="68" priority="21">
      <formula>AND(ROW($AP1)&gt;14,SUM($AP1)&gt;$AN1)</formula>
    </cfRule>
  </conditionalFormatting>
  <conditionalFormatting sqref="AO1:AO1048576 AQ1:AQ1048576">
    <cfRule type="expression" dxfId="67" priority="22">
      <formula>AND(ROW($AQ1)&gt;14,SUM($AQ1)&gt;$AO1)</formula>
    </cfRule>
  </conditionalFormatting>
  <conditionalFormatting sqref="AN1:AO1048576 AR1:AT1048576">
    <cfRule type="expression" dxfId="66" priority="24">
      <formula>(($AN1-$AP1)+($AO1-$AQ1))&lt;SUM($AR1:$AT1)</formula>
    </cfRule>
  </conditionalFormatting>
  <conditionalFormatting sqref="AU1:AU1048576 AW1:AW1048576">
    <cfRule type="expression" dxfId="65" priority="25">
      <formula>AND(ROW($AW1)&gt;14,SUM($AW1)&gt;$AU1)</formula>
    </cfRule>
  </conditionalFormatting>
  <conditionalFormatting sqref="AV1:AV1048576 AX1:AX1048576">
    <cfRule type="expression" dxfId="64" priority="26">
      <formula>AND(ROW($AX1)&gt;14,SUM($AX1)&gt;$AV1)</formula>
    </cfRule>
  </conditionalFormatting>
  <conditionalFormatting sqref="AU1:AV1048576 AY1:BA1048576">
    <cfRule type="expression" dxfId="63" priority="28">
      <formula>(($AU1-$AW1)+($AV1-$AX1))&lt;SUM($AY1:$BA1)</formula>
    </cfRule>
  </conditionalFormatting>
  <conditionalFormatting sqref="BB1:BB1048576 BD1:BD1048576">
    <cfRule type="expression" dxfId="62" priority="29">
      <formula>AND(ROW($BD1)&gt;14,SUM($BD1)&gt;$BB1)</formula>
    </cfRule>
  </conditionalFormatting>
  <conditionalFormatting sqref="BC1:BC1048576 BE1:BE1048576">
    <cfRule type="expression" dxfId="61" priority="30">
      <formula>AND(ROW($BE1)&gt;14,SUM($BE1)&gt;$BC1)</formula>
    </cfRule>
  </conditionalFormatting>
  <conditionalFormatting sqref="BB1:BC1048576 BF1:BH1048576">
    <cfRule type="expression" dxfId="60" priority="32">
      <formula>(($BB1-$BD1)+($BC1-$BE1))&lt;SUM($BF1:$BH1)</formula>
    </cfRule>
  </conditionalFormatting>
  <conditionalFormatting sqref="BI1:BI1048576 BK1:BK1048576">
    <cfRule type="expression" dxfId="59" priority="33">
      <formula>AND(ROW($BK1)&gt;14,SUM($BK1)&gt;$BI1)</formula>
    </cfRule>
  </conditionalFormatting>
  <conditionalFormatting sqref="BL1:BL1048576 BJ1:BJ1048576">
    <cfRule type="expression" dxfId="58" priority="34">
      <formula>AND(ROW($BL1)&gt;14,SUM($BL1)&gt;$BJ1)</formula>
    </cfRule>
  </conditionalFormatting>
  <conditionalFormatting sqref="BI1:BJ1048576 BM1:BO1048576">
    <cfRule type="expression" dxfId="57" priority="36">
      <formula>(($BI1-$BK1)+($BJ1-$BL1))&lt;SUM($BM1:$BO1)</formula>
    </cfRule>
  </conditionalFormatting>
  <conditionalFormatting sqref="BP1:BP1048576 BR1:BR1048576">
    <cfRule type="expression" dxfId="56" priority="45">
      <formula>AND(ROW($BR1)&gt;14,SUM($BR1)&gt;$BP1)</formula>
    </cfRule>
  </conditionalFormatting>
  <conditionalFormatting sqref="BQ1:BQ1048576 BS1:BS1048576">
    <cfRule type="expression" dxfId="55" priority="1135">
      <formula>AND(ROW($BS1)&gt;14,SUM($BS1)&gt;$BQ1)</formula>
    </cfRule>
  </conditionalFormatting>
  <conditionalFormatting sqref="BP1:BQ1048576 BT1:BV1048576">
    <cfRule type="expression" dxfId="54" priority="1136">
      <formula>(($BP1-$BR1)+($BQ1-$BS1))&lt;SUM($BT1:$BV1)</formula>
    </cfRule>
  </conditionalFormatting>
  <conditionalFormatting sqref="C1:D1048576 F1:F1048576">
    <cfRule type="expression" dxfId="53" priority="2">
      <formula>AND(ISNUMBER($F1),SUM($F1)&gt;$C1)</formula>
    </cfRule>
  </conditionalFormatting>
  <conditionalFormatting sqref="G1:G1048576 E1:E1048576">
    <cfRule type="expression" dxfId="52" priority="1">
      <formula>AND(ISNUMBER($G1),SUM($G1)&gt;$E1)</formula>
    </cfRule>
  </conditionalFormatting>
  <conditionalFormatting sqref="H1:J1048576 C1:E1048576">
    <cfRule type="expression" dxfId="51" priority="4">
      <formula>(($C1-$F1)+($E1-$G1))&lt;SUM($H1:$J1)</formula>
    </cfRule>
  </conditionalFormatting>
  <conditionalFormatting sqref="K1:L1048576 N1:N1048576">
    <cfRule type="expression" dxfId="50" priority="6">
      <formula>AND(ROW($N1)&gt;14,SUM($N1)&gt;$K1)</formula>
    </cfRule>
  </conditionalFormatting>
  <conditionalFormatting sqref="M1:M1048576 O1:O1048576">
    <cfRule type="expression" dxfId="49" priority="5">
      <formula>AND(ROW($O1)&gt;14,SUM($O1)&gt;$M1)</formula>
    </cfRule>
  </conditionalFormatting>
  <conditionalFormatting sqref="K1:M1048576 P1:R1048576">
    <cfRule type="expression" dxfId="4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2021-12-28T22:59:34Z</dcterms:modified>
</cp:coreProperties>
</file>