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5327205C-7489-AE4C-B0FF-011DB434A7FF}" xr6:coauthVersionLast="47" xr6:coauthVersionMax="47" xr10:uidLastSave="{00000000-0000-0000-0000-000000000000}"/>
  <bookViews>
    <workbookView xWindow="-10480" yWindow="-28300" windowWidth="51200" windowHeight="28300" activeTab="13"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s>
  <definedNames>
    <definedName name="_xlnm._FilterDatabase" localSheetId="17" hidden="1">AGYW!$B$14:$M$39</definedName>
    <definedName name="_xlnm._FilterDatabase" localSheetId="4" hidden="1">Cascade!$B$14:$CN$3876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 hidden="1">Spectrum!#REF!</definedName>
    <definedName name="_xlnm._FilterDatabase" localSheetId="7" hidden="1">TB!$B$14:$U$3879</definedName>
    <definedName name="_xlnm._FilterDatabase" localSheetId="13" hidden="1">TX_TB_PREV!$B$14:$AA$15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 i="9" l="1"/>
  <c r="X15" i="9"/>
  <c r="T4" i="9"/>
  <c r="S15" i="9"/>
  <c r="CW15" i="5" a="1"/>
  <c r="CW15" i="5" s="1"/>
  <c r="BR15" i="5"/>
  <c r="BH15" i="5"/>
  <c r="AT15" i="5"/>
  <c r="BF15" i="5"/>
  <c r="BB15" i="5"/>
  <c r="BA15" i="5"/>
  <c r="AS15" i="5"/>
  <c r="AR15" i="5"/>
  <c r="AO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B15" i="5" l="1"/>
  <c r="AT15" i="7" l="1"/>
  <c r="AC15" i="7"/>
  <c r="AA15" i="7"/>
  <c r="Y15" i="7"/>
  <c r="V15" i="7"/>
  <c r="U15" i="7"/>
  <c r="X15" i="7" s="1"/>
  <c r="AH15" i="7" s="1"/>
  <c r="AJ15" i="7" s="1"/>
  <c r="AQ15" i="7" s="1"/>
  <c r="T15" i="7"/>
  <c r="R15" i="7"/>
  <c r="Q15" i="7"/>
  <c r="P15" i="7"/>
  <c r="O15" i="7"/>
  <c r="N15" i="7"/>
  <c r="M15" i="7"/>
  <c r="AD15" i="7" l="1"/>
  <c r="AK15" i="7"/>
  <c r="AI15" i="7"/>
  <c r="BG15" i="5"/>
  <c r="BD15" i="5"/>
  <c r="BM15" i="5"/>
  <c r="L15" i="5"/>
  <c r="AF15" i="7" l="1"/>
  <c r="AE15" i="7"/>
  <c r="AG15" i="7"/>
  <c r="AP15" i="7"/>
  <c r="AO15" i="7"/>
  <c r="CC15" i="5"/>
  <c r="CE15" i="5"/>
  <c r="AM15" i="7" l="1"/>
  <c r="AR15" i="7"/>
  <c r="AL15" i="7"/>
  <c r="AN15" i="7"/>
  <c r="BA15" i="7"/>
  <c r="AV15" i="7" l="1"/>
  <c r="AU15" i="7"/>
  <c r="AW15" i="7"/>
  <c r="BO15" i="5"/>
  <c r="N15" i="5"/>
  <c r="Q2" i="3"/>
  <c r="BU15" i="5"/>
  <c r="BP15" i="5"/>
  <c r="BB15" i="7" l="1"/>
  <c r="AX15" i="7"/>
  <c r="AY15" i="7"/>
  <c r="N4" i="5"/>
  <c r="AZ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C15" i="20"/>
  <c r="N15" i="9" l="1"/>
  <c r="T15" i="9" s="1"/>
  <c r="O15" i="9"/>
  <c r="L15" i="9"/>
  <c r="M15" i="9"/>
  <c r="W15" i="9" s="1"/>
  <c r="Z15" i="9" s="1"/>
  <c r="F15" i="20"/>
  <c r="S4" i="9" l="1"/>
  <c r="AA15" i="9"/>
  <c r="G15" i="20"/>
  <c r="K15" i="20" s="1"/>
  <c r="BV15" i="12" a="1"/>
  <c r="BV15" i="12" s="1"/>
  <c r="I15" i="20"/>
  <c r="AF4" i="5"/>
  <c r="AA4" i="5"/>
  <c r="AI4" i="5"/>
  <c r="AD4" i="5"/>
  <c r="L15" i="20" l="1"/>
  <c r="N15" i="20" s="1"/>
  <c r="P15" i="20" s="1"/>
  <c r="P4" i="20" s="1"/>
  <c r="R15" i="20"/>
  <c r="T15" i="20" s="1"/>
  <c r="V15" i="20" s="1"/>
  <c r="AO4" i="5"/>
  <c r="R4" i="20" l="1"/>
  <c r="S4" i="20" s="1"/>
  <c r="AO15" i="46" a="1"/>
  <c r="AO15" i="46" s="1"/>
  <c r="AN15" i="46" a="1"/>
  <c r="AN15" i="46" s="1"/>
  <c r="AH15" i="46" a="1"/>
  <c r="AH15" i="46" s="1"/>
  <c r="AG15" i="46" a="1"/>
  <c r="AG15" i="46" s="1"/>
  <c r="AA15" i="46" a="1"/>
  <c r="AA15" i="46" s="1"/>
  <c r="Z15" i="46" a="1"/>
  <c r="Z15" i="46" s="1"/>
  <c r="T15" i="46" a="1"/>
  <c r="T15" i="46" s="1"/>
  <c r="S15" i="46" a="1"/>
  <c r="S15" i="46" s="1"/>
  <c r="AG4" i="5"/>
  <c r="BF4" i="5" s="1"/>
  <c r="AB4" i="5"/>
  <c r="R15" i="5" l="1"/>
  <c r="J15" i="5"/>
  <c r="H15" i="5"/>
  <c r="F15" i="5"/>
  <c r="P15" i="5"/>
  <c r="M15" i="10"/>
  <c r="V15" i="5"/>
  <c r="L15" i="10"/>
  <c r="T15" i="10" s="1"/>
  <c r="U15" i="10" s="1"/>
  <c r="X15" i="5"/>
  <c r="T15" i="5"/>
  <c r="AJ15" i="5" s="1"/>
  <c r="AK15" i="5" s="1"/>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T15" i="5" l="1"/>
  <c r="AL15" i="5"/>
  <c r="AM15" i="5" s="1"/>
  <c r="AN15" i="5" s="1"/>
  <c r="AP15" i="5" s="1"/>
  <c r="AU15" i="5" s="1"/>
  <c r="BI15" i="5" s="1"/>
  <c r="BE15" i="5"/>
  <c r="AQ15" i="5"/>
  <c r="AY15" i="5"/>
  <c r="AY4" i="5" s="1"/>
  <c r="AX15" i="5"/>
  <c r="AW15" i="5"/>
  <c r="AW4" i="5" s="1"/>
  <c r="AV15" i="5"/>
  <c r="AZ15" i="5" s="1"/>
  <c r="K15" i="5"/>
  <c r="M15" i="5"/>
  <c r="O15" i="5"/>
  <c r="BS15" i="5"/>
  <c r="Q15" i="5"/>
  <c r="U15" i="5"/>
  <c r="G15" i="5"/>
  <c r="Y15" i="5"/>
  <c r="I15" i="5"/>
  <c r="W15" i="5"/>
  <c r="V4" i="5"/>
  <c r="AQ4" i="5" s="1"/>
  <c r="S15" i="5"/>
  <c r="R4" i="5"/>
  <c r="J15" i="40"/>
  <c r="Q15" i="44"/>
  <c r="Q4" i="44"/>
  <c r="BJ15" i="5" l="1"/>
  <c r="BK15" i="5" s="1"/>
  <c r="R4" i="44"/>
  <c r="T4" i="44"/>
  <c r="BC15" i="5"/>
  <c r="U15" i="44"/>
  <c r="V15" i="44" s="1"/>
  <c r="T15" i="44"/>
  <c r="S15" i="44"/>
  <c r="R15" i="44"/>
  <c r="BH4" i="5" l="1"/>
  <c r="BN15" i="5" l="1"/>
  <c r="BV15" i="5" s="1"/>
  <c r="BI4" i="5"/>
  <c r="BM4" i="5" s="1"/>
  <c r="BL15" i="5"/>
  <c r="V15" i="10"/>
  <c r="BD4" i="5" l="1"/>
  <c r="D15" i="45"/>
  <c r="L15" i="8" l="1"/>
  <c r="N15" i="8"/>
  <c r="E15" i="46" l="1" a="1"/>
  <c r="E15" i="46" s="1"/>
  <c r="K15" i="46" a="1"/>
  <c r="K15" i="46" s="1"/>
  <c r="M15" i="46" a="1"/>
  <c r="M15" i="46" s="1"/>
  <c r="C15" i="46" a="1"/>
  <c r="C15" i="46" s="1"/>
  <c r="BQ15" i="46" a="1"/>
  <c r="BQ15" i="46" s="1"/>
  <c r="BP15" i="46" a="1"/>
  <c r="BP15" i="46" s="1"/>
  <c r="BQ15" i="5" l="1"/>
  <c r="BK4" i="5"/>
  <c r="M4" i="46"/>
  <c r="K4" i="46"/>
  <c r="C4" i="46"/>
  <c r="E4" i="46"/>
  <c r="BP4" i="46"/>
  <c r="BQ4" i="46"/>
  <c r="BR4" i="5" l="1"/>
  <c r="BG4" i="5"/>
  <c r="BL4" i="5"/>
  <c r="BJ4" i="5"/>
  <c r="BW15" i="5"/>
  <c r="BZ15" i="5" s="1"/>
  <c r="AN4" i="13"/>
  <c r="AM4" i="13"/>
  <c r="O4" i="13"/>
  <c r="N4" i="13"/>
  <c r="BY15" i="5" l="1"/>
  <c r="G4" i="44"/>
  <c r="CW4" i="5" l="1"/>
  <c r="CF15" i="5"/>
  <c r="CM15" i="5" s="1"/>
  <c r="CI15" i="5"/>
  <c r="CL15" i="5"/>
  <c r="CJ15" i="5"/>
  <c r="CV15" i="5"/>
  <c r="CG15" i="5"/>
  <c r="CN15" i="5" s="1"/>
  <c r="CA15" i="5"/>
  <c r="S4" i="10"/>
  <c r="R4" i="10"/>
  <c r="CH15" i="5" l="1"/>
  <c r="CR15" i="5"/>
  <c r="CS15" i="5" s="1"/>
  <c r="CT15" i="5"/>
  <c r="CU15" i="5" s="1"/>
  <c r="G15" i="40"/>
  <c r="E15" i="45" l="1"/>
  <c r="E4" i="45" l="1"/>
  <c r="E15" i="5"/>
  <c r="J15" i="10" l="1"/>
  <c r="Q15" i="36" a="1"/>
  <c r="Q15" i="36" s="1"/>
  <c r="H15" i="6"/>
  <c r="K15" i="6" s="1"/>
  <c r="K15" i="10"/>
  <c r="G15" i="12" a="1"/>
  <c r="G15" i="12" s="1"/>
  <c r="CD15" i="5"/>
  <c r="CK15" i="5" s="1"/>
  <c r="K15" i="7"/>
  <c r="I15" i="7"/>
  <c r="H15" i="7"/>
  <c r="J15" i="7"/>
  <c r="G15" i="7"/>
  <c r="F15" i="7"/>
  <c r="F15" i="16" a="1"/>
  <c r="F15" i="16" s="1"/>
  <c r="F15" i="14" a="1"/>
  <c r="F15" i="14" s="1"/>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X4" i="5" s="1"/>
  <c r="T4" i="5"/>
  <c r="V4" i="44"/>
  <c r="U4" i="44"/>
  <c r="S4" i="44" s="1"/>
  <c r="P4" i="44"/>
  <c r="O4" i="44"/>
  <c r="N4" i="44"/>
  <c r="E15" i="44"/>
  <c r="M4" i="44"/>
  <c r="G4" i="6"/>
  <c r="F4" i="6"/>
  <c r="BE4" i="5" l="1"/>
  <c r="AJ4" i="5"/>
  <c r="I15" i="16"/>
  <c r="I4" i="16" s="1"/>
  <c r="H15" i="16"/>
  <c r="H4" i="16" s="1"/>
  <c r="F15" i="44" a="1"/>
  <c r="F15" i="44" s="1"/>
  <c r="F4" i="44" s="1"/>
  <c r="L4" i="5"/>
  <c r="J4" i="5"/>
  <c r="AL4" i="5"/>
  <c r="BS4" i="5"/>
  <c r="AV4" i="5"/>
  <c r="BT4" i="5"/>
  <c r="AM4" i="5"/>
  <c r="AJ4" i="7"/>
  <c r="AM4" i="7"/>
  <c r="AP4" i="5"/>
  <c r="P6" i="2"/>
  <c r="D6" i="2"/>
  <c r="H6" i="2"/>
  <c r="AI4" i="7"/>
  <c r="AO4" i="7"/>
  <c r="AP4" i="7"/>
  <c r="J15" i="44"/>
  <c r="J4" i="44" s="1"/>
  <c r="BU15" i="12" l="1" a="1"/>
  <c r="BU15" i="12" s="1"/>
  <c r="AU4" i="5"/>
  <c r="AT4" i="5" s="1"/>
  <c r="BN4" i="5" l="1"/>
  <c r="BU4" i="5" s="1"/>
  <c r="AA4" i="46"/>
  <c r="Z4" i="46"/>
  <c r="S4" i="46"/>
  <c r="T4" i="46"/>
  <c r="BQ4" i="5" l="1"/>
  <c r="L6" i="2" s="1"/>
  <c r="AN4" i="46"/>
  <c r="AG4" i="46"/>
  <c r="AO4" i="46"/>
  <c r="AH4" i="46"/>
  <c r="H15" i="12" l="1" a="1"/>
  <c r="H15" i="12" s="1"/>
  <c r="O15" i="12" a="1"/>
  <c r="O15" i="12" s="1"/>
  <c r="V15" i="8"/>
  <c r="D15" i="40"/>
  <c r="J4" i="40"/>
  <c r="F4" i="40"/>
  <c r="I4" i="40" s="1"/>
  <c r="E4" i="40"/>
  <c r="G4" i="40" s="1"/>
  <c r="O15" i="36" l="1" a="1"/>
  <c r="O15" i="36" s="1"/>
  <c r="I15" i="12" a="1"/>
  <c r="I15" i="12" s="1"/>
  <c r="CR4" i="5"/>
  <c r="O15" i="14"/>
  <c r="CC15" i="12"/>
  <c r="CS4" i="5" l="1"/>
  <c r="CP4" i="5" s="1"/>
  <c r="BR15" i="12" a="1"/>
  <c r="BR15" i="12" s="1"/>
  <c r="J15" i="12" a="1"/>
  <c r="J15" i="12" s="1"/>
  <c r="CT4" i="5"/>
  <c r="Q4" i="14"/>
  <c r="P4" i="14"/>
  <c r="CU4" i="5" l="1"/>
  <c r="CQ4" i="5" s="1"/>
  <c r="BS15" i="12" a="1"/>
  <c r="BS15" i="12" s="1"/>
  <c r="O4" i="14"/>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D1" i="2"/>
  <c r="H4" i="15"/>
  <c r="S4" i="14"/>
  <c r="H4" i="8"/>
  <c r="J4" i="8" s="1"/>
  <c r="R1" i="2"/>
  <c r="T4" i="14" l="1"/>
  <c r="N4" i="14"/>
  <c r="BR4" i="12"/>
  <c r="BS4" i="12"/>
  <c r="J4" i="12"/>
  <c r="G15" i="10"/>
  <c r="G4" i="10" s="1"/>
  <c r="I15" i="10"/>
  <c r="I4" i="10" s="1"/>
  <c r="H15" i="10"/>
  <c r="F15" i="10"/>
  <c r="P15" i="10" s="1"/>
  <c r="BV4" i="12"/>
  <c r="I4" i="7"/>
  <c r="F4" i="7"/>
  <c r="H4" i="7" s="1"/>
  <c r="G4" i="7"/>
  <c r="J4" i="7" s="1"/>
  <c r="M15" i="12" a="1"/>
  <c r="M15" i="12" s="1"/>
  <c r="K15" i="12" a="1"/>
  <c r="K15" i="12" s="1"/>
  <c r="U4" i="14"/>
  <c r="N15" i="10" l="1"/>
  <c r="Q15" i="10"/>
  <c r="AA15" i="10" s="1"/>
  <c r="O15" i="10"/>
  <c r="J4" i="10"/>
  <c r="F4" i="10"/>
  <c r="AC15" i="10" l="1"/>
  <c r="AD15" i="10"/>
  <c r="AB15" i="10"/>
  <c r="O4" i="10"/>
  <c r="N4" i="10"/>
  <c r="BW15" i="12" a="1"/>
  <c r="BW15" i="12" s="1"/>
  <c r="BJ15" i="46" a="1"/>
  <c r="BJ15" i="46" s="1"/>
  <c r="H4" i="10"/>
  <c r="P4" i="10"/>
  <c r="AH15" i="10" l="1"/>
  <c r="AF15" i="10"/>
  <c r="AE15" i="10"/>
  <c r="BJ4" i="46"/>
  <c r="Q4" i="10"/>
  <c r="U4" i="10" s="1"/>
  <c r="AA4" i="10" l="1"/>
  <c r="AB4" i="10"/>
  <c r="Z4" i="10" l="1"/>
  <c r="X4" i="10"/>
  <c r="N15" i="12" a="1"/>
  <c r="N15" i="12" s="1"/>
  <c r="AF4" i="10"/>
  <c r="AC4" i="10"/>
  <c r="BW4" i="12"/>
  <c r="AE4" i="10" l="1"/>
  <c r="AD4" i="10"/>
  <c r="BC15" i="46" a="1"/>
  <c r="BC15" i="46" s="1"/>
  <c r="BC4" i="46" s="1"/>
  <c r="K4" i="36"/>
  <c r="G4" i="36"/>
  <c r="M4" i="36"/>
  <c r="N4" i="12" l="1"/>
  <c r="O4" i="8" l="1"/>
  <c r="AD4" i="7"/>
  <c r="T4" i="8"/>
  <c r="AE4" i="7"/>
  <c r="N4" i="8" l="1"/>
  <c r="L4" i="8"/>
  <c r="AA4" i="7"/>
  <c r="AC4" i="7"/>
  <c r="BT4" i="12"/>
  <c r="L15" i="12" l="1" a="1"/>
  <c r="L15" i="12" s="1"/>
  <c r="AF4" i="7"/>
  <c r="BA4" i="7" l="1"/>
  <c r="AL4" i="7"/>
  <c r="AN4" i="7"/>
  <c r="AG4" i="7"/>
  <c r="CB4" i="5"/>
  <c r="BU4" i="12"/>
  <c r="K4" i="12" l="1"/>
  <c r="AR4" i="7"/>
  <c r="AT4" i="7" s="1"/>
  <c r="I4" i="36"/>
  <c r="AV4" i="7"/>
  <c r="AU4" i="7" l="1"/>
  <c r="BB4" i="7"/>
  <c r="BB15" i="46" a="1"/>
  <c r="BB15" i="46" s="1"/>
  <c r="BB4" i="46" s="1"/>
  <c r="AW4" i="7"/>
  <c r="AY4" i="7"/>
  <c r="AX4" i="7"/>
  <c r="CC4" i="5"/>
  <c r="L4" i="12" l="1"/>
  <c r="C4" i="20"/>
  <c r="F4" i="20"/>
  <c r="E4" i="20" l="1"/>
  <c r="D4" i="20"/>
  <c r="G4" i="20"/>
  <c r="Q4" i="8"/>
  <c r="S4" i="8" s="1"/>
  <c r="R4" i="8" l="1"/>
  <c r="CD4" i="5"/>
  <c r="U4" i="8"/>
  <c r="V4" i="20" l="1"/>
  <c r="T4" i="20"/>
  <c r="U4" i="20" s="1"/>
  <c r="M4" i="12"/>
  <c r="CE4" i="5"/>
  <c r="L4" i="20"/>
  <c r="M4" i="20" s="1"/>
  <c r="AV15" i="46" l="1" a="1"/>
  <c r="AV15" i="46" s="1"/>
  <c r="AV4" i="46" s="1"/>
  <c r="AU15" i="46" a="1"/>
  <c r="AU15" i="46" s="1"/>
  <c r="AU4" i="46" s="1"/>
  <c r="N4" i="20"/>
  <c r="Q4" i="20" l="1"/>
  <c r="O4" i="20"/>
  <c r="F4" i="9"/>
  <c r="H4" i="9" s="1"/>
  <c r="L4" i="9"/>
  <c r="M4" i="9"/>
  <c r="U4" i="9" s="1"/>
  <c r="J4" i="9" l="1"/>
  <c r="G4" i="9"/>
  <c r="N4" i="9"/>
  <c r="K4" i="6"/>
  <c r="H4" i="6"/>
  <c r="W4" i="9"/>
  <c r="BV4" i="5"/>
  <c r="I4" i="9" l="1"/>
  <c r="AZ15" i="7"/>
  <c r="AZ4" i="7" s="1"/>
  <c r="AG15" i="10"/>
  <c r="Y15" i="8"/>
  <c r="BZ4" i="5"/>
  <c r="BC4" i="5" s="1"/>
  <c r="Z15" i="8"/>
  <c r="Z4" i="9"/>
  <c r="O4" i="9"/>
  <c r="AA4" i="9"/>
  <c r="X4" i="9"/>
  <c r="Y4" i="9" s="1"/>
  <c r="BW4" i="5"/>
  <c r="K4" i="9" l="1"/>
  <c r="CV4" i="5"/>
  <c r="CN4" i="5"/>
  <c r="BY4" i="5"/>
  <c r="CM4" i="5"/>
  <c r="CL4" i="5"/>
  <c r="CK4" i="5"/>
  <c r="CJ4" i="5"/>
  <c r="CI4" i="5"/>
  <c r="CH4" i="5"/>
  <c r="BI15" i="12"/>
  <c r="AU15" i="12"/>
  <c r="AV15" i="12" s="1"/>
  <c r="AR15" i="12"/>
  <c r="AS15" i="12" s="1"/>
  <c r="AX15" i="12"/>
  <c r="AY15" i="12" s="1"/>
  <c r="BC15" i="12"/>
  <c r="AO15" i="12"/>
  <c r="AP15" i="12" s="1"/>
  <c r="BM15" i="12"/>
  <c r="BN15" i="12" s="1"/>
  <c r="BG15" i="12"/>
  <c r="BH15" i="12" s="1"/>
  <c r="AL15" i="12"/>
  <c r="AM15" i="12" s="1"/>
  <c r="AI15" i="12"/>
  <c r="AJ15" i="12" s="1"/>
  <c r="BA15" i="12"/>
  <c r="BB15" i="12" s="1"/>
  <c r="BD15" i="12"/>
  <c r="BP15" i="12"/>
  <c r="BO15" i="12"/>
  <c r="BO4" i="12" s="1"/>
  <c r="BJ15" i="12"/>
  <c r="Q15" i="12"/>
  <c r="AG15" i="12"/>
  <c r="T15" i="12"/>
  <c r="U15" i="12"/>
  <c r="S15" i="12"/>
  <c r="R15" i="12"/>
  <c r="CA4" i="5"/>
  <c r="CO4" i="5" s="1"/>
  <c r="P15" i="12"/>
  <c r="AG4" i="10"/>
  <c r="AH4" i="10" s="1"/>
  <c r="AA15" i="8"/>
  <c r="V4" i="8"/>
  <c r="W4" i="8" s="1"/>
  <c r="BD15" i="7"/>
  <c r="AJ15" i="10"/>
  <c r="S15" i="36"/>
  <c r="H4" i="12"/>
  <c r="CF4" i="5"/>
  <c r="AK15" i="36" l="1"/>
  <c r="AL15" i="36" s="1"/>
  <c r="AC15" i="36"/>
  <c r="AC4" i="36" s="1"/>
  <c r="BE15" i="12"/>
  <c r="AG15" i="36"/>
  <c r="AG4" i="36" s="1"/>
  <c r="BK15" i="12"/>
  <c r="U15" i="36"/>
  <c r="U4" i="36" s="1"/>
  <c r="W15" i="36"/>
  <c r="W4" i="36" s="1"/>
  <c r="Y15" i="36"/>
  <c r="Y4" i="36" s="1"/>
  <c r="AE15" i="36"/>
  <c r="AE4" i="36" s="1"/>
  <c r="AA15" i="36"/>
  <c r="AA4" i="36" s="1"/>
  <c r="BE4" i="12"/>
  <c r="BD4" i="12"/>
  <c r="BQ15" i="12"/>
  <c r="BQ4" i="12" s="1"/>
  <c r="BJ4" i="12"/>
  <c r="BK4" i="12"/>
  <c r="Q4" i="12"/>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AR4" i="12"/>
  <c r="AJ15" i="36" l="1"/>
  <c r="BC4" i="12"/>
  <c r="Z4" i="12"/>
  <c r="AT4" i="12"/>
  <c r="X4" i="12"/>
  <c r="AN4" i="12"/>
  <c r="AF4" i="12"/>
  <c r="BL4" i="12"/>
  <c r="V4" i="12"/>
  <c r="Y4" i="12"/>
  <c r="AQ4" i="12"/>
  <c r="AA4" i="12"/>
  <c r="AW4" i="12"/>
  <c r="AB4" i="12"/>
  <c r="AZ4" i="12"/>
  <c r="AD4" i="12"/>
  <c r="BF4" i="12"/>
  <c r="W4" i="12"/>
  <c r="AK4" i="12"/>
  <c r="AE4" i="12"/>
  <c r="BI4" i="12"/>
  <c r="AC4" i="12"/>
  <c r="AJ4" i="12"/>
  <c r="AH4" i="12" s="1"/>
  <c r="BX15" i="12"/>
  <c r="BY15" i="12" s="1"/>
  <c r="BZ15" i="12" s="1"/>
  <c r="AG4" i="12" l="1"/>
  <c r="O4" i="36"/>
  <c r="G15" i="16"/>
  <c r="G4" i="16" s="1"/>
  <c r="Q4" i="36"/>
  <c r="BI15" i="46" l="1" a="1"/>
  <c r="BI15" i="46" s="1"/>
  <c r="BI4" i="46" s="1"/>
  <c r="AJ4" i="36"/>
  <c r="AL4" i="36" s="1"/>
  <c r="L15" i="44"/>
  <c r="L4" i="44" s="1"/>
  <c r="BX4" i="12"/>
  <c r="BY4" i="12" l="1"/>
  <c r="BZ4" i="12" s="1"/>
  <c r="O4" i="12" l="1"/>
  <c r="CG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Z3" authorId="0" shapeId="0" xr:uid="{178F0F06-2EAF-1C4A-A595-51E401BF1B9C}">
      <text>
        <r>
          <rPr>
            <sz val="10"/>
            <color rgb="FF000000"/>
            <rFont val="Tahoma"/>
            <family val="2"/>
          </rPr>
          <t>Defaults to the higher of 90%, or the Estimated Host Country Diagnosis Rate.</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T3" authorId="0" shapeId="0" xr:uid="{159659A3-B5D7-0B4C-B5D3-73D03A4E82D0}">
      <text>
        <r>
          <rPr>
            <sz val="10"/>
            <color rgb="FF000000"/>
            <rFont val="Tahoma"/>
            <family val="2"/>
          </rPr>
          <t>This currently takes into account new infections but not mortality in both the numerator and denominator.</t>
        </r>
      </text>
    </comment>
    <comment ref="BU3" authorId="0" shapeId="0" xr:uid="{023C1A10-F0BC-8D4C-BB93-A1477BF969E7}">
      <text>
        <r>
          <rPr>
            <sz val="10"/>
            <color rgb="FF000000"/>
            <rFont val="Tahoma"/>
            <family val="2"/>
          </rPr>
          <t>Specifically, of the prev. infected counted in TX_NEW (excluding New Infections), what % had previously been diagnosed?</t>
        </r>
      </text>
    </comment>
    <comment ref="CB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C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D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E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O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P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Q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S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U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<sst xmlns="http://schemas.openxmlformats.org/spreadsheetml/2006/main" count="4618" uniqueCount="1216">
  <si>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</si>
  <si>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</si>
  <si>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</si>
  <si>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</si>
  <si>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</si>
  <si>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</si>
  <si>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</si>
  <si>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</si>
  <si>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</si>
  <si>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</si>
  <si>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</si>
  <si>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</si>
  <si>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</si>
  <si>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</si>
  <si>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</si>
  <si>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</si>
  <si>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</si>
  <si>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</si>
  <si>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</si>
  <si>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</si>
  <si>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</si>
  <si>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</si>
  <si>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</si>
  <si>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</si>
  <si>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</si>
  <si>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</si>
  <si>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</si>
  <si>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</si>
  <si>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</si>
  <si>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</si>
  <si>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</si>
  <si>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</si>
  <si>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</si>
  <si>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</si>
  <si>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</si>
  <si>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</si>
  <si>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</si>
  <si>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</si>
  <si>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</si>
  <si>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</si>
  <si>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</si>
  <si>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</si>
  <si>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</si>
  <si>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</si>
  <si>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</si>
  <si>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</si>
  <si>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</si>
  <si>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</si>
  <si>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</si>
  <si>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</si>
  <si>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</si>
  <si>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</si>
  <si>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</si>
  <si>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</si>
  <si>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</si>
  <si>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</si>
  <si>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</si>
  <si>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</si>
  <si>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</si>
  <si>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</si>
  <si>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</si>
  <si>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</si>
  <si>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</si>
  <si>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</si>
  <si>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</si>
  <si>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</si>
  <si>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</si>
  <si>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</si>
  <si>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</si>
  <si>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</si>
  <si>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</si>
  <si>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</si>
  <si>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</si>
  <si>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</si>
  <si>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</si>
  <si>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</si>
  <si>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</si>
  <si>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</si>
  <si>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</si>
  <si>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</si>
  <si>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</si>
  <si>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</si>
  <si>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</si>
  <si>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</si>
  <si>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</si>
  <si>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</si>
  <si>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</si>
  <si>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</si>
  <si>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</si>
  <si>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</si>
  <si>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</si>
  <si>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</si>
  <si>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</si>
  <si>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</si>
  <si>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</si>
  <si>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</si>
  <si>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</si>
  <si>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</si>
  <si>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</si>
  <si>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</si>
  <si>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</si>
  <si>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</si>
  <si>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</si>
  <si>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</si>
  <si>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</si>
  <si>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</si>
  <si>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</si>
  <si>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</si>
  <si>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</si>
  <si>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</si>
  <si>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</si>
  <si>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</si>
  <si>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</si>
  <si>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</si>
  <si>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</si>
  <si>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</si>
  <si>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</si>
  <si>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</si>
  <si>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</si>
  <si>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</si>
  <si>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</si>
  <si>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</si>
  <si>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</si>
  <si>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</si>
  <si>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</si>
  <si>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</si>
  <si>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</si>
  <si>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</si>
  <si>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</si>
  <si>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</si>
  <si>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</si>
  <si>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</si>
  <si>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</si>
  <si>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</si>
  <si>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</si>
  <si>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</si>
  <si>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</si>
  <si>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</si>
  <si>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</si>
  <si>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</si>
  <si>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</si>
  <si>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</si>
  <si>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</si>
  <si>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</si>
  <si>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</si>
  <si>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</si>
  <si>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</si>
  <si>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</si>
  <si>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</si>
  <si>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</si>
  <si>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</si>
  <si>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</si>
  <si>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</si>
  <si>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</si>
  <si>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</si>
  <si>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</si>
  <si>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</si>
  <si>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</si>
  <si>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</si>
  <si>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</si>
  <si>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</si>
  <si>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</si>
  <si>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</si>
  <si>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</si>
  <si>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</si>
  <si>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</si>
  <si>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</si>
  <si>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</si>
  <si>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</si>
  <si>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</si>
  <si>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</si>
  <si>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</si>
  <si>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</si>
  <si>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</si>
  <si>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</si>
  <si>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</si>
  <si>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</si>
  <si>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</si>
  <si>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</si>
  <si>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</si>
  <si>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</si>
  <si>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</si>
  <si>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</si>
  <si>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</si>
  <si>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</si>
  <si>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</si>
  <si>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</si>
  <si>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</si>
  <si>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</si>
  <si>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</si>
  <si>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</si>
  <si>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</si>
  <si>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</si>
  <si>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</si>
  <si>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</si>
  <si>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</si>
  <si>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</si>
  <si>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</si>
  <si>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</si>
  <si>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</si>
  <si>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</si>
  <si>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</si>
  <si>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</si>
  <si>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</si>
  <si>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</si>
  <si>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</si>
  <si>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</si>
  <si>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</si>
  <si>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</si>
  <si>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</si>
  <si>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</si>
  <si>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</si>
  <si>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</si>
  <si>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</si>
  <si>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</si>
  <si>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</si>
  <si>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</si>
  <si>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</si>
  <si>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</si>
  <si>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</si>
  <si>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</si>
  <si>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</si>
  <si>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</si>
  <si>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</si>
  <si>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</si>
  <si>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</si>
  <si>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</si>
  <si>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</si>
  <si>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</si>
  <si>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</si>
  <si>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</si>
  <si>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</si>
  <si>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</si>
  <si>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</si>
  <si>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</si>
  <si>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</si>
  <si>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</si>
  <si>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</si>
  <si>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</si>
  <si>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</si>
  <si>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</si>
  <si>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</si>
  <si>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</si>
  <si>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</si>
  <si>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</si>
  <si>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</si>
  <si>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</si>
  <si>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</si>
  <si>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</si>
  <si>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</si>
  <si>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</si>
  <si>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</si>
  <si>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</si>
  <si>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</si>
  <si>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</si>
  <si>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</si>
  <si>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</si>
  <si>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</si>
  <si>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</si>
  <si>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</si>
  <si>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</si>
  <si>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</si>
  <si>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</si>
  <si>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</si>
  <si>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</si>
  <si>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</si>
  <si>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</si>
  <si>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</si>
  <si>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</si>
  <si>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</si>
  <si>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</si>
  <si>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</si>
  <si>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</si>
  <si>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</si>
  <si>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</si>
  <si>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</si>
  <si>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</si>
  <si>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</si>
  <si>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</si>
  <si>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</si>
  <si>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</si>
  <si>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</si>
  <si>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</si>
  <si>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</si>
  <si>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</si>
  <si>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</si>
  <si>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</si>
  <si>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</si>
  <si>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</si>
  <si>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</si>
  <si>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</si>
  <si>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</si>
  <si>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</si>
  <si>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</si>
  <si>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</si>
  <si>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</si>
  <si>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</si>
  <si>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</si>
  <si>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</si>
  <si>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</si>
  <si>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</si>
  <si>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</si>
  <si>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</si>
  <si>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</si>
  <si>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</si>
  <si>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</si>
  <si>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</si>
  <si>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</si>
  <si>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</si>
  <si>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</si>
  <si>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</si>
  <si>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</si>
  <si>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</si>
  <si>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</si>
  <si>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</si>
  <si>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</si>
  <si>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</si>
  <si>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</si>
  <si>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</si>
  <si>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</si>
  <si>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</si>
  <si>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</si>
  <si>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</si>
  <si>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</si>
  <si>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</si>
  <si>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</si>
  <si>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</si>
  <si>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</si>
  <si>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</si>
  <si>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</si>
  <si>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</si>
  <si>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</si>
  <si>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</si>
  <si>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</si>
  <si>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</si>
  <si>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</si>
  <si>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</si>
  <si>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</si>
  <si>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</si>
  <si>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</si>
  <si>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</si>
  <si>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</si>
  <si>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</si>
  <si>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</si>
  <si>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</si>
  <si>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</si>
  <si>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</si>
  <si>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</si>
  <si>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</si>
  <si>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</si>
  <si>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</si>
  <si>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</si>
  <si>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</si>
  <si>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</si>
  <si>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</si>
  <si>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</si>
  <si>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</si>
  <si>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</si>
  <si>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</si>
  <si>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</si>
  <si>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</si>
  <si>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</si>
  <si>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</si>
  <si>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</si>
  <si>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</si>
  <si>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</si>
  <si>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</si>
  <si>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</si>
  <si>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</si>
  <si>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</si>
  <si>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</si>
  <si>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</si>
  <si>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</si>
  <si>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</si>
  <si>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</si>
  <si>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</si>
  <si>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</si>
  <si>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</si>
  <si>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</si>
  <si>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</si>
  <si>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</si>
  <si>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</si>
  <si>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</si>
  <si>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</si>
  <si>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</si>
  <si>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</si>
  <si>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</si>
  <si>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</si>
  <si>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</si>
  <si>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</si>
  <si>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</si>
  <si>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</si>
  <si>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</si>
  <si>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</si>
  <si>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</si>
  <si>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</si>
  <si>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</si>
  <si>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</si>
  <si>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</si>
  <si>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</si>
  <si>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</si>
  <si>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</si>
  <si>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</si>
  <si>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</si>
  <si>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</si>
  <si>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</si>
  <si>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</si>
  <si>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</si>
  <si>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</si>
  <si>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</si>
  <si>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</si>
  <si>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</si>
  <si>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</si>
  <si>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</si>
  <si>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</si>
  <si>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</si>
  <si>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</si>
  <si>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</si>
  <si>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</si>
  <si>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</si>
  <si>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</si>
  <si>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</si>
  <si>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</si>
  <si>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</si>
  <si>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</si>
  <si>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</si>
  <si>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</si>
  <si>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</si>
  <si>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</si>
  <si>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</si>
  <si>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</si>
  <si>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</si>
  <si>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</si>
  <si>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</si>
  <si>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</si>
  <si>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</si>
  <si>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</si>
  <si>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</si>
  <si>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</si>
  <si>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</si>
  <si>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</si>
  <si>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</si>
  <si>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</si>
  <si>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</si>
  <si>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</si>
  <si>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</si>
  <si>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</si>
  <si>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</si>
  <si>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</si>
  <si>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</si>
  <si>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</si>
  <si>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</si>
  <si>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</si>
  <si>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</si>
  <si>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</si>
  <si>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</si>
  <si>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</si>
  <si>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</si>
  <si>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</si>
  <si>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</si>
  <si>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</si>
  <si>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</si>
  <si>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</si>
  <si>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</si>
  <si>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</si>
  <si>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</si>
  <si>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</si>
  <si>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</si>
  <si>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</si>
  <si>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</si>
  <si>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</si>
  <si>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</si>
  <si>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</si>
  <si>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</si>
  <si>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</si>
  <si>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</si>
  <si>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</si>
  <si>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</si>
  <si>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</si>
  <si>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</si>
  <si>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</si>
  <si>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</si>
  <si>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</si>
  <si>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</si>
  <si>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</si>
  <si>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</si>
  <si>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</si>
  <si>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</si>
  <si>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</si>
  <si>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</si>
  <si>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</si>
  <si>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</si>
  <si>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</si>
  <si>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</si>
  <si>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</si>
  <si>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</si>
  <si>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</si>
  <si>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</si>
  <si>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</si>
  <si>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</si>
  <si>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</si>
  <si>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</si>
  <si>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</si>
  <si>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</si>
  <si>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</si>
  <si>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</si>
  <si>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</si>
  <si>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</si>
  <si>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</si>
  <si>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</si>
  <si>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</si>
  <si>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</si>
  <si>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</si>
  <si>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</si>
  <si>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</si>
  <si>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</si>
  <si>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</si>
  <si>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</si>
  <si>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</si>
  <si>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</si>
  <si>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</si>
  <si>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</si>
  <si>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</si>
  <si>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</si>
  <si>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</si>
  <si>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</si>
  <si>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</si>
  <si>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</si>
  <si>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</si>
  <si>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</si>
  <si>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</si>
  <si>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</si>
  <si>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</si>
  <si>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</si>
  <si>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</si>
  <si>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</si>
  <si>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</si>
  <si>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</si>
  <si>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</si>
  <si>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</si>
  <si>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</si>
  <si>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</si>
  <si>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</si>
  <si>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</si>
  <si>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</si>
  <si>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</si>
  <si>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</si>
  <si>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</si>
  <si>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</si>
  <si>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</si>
  <si>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</si>
  <si>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</si>
  <si>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</si>
  <si>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</si>
  <si>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</si>
  <si>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</si>
  <si>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</si>
  <si>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</si>
  <si>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</si>
  <si>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</si>
  <si>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</si>
  <si>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</si>
  <si>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</si>
  <si>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</si>
  <si>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</si>
  <si>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</si>
  <si>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</si>
  <si>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</si>
  <si>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</si>
  <si>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</si>
  <si>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</si>
  <si>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</si>
  <si>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</si>
  <si>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</si>
  <si>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</si>
  <si>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</si>
  <si>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</si>
  <si>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</si>
  <si>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</si>
  <si>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</si>
  <si>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</si>
  <si>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</si>
  <si>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</si>
  <si>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</si>
  <si>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</si>
  <si>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</si>
  <si>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</si>
  <si>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</si>
  <si>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</si>
  <si>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</si>
  <si>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</si>
  <si>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</si>
  <si>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</si>
  <si>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</si>
  <si>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</si>
  <si>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</si>
  <si>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</si>
  <si>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</si>
  <si>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</si>
  <si>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</si>
  <si>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</si>
  <si>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</si>
  <si>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</si>
  <si>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</si>
  <si>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</si>
  <si>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</si>
  <si>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</si>
  <si>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</si>
  <si>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</si>
  <si>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</si>
  <si>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</si>
  <si>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</si>
  <si>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</si>
  <si>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</si>
  <si>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</si>
  <si>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</si>
  <si>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</si>
  <si>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</si>
  <si>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</si>
  <si>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</si>
  <si>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</si>
  <si>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</si>
  <si>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</si>
  <si>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</si>
  <si>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</si>
  <si>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</si>
  <si>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</si>
  <si>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</si>
  <si>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</si>
  <si>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</si>
  <si>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</si>
  <si>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</si>
  <si>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</si>
  <si>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</si>
  <si>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</si>
  <si>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</si>
  <si>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</si>
  <si>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</si>
  <si>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</si>
  <si>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</si>
  <si>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</si>
  <si>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</si>
  <si>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</si>
  <si>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</si>
  <si>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</si>
  <si>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</si>
  <si>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</si>
  <si>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</si>
  <si>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</si>
  <si>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</si>
  <si>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</si>
  <si>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</si>
  <si>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</si>
  <si>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</si>
  <si>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</si>
  <si>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</si>
  <si>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</si>
  <si>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</si>
  <si>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</si>
  <si>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</si>
  <si>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</si>
  <si>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</si>
  <si>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</si>
  <si>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</si>
  <si>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</si>
  <si>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</si>
  <si>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</si>
  <si>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</si>
  <si>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</si>
  <si>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</si>
  <si>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</si>
  <si>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</si>
  <si>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</si>
  <si>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</si>
  <si>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</si>
  <si>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</si>
  <si>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</si>
  <si>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</si>
  <si>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</si>
  <si>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</si>
  <si>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</si>
  <si>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</si>
  <si>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</si>
  <si>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</si>
  <si>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</si>
  <si>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</si>
  <si>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</si>
  <si>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</si>
  <si>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</si>
  <si>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</si>
  <si>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</si>
  <si>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</si>
  <si>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</si>
  <si>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</si>
  <si>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</si>
  <si>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</si>
  <si>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</si>
  <si>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</si>
  <si>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</si>
  <si>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</si>
  <si>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</si>
  <si>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</si>
  <si>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</si>
  <si>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</si>
  <si>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</si>
  <si>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</si>
  <si>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</si>
  <si>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</si>
  <si>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</si>
  <si>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</si>
  <si>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</si>
  <si>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</si>
  <si>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</si>
  <si>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</si>
  <si>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</si>
  <si>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</si>
  <si>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</si>
  <si>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</si>
  <si>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</si>
  <si>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</si>
  <si>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</si>
  <si>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</si>
  <si>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</si>
  <si>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</si>
  <si>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</si>
  <si>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</si>
  <si>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</si>
  <si>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</si>
  <si>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</si>
  <si>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</si>
  <si>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</si>
  <si>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</si>
  <si>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</si>
  <si>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</si>
  <si>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</si>
  <si>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</si>
  <si>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</si>
  <si>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</si>
  <si>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</si>
  <si>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</si>
  <si>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</si>
  <si>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</si>
  <si>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</si>
  <si>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</si>
  <si>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</si>
  <si>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</si>
  <si>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</si>
  <si>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</si>
  <si>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</si>
  <si>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</si>
  <si>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</si>
  <si>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</si>
  <si>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</si>
  <si>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</si>
  <si>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</si>
  <si>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</si>
  <si>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</si>
  <si>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</si>
  <si>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</si>
  <si>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</si>
  <si>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</si>
  <si>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</si>
  <si>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</si>
  <si>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</si>
  <si>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</si>
  <si>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</si>
  <si>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</si>
  <si>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</si>
  <si>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</si>
  <si>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</si>
  <si>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</si>
  <si>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</si>
  <si>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</si>
  <si>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</si>
  <si>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</si>
  <si>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</si>
  <si>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</si>
  <si>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</si>
  <si>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</si>
  <si>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</si>
  <si>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</si>
  <si>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</si>
  <si>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</si>
  <si>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</si>
  <si>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</si>
  <si>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</si>
  <si>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</si>
  <si>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</si>
  <si>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</si>
  <si>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</si>
  <si>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</si>
  <si>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</si>
  <si>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</si>
  <si>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</si>
  <si>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</si>
  <si>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</si>
  <si>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</si>
  <si>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</si>
  <si>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</si>
  <si>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</si>
  <si>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</si>
  <si>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</si>
  <si>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</si>
  <si>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</si>
  <si>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</si>
  <si>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</si>
  <si>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</si>
  <si>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</si>
  <si>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</si>
  <si>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</si>
  <si>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</si>
  <si>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</si>
  <si>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</si>
  <si>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</si>
  <si>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</si>
  <si>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</si>
  <si>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</si>
  <si>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</si>
  <si>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</si>
  <si>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</si>
  <si>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</si>
  <si>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</si>
  <si>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</si>
  <si>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</si>
  <si>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</si>
  <si>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</si>
  <si>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</si>
  <si>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</si>
  <si>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</si>
  <si>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</si>
  <si>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</si>
  <si>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</si>
  <si>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</si>
  <si>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</si>
  <si>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</si>
  <si>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</si>
  <si>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</si>
  <si>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</si>
  <si>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</si>
  <si>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</si>
  <si>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</si>
  <si>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</si>
  <si>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</si>
  <si>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</si>
  <si>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</si>
  <si>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</si>
  <si>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</si>
  <si>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</si>
  <si>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</si>
  <si>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</si>
  <si>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</si>
  <si>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</si>
  <si>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</si>
  <si>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</si>
  <si>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</si>
  <si>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</si>
  <si>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</si>
  <si>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</si>
  <si>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</si>
  <si>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</si>
  <si>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</si>
  <si>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</si>
  <si>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</si>
  <si>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</si>
  <si>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</si>
  <si>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</si>
  <si>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</si>
  <si>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</si>
  <si>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</si>
  <si>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</si>
  <si>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</si>
  <si>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</si>
  <si>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</si>
  <si>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</si>
  <si>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</si>
  <si>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</si>
  <si>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</si>
  <si>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</si>
  <si>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</si>
  <si>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</si>
  <si>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</si>
  <si>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</si>
  <si>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</si>
  <si>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</si>
  <si>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</si>
  <si>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</si>
  <si>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</si>
  <si>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</si>
  <si>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</si>
  <si>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</si>
  <si>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</si>
  <si>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</si>
  <si>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</si>
  <si>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</si>
  <si>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</si>
  <si>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</si>
  <si>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</si>
  <si>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</si>
  <si>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</si>
  <si>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</si>
  <si>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</si>
  <si>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</si>
  <si>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</si>
  <si>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</si>
  <si>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</si>
  <si>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</si>
  <si>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</si>
  <si>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</si>
  <si>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</si>
  <si>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</si>
  <si>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</si>
  <si>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</si>
  <si>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</si>
  <si>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</si>
  <si>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</si>
  <si>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</si>
  <si>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</si>
  <si>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</si>
  <si>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</si>
  <si>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</si>
  <si>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</si>
  <si>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</si>
  <si>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</si>
  <si>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</si>
  <si>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</si>
  <si>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</si>
  <si>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</si>
  <si>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</si>
  <si>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</si>
  <si>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</si>
  <si>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</si>
  <si>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</si>
  <si>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</si>
  <si>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</si>
  <si>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</si>
  <si>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</si>
  <si>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</si>
  <si>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</si>
  <si>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</si>
  <si>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</si>
  <si>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</si>
  <si>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</si>
  <si>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</si>
  <si>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</si>
  <si>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</si>
  <si>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</si>
  <si>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</si>
  <si>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</si>
  <si>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</si>
  <si>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</si>
  <si>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</si>
  <si>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</si>
  <si>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</si>
  <si>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</si>
  <si>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</si>
  <si>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</si>
  <si>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</si>
  <si>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</si>
  <si>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</si>
  <si>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</si>
  <si>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</si>
  <si>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</si>
  <si>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</si>
  <si>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</si>
  <si>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</si>
  <si>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</si>
  <si>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</si>
  <si>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</si>
  <si>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</si>
  <si>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</si>
  <si>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</si>
  <si>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</si>
  <si>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</si>
  <si>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</si>
  <si>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</si>
  <si>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</si>
  <si>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</si>
  <si>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</si>
  <si>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</si>
  <si>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</si>
  <si>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</si>
  <si>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</si>
  <si>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</si>
  <si>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</si>
  <si>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</si>
  <si>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</si>
  <si>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</si>
  <si>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</si>
  <si>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</si>
  <si>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</si>
  <si>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</si>
  <si>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</si>
  <si>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</si>
  <si>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</si>
  <si>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</si>
  <si>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</si>
  <si>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</si>
  <si>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</si>
  <si>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</si>
  <si>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</si>
  <si>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</si>
  <si>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</si>
  <si>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</si>
  <si>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</si>
  <si>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</si>
  <si>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</si>
  <si>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</si>
  <si>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</si>
  <si>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</si>
  <si>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</si>
  <si>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</si>
  <si>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</si>
  <si>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</si>
  <si>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</si>
  <si>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</si>
  <si>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</si>
  <si>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</si>
  <si>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</si>
  <si>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</si>
  <si>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</si>
  <si>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</si>
  <si>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</si>
  <si>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</si>
  <si>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</si>
  <si>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</si>
  <si>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</si>
  <si>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</si>
  <si>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</si>
  <si>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</si>
  <si>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</si>
  <si>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</si>
  <si>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</si>
  <si>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</si>
  <si>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</si>
  <si>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</si>
  <si>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</si>
  <si>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</si>
  <si>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</si>
  <si>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</si>
  <si>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</si>
  <si>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</si>
  <si>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</si>
  <si>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</si>
  <si>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</si>
  <si>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</si>
  <si>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</si>
  <si>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</si>
  <si>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</si>
  <si>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</si>
  <si>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</si>
  <si>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</si>
  <si>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</si>
  <si>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</si>
  <si>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</si>
  <si>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</si>
  <si>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</si>
  <si>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</si>
  <si>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</si>
  <si>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</si>
  <si>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</si>
  <si>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</si>
  <si>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</si>
  <si>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</si>
  <si>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</si>
  <si>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</si>
  <si>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</si>
  <si>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</si>
  <si>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</si>
  <si>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</si>
  <si>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</si>
  <si>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</si>
  <si>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</si>
  <si>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</si>
  <si>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</si>
  <si>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</si>
  <si>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</si>
  <si>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</si>
  <si>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</si>
  <si>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</si>
  <si>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</si>
  <si>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</si>
  <si>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</si>
  <si>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</si>
  <si>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</si>
  <si>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</si>
  <si>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</si>
  <si>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</si>
  <si>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</si>
  <si>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</si>
  <si>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</si>
  <si>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</si>
  <si>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</si>
  <si>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</si>
  <si>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</si>
  <si>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</si>
  <si>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</si>
  <si>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</si>
  <si>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</si>
  <si>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</si>
  <si>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</si>
  <si>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</si>
  <si>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</si>
  <si>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</si>
  <si>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</si>
  <si>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</si>
  <si>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</si>
  <si>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</si>
  <si>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</si>
  <si>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</si>
  <si>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</si>
  <si>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</si>
  <si>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</si>
  <si>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</si>
  <si>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</si>
  <si>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</si>
  <si>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</si>
  <si>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</si>
  <si>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</si>
  <si>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</si>
  <si>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</si>
  <si>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</si>
  <si>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</si>
  <si>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</si>
  <si>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</si>
  <si>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</si>
  <si>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</si>
  <si>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</si>
  <si>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</si>
  <si>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</si>
  <si>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</si>
  <si>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</si>
  <si>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</si>
  <si>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</si>
  <si>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</si>
  <si>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</si>
  <si>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</si>
  <si>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</si>
  <si>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</si>
  <si>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</si>
  <si>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</si>
  <si>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</si>
  <si>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</si>
  <si>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</si>
  <si>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</si>
  <si>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</si>
  <si>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</si>
  <si>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</si>
  <si>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</si>
  <si>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</si>
  <si>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</si>
  <si>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</si>
  <si>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</si>
  <si>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</si>
  <si>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</si>
  <si>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</si>
  <si>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</si>
  <si>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</si>
  <si>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</si>
  <si>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</si>
  <si>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</si>
  <si>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</si>
  <si>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</si>
  <si>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</si>
  <si>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</si>
  <si>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</si>
  <si>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</si>
  <si>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</si>
  <si>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</si>
  <si>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</si>
  <si>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</si>
  <si>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</si>
  <si>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</si>
  <si>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</si>
  <si>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</si>
  <si>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</si>
  <si>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</si>
  <si>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</si>
  <si>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</si>
  <si>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</si>
  <si>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</si>
  <si>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</si>
  <si>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</si>
  <si>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</si>
  <si>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New Infections Initiated on TX_CURR (FY23)</t>
  </si>
  <si>
    <t>Total Initiated on TX_CURR (FY23)</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</si>
  <si>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</si>
  <si>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</si>
  <si>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</si>
  <si>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</si>
  <si>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</si>
  <si>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</si>
  <si>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</si>
  <si>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Planned % New Infections Diagnosed &amp; Linked to ART (FY23) (%)</t>
  </si>
  <si>
    <t>Prev. PLHIV Initiated on TX_CURR (FY23)</t>
  </si>
  <si>
    <t>% Prev. PLHIV Initiated on ART who are Treatment Naive (FY23) (%)</t>
  </si>
  <si>
    <t>% Prev. Infected TX_NEW from Prev. Diagnosed (FY23) (%)</t>
  </si>
  <si>
    <t>TX_NEW from New Diagnosis (FY23)</t>
  </si>
  <si>
    <t>PLHIV.Undiagnosed.T_1</t>
  </si>
  <si>
    <t>DIAGNOSED_SUBNAT.NoART.T_1</t>
  </si>
  <si>
    <t>NEW_INFECTIONS_SUBNAT.ART.Rt.T_1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</si>
  <si>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</si>
  <si>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</si>
  <si>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</si>
  <si>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</si>
  <si>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</si>
  <si>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</si>
  <si>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</si>
  <si>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</si>
  <si>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</si>
  <si>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</si>
  <si>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</si>
  <si>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TX_CURR who likely have not Completed TPT in last 6 FYs (FY22)</t>
  </si>
  <si>
    <t>% Elgiible New on ART initiated on TPT (FY23) (%)</t>
  </si>
  <si>
    <t>% Eligible Already on ART initiated on TPT (FY23)</t>
  </si>
  <si>
    <t>Est. # Already on ART Eligible for TPT (FY23)</t>
  </si>
  <si>
    <t>TX_CURR.NoTPT.T_1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</si>
</sst>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27">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480">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31" fillId="0" borderId="0" xfId="0" applyNumberFormat="1" applyFont="1" applyAlignment="1">
      <alignment horizontal="righ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3" fontId="1" fillId="7"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3" fontId="35" fillId="7" borderId="0" xfId="1" applyNumberFormat="1" applyFont="1" applyFill="1" applyAlignment="1">
      <alignment horizontal="center" vertical="center" wrapText="1"/>
    </xf>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10" xfId="0" applyNumberFormat="1" applyFont="1" applyFill="1" applyBorder="1" applyAlignment="1">
      <alignment vertical="center"/>
    </xf>
    <xf numFmtId="3" fontId="28" fillId="0" borderId="10" xfId="0" applyNumberFormat="1" applyFont="1" applyBorder="1" applyAlignment="1">
      <alignment horizontal="right"/>
    </xf>
    <xf numFmtId="3" fontId="15" fillId="0" borderId="10" xfId="0" applyNumberFormat="1" applyFont="1" applyFill="1" applyBorder="1"/>
    <xf numFmtId="3" fontId="30" fillId="3" borderId="10" xfId="0" applyNumberFormat="1" applyFont="1" applyFill="1" applyBorder="1" applyAlignment="1">
      <alignment horizontal="left"/>
    </xf>
    <xf numFmtId="3" fontId="6" fillId="0" borderId="10" xfId="0" applyNumberFormat="1" applyFont="1" applyBorder="1"/>
    <xf numFmtId="3" fontId="34" fillId="7" borderId="10" xfId="5" applyNumberFormat="1" applyFont="1" applyFill="1" applyBorder="1" applyAlignment="1">
      <alignment horizontal="center" vertical="center" wrapText="1"/>
    </xf>
    <xf numFmtId="3" fontId="28" fillId="0" borderId="10" xfId="1" applyNumberFormat="1" applyFont="1" applyBorder="1"/>
    <xf numFmtId="0" fontId="15" fillId="0" borderId="10" xfId="0" applyFont="1" applyBorder="1"/>
    <xf numFmtId="3" fontId="15" fillId="7" borderId="10" xfId="5" applyNumberFormat="1" applyFont="1" applyFill="1" applyBorder="1" applyAlignment="1">
      <alignment horizontal="center" vertical="center" wrapText="1"/>
    </xf>
    <xf numFmtId="3" fontId="9" fillId="0" borderId="10" xfId="1" quotePrefix="1" applyNumberFormat="1" applyFont="1" applyBorder="1"/>
    <xf numFmtId="3" fontId="15" fillId="7" borderId="10" xfId="1" applyNumberFormat="1" applyFont="1" applyFill="1" applyBorder="1" applyAlignment="1">
      <alignment horizontal="center" vertical="center" wrapText="1"/>
    </xf>
    <xf numFmtId="3" fontId="15" fillId="0" borderId="10" xfId="1" applyNumberFormat="1" applyFont="1" applyBorder="1" applyAlignment="1">
      <alignment horizontal="right"/>
    </xf>
    <xf numFmtId="3" fontId="15" fillId="0" borderId="10" xfId="1" applyNumberFormat="1" applyFont="1" applyBorder="1"/>
    <xf numFmtId="3" fontId="15" fillId="0" borderId="10" xfId="1" applyNumberFormat="1" applyFont="1" applyFill="1" applyBorder="1"/>
    <xf numFmtId="3" fontId="28" fillId="2" borderId="0" xfId="1" applyNumberFormat="1" applyFont="1" applyFill="1" applyAlignment="1">
      <alignment horizontal="center" vertical="center" wrapText="1"/>
    </xf>
    <xf numFmtId="3" fontId="28" fillId="0" borderId="0" xfId="1" applyNumberFormat="1" applyFont="1"/>
    <xf numFmtId="0" fontId="15" fillId="0" borderId="0" xfId="0" applyFont="1"/>
    <xf numFmtId="10" fontId="28" fillId="2" borderId="0" xfId="1" applyNumberFormat="1" applyFont="1" applyFill="1" applyAlignment="1">
      <alignment horizontal="center" vertical="center" wrapText="1"/>
    </xf>
    <xf numFmtId="10" fontId="28" fillId="0" borderId="0" xfId="1" applyNumberFormat="1" applyFont="1"/>
    <xf numFmtId="3" fontId="9" fillId="0" borderId="10" xfId="1" applyNumberFormat="1" applyFont="1" applyBorder="1"/>
    <xf numFmtId="3" fontId="28" fillId="2" borderId="10" xfId="0" applyNumberFormat="1" applyFont="1" applyFill="1" applyBorder="1" applyAlignment="1">
      <alignment horizontal="center" vertical="center" wrapText="1"/>
    </xf>
    <xf numFmtId="3" fontId="28" fillId="0" borderId="10" xfId="0" applyNumberFormat="1" applyFont="1" applyBorder="1"/>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45"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1" t="s">
        <v>26</v>
      </c>
    </row>
    <row r="10" spans="2:2" ht="97" x14ac:dyDescent="0.2">
      <c r="B10" s="10" t="s">
        <v>785</v>
      </c>
    </row>
    <row r="20" spans="2:2" ht="82" x14ac:dyDescent="0.9">
      <c r="B20" s="4" t="s">
        <v>502</v>
      </c>
    </row>
    <row r="25" spans="2:2" x14ac:dyDescent="0.2">
      <c r="B25"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469" t="s">
        <v>70</v>
      </c>
      <c r="B1" s="469"/>
      <c r="C1" s="22"/>
      <c r="D1" s="23" t="str">
        <f>"Hello, "&amp;Home!$B$20&amp;" Team"</f>
        <v>Hello, Lesotho Team</v>
      </c>
      <c r="E1" s="22"/>
      <c r="F1" s="22"/>
      <c r="G1" s="22"/>
      <c r="H1" s="22"/>
      <c r="I1" s="22"/>
      <c r="J1" s="22"/>
      <c r="K1" s="22"/>
      <c r="L1" s="22"/>
      <c r="M1" s="22"/>
      <c r="N1" s="22"/>
      <c r="O1" s="22"/>
      <c r="P1" s="22"/>
      <c r="Q1" s="22"/>
      <c r="R1" s="24" t="str">
        <f ca="1">TEXT(TODAY(),"ddd, mmm dd")</f>
        <v>Wed, Dec 29</v>
      </c>
      <c r="S1" s="22"/>
    </row>
    <row r="2" spans="1:19" customFormat="1" ht="21" x14ac:dyDescent="0.25">
      <c r="A2" s="470" t="s">
        <v>1094</v>
      </c>
      <c r="B2" s="470"/>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763</v>
      </c>
      <c r="C5" s="22"/>
      <c r="D5" s="25" t="s">
        <v>1097</v>
      </c>
      <c r="E5" s="26"/>
      <c r="F5" s="27"/>
      <c r="G5" s="22"/>
      <c r="H5" s="25" t="s">
        <v>1098</v>
      </c>
      <c r="I5" s="26"/>
      <c r="J5" s="27"/>
      <c r="K5" s="22"/>
      <c r="L5" s="25" t="s">
        <v>1099</v>
      </c>
      <c r="M5" s="28"/>
      <c r="N5" s="27"/>
      <c r="O5" s="22"/>
      <c r="P5" s="25" t="s">
        <v>1100</v>
      </c>
      <c r="Q5" s="26"/>
      <c r="R5" s="27"/>
      <c r="S5" s="22"/>
    </row>
    <row r="6" spans="1:19" customFormat="1" ht="20" customHeight="1" x14ac:dyDescent="0.2">
      <c r="A6" s="13"/>
      <c r="B6" s="14"/>
      <c r="C6" s="22"/>
      <c r="D6" s="466" t="str">
        <f>IFERROR(SUM(Cascade!$T:$T)/SUM(Cascade!$H:$H),"")</f>
        <v/>
      </c>
      <c r="E6" s="467"/>
      <c r="F6" s="468"/>
      <c r="G6" s="22"/>
      <c r="H6" s="471">
        <f>SUM(Cascade!$T:$T)-Cascade!$T$4</f>
        <v>0</v>
      </c>
      <c r="I6" s="472"/>
      <c r="J6" s="473"/>
      <c r="K6" s="22"/>
      <c r="L6" s="471">
        <f>SUM(Cascade!$BQ:$BQ)-Cascade!$BQ$4</f>
        <v>0</v>
      </c>
      <c r="M6" s="472"/>
      <c r="N6" s="473"/>
      <c r="O6" s="22"/>
      <c r="P6" s="466" t="str">
        <f>IFERROR(SUM(Cascade!$H:$H)/SUM(Cascade!$F:$F),"")</f>
        <v/>
      </c>
      <c r="Q6" s="467"/>
      <c r="R6" s="468"/>
      <c r="S6" s="22"/>
    </row>
    <row r="7" spans="1:19" customFormat="1" ht="20" customHeight="1" x14ac:dyDescent="0.2">
      <c r="A7" s="148">
        <v>2</v>
      </c>
      <c r="B7" s="14" t="s">
        <v>764</v>
      </c>
      <c r="C7" s="22"/>
      <c r="D7" s="466"/>
      <c r="E7" s="467"/>
      <c r="F7" s="468"/>
      <c r="G7" s="22"/>
      <c r="H7" s="471"/>
      <c r="I7" s="472"/>
      <c r="J7" s="473"/>
      <c r="K7" s="22"/>
      <c r="L7" s="471"/>
      <c r="M7" s="472"/>
      <c r="N7" s="473"/>
      <c r="O7" s="22"/>
      <c r="P7" s="466"/>
      <c r="Q7" s="467"/>
      <c r="R7" s="468"/>
      <c r="S7" s="22"/>
    </row>
    <row r="8" spans="1:19" customFormat="1" ht="20" customHeight="1" x14ac:dyDescent="0.2">
      <c r="A8" s="13"/>
      <c r="B8" s="14"/>
      <c r="C8" s="22"/>
      <c r="D8" s="466"/>
      <c r="E8" s="467"/>
      <c r="F8" s="468"/>
      <c r="G8" s="22"/>
      <c r="H8" s="471"/>
      <c r="I8" s="472"/>
      <c r="J8" s="473"/>
      <c r="K8" s="22"/>
      <c r="L8" s="471"/>
      <c r="M8" s="472"/>
      <c r="N8" s="473"/>
      <c r="O8" s="22"/>
      <c r="P8" s="466"/>
      <c r="Q8" s="467"/>
      <c r="R8" s="468"/>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75"/>
      <c r="D10" s="275"/>
      <c r="E10" s="275"/>
      <c r="F10" s="275"/>
      <c r="G10" s="275"/>
      <c r="H10" s="275"/>
      <c r="I10" s="275"/>
      <c r="J10" s="275"/>
      <c r="K10" s="275"/>
      <c r="L10" s="275"/>
      <c r="M10" s="275"/>
      <c r="N10" s="275"/>
      <c r="O10" s="275"/>
      <c r="P10" s="275"/>
      <c r="Q10" s="275"/>
      <c r="R10" s="275"/>
      <c r="S10" s="275"/>
    </row>
    <row r="11" spans="1:19" customFormat="1" ht="30" customHeight="1" x14ac:dyDescent="0.2">
      <c r="A11" s="12"/>
      <c r="B11" s="7"/>
      <c r="C11" s="275"/>
      <c r="D11" s="276"/>
      <c r="E11" s="277"/>
      <c r="F11" s="277"/>
      <c r="G11" s="277"/>
      <c r="H11" s="277"/>
      <c r="I11" s="277"/>
      <c r="J11" s="277"/>
      <c r="K11" s="277"/>
      <c r="L11" s="277"/>
      <c r="M11" s="277"/>
      <c r="N11" s="277"/>
      <c r="O11" s="277"/>
      <c r="P11" s="277"/>
      <c r="Q11" s="277"/>
      <c r="R11" s="278"/>
      <c r="S11" s="275"/>
    </row>
    <row r="12" spans="1:19" customFormat="1" ht="30" customHeight="1" x14ac:dyDescent="0.2">
      <c r="A12" s="12"/>
      <c r="B12" s="7"/>
      <c r="C12" s="275"/>
      <c r="D12" s="279"/>
      <c r="E12" s="275"/>
      <c r="F12" s="275"/>
      <c r="G12" s="275"/>
      <c r="H12" s="275"/>
      <c r="I12" s="275"/>
      <c r="J12" s="275"/>
      <c r="K12" s="275"/>
      <c r="L12" s="275"/>
      <c r="M12" s="275"/>
      <c r="N12" s="275"/>
      <c r="O12" s="275"/>
      <c r="P12" s="275"/>
      <c r="Q12" s="275"/>
      <c r="R12" s="280"/>
      <c r="S12" s="275"/>
    </row>
    <row r="13" spans="1:19" customFormat="1" ht="30" customHeight="1" x14ac:dyDescent="0.2">
      <c r="A13" s="12"/>
      <c r="B13" s="7"/>
      <c r="C13" s="275"/>
      <c r="D13" s="279"/>
      <c r="E13" s="275"/>
      <c r="F13" s="275"/>
      <c r="G13" s="275"/>
      <c r="H13" s="275"/>
      <c r="I13" s="275"/>
      <c r="J13" s="275"/>
      <c r="K13" s="275"/>
      <c r="L13" s="275"/>
      <c r="M13" s="275"/>
      <c r="N13" s="275"/>
      <c r="O13" s="275"/>
      <c r="P13" s="275"/>
      <c r="Q13" s="275"/>
      <c r="R13" s="280"/>
      <c r="S13" s="275"/>
    </row>
    <row r="14" spans="1:19" customFormat="1" ht="30" customHeight="1" x14ac:dyDescent="0.2">
      <c r="A14" s="12"/>
      <c r="B14" s="7"/>
      <c r="C14" s="275"/>
      <c r="D14" s="279"/>
      <c r="E14" s="275"/>
      <c r="F14" s="275"/>
      <c r="G14" s="275"/>
      <c r="H14" s="275"/>
      <c r="I14" s="275"/>
      <c r="J14" s="275"/>
      <c r="K14" s="275"/>
      <c r="L14" s="275"/>
      <c r="M14" s="275"/>
      <c r="N14" s="275"/>
      <c r="O14" s="275"/>
      <c r="P14" s="275"/>
      <c r="Q14" s="275"/>
      <c r="R14" s="280"/>
      <c r="S14" s="275"/>
    </row>
    <row r="15" spans="1:19" customFormat="1" ht="30" customHeight="1" x14ac:dyDescent="0.2">
      <c r="A15" s="12"/>
      <c r="B15" s="7"/>
      <c r="C15" s="275"/>
      <c r="D15" s="279"/>
      <c r="E15" s="275"/>
      <c r="F15" s="275"/>
      <c r="G15" s="275"/>
      <c r="H15" s="275"/>
      <c r="I15" s="275"/>
      <c r="J15" s="275"/>
      <c r="K15" s="275"/>
      <c r="L15" s="275"/>
      <c r="M15" s="275"/>
      <c r="N15" s="275"/>
      <c r="O15" s="275"/>
      <c r="P15" s="275"/>
      <c r="Q15" s="275"/>
      <c r="R15" s="280"/>
      <c r="S15" s="275"/>
    </row>
    <row r="16" spans="1:19" customFormat="1" ht="30" customHeight="1" x14ac:dyDescent="0.2">
      <c r="A16" s="12"/>
      <c r="B16" s="7"/>
      <c r="C16" s="275"/>
      <c r="D16" s="279"/>
      <c r="E16" s="275"/>
      <c r="F16" s="275"/>
      <c r="G16" s="275"/>
      <c r="H16" s="275"/>
      <c r="I16" s="275"/>
      <c r="J16" s="275"/>
      <c r="K16" s="275"/>
      <c r="L16" s="275"/>
      <c r="M16" s="275"/>
      <c r="N16" s="275"/>
      <c r="O16" s="275"/>
      <c r="P16" s="275"/>
      <c r="Q16" s="275"/>
      <c r="R16" s="280"/>
      <c r="S16" s="275"/>
    </row>
    <row r="17" spans="1:19" customFormat="1" ht="30" customHeight="1" x14ac:dyDescent="0.2">
      <c r="A17" s="12"/>
      <c r="B17" s="7"/>
      <c r="C17" s="275"/>
      <c r="D17" s="279"/>
      <c r="E17" s="275"/>
      <c r="F17" s="275"/>
      <c r="G17" s="275"/>
      <c r="H17" s="275"/>
      <c r="I17" s="275"/>
      <c r="J17" s="275"/>
      <c r="K17" s="275"/>
      <c r="L17" s="275"/>
      <c r="M17" s="275"/>
      <c r="N17" s="275"/>
      <c r="O17" s="275"/>
      <c r="P17" s="275"/>
      <c r="Q17" s="275"/>
      <c r="R17" s="280"/>
      <c r="S17" s="275"/>
    </row>
    <row r="18" spans="1:19" customFormat="1" ht="30" customHeight="1" x14ac:dyDescent="0.2">
      <c r="A18" s="12"/>
      <c r="B18" s="7"/>
      <c r="C18" s="275"/>
      <c r="D18" s="279"/>
      <c r="E18" s="275"/>
      <c r="F18" s="275"/>
      <c r="G18" s="275"/>
      <c r="H18" s="275"/>
      <c r="I18" s="275"/>
      <c r="J18" s="275"/>
      <c r="K18" s="275"/>
      <c r="L18" s="275"/>
      <c r="M18" s="275"/>
      <c r="N18" s="275"/>
      <c r="O18" s="275"/>
      <c r="P18" s="275"/>
      <c r="Q18" s="275"/>
      <c r="R18" s="280"/>
      <c r="S18" s="275"/>
    </row>
    <row r="19" spans="1:19" customFormat="1" ht="30" customHeight="1" x14ac:dyDescent="0.2">
      <c r="A19" s="12"/>
      <c r="B19" s="7"/>
      <c r="C19" s="275"/>
      <c r="D19" s="279"/>
      <c r="E19" s="275"/>
      <c r="F19" s="275"/>
      <c r="G19" s="275"/>
      <c r="H19" s="275"/>
      <c r="I19" s="275"/>
      <c r="J19" s="275"/>
      <c r="K19" s="275"/>
      <c r="L19" s="275"/>
      <c r="M19" s="275"/>
      <c r="N19" s="275"/>
      <c r="O19" s="275"/>
      <c r="P19" s="275"/>
      <c r="Q19" s="275"/>
      <c r="R19" s="280"/>
      <c r="S19" s="275"/>
    </row>
    <row r="20" spans="1:19" customFormat="1" ht="30" customHeight="1" x14ac:dyDescent="0.2">
      <c r="A20" s="12"/>
      <c r="B20" s="7"/>
      <c r="C20" s="275"/>
      <c r="D20" s="279"/>
      <c r="E20" s="275"/>
      <c r="F20" s="275"/>
      <c r="G20" s="275"/>
      <c r="H20" s="275"/>
      <c r="I20" s="275"/>
      <c r="J20" s="275"/>
      <c r="K20" s="275"/>
      <c r="L20" s="275"/>
      <c r="M20" s="275"/>
      <c r="N20" s="275"/>
      <c r="O20" s="275"/>
      <c r="P20" s="275"/>
      <c r="Q20" s="275"/>
      <c r="R20" s="280"/>
      <c r="S20" s="275"/>
    </row>
    <row r="21" spans="1:19" customFormat="1" ht="30" customHeight="1" x14ac:dyDescent="0.2">
      <c r="A21" s="12"/>
      <c r="B21" s="7"/>
      <c r="C21" s="275"/>
      <c r="D21" s="279"/>
      <c r="E21" s="275"/>
      <c r="F21" s="275"/>
      <c r="G21" s="275"/>
      <c r="H21" s="275"/>
      <c r="I21" s="275"/>
      <c r="J21" s="275"/>
      <c r="K21" s="275"/>
      <c r="L21" s="275"/>
      <c r="M21" s="275"/>
      <c r="N21" s="275"/>
      <c r="O21" s="275"/>
      <c r="P21" s="275"/>
      <c r="Q21" s="275"/>
      <c r="R21" s="280"/>
      <c r="S21" s="275"/>
    </row>
    <row r="22" spans="1:19" customFormat="1" ht="30" customHeight="1" x14ac:dyDescent="0.2">
      <c r="A22" s="12"/>
      <c r="B22" s="7"/>
      <c r="C22" s="275"/>
      <c r="D22" s="279"/>
      <c r="E22" s="462" t="s">
        <v>765</v>
      </c>
      <c r="F22" s="463"/>
      <c r="G22" s="463"/>
      <c r="H22" s="463"/>
      <c r="I22" s="463" t="s">
        <v>1101</v>
      </c>
      <c r="J22" s="463"/>
      <c r="K22" s="464"/>
      <c r="L22" s="275"/>
      <c r="M22" s="275"/>
      <c r="N22" s="275"/>
      <c r="O22" s="275"/>
      <c r="P22" s="275"/>
      <c r="Q22" s="275"/>
      <c r="R22" s="280"/>
      <c r="S22" s="275"/>
    </row>
    <row r="23" spans="1:19" customFormat="1" ht="30" customHeight="1" x14ac:dyDescent="0.2">
      <c r="A23" s="12"/>
      <c r="B23" s="7"/>
      <c r="C23" s="275"/>
      <c r="D23" s="281"/>
      <c r="E23" s="282" t="s">
        <v>766</v>
      </c>
      <c r="F23" s="282" t="s">
        <v>44</v>
      </c>
      <c r="G23" s="282" t="s">
        <v>767</v>
      </c>
      <c r="H23" s="282" t="s">
        <v>768</v>
      </c>
      <c r="I23" s="282" t="s">
        <v>44</v>
      </c>
      <c r="J23" s="282" t="s">
        <v>767</v>
      </c>
      <c r="K23" s="283" t="s">
        <v>768</v>
      </c>
      <c r="M23" s="275"/>
      <c r="N23" s="275"/>
      <c r="O23" s="275"/>
      <c r="P23" s="275"/>
      <c r="Q23" s="275"/>
      <c r="R23" s="280"/>
      <c r="S23" s="275"/>
    </row>
    <row r="24" spans="1:19" customFormat="1" ht="16" customHeight="1" x14ac:dyDescent="0.2">
      <c r="A24" s="12"/>
      <c r="B24" s="7"/>
      <c r="C24" s="275"/>
      <c r="D24" s="284" t="s">
        <v>290</v>
      </c>
      <c r="E24" s="285" cm="1">
        <f t="array" ref="E24">SUM(SUMIFS(Cascade!$H:$H,Cascade!$C:$C,{"=&lt;01","01-04","05-09","10-14"}))</f>
        <v>0</v>
      </c>
      <c r="F24" s="285" cm="1">
        <f t="array" ref="F24">SUM(SUMIFS(Cascade!$P:$P,Cascade!$C:$C,{"=&lt;01","01-04","05-09","10-14"}))</f>
        <v>0</v>
      </c>
      <c r="G24" s="285" cm="1">
        <f t="array" ref="G24">SUM(SUMIFS(Cascade!$T:$T,Cascade!$C:$C,{"=&lt;01","01-04","05-09","10-14"}))</f>
        <v>0</v>
      </c>
      <c r="H24" s="285" cm="1">
        <f t="array" ref="H24">SUM(SUMIFS(Cascade!$X:$X,Cascade!$C:$C,{"=&lt;01","01-04","05-09","10-14"}))</f>
        <v>0</v>
      </c>
      <c r="I24" s="285" t="e" cm="1">
        <f t="array" ref="I24">SUM(SUMIFS(Cascade!#REF!,Cascade!$C:$C,{"=&lt;01","01-04","05-09","10-14"}))</f>
        <v>#REF!</v>
      </c>
      <c r="J24" s="285" t="e" cm="1">
        <f t="array" ref="J24">SUM(SUMIFS(Cascade!#REF!,Cascade!$C:$C,{"=&lt;01","01-04","05-09","10-14"}))</f>
        <v>#REF!</v>
      </c>
      <c r="K24" s="286" t="e" cm="1">
        <f t="array" ref="K24">SUM(SUMIFS(Cascade!#REF!,Cascade!$C:$C,{"=&lt;01","01-04","05-09","10-14"}))</f>
        <v>#REF!</v>
      </c>
      <c r="M24" s="275"/>
      <c r="N24" s="275"/>
      <c r="O24" s="275"/>
      <c r="P24" s="275"/>
      <c r="Q24" s="275"/>
      <c r="R24" s="280"/>
      <c r="S24" s="275"/>
    </row>
    <row r="25" spans="1:19" customFormat="1" ht="16" customHeight="1" x14ac:dyDescent="0.2">
      <c r="A25" s="12"/>
      <c r="B25" s="7"/>
      <c r="C25" s="275"/>
      <c r="D25" s="287" t="s">
        <v>291</v>
      </c>
      <c r="E25" s="285" cm="1">
        <f t="array" ref="E25">SUM(SUMIFS(Cascade!$H:$H,Cascade!$C:$C,{"15-19","20-24","25-29","30-34","35-39","40-44","45-49","50+"},Cascade!$D:$D,"Female"))</f>
        <v>0</v>
      </c>
      <c r="F25" s="285" cm="1">
        <f t="array" ref="F25">SUM(SUMIFS(Cascade!$P:$P,Cascade!$C:$C,{"15-19","20-24","25-29","30-34","35-39","40-44","45-49","50+"},Cascade!$D:$D,"Female"))</f>
        <v>0</v>
      </c>
      <c r="G25" s="285" cm="1">
        <f t="array" ref="G25">SUM(SUMIFS(Cascade!$T:$T,Cascade!$C:$C,{"15-19","20-24","25-29","30-34","35-39","40-44","45-49","50+"},Cascade!$D:$D,"Female"))</f>
        <v>0</v>
      </c>
      <c r="H25" s="285" cm="1">
        <f t="array" ref="H25">SUM(SUMIFS(Cascade!$X:$X,Cascade!$C:$C,{"15-19","20-24","25-29","30-34","35-39","40-44","45-49","50+"},Cascade!$D:$D,"Female"))</f>
        <v>0</v>
      </c>
      <c r="I25" s="285" t="e" cm="1">
        <f t="array" ref="I25">SUM(SUMIFS(Cascade!#REF!,Cascade!$C:$C,{"15-19","20-24","25-29","30-34","35-39","40-44","45-49","50+"},Cascade!$D:$D,"Female"))</f>
        <v>#REF!</v>
      </c>
      <c r="J25" s="285" t="e" cm="1">
        <f t="array" ref="J25">SUM(SUMIFS(Cascade!#REF!,Cascade!$C:$C,{"15-19","20-24","25-29","30-34","35-39","40-44","45-49","50+"},Cascade!$D:$D,"Female"))</f>
        <v>#REF!</v>
      </c>
      <c r="K25" s="286" t="e" cm="1">
        <f t="array" ref="K25">SUM(SUMIFS(Cascade!#REF!,Cascade!$C:$C,{"15-19","20-24","25-29","30-34","35-39","40-44","45-49","50+"},Cascade!$D:$D,"Female"))</f>
        <v>#REF!</v>
      </c>
      <c r="M25" s="275"/>
      <c r="N25" s="275"/>
      <c r="O25" s="275"/>
      <c r="P25" s="275"/>
      <c r="Q25" s="275"/>
      <c r="R25" s="280"/>
      <c r="S25" s="275"/>
    </row>
    <row r="26" spans="1:19" customFormat="1" ht="16" customHeight="1" x14ac:dyDescent="0.2">
      <c r="A26" s="12"/>
      <c r="B26" s="7"/>
      <c r="C26" s="275"/>
      <c r="D26" s="288" t="s">
        <v>292</v>
      </c>
      <c r="E26" s="289" cm="1">
        <f t="array" ref="E26">SUM(SUMIFS(Cascade!$H:$H,Cascade!$C:$C,{"15-19","20-24","25-29","30-34","35-39","40-44","45-49","50+"},Cascade!$D:$D,"Male"))</f>
        <v>0</v>
      </c>
      <c r="F26" s="289" cm="1">
        <f t="array" ref="F26">SUM(SUMIFS(Cascade!$P:$P,Cascade!$C:$C,{"15-19","20-24","25-29","30-34","35-39","40-44","45-49","50+"},Cascade!$D:$D,"Male"))</f>
        <v>0</v>
      </c>
      <c r="G26" s="289" cm="1">
        <f t="array" ref="G26">SUM(SUMIFS(Cascade!$T:$T,Cascade!$C:$C,{"15-19","20-24","25-29","30-34","35-39","40-44","45-49","50+"},Cascade!$D:$D,"Male"))</f>
        <v>0</v>
      </c>
      <c r="H26" s="289" cm="1">
        <f t="array" ref="H26">SUM(SUMIFS(Cascade!$X:$X,Cascade!$C:$C,{"15-19","20-24","25-29","30-34","35-39","40-44","45-49","50+"},Cascade!$D:$D,"Male"))</f>
        <v>0</v>
      </c>
      <c r="I26" s="289" t="e" cm="1">
        <f t="array" ref="I26">SUM(SUMIFS(Cascade!#REF!,Cascade!$C:$C,{"15-19","20-24","25-29","30-34","35-39","40-44","45-49","50+"},Cascade!$D:$D,"Male"))</f>
        <v>#REF!</v>
      </c>
      <c r="J26" s="289" t="e" cm="1">
        <f t="array" ref="J26">SUM(SUMIFS(Cascade!#REF!,Cascade!$C:$C,{"15-19","20-24","25-29","30-34","35-39","40-44","45-49","50+"},Cascade!$D:$D,"Male"))</f>
        <v>#REF!</v>
      </c>
      <c r="K26" s="290" t="e" cm="1">
        <f t="array" ref="K26">SUM(SUMIFS(Cascade!#REF!,Cascade!$C:$C,{"15-19","20-24","25-29","30-34","35-39","40-44","45-49","50+"},Cascade!$D:$D,"Male"))</f>
        <v>#REF!</v>
      </c>
      <c r="M26" s="275"/>
      <c r="N26" s="275"/>
      <c r="O26" s="275"/>
      <c r="P26" s="275"/>
      <c r="Q26" s="275"/>
      <c r="R26" s="280"/>
      <c r="S26" s="275"/>
    </row>
    <row r="27" spans="1:19" customFormat="1" ht="30" customHeight="1" x14ac:dyDescent="0.2">
      <c r="A27" s="12"/>
      <c r="B27" s="7"/>
      <c r="C27" s="275"/>
      <c r="D27" s="291"/>
      <c r="E27" s="292"/>
      <c r="F27" s="292"/>
      <c r="G27" s="292"/>
      <c r="H27" s="292"/>
      <c r="I27" s="292"/>
      <c r="J27" s="292"/>
      <c r="K27" s="292"/>
      <c r="L27" s="292"/>
      <c r="M27" s="292"/>
      <c r="N27" s="292"/>
      <c r="O27" s="292"/>
      <c r="P27" s="292"/>
      <c r="Q27" s="292"/>
      <c r="R27" s="293"/>
      <c r="S27" s="275"/>
    </row>
    <row r="28" spans="1:19" customFormat="1" ht="30" customHeight="1" x14ac:dyDescent="0.2">
      <c r="A28" s="12"/>
      <c r="B28" s="7"/>
      <c r="C28" s="275"/>
      <c r="D28" s="275"/>
      <c r="E28" s="275"/>
      <c r="F28" s="275"/>
      <c r="G28" s="275"/>
      <c r="H28" s="275"/>
      <c r="I28" s="275"/>
      <c r="J28" s="275"/>
      <c r="K28" s="275"/>
      <c r="L28" s="275"/>
      <c r="M28" s="275"/>
      <c r="N28" s="275"/>
      <c r="O28" s="275"/>
      <c r="P28" s="275"/>
      <c r="Q28" s="275"/>
      <c r="R28" s="275"/>
      <c r="S28" s="275"/>
    </row>
    <row r="29" spans="1:19" customFormat="1" ht="30" customHeight="1" x14ac:dyDescent="0.2">
      <c r="A29" s="12"/>
      <c r="B29" s="7"/>
      <c r="C29" s="275"/>
      <c r="D29" s="276"/>
      <c r="E29" s="277"/>
      <c r="F29" s="277"/>
      <c r="G29" s="277"/>
      <c r="H29" s="277"/>
      <c r="I29" s="277"/>
      <c r="J29" s="277"/>
      <c r="K29" s="277"/>
      <c r="L29" s="277"/>
      <c r="M29" s="277"/>
      <c r="N29" s="277"/>
      <c r="O29" s="277"/>
      <c r="P29" s="277"/>
      <c r="Q29" s="277"/>
      <c r="R29" s="278"/>
      <c r="S29" s="275"/>
    </row>
    <row r="30" spans="1:19" customFormat="1" ht="30" customHeight="1" x14ac:dyDescent="0.2">
      <c r="A30" s="12"/>
      <c r="B30" s="7"/>
      <c r="C30" s="275"/>
      <c r="D30" s="279"/>
      <c r="E30" s="275"/>
      <c r="F30" s="275"/>
      <c r="G30" s="275"/>
      <c r="H30" s="275"/>
      <c r="I30" s="275"/>
      <c r="J30" s="275"/>
      <c r="K30" s="275"/>
      <c r="L30" s="275"/>
      <c r="M30" s="275"/>
      <c r="N30" s="275"/>
      <c r="O30" s="275"/>
      <c r="P30" s="275"/>
      <c r="Q30" s="275"/>
      <c r="R30" s="280"/>
      <c r="S30" s="275"/>
    </row>
    <row r="31" spans="1:19" customFormat="1" ht="30" customHeight="1" x14ac:dyDescent="0.2">
      <c r="A31" s="12"/>
      <c r="B31" s="7"/>
      <c r="C31" s="275"/>
      <c r="D31" s="279"/>
      <c r="E31" s="275"/>
      <c r="F31" s="275"/>
      <c r="G31" s="275"/>
      <c r="H31" s="275"/>
      <c r="I31" s="275"/>
      <c r="J31" s="275"/>
      <c r="K31" s="275"/>
      <c r="L31" s="275"/>
      <c r="M31" s="275"/>
      <c r="N31" s="275"/>
      <c r="O31" s="275"/>
      <c r="P31" s="275"/>
      <c r="Q31" s="275"/>
      <c r="R31" s="280"/>
      <c r="S31" s="275"/>
    </row>
    <row r="32" spans="1:19" customFormat="1" ht="30" customHeight="1" x14ac:dyDescent="0.2">
      <c r="A32" s="12"/>
      <c r="B32" s="7"/>
      <c r="C32" s="275"/>
      <c r="D32" s="279"/>
      <c r="E32" s="275"/>
      <c r="F32" s="275"/>
      <c r="G32" s="275"/>
      <c r="H32" s="275"/>
      <c r="I32" s="275"/>
      <c r="J32" s="275"/>
      <c r="K32" s="275"/>
      <c r="L32" s="275"/>
      <c r="M32" s="275"/>
      <c r="N32" s="275"/>
      <c r="O32" s="275"/>
      <c r="P32" s="275"/>
      <c r="Q32" s="275"/>
      <c r="R32" s="280"/>
      <c r="S32" s="275"/>
    </row>
    <row r="33" spans="1:19" customFormat="1" ht="30" customHeight="1" x14ac:dyDescent="0.2">
      <c r="A33" s="12"/>
      <c r="B33" s="7"/>
      <c r="C33" s="275"/>
      <c r="D33" s="279"/>
      <c r="E33" s="275"/>
      <c r="F33" s="275"/>
      <c r="G33" s="275"/>
      <c r="H33" s="275"/>
      <c r="I33" s="275"/>
      <c r="J33" s="275"/>
      <c r="K33" s="275"/>
      <c r="L33" s="275"/>
      <c r="M33" s="275"/>
      <c r="N33" s="275"/>
      <c r="O33" s="275"/>
      <c r="P33" s="275"/>
      <c r="Q33" s="275"/>
      <c r="R33" s="280"/>
      <c r="S33" s="275"/>
    </row>
    <row r="34" spans="1:19" customFormat="1" ht="30" customHeight="1" x14ac:dyDescent="0.2">
      <c r="A34" s="12"/>
      <c r="B34" s="7"/>
      <c r="C34" s="275"/>
      <c r="D34" s="279"/>
      <c r="E34" s="275"/>
      <c r="F34" s="275"/>
      <c r="G34" s="275"/>
      <c r="H34" s="275"/>
      <c r="I34" s="275"/>
      <c r="J34" s="275"/>
      <c r="K34" s="275"/>
      <c r="L34" s="275"/>
      <c r="M34" s="275"/>
      <c r="N34" s="275"/>
      <c r="O34" s="275"/>
      <c r="P34" s="275"/>
      <c r="Q34" s="275"/>
      <c r="R34" s="280"/>
      <c r="S34" s="275"/>
    </row>
    <row r="35" spans="1:19" customFormat="1" ht="30" customHeight="1" x14ac:dyDescent="0.2">
      <c r="A35" s="12"/>
      <c r="B35" s="7"/>
      <c r="C35" s="275"/>
      <c r="D35" s="279"/>
      <c r="E35" s="275"/>
      <c r="F35" s="275"/>
      <c r="G35" s="275"/>
      <c r="H35" s="275"/>
      <c r="I35" s="275"/>
      <c r="J35" s="275"/>
      <c r="K35" s="275"/>
      <c r="L35" s="275"/>
      <c r="M35" s="275"/>
      <c r="N35" s="275"/>
      <c r="O35" s="275"/>
      <c r="P35" s="275"/>
      <c r="Q35" s="275"/>
      <c r="R35" s="280"/>
      <c r="S35" s="275"/>
    </row>
    <row r="36" spans="1:19" customFormat="1" ht="30" customHeight="1" x14ac:dyDescent="0.2">
      <c r="A36" s="12"/>
      <c r="B36" s="7"/>
      <c r="C36" s="275"/>
      <c r="D36" s="279"/>
      <c r="E36" s="275"/>
      <c r="F36" s="275"/>
      <c r="G36" s="275"/>
      <c r="H36" s="275"/>
      <c r="I36" s="275"/>
      <c r="J36" s="275"/>
      <c r="K36" s="275"/>
      <c r="L36" s="275"/>
      <c r="M36" s="275"/>
      <c r="N36" s="275"/>
      <c r="O36" s="275"/>
      <c r="P36" s="275"/>
      <c r="Q36" s="275"/>
      <c r="R36" s="280"/>
      <c r="S36" s="275"/>
    </row>
    <row r="37" spans="1:19" customFormat="1" ht="30" customHeight="1" x14ac:dyDescent="0.2">
      <c r="A37" s="12"/>
      <c r="B37" s="7"/>
      <c r="C37" s="275"/>
      <c r="D37" s="279"/>
      <c r="E37" s="275"/>
      <c r="F37" s="275"/>
      <c r="G37" s="275"/>
      <c r="H37" s="275"/>
      <c r="I37" s="275"/>
      <c r="J37" s="275"/>
      <c r="K37" s="275"/>
      <c r="L37" s="275"/>
      <c r="M37" s="275"/>
      <c r="N37" s="275"/>
      <c r="O37" s="275"/>
      <c r="P37" s="275"/>
      <c r="Q37" s="275"/>
      <c r="R37" s="280"/>
      <c r="S37" s="275"/>
    </row>
    <row r="38" spans="1:19" customFormat="1" ht="30" customHeight="1" x14ac:dyDescent="0.2">
      <c r="A38" s="12"/>
      <c r="B38" s="7"/>
      <c r="C38" s="275"/>
      <c r="D38" s="279"/>
      <c r="E38" s="275"/>
      <c r="F38" s="275"/>
      <c r="G38" s="275"/>
      <c r="H38" s="275"/>
      <c r="I38" s="275"/>
      <c r="J38" s="275"/>
      <c r="K38" s="275"/>
      <c r="L38" s="275"/>
      <c r="M38" s="275"/>
      <c r="N38" s="275"/>
      <c r="O38" s="275"/>
      <c r="P38" s="275"/>
      <c r="Q38" s="275"/>
      <c r="R38" s="280"/>
      <c r="S38" s="275"/>
    </row>
    <row r="39" spans="1:19" customFormat="1" ht="30" customHeight="1" x14ac:dyDescent="0.2">
      <c r="A39" s="12"/>
      <c r="B39" s="7"/>
      <c r="C39" s="275"/>
      <c r="D39" s="279"/>
      <c r="E39" s="275"/>
      <c r="F39" s="275"/>
      <c r="G39" s="275"/>
      <c r="H39" s="275"/>
      <c r="I39" s="275"/>
      <c r="J39" s="275"/>
      <c r="K39" s="275"/>
      <c r="L39" s="275"/>
      <c r="M39" s="275"/>
      <c r="N39" s="275"/>
      <c r="O39" s="275"/>
      <c r="P39" s="275"/>
      <c r="Q39" s="275"/>
      <c r="R39" s="280"/>
      <c r="S39" s="275"/>
    </row>
    <row r="40" spans="1:19" customFormat="1" ht="30" customHeight="1" x14ac:dyDescent="0.2">
      <c r="A40" s="12"/>
      <c r="B40" s="7"/>
      <c r="C40" s="275"/>
      <c r="D40" s="279"/>
      <c r="E40" s="465" t="s">
        <v>1101</v>
      </c>
      <c r="F40" s="465"/>
      <c r="G40" s="465"/>
      <c r="H40" s="465"/>
      <c r="I40" s="465"/>
      <c r="J40" s="465"/>
      <c r="Q40" s="275"/>
      <c r="R40" s="280"/>
      <c r="S40" s="275"/>
    </row>
    <row r="41" spans="1:19" customFormat="1" ht="30" customHeight="1" x14ac:dyDescent="0.2">
      <c r="A41" s="12"/>
      <c r="B41" s="7"/>
      <c r="C41" s="275"/>
      <c r="D41" s="281"/>
      <c r="E41" s="282" t="s">
        <v>249</v>
      </c>
      <c r="F41" s="282" t="s">
        <v>769</v>
      </c>
      <c r="G41" s="282" t="s">
        <v>1</v>
      </c>
      <c r="H41" s="282" t="s">
        <v>0</v>
      </c>
      <c r="I41" s="282" t="s">
        <v>52</v>
      </c>
      <c r="J41" s="283" t="s">
        <v>51</v>
      </c>
      <c r="Q41" s="275"/>
      <c r="R41" s="280"/>
      <c r="S41" s="275"/>
    </row>
    <row r="42" spans="1:19" customFormat="1" ht="16" customHeight="1" x14ac:dyDescent="0.2">
      <c r="A42" s="12"/>
      <c r="B42" s="7"/>
      <c r="C42" s="275"/>
      <c r="D42" s="284" t="s">
        <v>290</v>
      </c>
      <c r="E42" s="285" cm="1">
        <f t="array" ref="E42">SUM(SUMIFS(HTS!$BY:$BY,HTS!$C:$C,{"=&lt;01","01-04","05-09","10-14"}))</f>
        <v>0</v>
      </c>
      <c r="F42" s="285" cm="1">
        <f t="array" ref="F42">SUM(SUMIFS(HTS!$BP:$BP,HTS!$C:$C,{"=&lt;01","01-04","05-09","10-14"}))</f>
        <v>0</v>
      </c>
      <c r="G42" s="285" t="e" cm="1">
        <f t="array" ref="G42">SUM(SUMIFS(Cascade!#REF!,Cascade!$C:$C,{"=&lt;01","01-04","05-09","10-14"}))</f>
        <v>#REF!</v>
      </c>
      <c r="H42" s="285" t="e" cm="1">
        <f t="array" ref="H42">SUM(SUMIFS(Cascade!#REF!,Cascade!$C:$C,{"=&lt;01","01-04","05-09","10-14"}))</f>
        <v>#REF!</v>
      </c>
      <c r="I42" s="285" t="e" cm="1">
        <f t="array" ref="I42">SUM(SUMIFS(Cascade!#REF!,Cascade!$C:$C,{"=&lt;01","01-04","05-09","10-14"}))</f>
        <v>#REF!</v>
      </c>
      <c r="J42" s="286" t="e" cm="1">
        <f t="array" ref="J42">SUM(SUMIFS(Cascade!#REF!,Cascade!$C:$C,{"=&lt;01","01-04","05-09","10-14"}))</f>
        <v>#REF!</v>
      </c>
      <c r="Q42" s="275"/>
      <c r="R42" s="280"/>
      <c r="S42" s="275"/>
    </row>
    <row r="43" spans="1:19" customFormat="1" ht="16" customHeight="1" x14ac:dyDescent="0.2">
      <c r="A43" s="12"/>
      <c r="B43" s="7"/>
      <c r="C43" s="275"/>
      <c r="D43" s="287" t="s">
        <v>291</v>
      </c>
      <c r="E43" s="285" cm="1">
        <f t="array" ref="E43">SUM(SUMIFS(HTS!$BY:$BY,HTS!$C:$C,{"15-19","20-24","25-29","30-34","35-39","40-44","45-49","50+"},HTS!$D:$D,"Female"))</f>
        <v>0</v>
      </c>
      <c r="F43" s="285" cm="1">
        <f t="array" ref="F43">SUM(SUMIFS(HTS!$BP:$BP,HTS!$C:$C,{"15-19","20-24","25-29","30-34","35-39","40-44","45-49","50+"},HTS!$D:$D,"Female"))</f>
        <v>0</v>
      </c>
      <c r="G43" s="285" t="e" cm="1">
        <f t="array" ref="G43">SUM(SUMIFS(Cascade!#REF!,Cascade!$C:$C,{"15-19","20-24","25-29","30-34","35-39","40-44","45-49","50+"},Cascade!$D:$D,"Female"))</f>
        <v>#REF!</v>
      </c>
      <c r="H43" s="285" t="e" cm="1">
        <f t="array" ref="H43">SUM(SUMIFS(Cascade!#REF!,Cascade!$C:$C,{"15-19","20-24","25-29","30-34","35-39","40-44","45-49","50+"},Cascade!$D:$D,"Female"))</f>
        <v>#REF!</v>
      </c>
      <c r="I43" s="285" t="e" cm="1">
        <f t="array" ref="I43">SUM(SUMIFS(Cascade!#REF!,Cascade!$C:$C,{"15-19","20-24","25-29","30-34","35-39","40-44","45-49","50+"},Cascade!$D:$D,"Female"))</f>
        <v>#REF!</v>
      </c>
      <c r="J43" s="286" t="e" cm="1">
        <f t="array" ref="J43">SUM(SUMIFS(Cascade!#REF!,Cascade!$C:$C,{"15-19","20-24","25-29","30-34","35-39","40-44","45-49","50+"},Cascade!$D:$D,"Female"))</f>
        <v>#REF!</v>
      </c>
      <c r="Q43" s="275"/>
      <c r="R43" s="280"/>
      <c r="S43" s="275"/>
    </row>
    <row r="44" spans="1:19" customFormat="1" ht="16" customHeight="1" x14ac:dyDescent="0.2">
      <c r="A44" s="12"/>
      <c r="B44" s="7"/>
      <c r="C44" s="275"/>
      <c r="D44" s="288" t="s">
        <v>292</v>
      </c>
      <c r="E44" s="289" cm="1">
        <f t="array" ref="E44">SUM(SUMIFS(HTS!$BY:$BY,HTS!$C:$C,{"15-19","20-24","25-29","30-34","35-39","40-44","45-49","50+"},HTS!$D:$D,"Male"))</f>
        <v>0</v>
      </c>
      <c r="F44" s="289" cm="1">
        <f t="array" ref="F44">SUM(SUMIFS(HTS!$BP:$BP,HTS!$C:$C,{"15-19","20-24","25-29","30-34","35-39","40-44","45-49","50+"},HTS!$D:$D,"Male"))</f>
        <v>0</v>
      </c>
      <c r="G44" s="289" t="e" cm="1">
        <f t="array" ref="G44">SUM(SUMIFS(Cascade!#REF!,Cascade!$C:$C,{"15-19","20-24","25-29","30-34","35-39","40-44","45-49","50+"},Cascade!$D:$D,"Male"))</f>
        <v>#REF!</v>
      </c>
      <c r="H44" s="289" t="e" cm="1">
        <f t="array" ref="H44">SUM(SUMIFS(Cascade!#REF!,Cascade!$C:$C,{"15-19","20-24","25-29","30-34","35-39","40-44","45-49","50+"},Cascade!$D:$D,"Male"))</f>
        <v>#REF!</v>
      </c>
      <c r="I44" s="289" t="e" cm="1">
        <f t="array" ref="I44">SUM(SUMIFS(Cascade!#REF!,Cascade!$C:$C,{"15-19","20-24","25-29","30-34","35-39","40-44","45-49","50+"},Cascade!$D:$D,"Male"))</f>
        <v>#REF!</v>
      </c>
      <c r="J44" s="290" t="e" cm="1">
        <f t="array" ref="J44">SUM(SUMIFS(Cascade!#REF!,Cascade!$C:$C,{"15-19","20-24","25-29","30-34","35-39","40-44","45-49","50+"},Cascade!$D:$D,"Male"))</f>
        <v>#REF!</v>
      </c>
      <c r="Q44" s="275"/>
      <c r="R44" s="280"/>
      <c r="S44" s="275"/>
    </row>
    <row r="45" spans="1:19" customFormat="1" ht="30" customHeight="1" x14ac:dyDescent="0.2">
      <c r="A45" s="12"/>
      <c r="B45" s="7"/>
      <c r="C45" s="275"/>
      <c r="D45" s="291"/>
      <c r="E45" s="292"/>
      <c r="F45" s="292"/>
      <c r="G45" s="292"/>
      <c r="H45" s="292"/>
      <c r="I45" s="292"/>
      <c r="J45" s="292"/>
      <c r="K45" s="292"/>
      <c r="L45" s="292"/>
      <c r="M45" s="292"/>
      <c r="N45" s="292"/>
      <c r="O45" s="292"/>
      <c r="P45" s="292"/>
      <c r="Q45" s="292"/>
      <c r="R45" s="293"/>
      <c r="S45" s="275"/>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722</v>
      </c>
      <c r="G1" s="15" t="s">
        <v>296</v>
      </c>
      <c r="H1" s="15" t="s">
        <v>757</v>
      </c>
      <c r="I1" s="17" t="s">
        <v>297</v>
      </c>
      <c r="J1" s="15" t="s">
        <v>298</v>
      </c>
      <c r="K1" s="15" t="s">
        <v>299</v>
      </c>
      <c r="L1" s="15" t="s">
        <v>300</v>
      </c>
      <c r="M1" s="15" t="s">
        <v>721</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474" t="s">
        <v>278</v>
      </c>
      <c r="D6" s="8"/>
      <c r="E6" s="8"/>
      <c r="F6" s="8"/>
      <c r="G6" s="8"/>
      <c r="H6" s="8"/>
      <c r="J6" s="8"/>
      <c r="K6" s="8"/>
      <c r="L6" s="8"/>
    </row>
    <row r="7" spans="2:17" x14ac:dyDescent="0.2">
      <c r="B7" s="474"/>
      <c r="D7" s="8"/>
      <c r="E7" s="8"/>
      <c r="F7" s="8"/>
      <c r="G7" s="8"/>
      <c r="H7" s="8"/>
      <c r="J7" s="8"/>
      <c r="K7" s="8"/>
      <c r="L7" s="8"/>
    </row>
    <row r="8" spans="2:17" x14ac:dyDescent="0.2">
      <c r="B8" s="152"/>
      <c r="D8" s="8"/>
      <c r="E8" s="8"/>
      <c r="F8" s="8"/>
      <c r="G8" s="8"/>
      <c r="H8" s="8"/>
      <c r="J8" s="8"/>
      <c r="K8" s="8"/>
      <c r="L8" s="8"/>
    </row>
    <row r="9" spans="2:17" ht="17" x14ac:dyDescent="0.2">
      <c r="B9" s="152" t="s">
        <v>279</v>
      </c>
      <c r="D9" s="8"/>
      <c r="E9" s="8"/>
      <c r="F9" s="8"/>
      <c r="G9" s="8"/>
      <c r="H9" s="8"/>
      <c r="J9" s="8"/>
      <c r="K9" s="8"/>
      <c r="L9" s="8"/>
    </row>
    <row r="10" spans="2:17" x14ac:dyDescent="0.2">
      <c r="B10" s="152"/>
      <c r="D10" s="8"/>
      <c r="E10" s="8"/>
      <c r="F10" s="8"/>
      <c r="G10" s="8"/>
      <c r="H10" s="8"/>
      <c r="J10" s="8"/>
      <c r="K10" s="8"/>
      <c r="L10" s="8"/>
    </row>
    <row r="11" spans="2:17" x14ac:dyDescent="0.2">
      <c r="B11" s="474" t="s">
        <v>280</v>
      </c>
      <c r="D11" s="8"/>
      <c r="E11" s="8"/>
      <c r="F11" s="8"/>
      <c r="G11" s="8"/>
      <c r="H11" s="8"/>
      <c r="J11" s="8"/>
      <c r="K11" s="8"/>
      <c r="L11" s="8"/>
    </row>
    <row r="12" spans="2:17" x14ac:dyDescent="0.2">
      <c r="B12" s="474"/>
      <c r="D12" s="8"/>
      <c r="E12" s="8"/>
      <c r="F12" s="8"/>
      <c r="G12" s="8"/>
      <c r="H12" s="8"/>
      <c r="J12" s="8"/>
      <c r="K12" s="8"/>
      <c r="L12" s="8"/>
    </row>
    <row r="13" spans="2:17" x14ac:dyDescent="0.2">
      <c r="B13" s="152"/>
      <c r="D13" s="8"/>
      <c r="E13" s="8"/>
      <c r="F13" s="8"/>
      <c r="G13" s="8"/>
      <c r="H13" s="8"/>
      <c r="J13" s="8"/>
      <c r="K13" s="8"/>
      <c r="L13" s="8"/>
    </row>
    <row r="14" spans="2:17" ht="17" x14ac:dyDescent="0.2">
      <c r="B14" s="152" t="s">
        <v>281</v>
      </c>
      <c r="D14" s="8"/>
      <c r="E14" s="8"/>
      <c r="F14" s="8"/>
      <c r="G14" s="8"/>
      <c r="H14" s="8"/>
      <c r="J14" s="8"/>
      <c r="K14" s="8"/>
      <c r="L14" s="8"/>
    </row>
    <row r="15" spans="2:17" x14ac:dyDescent="0.2">
      <c r="B15" s="152"/>
      <c r="D15" s="8"/>
      <c r="E15" s="8"/>
      <c r="F15" s="8"/>
      <c r="G15" s="8"/>
      <c r="H15" s="8"/>
      <c r="J15" s="8"/>
      <c r="K15" s="8"/>
      <c r="L15" s="8"/>
    </row>
    <row r="16" spans="2:17" x14ac:dyDescent="0.2">
      <c r="B16" s="474" t="s">
        <v>282</v>
      </c>
      <c r="D16" s="8"/>
      <c r="E16" s="8"/>
      <c r="F16" s="8"/>
      <c r="G16" s="8"/>
      <c r="H16" s="8"/>
      <c r="J16" s="8"/>
      <c r="K16" s="8"/>
      <c r="L16" s="8"/>
    </row>
    <row r="17" spans="2:12" x14ac:dyDescent="0.2">
      <c r="B17" s="474"/>
      <c r="D17" s="8"/>
      <c r="E17" s="8"/>
      <c r="F17" s="8"/>
      <c r="G17" s="8"/>
      <c r="H17" s="8"/>
      <c r="J17" s="8"/>
      <c r="K17" s="8"/>
      <c r="L17" s="8"/>
    </row>
    <row r="18" spans="2:12" x14ac:dyDescent="0.2">
      <c r="B18" s="152"/>
      <c r="D18" s="8"/>
      <c r="E18" s="8"/>
      <c r="F18" s="8"/>
      <c r="G18" s="8"/>
      <c r="H18" s="8"/>
      <c r="J18" s="8"/>
      <c r="K18" s="8"/>
      <c r="L18" s="8"/>
    </row>
    <row r="19" spans="2:12" x14ac:dyDescent="0.2">
      <c r="B19" s="474" t="s">
        <v>283</v>
      </c>
      <c r="D19" s="8"/>
      <c r="E19" s="8"/>
      <c r="F19" s="8"/>
      <c r="G19" s="8"/>
      <c r="H19" s="8"/>
      <c r="J19" s="8"/>
      <c r="K19" s="8"/>
      <c r="L19" s="8"/>
    </row>
    <row r="20" spans="2:12" x14ac:dyDescent="0.2">
      <c r="B20" s="474"/>
      <c r="D20" s="8"/>
      <c r="E20" s="8"/>
      <c r="F20" s="8"/>
      <c r="G20" s="8"/>
      <c r="H20" s="8"/>
      <c r="J20" s="8"/>
      <c r="K20" s="8"/>
      <c r="L20" s="8"/>
    </row>
    <row r="21" spans="2:12" x14ac:dyDescent="0.2">
      <c r="D21" s="8"/>
      <c r="E21" s="8"/>
      <c r="F21" s="8"/>
      <c r="G21" s="8"/>
      <c r="H21" s="8"/>
      <c r="J21" s="8"/>
      <c r="K21" s="8"/>
      <c r="L21" s="8"/>
    </row>
    <row r="22" spans="2:12" ht="16" customHeight="1" x14ac:dyDescent="0.2">
      <c r="B22" s="152" t="s">
        <v>762</v>
      </c>
      <c r="D22" s="8"/>
      <c r="E22" s="8"/>
      <c r="F22" s="8"/>
      <c r="G22" s="8"/>
      <c r="H22" s="8"/>
      <c r="J22" s="8"/>
      <c r="K22" s="8"/>
      <c r="L22" s="8"/>
    </row>
    <row r="23" spans="2:12" x14ac:dyDescent="0.2">
      <c r="B23" s="152"/>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474" t="s">
        <v>761</v>
      </c>
      <c r="D26" s="8"/>
      <c r="E26" s="8"/>
      <c r="F26" s="8"/>
      <c r="G26" s="8"/>
      <c r="H26" s="8"/>
      <c r="J26" s="8"/>
      <c r="K26" s="8"/>
      <c r="L26" s="8"/>
    </row>
    <row r="27" spans="2:12" x14ac:dyDescent="0.2">
      <c r="B27" s="474"/>
      <c r="D27" s="8"/>
      <c r="E27" s="8"/>
      <c r="F27" s="8"/>
      <c r="G27" s="8"/>
      <c r="H27" s="8"/>
      <c r="J27" s="8"/>
      <c r="K27" s="8"/>
      <c r="L27" s="8"/>
    </row>
    <row r="28" spans="2:12" x14ac:dyDescent="0.2">
      <c r="D28" s="8"/>
      <c r="E28" s="8"/>
      <c r="F28" s="8"/>
      <c r="G28" s="8"/>
      <c r="H28" s="8"/>
      <c r="J28" s="8"/>
      <c r="K28" s="8"/>
      <c r="L28" s="8"/>
    </row>
    <row r="29" spans="2:12" x14ac:dyDescent="0.2">
      <c r="B29" s="152"/>
      <c r="D29" s="8"/>
      <c r="E29" s="8"/>
      <c r="F29" s="8"/>
      <c r="G29" s="8"/>
      <c r="H29" s="8"/>
      <c r="J29" s="8"/>
      <c r="K29" s="8"/>
      <c r="L29" s="8"/>
    </row>
    <row r="30" spans="2:12" x14ac:dyDescent="0.2">
      <c r="B30" s="152"/>
      <c r="D30" s="8"/>
      <c r="E30" s="8"/>
      <c r="F30" s="8"/>
      <c r="G30" s="8"/>
      <c r="H30" s="8"/>
      <c r="J30" s="8"/>
      <c r="K30" s="8"/>
      <c r="L30" s="8"/>
    </row>
    <row r="31" spans="2:12" x14ac:dyDescent="0.2">
      <c r="B31" s="152"/>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63BE7B"/>
  </sheetPr>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36" customWidth="1"/>
    <col min="4" max="4" width="13.1640625" style="189" customWidth="1"/>
    <col min="5" max="5" width="28" customWidth="1"/>
  </cols>
  <sheetData>
    <row r="1" spans="1:5" s="57" customFormat="1" ht="31" customHeight="1" x14ac:dyDescent="0.3">
      <c r="A1" s="184" t="s">
        <v>71</v>
      </c>
      <c r="B1" s="184"/>
      <c r="C1" s="432" t="s">
        <v>71</v>
      </c>
      <c r="D1" s="185"/>
      <c r="E1" s="149"/>
    </row>
    <row r="2" spans="1:5" s="186" customFormat="1" ht="19" x14ac:dyDescent="0.25">
      <c r="A2" s="39"/>
      <c r="B2" s="39"/>
      <c r="C2" s="433" t="s">
        <v>74</v>
      </c>
      <c r="D2" s="153" t="s">
        <v>3</v>
      </c>
      <c r="E2" s="150"/>
    </row>
    <row r="3" spans="1:5" ht="117" customHeight="1" x14ac:dyDescent="0.2">
      <c r="A3" s="187"/>
      <c r="B3" s="187"/>
      <c r="C3" s="346" t="s">
        <v>582</v>
      </c>
      <c r="D3" s="64" t="s">
        <v>933</v>
      </c>
      <c r="E3" s="151" t="s">
        <v>990</v>
      </c>
    </row>
    <row r="4" spans="1:5" x14ac:dyDescent="0.2">
      <c r="A4" s="41"/>
      <c r="B4" s="41" t="s">
        <v>4</v>
      </c>
      <c r="C4" s="434"/>
      <c r="D4" s="191"/>
      <c r="E4" s="188" t="str">
        <f>IF(COUNTIF(D$15:INDEX($D:$D,COUNTA($B:$B)+14-COUNTA($B$1:$B$14)),"")&gt;0,"BLANK PRIORITIZATIONS","")</f>
        <v>BLANK PRIORITIZATIONS</v>
      </c>
    </row>
    <row r="5" spans="1:5" x14ac:dyDescent="0.2">
      <c r="A5" s="8" t="s">
        <v>99</v>
      </c>
      <c r="B5" s="8" t="s">
        <v>99</v>
      </c>
      <c r="C5" s="434" t="s">
        <v>107</v>
      </c>
      <c r="D5" s="191" t="s">
        <v>107</v>
      </c>
      <c r="E5" t="s">
        <v>99</v>
      </c>
    </row>
    <row r="6" spans="1:5" x14ac:dyDescent="0.2">
      <c r="A6" s="8" t="s">
        <v>201</v>
      </c>
      <c r="B6" s="8" t="s">
        <v>201</v>
      </c>
      <c r="C6" s="434" t="s">
        <v>111</v>
      </c>
      <c r="D6" s="191" t="s">
        <v>93</v>
      </c>
      <c r="E6" t="s">
        <v>94</v>
      </c>
    </row>
    <row r="7" spans="1:5" x14ac:dyDescent="0.2">
      <c r="A7" s="8" t="s">
        <v>109</v>
      </c>
      <c r="B7" s="8" t="s">
        <v>109</v>
      </c>
      <c r="C7" s="434" t="s">
        <v>95</v>
      </c>
      <c r="D7" s="191" t="s">
        <v>95</v>
      </c>
      <c r="E7" t="s">
        <v>109</v>
      </c>
    </row>
    <row r="8" spans="1:5" x14ac:dyDescent="0.2">
      <c r="C8" s="435" t="s">
        <v>106</v>
      </c>
      <c r="D8" s="323" t="s">
        <v>106</v>
      </c>
    </row>
    <row r="9" spans="1:5" x14ac:dyDescent="0.2">
      <c r="C9" s="435"/>
      <c r="D9" s="323"/>
    </row>
    <row r="10" spans="1:5" x14ac:dyDescent="0.2">
      <c r="C10" s="435"/>
      <c r="D10" s="323"/>
    </row>
    <row r="11" spans="1:5" x14ac:dyDescent="0.2">
      <c r="C11" s="434"/>
      <c r="D11" s="191"/>
    </row>
    <row r="12" spans="1:5" x14ac:dyDescent="0.2">
      <c r="C12" s="434"/>
      <c r="D12" s="191"/>
    </row>
    <row r="13" spans="1:5" x14ac:dyDescent="0.2">
      <c r="C13" s="434"/>
      <c r="D13" s="191"/>
    </row>
    <row r="14" spans="1:5" x14ac:dyDescent="0.2">
      <c r="A14" s="52" t="s">
        <v>587</v>
      </c>
      <c r="B14" s="52" t="s">
        <v>5</v>
      </c>
      <c r="C14" s="347" t="s">
        <v>571</v>
      </c>
      <c r="D14" s="192" t="s">
        <v>572</v>
      </c>
      <c r="E14" s="180" t="s">
        <v>717</v>
      </c>
    </row>
    <row r="15" spans="1:5" x14ac:dyDescent="0.2">
      <c r="D15" s="189" t="str">
        <f>IF(LEFT($B15,4)="_Mil","M",IF(SUM($C15)=0,"",$C15))</f>
        <v/>
      </c>
      <c r="E15" s="190" t="str">
        <f>IF($D15=1,"Scale-up: Saturation",IF($D15=2,"Scale-up: Aggressive",IF($D15=4,"Sustained",IF($D15=5,"Centrally Supported",IF($D15=6,"Sustained:Commodities",IF($D15=7,"Attained",IF($D15=8,"Not PEPFAR Supported",IF($D15="M","Military",IF($D15="NA","Not a PSNU","INVALID")))))))))</f>
        <v>INVALID</v>
      </c>
    </row>
    <row r="16" spans="1:5" x14ac:dyDescent="0.2">
      <c r="E16" s="190"/>
    </row>
    <row r="17" spans="1:5" x14ac:dyDescent="0.2">
      <c r="E17" s="190"/>
    </row>
    <row r="18" spans="1:5" x14ac:dyDescent="0.2">
      <c r="A18" s="53"/>
      <c r="B18" s="53"/>
      <c r="E18" s="190"/>
    </row>
  </sheetData>
  <conditionalFormatting sqref="E4">
    <cfRule type="containsText" dxfId="176" priority="3" operator="containsText" text="BLANK PRIORITIZATIONS">
      <formula>NOT(ISERROR(SEARCH("BLANK PRIORITIZATIONS",E4)))</formula>
    </cfRule>
  </conditionalFormatting>
  <conditionalFormatting sqref="C1:D1048576">
    <cfRule type="expression" dxfId="175" priority="2">
      <formula>AND(ROW(C1)&gt;14,$B1&lt;&gt;"",C1&lt;&gt;1,C1&lt;&gt;2,C1&lt;&gt;4,C1&lt;&gt;5,C1&lt;&gt;6,C1&lt;&gt;7,C1&lt;&gt;8,C1&lt;&gt;"M",C1&lt;&gt;"NA")</formula>
    </cfRule>
  </conditionalFormatting>
  <conditionalFormatting sqref="D1:D1048576">
    <cfRule type="expression" dxfId="174" priority="728">
      <formula>AND(ROW($D1)&gt;14,$D1="",$B1&lt;&gt;"")</formula>
    </cfRule>
    <cfRule type="expression" dxfId="173"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C15"/>
  <sheetViews>
    <sheetView zoomScale="120" zoomScaleNormal="12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416"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56" customWidth="1"/>
    <col min="13" max="13" width="11.83203125" hidden="1" customWidth="1"/>
    <col min="14" max="14" width="11.83203125" style="45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416" customWidth="1"/>
    <col min="27" max="30" width="11.83203125" customWidth="1"/>
    <col min="31" max="31" width="11.83203125" style="416" customWidth="1"/>
    <col min="32" max="35" width="11.83203125" customWidth="1"/>
    <col min="36" max="36" width="11.83203125" style="416" customWidth="1"/>
    <col min="37" max="38" width="11.83203125" style="438" customWidth="1"/>
    <col min="39" max="39" width="11.83203125" style="439" customWidth="1"/>
    <col min="40" max="40" width="11.83203125" style="438" customWidth="1"/>
    <col min="41" max="41" width="11.83203125" style="447" customWidth="1"/>
    <col min="42" max="42" width="11.83203125" style="438" customWidth="1"/>
    <col min="43" max="43" width="11.83203125" style="416" customWidth="1"/>
    <col min="44" max="47" width="11.83203125" style="438" customWidth="1"/>
    <col min="48" max="48" width="11.83203125" style="416" customWidth="1"/>
    <col min="49" max="49" width="11.83203125" customWidth="1"/>
    <col min="50" max="51" width="11.83203125" style="438" customWidth="1"/>
    <col min="52" max="52" width="11.83203125" customWidth="1"/>
    <col min="53" max="59" width="11.83203125" style="438" customWidth="1"/>
    <col min="60" max="61" width="11.83203125" customWidth="1"/>
    <col min="62" max="64" width="11.83203125" style="438" customWidth="1"/>
    <col min="65" max="65" width="11.83203125" style="416" customWidth="1"/>
    <col min="66" max="66" width="11.83203125" style="438" customWidth="1"/>
    <col min="67" max="67" width="11.83203125" style="416" customWidth="1"/>
    <col min="68" max="69" width="11.83203125" style="438" customWidth="1"/>
    <col min="70" max="70" width="11.83203125" style="416" customWidth="1"/>
    <col min="71" max="72" width="11.83203125" style="438" customWidth="1"/>
    <col min="73" max="73" width="11.83203125" style="416" customWidth="1"/>
    <col min="74" max="85" width="11.83203125" customWidth="1"/>
    <col min="86" max="86" width="11.83203125" style="416" customWidth="1"/>
    <col min="87" max="92" width="11.83203125" customWidth="1"/>
    <col min="93" max="93" width="11.83203125" style="416" customWidth="1"/>
    <col min="94" max="100" width="11.83203125" customWidth="1"/>
    <col min="101" max="101" width="11.83203125" style="416" customWidth="1"/>
  </cols>
  <sheetData>
    <row r="1" spans="1:107" s="57" customFormat="1" ht="31" customHeight="1" thickBot="1" x14ac:dyDescent="0.35">
      <c r="A1" s="5" t="s">
        <v>301</v>
      </c>
      <c r="B1" s="5"/>
      <c r="C1" s="5"/>
      <c r="D1" s="297"/>
      <c r="E1" s="5"/>
      <c r="F1" s="110" t="s">
        <v>77</v>
      </c>
      <c r="G1" s="45"/>
      <c r="H1" s="67"/>
      <c r="I1" s="35"/>
      <c r="J1" s="85"/>
      <c r="K1" s="35"/>
      <c r="L1" s="421"/>
      <c r="M1" s="35"/>
      <c r="N1" s="80"/>
      <c r="O1" s="35"/>
      <c r="P1" s="67"/>
      <c r="Q1" s="35"/>
      <c r="R1" s="67"/>
      <c r="S1" s="35"/>
      <c r="T1" s="67"/>
      <c r="U1" s="35"/>
      <c r="V1" s="67"/>
      <c r="W1" s="35"/>
      <c r="X1" s="80"/>
      <c r="Y1" s="35"/>
      <c r="Z1" s="110" t="s">
        <v>1106</v>
      </c>
      <c r="AA1" s="380"/>
      <c r="AB1" s="96"/>
      <c r="AC1" s="340"/>
      <c r="AD1" s="96"/>
      <c r="AE1" s="110" t="s">
        <v>1107</v>
      </c>
      <c r="AF1" s="380"/>
      <c r="AG1" s="380"/>
      <c r="AH1" s="95"/>
      <c r="AI1" s="96"/>
      <c r="AJ1" s="164" t="s">
        <v>768</v>
      </c>
      <c r="AK1" s="360"/>
      <c r="AL1" s="360"/>
      <c r="AM1" s="357"/>
      <c r="AN1" s="96"/>
      <c r="AO1" s="440" t="s">
        <v>51</v>
      </c>
      <c r="AP1" s="96"/>
      <c r="AQ1" s="242" t="s">
        <v>52</v>
      </c>
      <c r="AR1" s="360"/>
      <c r="AS1" s="360"/>
      <c r="AT1" s="360"/>
      <c r="AU1" s="96"/>
      <c r="AV1" s="242" t="s">
        <v>1181</v>
      </c>
      <c r="AW1" s="114"/>
      <c r="AX1" s="357"/>
      <c r="AY1" s="340"/>
      <c r="AZ1" s="244"/>
      <c r="BA1" s="410"/>
      <c r="BB1" s="165"/>
      <c r="BC1" s="360"/>
      <c r="BD1" s="360"/>
      <c r="BE1" s="244"/>
      <c r="BF1" s="360"/>
      <c r="BG1" s="360"/>
      <c r="BH1" s="114"/>
      <c r="BI1" s="114"/>
      <c r="BJ1" s="96"/>
      <c r="BK1" s="96"/>
      <c r="BL1" s="338"/>
      <c r="BM1" s="164" t="s">
        <v>1</v>
      </c>
      <c r="BN1" s="96"/>
      <c r="BO1" s="164" t="s">
        <v>0</v>
      </c>
      <c r="BP1" s="360"/>
      <c r="BQ1" s="96"/>
      <c r="BR1" s="440" t="s">
        <v>767</v>
      </c>
      <c r="BS1" s="244"/>
      <c r="BT1" s="360"/>
      <c r="BU1" s="164" t="s">
        <v>1138</v>
      </c>
      <c r="BV1" s="77"/>
      <c r="BW1" s="77"/>
      <c r="BX1" s="165"/>
      <c r="BY1" s="165"/>
      <c r="BZ1" s="130"/>
      <c r="CA1" s="130"/>
      <c r="CB1" s="130"/>
      <c r="CC1" s="130"/>
      <c r="CD1" s="130"/>
      <c r="CE1" s="130"/>
      <c r="CF1" s="130"/>
      <c r="CG1" s="130"/>
      <c r="CH1" s="242" t="s">
        <v>966</v>
      </c>
      <c r="CI1" s="357"/>
      <c r="CJ1" s="357"/>
      <c r="CK1" s="357"/>
      <c r="CL1" s="357"/>
      <c r="CM1" s="357"/>
      <c r="CN1" s="357"/>
      <c r="CO1" s="242" t="s">
        <v>9</v>
      </c>
      <c r="CP1" s="45"/>
      <c r="CQ1" s="45"/>
      <c r="CR1" s="80"/>
      <c r="CS1" s="80"/>
      <c r="CT1" s="80"/>
      <c r="CU1" s="80"/>
      <c r="CV1" s="35"/>
      <c r="CW1" s="110" t="s">
        <v>44</v>
      </c>
    </row>
    <row r="2" spans="1:107" s="56" customFormat="1" ht="19" x14ac:dyDescent="0.25">
      <c r="A2" s="475" t="s">
        <v>1145</v>
      </c>
      <c r="B2" s="476"/>
      <c r="C2" s="2"/>
      <c r="D2" s="298"/>
      <c r="E2" s="2"/>
      <c r="F2" s="459" t="s">
        <v>74</v>
      </c>
      <c r="G2" s="34"/>
      <c r="H2" s="81"/>
      <c r="I2" s="34"/>
      <c r="J2" s="194"/>
      <c r="K2" s="34"/>
      <c r="L2" s="194"/>
      <c r="M2" s="34"/>
      <c r="N2" s="81"/>
      <c r="O2" s="34"/>
      <c r="P2" s="81"/>
      <c r="Q2" s="34"/>
      <c r="R2" s="81"/>
      <c r="S2" s="34"/>
      <c r="T2" s="81"/>
      <c r="U2" s="34"/>
      <c r="V2" s="81"/>
      <c r="W2" s="34"/>
      <c r="X2" s="81"/>
      <c r="Y2" s="34"/>
      <c r="Z2" s="111" t="s">
        <v>74</v>
      </c>
      <c r="AA2" s="333"/>
      <c r="AB2" s="333"/>
      <c r="AC2" s="115"/>
      <c r="AD2" s="333"/>
      <c r="AE2" s="111" t="s">
        <v>74</v>
      </c>
      <c r="AF2" s="333"/>
      <c r="AG2" s="333"/>
      <c r="AH2" s="94"/>
      <c r="AI2" s="333"/>
      <c r="AJ2" s="159" t="s">
        <v>2</v>
      </c>
      <c r="AK2" s="361"/>
      <c r="AL2" s="361"/>
      <c r="AM2" s="245"/>
      <c r="AN2" s="102" t="s">
        <v>3</v>
      </c>
      <c r="AO2" s="444" t="s">
        <v>3</v>
      </c>
      <c r="AP2" s="102"/>
      <c r="AQ2" s="243" t="s">
        <v>74</v>
      </c>
      <c r="AR2" s="361"/>
      <c r="AS2" s="361"/>
      <c r="AT2" s="361" t="s">
        <v>2</v>
      </c>
      <c r="AU2" s="102" t="s">
        <v>3</v>
      </c>
      <c r="AV2" s="243" t="s">
        <v>74</v>
      </c>
      <c r="AW2" s="115"/>
      <c r="AX2" s="245"/>
      <c r="AY2" s="115"/>
      <c r="AZ2" s="245" t="s">
        <v>2</v>
      </c>
      <c r="BA2" s="166"/>
      <c r="BB2" s="166"/>
      <c r="BC2" s="361"/>
      <c r="BD2" s="361"/>
      <c r="BE2" s="370"/>
      <c r="BF2" s="361"/>
      <c r="BG2" s="361"/>
      <c r="BH2" s="269" t="s">
        <v>3</v>
      </c>
      <c r="BI2" s="269"/>
      <c r="BJ2" s="102"/>
      <c r="BK2" s="102"/>
      <c r="BL2" s="216"/>
      <c r="BM2" s="159" t="s">
        <v>2</v>
      </c>
      <c r="BN2" s="102"/>
      <c r="BO2" s="159" t="s">
        <v>2</v>
      </c>
      <c r="BP2" s="361"/>
      <c r="BQ2" s="102" t="s">
        <v>3</v>
      </c>
      <c r="BR2" s="444" t="s">
        <v>3</v>
      </c>
      <c r="BS2" s="245"/>
      <c r="BT2" s="363"/>
      <c r="BU2" s="159" t="s">
        <v>2</v>
      </c>
      <c r="BV2" s="91"/>
      <c r="BW2" s="88"/>
      <c r="BX2" s="166"/>
      <c r="BY2" s="166"/>
      <c r="BZ2" s="102" t="s">
        <v>3</v>
      </c>
      <c r="CA2" s="102"/>
      <c r="CB2" s="102"/>
      <c r="CC2" s="102"/>
      <c r="CD2" s="102"/>
      <c r="CE2" s="102"/>
      <c r="CF2" s="102"/>
      <c r="CG2" s="102"/>
      <c r="CH2" s="159" t="s">
        <v>59</v>
      </c>
      <c r="CI2" s="361"/>
      <c r="CJ2" s="361"/>
      <c r="CK2" s="361"/>
      <c r="CL2" s="361"/>
      <c r="CM2" s="361"/>
      <c r="CN2" s="361"/>
      <c r="CO2" s="243" t="s">
        <v>2</v>
      </c>
      <c r="CP2" s="34"/>
      <c r="CQ2" s="34"/>
      <c r="CR2" s="81" t="s">
        <v>3</v>
      </c>
      <c r="CS2" s="81"/>
      <c r="CT2" s="81"/>
      <c r="CU2" s="81"/>
      <c r="CV2" s="34" t="s">
        <v>74</v>
      </c>
      <c r="CW2" s="449" t="s">
        <v>3</v>
      </c>
    </row>
    <row r="3" spans="1:107" s="40" customFormat="1" ht="134" customHeight="1" thickBot="1" x14ac:dyDescent="0.25">
      <c r="A3" s="477"/>
      <c r="B3" s="478"/>
      <c r="C3" s="47"/>
      <c r="D3" s="299"/>
      <c r="E3" s="47"/>
      <c r="F3" s="460" t="s">
        <v>1126</v>
      </c>
      <c r="G3" s="348" t="s">
        <v>968</v>
      </c>
      <c r="H3" s="139" t="s">
        <v>1127</v>
      </c>
      <c r="I3" s="348" t="s">
        <v>969</v>
      </c>
      <c r="J3" s="195" t="s">
        <v>1128</v>
      </c>
      <c r="K3" s="348" t="s">
        <v>970</v>
      </c>
      <c r="L3" s="457" t="s">
        <v>1142</v>
      </c>
      <c r="M3" s="348" t="s">
        <v>1141</v>
      </c>
      <c r="N3" s="454" t="s">
        <v>1129</v>
      </c>
      <c r="O3" s="348" t="s">
        <v>1117</v>
      </c>
      <c r="P3" s="139" t="s">
        <v>1130</v>
      </c>
      <c r="Q3" s="348" t="s">
        <v>1050</v>
      </c>
      <c r="R3" s="139" t="s">
        <v>1131</v>
      </c>
      <c r="S3" s="348" t="s">
        <v>971</v>
      </c>
      <c r="T3" s="139" t="s">
        <v>1132</v>
      </c>
      <c r="U3" s="348" t="s">
        <v>972</v>
      </c>
      <c r="V3" s="139" t="s">
        <v>1133</v>
      </c>
      <c r="W3" s="348" t="s">
        <v>973</v>
      </c>
      <c r="X3" s="139" t="s">
        <v>1134</v>
      </c>
      <c r="Y3" s="336" t="s">
        <v>974</v>
      </c>
      <c r="Z3" s="136" t="s">
        <v>1105</v>
      </c>
      <c r="AA3" s="334" t="s">
        <v>1</v>
      </c>
      <c r="AB3" s="334" t="s">
        <v>0</v>
      </c>
      <c r="AC3" s="116" t="s">
        <v>52</v>
      </c>
      <c r="AD3" s="334" t="s">
        <v>51</v>
      </c>
      <c r="AE3" s="136" t="s">
        <v>1105</v>
      </c>
      <c r="AF3" s="334" t="s">
        <v>1</v>
      </c>
      <c r="AG3" s="334" t="s">
        <v>0</v>
      </c>
      <c r="AH3" s="145" t="s">
        <v>52</v>
      </c>
      <c r="AI3" s="334" t="s">
        <v>51</v>
      </c>
      <c r="AJ3" s="372" t="s">
        <v>1180</v>
      </c>
      <c r="AK3" s="274" t="s">
        <v>1188</v>
      </c>
      <c r="AL3" s="358" t="s">
        <v>1111</v>
      </c>
      <c r="AM3" s="274" t="s">
        <v>1120</v>
      </c>
      <c r="AN3" s="296" t="s">
        <v>1187</v>
      </c>
      <c r="AO3" s="445" t="s">
        <v>977</v>
      </c>
      <c r="AP3" s="296" t="s">
        <v>1121</v>
      </c>
      <c r="AQ3" s="353" t="s">
        <v>1137</v>
      </c>
      <c r="AR3" s="358" t="s">
        <v>1113</v>
      </c>
      <c r="AS3" s="358" t="s">
        <v>1114</v>
      </c>
      <c r="AT3" s="274" t="s">
        <v>1124</v>
      </c>
      <c r="AU3" s="296" t="s">
        <v>1119</v>
      </c>
      <c r="AV3" s="353" t="s">
        <v>1186</v>
      </c>
      <c r="AW3" s="116" t="s">
        <v>1189</v>
      </c>
      <c r="AX3" s="358" t="s">
        <v>1125</v>
      </c>
      <c r="AY3" s="272" t="s">
        <v>1190</v>
      </c>
      <c r="AZ3" s="354" t="s">
        <v>1192</v>
      </c>
      <c r="BA3" s="200" t="s">
        <v>1115</v>
      </c>
      <c r="BB3" s="200" t="s">
        <v>1116</v>
      </c>
      <c r="BC3" s="274" t="s">
        <v>1182</v>
      </c>
      <c r="BD3" s="274" t="s">
        <v>1148</v>
      </c>
      <c r="BE3" s="246" t="s">
        <v>1147</v>
      </c>
      <c r="BF3" s="371" t="s">
        <v>1191</v>
      </c>
      <c r="BG3" s="274" t="s">
        <v>1146</v>
      </c>
      <c r="BH3" s="253" t="s">
        <v>1183</v>
      </c>
      <c r="BI3" s="253" t="s">
        <v>1193</v>
      </c>
      <c r="BJ3" s="296" t="s">
        <v>1184</v>
      </c>
      <c r="BK3" s="296" t="s">
        <v>1149</v>
      </c>
      <c r="BL3" s="253" t="s">
        <v>1185</v>
      </c>
      <c r="BM3" s="368" t="s">
        <v>1194</v>
      </c>
      <c r="BN3" s="296" t="s">
        <v>788</v>
      </c>
      <c r="BO3" s="368" t="s">
        <v>1118</v>
      </c>
      <c r="BP3" s="274" t="s">
        <v>831</v>
      </c>
      <c r="BQ3" s="296" t="s">
        <v>789</v>
      </c>
      <c r="BR3" s="448" t="s">
        <v>962</v>
      </c>
      <c r="BS3" s="358" t="s">
        <v>1136</v>
      </c>
      <c r="BT3" s="364" t="s">
        <v>1170</v>
      </c>
      <c r="BU3" s="58" t="s">
        <v>1195</v>
      </c>
      <c r="BV3" s="93" t="s">
        <v>840</v>
      </c>
      <c r="BW3" s="93" t="s">
        <v>1196</v>
      </c>
      <c r="BX3" s="200" t="s">
        <v>1102</v>
      </c>
      <c r="BY3" s="167" t="s">
        <v>1103</v>
      </c>
      <c r="BZ3" s="100" t="s">
        <v>936</v>
      </c>
      <c r="CA3" s="70" t="s">
        <v>937</v>
      </c>
      <c r="CB3" s="70" t="s">
        <v>851</v>
      </c>
      <c r="CC3" s="70" t="s">
        <v>852</v>
      </c>
      <c r="CD3" s="70" t="s">
        <v>853</v>
      </c>
      <c r="CE3" s="70" t="s">
        <v>938</v>
      </c>
      <c r="CF3" s="70" t="s">
        <v>939</v>
      </c>
      <c r="CG3" s="70" t="s">
        <v>855</v>
      </c>
      <c r="CH3" s="374" t="s">
        <v>806</v>
      </c>
      <c r="CI3" s="375" t="s">
        <v>940</v>
      </c>
      <c r="CJ3" s="375" t="s">
        <v>805</v>
      </c>
      <c r="CK3" s="375" t="s">
        <v>807</v>
      </c>
      <c r="CL3" s="375" t="s">
        <v>817</v>
      </c>
      <c r="CM3" s="375" t="s">
        <v>941</v>
      </c>
      <c r="CN3" s="375" t="s">
        <v>808</v>
      </c>
      <c r="CO3" s="376" t="s">
        <v>942</v>
      </c>
      <c r="CP3" s="48" t="s">
        <v>964</v>
      </c>
      <c r="CQ3" s="48" t="s">
        <v>965</v>
      </c>
      <c r="CR3" s="69" t="s">
        <v>1017</v>
      </c>
      <c r="CS3" s="69" t="s">
        <v>943</v>
      </c>
      <c r="CT3" s="69" t="s">
        <v>1018</v>
      </c>
      <c r="CU3" s="69" t="s">
        <v>944</v>
      </c>
      <c r="CV3" s="373" t="s">
        <v>945</v>
      </c>
      <c r="CW3" s="450" t="s">
        <v>1135</v>
      </c>
      <c r="CX3"/>
      <c r="CY3"/>
      <c r="CZ3"/>
      <c r="DA3"/>
      <c r="DB3"/>
      <c r="DC3"/>
    </row>
    <row r="4" spans="1:107" s="40" customFormat="1" x14ac:dyDescent="0.2">
      <c r="A4" s="49"/>
      <c r="B4" s="49"/>
      <c r="C4" s="49"/>
      <c r="D4" s="300" t="s">
        <v>4</v>
      </c>
      <c r="E4" s="49"/>
      <c r="F4" s="271">
        <f>SUBTOTAL(109,F$15:INDEX(F:F,COUNTA($B:$B)+14-COUNTA($B$1:$B$14)))</f>
        <v>0</v>
      </c>
      <c r="G4" s="349"/>
      <c r="H4" s="86">
        <f>SUBTOTAL(109,H$15:INDEX(H:H,COUNTA($B:$B)+14-COUNTA($B$1:$B$14)))</f>
        <v>0</v>
      </c>
      <c r="I4" s="349"/>
      <c r="J4" s="196" t="str">
        <f>IF(SUM($F4)=0,"",SUM($H4)/$F4)</f>
        <v/>
      </c>
      <c r="K4" s="206"/>
      <c r="L4" s="196" t="str">
        <f>IF(SUM($F4)=0,"",SUM($N4)/$F4)</f>
        <v/>
      </c>
      <c r="M4" s="206"/>
      <c r="N4" s="83">
        <f>SUBTOTAL(109,N$15:INDEX(N:N,COUNTA($B:$B)+14-COUNTA($B$1:$B$14)))</f>
        <v>0</v>
      </c>
      <c r="O4" s="206"/>
      <c r="P4" s="86">
        <f>SUBTOTAL(109,P$15:INDEX(P:P,COUNTA($B:$B)+14-COUNTA($B$1:$B$14)))</f>
        <v>0</v>
      </c>
      <c r="Q4" s="206"/>
      <c r="R4" s="86">
        <f>SUBTOTAL(109,R$15:INDEX(R:R,COUNTA($B:$B)+14-COUNTA($B$1:$B$14)))</f>
        <v>0</v>
      </c>
      <c r="S4" s="349"/>
      <c r="T4" s="86">
        <f>SUBTOTAL(109,T$15:INDEX(T:T,COUNTA($B:$B)+14-COUNTA($B$1:$B$14)))</f>
        <v>0</v>
      </c>
      <c r="U4" s="349"/>
      <c r="V4" s="86">
        <f>SUBTOTAL(109,V$15:INDEX(V:V,COUNTA($B:$B)+14-COUNTA($B$1:$B$14)))</f>
        <v>0</v>
      </c>
      <c r="W4" s="349"/>
      <c r="X4" s="86">
        <f>SUBTOTAL(109,X$15:INDEX(X:X,COUNTA($B:$B)+14-COUNTA($B$1:$B$14)))</f>
        <v>0</v>
      </c>
      <c r="Y4" s="349"/>
      <c r="Z4" s="120">
        <f>SUBTOTAL(109,Z$15:INDEX(Z:Z,COUNTA($B:$B)+14-COUNTA($B$1:$B$14)))</f>
        <v>0</v>
      </c>
      <c r="AA4" s="381">
        <f>SUBTOTAL(109,AA$15:INDEX(AA:AA,COUNTA($B:$B)+14-COUNTA($B$1:$B$14)))</f>
        <v>0</v>
      </c>
      <c r="AB4" s="381">
        <f>SUBTOTAL(109,AB$15:INDEX(AB:AB,COUNTA($B:$B)+14-COUNTA($B$1:$B$14)))</f>
        <v>0</v>
      </c>
      <c r="AC4" s="337">
        <f>SUBTOTAL(109,AC$15:INDEX(AC:AC,COUNTA($B:$B)+14-COUNTA($B$1:$B$14)))</f>
        <v>0</v>
      </c>
      <c r="AD4" s="117">
        <f>SUBTOTAL(109,AD$15:INDEX(AD:AD,COUNTA($B:$B)+14-COUNTA($B$1:$B$14)))</f>
        <v>0</v>
      </c>
      <c r="AE4" s="120">
        <f>SUBTOTAL(109,AE$15:INDEX(AE:AE,COUNTA($B:$B)+14-COUNTA($B$1:$B$14)))</f>
        <v>0</v>
      </c>
      <c r="AF4" s="381">
        <f>SUBTOTAL(109,AF$15:INDEX(AF:AF,COUNTA($B:$B)+14-COUNTA($B$1:$B$14)))</f>
        <v>0</v>
      </c>
      <c r="AG4" s="381">
        <f>SUBTOTAL(109,AG$15:INDEX(AG:AG,COUNTA($B:$B)+14-COUNTA($B$1:$B$14)))</f>
        <v>0</v>
      </c>
      <c r="AH4" s="135">
        <f>SUBTOTAL(109,AH$15:INDEX(AH:AH,COUNTA($B:$B)+14-COUNTA($B$1:$B$14)))</f>
        <v>0</v>
      </c>
      <c r="AI4" s="117">
        <f>SUBTOTAL(109,AI$15:INDEX(AI:AI,COUNTA($B:$B)+14-COUNTA($B$1:$B$14)))</f>
        <v>0</v>
      </c>
      <c r="AJ4" s="160" t="str">
        <f>IF(SUM($T4)=0,IF(SUM($R4)=0,IF(AND(SUM($AG4)=0,SUM($AB4)=0),"",1),IF(SUM($AB4)=0,SUM($AG4),$AB4)/$R4),IF(SUM($AG4)=0,IF(SUM($R4)=0,SUM($AB4)/$T4,SUM($AB4)/$R4),$AG4/$T4))</f>
        <v/>
      </c>
      <c r="AK4" s="247" t="str">
        <f>IF(SUM($AN4)=0,"",SUM($AP4)/$AN4)</f>
        <v/>
      </c>
      <c r="AL4" s="247" t="str">
        <f>IF(SUM($H4)=0,"",IF(SUM($X4)=0,IF(SUM($AI4)=0,SUM($AD4),$AI4)/IF(SUM($AJ4)=0,1,$AJ4)/$H4,$X4/$H4))</f>
        <v/>
      </c>
      <c r="AM4" s="359" t="str">
        <f>IF(SUM($H4,$N4)=0,"",SUM($AN4)/SUM($H4,$N4))</f>
        <v/>
      </c>
      <c r="AN4" s="175">
        <f>SUBTOTAL(109,AN$15:INDEX(AN:AN,COUNTA($B:$B)+14-COUNTA($B$1:$B$14)))</f>
        <v>0</v>
      </c>
      <c r="AO4" s="441">
        <f>SUBTOTAL(109,AO$15:INDEX(AO:AO,COUNTA($B:$B)+14-COUNTA($B$1:$B$14)))</f>
        <v>0</v>
      </c>
      <c r="AP4" s="175">
        <f>SUBTOTAL(109,AP$15:INDEX(AP:AP,COUNTA($B:$B)+14-COUNTA($B$1:$B$14)))</f>
        <v>0</v>
      </c>
      <c r="AQ4" s="160" t="str">
        <f>IF(SUM($V4)=0,"",SUM($X4)/$V4)</f>
        <v/>
      </c>
      <c r="AR4" s="247" t="str">
        <f>IF(SUM($AC4)=0,"",SUM($AD4)/$AC4)</f>
        <v/>
      </c>
      <c r="AS4" s="247" t="str">
        <f>IF(SUM($AH4)=0,"",SUM($AI4)/$AH4)</f>
        <v/>
      </c>
      <c r="AT4" s="247" t="str">
        <f>IF(SUM($AU4)=0,"",SUM($AP4)/$AU4)</f>
        <v/>
      </c>
      <c r="AU4" s="103">
        <f>SUBTOTAL(109,AU$15:INDEX(AU:AU,COUNTA($B:$B)+14-COUNTA($B$1:$B$14)))</f>
        <v>0</v>
      </c>
      <c r="AV4" s="160" t="str">
        <f>IF(SUM($H4)=0,"",SUM($P4)/$H4)</f>
        <v/>
      </c>
      <c r="AW4" s="337">
        <f>SUBTOTAL(109,AW$15:INDEX(AW:AW,COUNTA($B:$B)+14-COUNTA($B$1:$B$14)))</f>
        <v>0</v>
      </c>
      <c r="AX4" s="359" t="str">
        <f>IF(SUM($P4)=0,"",SUM($T4)/$P4)</f>
        <v/>
      </c>
      <c r="AY4" s="337">
        <f>SUBTOTAL(109,AY$15:INDEX(AY:AY,COUNTA($B:$B)+14-COUNTA($B$1:$B$14)))</f>
        <v>0</v>
      </c>
      <c r="AZ4" s="247" t="str">
        <f>IF($N$4=0,"",($BH$4/$AK$4)/$N$4)</f>
        <v/>
      </c>
      <c r="BA4" s="168" t="str">
        <f>IF(SUM($Z4)=0,"",SUM($AA4)/$Z4)</f>
        <v/>
      </c>
      <c r="BB4" s="168" t="str">
        <f>IF(SUM($AE4)=0,"",SUM($AF4)/$AE4)</f>
        <v/>
      </c>
      <c r="BC4" s="247" t="str">
        <f>IF($BZ$4=0,"",$BN$4/$BZ$4)</f>
        <v/>
      </c>
      <c r="BD4" s="247" t="str">
        <f>IF(SUM($BH$4,$BI$4)=0,"",$BJ$4/SUM($BH$4,$BI$4))</f>
        <v/>
      </c>
      <c r="BE4" s="247" t="str">
        <f>IF(SUM($T4)=0,"",SUM($V4)/$T4)</f>
        <v/>
      </c>
      <c r="BF4" s="247" t="str">
        <f>IF(SUM($AG4)=0,"",SUM($AH4)/$AG4)</f>
        <v/>
      </c>
      <c r="BG4" s="247" t="str">
        <f>IF(SUM($BK$4)=0,"",SUM($AU$4)/SUM($BK$4))</f>
        <v/>
      </c>
      <c r="BH4" s="341">
        <f>SUBTOTAL(109,BH$15:INDEX(BH:BH,COUNTA($B:$B)+14-COUNTA($B$1:$B$14)))</f>
        <v>0</v>
      </c>
      <c r="BI4" s="341">
        <f>SUBTOTAL(109,BI$15:INDEX(BI:BI,COUNTA($B:$B)+14-COUNTA($B$1:$B$14)))</f>
        <v>0</v>
      </c>
      <c r="BJ4" s="134">
        <f>SUBTOTAL(109,BJ$15:INDEX(BJ:BJ,COUNTA($B:$B)+14-COUNTA($B$1:$B$14)))</f>
        <v>0</v>
      </c>
      <c r="BK4" s="103">
        <f>SUBTOTAL(109,BK$15:INDEX(BK:BK,COUNTA($B:$B)+14-COUNTA($B$1:$B$14)))</f>
        <v>0</v>
      </c>
      <c r="BL4" s="341" t="str">
        <f>IF(SUM($BK$4)=0,"",SUM($AU$4)/SUM($BK$4))</f>
        <v/>
      </c>
      <c r="BM4" s="160" t="str">
        <f>IF($BI$4=0,"",($BN$4-$BH$4)/$BI$4)</f>
        <v/>
      </c>
      <c r="BN4" s="134">
        <f>SUBTOTAL(109,BN$15:INDEX(BN:BN,COUNTA($B:$B)+14-COUNTA($B$1:$B$14)))</f>
        <v>0</v>
      </c>
      <c r="BO4" s="160"/>
      <c r="BP4" s="247"/>
      <c r="BQ4" s="103">
        <f>SUBTOTAL(109,BQ$15:INDEX(BQ:BQ,COUNTA($B:$B)+14-COUNTA($B$1:$B$14)))</f>
        <v>0</v>
      </c>
      <c r="BR4" s="441">
        <f>SUBTOTAL(109,BR$15:INDEX(BR:BR,COUNTA($B:$B)+14-COUNTA($B$1:$B$14)))</f>
        <v>0</v>
      </c>
      <c r="BS4" s="247" t="str">
        <f>IF(SUM($H4)=0,"",SUM($T4)/$H4)</f>
        <v/>
      </c>
      <c r="BT4" s="365" t="str">
        <f>IF(SUM($H4,$N4)=0,"",SUM($BR4)/SUM($H4,$N4))</f>
        <v/>
      </c>
      <c r="BU4" s="160" t="str">
        <f>IF(SUM($BN4)=0,"",SUM($BV4)/$BN4)</f>
        <v/>
      </c>
      <c r="BV4" s="101">
        <f>SUBTOTAL(109,BV$15:INDEX(BV:BV,COUNTA($B:$B)+14-COUNTA($B$1:$B$14)))</f>
        <v>0</v>
      </c>
      <c r="BW4" s="101">
        <f>SUBTOTAL(109,BW$15:INDEX(BW:BW,COUNTA($B:$B)+14-COUNTA($B$1:$B$14)))</f>
        <v>0</v>
      </c>
      <c r="BX4" s="168"/>
      <c r="BY4" s="168" t="str">
        <f>IF(SUM($BZ4)=0,"",SUM($CA4)/$BZ4)</f>
        <v/>
      </c>
      <c r="BZ4" s="103">
        <f>SUBTOTAL(109,BZ$15:INDEX(BZ:BZ,COUNTA($B:$B)+14-COUNTA($B$1:$B$14)))</f>
        <v>0</v>
      </c>
      <c r="CA4" s="103">
        <f>SUBTOTAL(109,CA$15:INDEX(CA:CA,COUNTA($B:$B)+14-COUNTA($B$1:$B$14)))</f>
        <v>0</v>
      </c>
      <c r="CB4" s="86">
        <f>SUBTOTAL(109,CB$15:INDEX(CB:CB,COUNTA($B:$B)+14-COUNTA($B$1:$B$14)))</f>
        <v>0</v>
      </c>
      <c r="CC4" s="134">
        <f>SUBTOTAL(109,CC$15:INDEX(CC:CC,COUNTA($B:$B)+14-COUNTA($B$1:$B$14)))</f>
        <v>0</v>
      </c>
      <c r="CD4" s="71">
        <f>SUBTOTAL(109,CD$15:INDEX(CD:CD,COUNTA($B:$B)+14-COUNTA($B$1:$B$14)))</f>
        <v>0</v>
      </c>
      <c r="CE4" s="71">
        <f>SUBTOTAL(109,CE$15:INDEX(CE:CE,COUNTA($B:$B)+14-COUNTA($B$1:$B$14)))</f>
        <v>0</v>
      </c>
      <c r="CF4" s="71">
        <f>SUBTOTAL(109,CF$15:INDEX(CF:CF,COUNTA($B:$B)+14-COUNTA($B$1:$B$14)))</f>
        <v>0</v>
      </c>
      <c r="CG4" s="103">
        <f>SUBTOTAL(109,CG$15:INDEX(CG:CG,COUNTA($B:$B)+14-COUNTA($B$1:$B$14)))</f>
        <v>0</v>
      </c>
      <c r="CH4" s="377" t="str">
        <f>IF(SUM($BZ4)=0,"",SUM($CA4)/$BZ4)</f>
        <v/>
      </c>
      <c r="CI4" s="378" t="str">
        <f>IF(SUM($BZ4)=0,"",SUM($CB4)/$BZ4)</f>
        <v/>
      </c>
      <c r="CJ4" s="378" t="str">
        <f>IF(SUM($BZ4)=0,"",SUM($CC4)/$BZ4)</f>
        <v/>
      </c>
      <c r="CK4" s="378" t="str">
        <f>IF(SUM($BZ4)=0,"",SUM($CD4)/$BZ4)</f>
        <v/>
      </c>
      <c r="CL4" s="378" t="str">
        <f>IF(SUM($BZ4)=0,"",SUM($CE4)/$BZ4)</f>
        <v/>
      </c>
      <c r="CM4" s="378" t="str">
        <f>IF(SUM($BZ4)=0,"",SUM($CF4)/$BZ4)</f>
        <v/>
      </c>
      <c r="CN4" s="378" t="str">
        <f>IF(SUM($BZ4)=0,"",SUM($CG4)/$BZ4)</f>
        <v/>
      </c>
      <c r="CO4" s="160" t="str">
        <f>IF(SUM($CA4)=0,"",SUM($CR4)/$CA4)</f>
        <v/>
      </c>
      <c r="CP4" s="50" t="str">
        <f>IF(SUM($CS4,$CR4)=0,"",SUM($CR4)/SUM($CS4,$CR4))</f>
        <v/>
      </c>
      <c r="CQ4" s="50" t="str">
        <f>IF(SUM($CT4,$CU4)=0,"",SUM($CT4)/SUM($CT4,$CU4))</f>
        <v/>
      </c>
      <c r="CR4" s="71">
        <f>SUBTOTAL(109,CR$15:INDEX(CR:CR,COUNTA($B:$B)+14-COUNTA($B$1:$B$14)))</f>
        <v>0</v>
      </c>
      <c r="CS4" s="71">
        <f>SUBTOTAL(109,CS$15:INDEX(CS:CS,COUNTA($B:$B)+14-COUNTA($B$1:$B$14)))</f>
        <v>0</v>
      </c>
      <c r="CT4" s="71">
        <f>SUBTOTAL(109,CT$15:INDEX(CT:CT,COUNTA($B:$B)+14-COUNTA($B$1:$B$14)))</f>
        <v>0</v>
      </c>
      <c r="CU4" s="71">
        <f>SUBTOTAL(109,CU$15:INDEX(CU:CU,COUNTA($B:$B)+14-COUNTA($B$1:$B$14)))</f>
        <v>0</v>
      </c>
      <c r="CV4" s="50" t="str">
        <f>IF(SUM($BZ4)=0,"",SUM($CR4,$CT4)/$BZ4)</f>
        <v/>
      </c>
      <c r="CW4" s="451">
        <f>SUBTOTAL(109,CW$15:INDEX(CW:CW,COUNTA($B:$B)+14-COUNTA($B$1:$B$14)))</f>
        <v>0</v>
      </c>
      <c r="CX4"/>
      <c r="CY4"/>
      <c r="CZ4"/>
      <c r="DA4"/>
      <c r="DB4"/>
      <c r="DC4"/>
    </row>
    <row r="5" spans="1:107" s="40" customFormat="1" x14ac:dyDescent="0.2">
      <c r="A5" s="42" t="s">
        <v>99</v>
      </c>
      <c r="B5" s="42" t="s">
        <v>99</v>
      </c>
      <c r="C5" s="42" t="s">
        <v>99</v>
      </c>
      <c r="D5" s="301" t="s">
        <v>99</v>
      </c>
      <c r="E5" s="42" t="s">
        <v>99</v>
      </c>
      <c r="F5" s="122" t="s">
        <v>107</v>
      </c>
      <c r="G5" s="36" t="s">
        <v>99</v>
      </c>
      <c r="H5" s="72" t="s">
        <v>107</v>
      </c>
      <c r="I5" s="36" t="s">
        <v>99</v>
      </c>
      <c r="J5" s="197" t="s">
        <v>107</v>
      </c>
      <c r="K5" s="36" t="s">
        <v>99</v>
      </c>
      <c r="L5" s="199" t="s">
        <v>99</v>
      </c>
      <c r="M5" s="36" t="s">
        <v>99</v>
      </c>
      <c r="N5" s="84" t="s">
        <v>99</v>
      </c>
      <c r="O5" s="36" t="s">
        <v>99</v>
      </c>
      <c r="P5" s="72" t="s">
        <v>108</v>
      </c>
      <c r="Q5" s="36" t="s">
        <v>99</v>
      </c>
      <c r="R5" s="72" t="s">
        <v>108</v>
      </c>
      <c r="S5" s="36" t="s">
        <v>99</v>
      </c>
      <c r="T5" s="72" t="s">
        <v>108</v>
      </c>
      <c r="U5" s="36" t="s">
        <v>99</v>
      </c>
      <c r="V5" s="72" t="s">
        <v>108</v>
      </c>
      <c r="W5" s="36" t="s">
        <v>99</v>
      </c>
      <c r="X5" s="72" t="s">
        <v>108</v>
      </c>
      <c r="Y5" s="36" t="s">
        <v>99</v>
      </c>
      <c r="Z5" s="98" t="s">
        <v>99</v>
      </c>
      <c r="AA5" s="382" t="s">
        <v>110</v>
      </c>
      <c r="AB5" s="382" t="s">
        <v>110</v>
      </c>
      <c r="AC5" s="97" t="s">
        <v>110</v>
      </c>
      <c r="AD5" s="97" t="s">
        <v>110</v>
      </c>
      <c r="AE5" s="98" t="s">
        <v>99</v>
      </c>
      <c r="AF5" s="382" t="s">
        <v>110</v>
      </c>
      <c r="AG5" s="382" t="s">
        <v>110</v>
      </c>
      <c r="AH5" s="97" t="s">
        <v>110</v>
      </c>
      <c r="AI5" s="97" t="s">
        <v>110</v>
      </c>
      <c r="AJ5" s="161" t="s">
        <v>99</v>
      </c>
      <c r="AK5" s="248" t="s">
        <v>99</v>
      </c>
      <c r="AL5" s="248" t="s">
        <v>99</v>
      </c>
      <c r="AM5" s="273" t="s">
        <v>99</v>
      </c>
      <c r="AN5" s="104" t="s">
        <v>108</v>
      </c>
      <c r="AO5" s="122" t="s">
        <v>99</v>
      </c>
      <c r="AP5" s="104" t="s">
        <v>110</v>
      </c>
      <c r="AQ5" s="161" t="s">
        <v>99</v>
      </c>
      <c r="AR5" s="248" t="s">
        <v>99</v>
      </c>
      <c r="AS5" s="248" t="s">
        <v>99</v>
      </c>
      <c r="AT5" s="248" t="s">
        <v>99</v>
      </c>
      <c r="AU5" s="104" t="s">
        <v>110</v>
      </c>
      <c r="AV5" s="161" t="s">
        <v>99</v>
      </c>
      <c r="AW5" s="118" t="s">
        <v>99</v>
      </c>
      <c r="AX5" s="273" t="s">
        <v>99</v>
      </c>
      <c r="AY5" s="97" t="s">
        <v>99</v>
      </c>
      <c r="AZ5" s="248" t="s">
        <v>99</v>
      </c>
      <c r="BA5" s="169" t="s">
        <v>99</v>
      </c>
      <c r="BB5" s="169" t="s">
        <v>99</v>
      </c>
      <c r="BC5" s="248" t="s">
        <v>99</v>
      </c>
      <c r="BD5" s="248" t="s">
        <v>99</v>
      </c>
      <c r="BE5" s="248" t="s">
        <v>99</v>
      </c>
      <c r="BF5" s="248" t="s">
        <v>99</v>
      </c>
      <c r="BG5" s="248" t="s">
        <v>99</v>
      </c>
      <c r="BH5" s="217" t="s">
        <v>99</v>
      </c>
      <c r="BI5" s="217" t="s">
        <v>99</v>
      </c>
      <c r="BJ5" s="217" t="s">
        <v>99</v>
      </c>
      <c r="BK5" s="104" t="s">
        <v>99</v>
      </c>
      <c r="BL5" s="217" t="s">
        <v>99</v>
      </c>
      <c r="BM5" s="161" t="s">
        <v>99</v>
      </c>
      <c r="BN5" s="217" t="s">
        <v>110</v>
      </c>
      <c r="BO5" s="161" t="s">
        <v>99</v>
      </c>
      <c r="BP5" s="248" t="s">
        <v>99</v>
      </c>
      <c r="BQ5" s="104" t="s">
        <v>110</v>
      </c>
      <c r="BR5" s="122" t="s">
        <v>108</v>
      </c>
      <c r="BS5" s="169" t="s">
        <v>99</v>
      </c>
      <c r="BT5" s="366" t="s">
        <v>99</v>
      </c>
      <c r="BU5" s="161" t="s">
        <v>99</v>
      </c>
      <c r="BV5" s="75" t="s">
        <v>99</v>
      </c>
      <c r="BW5" s="75" t="s">
        <v>99</v>
      </c>
      <c r="BX5" s="169" t="s">
        <v>99</v>
      </c>
      <c r="BY5" s="169" t="s">
        <v>99</v>
      </c>
      <c r="BZ5" s="104" t="s">
        <v>99</v>
      </c>
      <c r="CA5" s="72" t="s">
        <v>99</v>
      </c>
      <c r="CB5" s="72" t="s">
        <v>99</v>
      </c>
      <c r="CC5" s="72" t="s">
        <v>99</v>
      </c>
      <c r="CD5" s="72" t="s">
        <v>99</v>
      </c>
      <c r="CE5" s="72" t="s">
        <v>99</v>
      </c>
      <c r="CF5" s="72" t="s">
        <v>99</v>
      </c>
      <c r="CG5" s="72" t="s">
        <v>99</v>
      </c>
      <c r="CH5" s="161" t="s">
        <v>99</v>
      </c>
      <c r="CI5" s="248" t="s">
        <v>99</v>
      </c>
      <c r="CJ5" s="248" t="s">
        <v>99</v>
      </c>
      <c r="CK5" s="248" t="s">
        <v>99</v>
      </c>
      <c r="CL5" s="248" t="s">
        <v>99</v>
      </c>
      <c r="CM5" s="248" t="s">
        <v>99</v>
      </c>
      <c r="CN5" s="248" t="s">
        <v>99</v>
      </c>
      <c r="CO5" s="161" t="s">
        <v>99</v>
      </c>
      <c r="CP5" s="36" t="s">
        <v>99</v>
      </c>
      <c r="CQ5" s="36" t="s">
        <v>99</v>
      </c>
      <c r="CR5" s="72" t="s">
        <v>110</v>
      </c>
      <c r="CS5" s="72" t="s">
        <v>110</v>
      </c>
      <c r="CT5" s="72" t="s">
        <v>110</v>
      </c>
      <c r="CU5" s="72" t="s">
        <v>110</v>
      </c>
      <c r="CV5" s="36" t="s">
        <v>99</v>
      </c>
      <c r="CW5" s="452" t="s">
        <v>108</v>
      </c>
      <c r="CX5"/>
      <c r="CY5"/>
      <c r="CZ5"/>
      <c r="DA5"/>
      <c r="DB5"/>
      <c r="DC5"/>
    </row>
    <row r="6" spans="1:107" s="40" customFormat="1" x14ac:dyDescent="0.2">
      <c r="A6" s="42" t="s">
        <v>201</v>
      </c>
      <c r="B6" s="42" t="s">
        <v>201</v>
      </c>
      <c r="C6" s="42" t="s">
        <v>201</v>
      </c>
      <c r="D6" s="301" t="s">
        <v>201</v>
      </c>
      <c r="E6" s="42" t="s">
        <v>201</v>
      </c>
      <c r="F6" s="122" t="s">
        <v>93</v>
      </c>
      <c r="G6" s="36" t="s">
        <v>94</v>
      </c>
      <c r="H6" s="72" t="s">
        <v>93</v>
      </c>
      <c r="I6" s="36" t="s">
        <v>94</v>
      </c>
      <c r="J6" s="197" t="s">
        <v>93</v>
      </c>
      <c r="K6" s="36" t="s">
        <v>94</v>
      </c>
      <c r="L6" s="199" t="s">
        <v>94</v>
      </c>
      <c r="M6" s="36" t="s">
        <v>94</v>
      </c>
      <c r="N6" s="84" t="s">
        <v>94</v>
      </c>
      <c r="O6" s="36" t="s">
        <v>94</v>
      </c>
      <c r="P6" s="72" t="s">
        <v>93</v>
      </c>
      <c r="Q6" s="36" t="s">
        <v>94</v>
      </c>
      <c r="R6" s="72" t="s">
        <v>776</v>
      </c>
      <c r="S6" s="36" t="s">
        <v>94</v>
      </c>
      <c r="T6" s="72" t="s">
        <v>93</v>
      </c>
      <c r="U6" s="36" t="s">
        <v>94</v>
      </c>
      <c r="V6" s="72" t="s">
        <v>93</v>
      </c>
      <c r="W6" s="36" t="s">
        <v>94</v>
      </c>
      <c r="X6" s="72" t="s">
        <v>93</v>
      </c>
      <c r="Y6" s="36" t="s">
        <v>94</v>
      </c>
      <c r="Z6" s="98" t="s">
        <v>112</v>
      </c>
      <c r="AA6" s="382" t="s">
        <v>111</v>
      </c>
      <c r="AB6" s="382" t="s">
        <v>111</v>
      </c>
      <c r="AC6" s="97" t="s">
        <v>111</v>
      </c>
      <c r="AD6" s="97" t="s">
        <v>111</v>
      </c>
      <c r="AE6" s="98" t="s">
        <v>112</v>
      </c>
      <c r="AF6" s="382" t="s">
        <v>111</v>
      </c>
      <c r="AG6" s="382" t="s">
        <v>111</v>
      </c>
      <c r="AH6" s="75" t="s">
        <v>111</v>
      </c>
      <c r="AI6" s="97" t="s">
        <v>111</v>
      </c>
      <c r="AJ6" s="161" t="s">
        <v>94</v>
      </c>
      <c r="AK6" s="248" t="s">
        <v>113</v>
      </c>
      <c r="AL6" s="248" t="s">
        <v>94</v>
      </c>
      <c r="AM6" s="273" t="s">
        <v>113</v>
      </c>
      <c r="AN6" s="104" t="s">
        <v>93</v>
      </c>
      <c r="AO6" s="122" t="s">
        <v>94</v>
      </c>
      <c r="AP6" s="104" t="s">
        <v>93</v>
      </c>
      <c r="AQ6" s="161" t="s">
        <v>94</v>
      </c>
      <c r="AR6" s="248" t="s">
        <v>94</v>
      </c>
      <c r="AS6" s="248" t="s">
        <v>94</v>
      </c>
      <c r="AT6" s="248" t="s">
        <v>113</v>
      </c>
      <c r="AU6" s="104" t="s">
        <v>93</v>
      </c>
      <c r="AV6" s="161" t="s">
        <v>94</v>
      </c>
      <c r="AW6" s="118" t="s">
        <v>94</v>
      </c>
      <c r="AX6" s="273" t="s">
        <v>94</v>
      </c>
      <c r="AY6" s="97" t="s">
        <v>94</v>
      </c>
      <c r="AZ6" s="248" t="s">
        <v>113</v>
      </c>
      <c r="BA6" s="169" t="s">
        <v>94</v>
      </c>
      <c r="BB6" s="169" t="s">
        <v>94</v>
      </c>
      <c r="BC6" s="248" t="s">
        <v>113</v>
      </c>
      <c r="BD6" s="248" t="s">
        <v>113</v>
      </c>
      <c r="BE6" s="248" t="s">
        <v>94</v>
      </c>
      <c r="BF6" s="248" t="s">
        <v>94</v>
      </c>
      <c r="BG6" s="248" t="s">
        <v>113</v>
      </c>
      <c r="BH6" s="217" t="s">
        <v>94</v>
      </c>
      <c r="BI6" s="217" t="s">
        <v>94</v>
      </c>
      <c r="BJ6" s="217" t="s">
        <v>94</v>
      </c>
      <c r="BK6" s="104" t="s">
        <v>94</v>
      </c>
      <c r="BL6" s="217" t="s">
        <v>94</v>
      </c>
      <c r="BM6" s="161" t="s">
        <v>113</v>
      </c>
      <c r="BN6" s="217" t="s">
        <v>93</v>
      </c>
      <c r="BO6" s="161" t="s">
        <v>113</v>
      </c>
      <c r="BP6" s="248" t="s">
        <v>113</v>
      </c>
      <c r="BQ6" s="104" t="s">
        <v>93</v>
      </c>
      <c r="BR6" s="122" t="s">
        <v>93</v>
      </c>
      <c r="BS6" s="169" t="s">
        <v>94</v>
      </c>
      <c r="BT6" s="366" t="s">
        <v>94</v>
      </c>
      <c r="BU6" s="161" t="s">
        <v>113</v>
      </c>
      <c r="BV6" s="75" t="s">
        <v>94</v>
      </c>
      <c r="BW6" s="75" t="s">
        <v>94</v>
      </c>
      <c r="BX6" s="169" t="s">
        <v>112</v>
      </c>
      <c r="BY6" s="169" t="s">
        <v>113</v>
      </c>
      <c r="BZ6" s="104" t="s">
        <v>94</v>
      </c>
      <c r="CA6" s="72" t="s">
        <v>94</v>
      </c>
      <c r="CB6" s="72" t="s">
        <v>94</v>
      </c>
      <c r="CC6" s="72" t="s">
        <v>94</v>
      </c>
      <c r="CD6" s="72" t="s">
        <v>94</v>
      </c>
      <c r="CE6" s="72" t="s">
        <v>94</v>
      </c>
      <c r="CF6" s="72" t="s">
        <v>94</v>
      </c>
      <c r="CG6" s="72" t="s">
        <v>94</v>
      </c>
      <c r="CH6" s="161" t="s">
        <v>94</v>
      </c>
      <c r="CI6" s="248" t="s">
        <v>94</v>
      </c>
      <c r="CJ6" s="248" t="s">
        <v>94</v>
      </c>
      <c r="CK6" s="248" t="s">
        <v>94</v>
      </c>
      <c r="CL6" s="248" t="s">
        <v>94</v>
      </c>
      <c r="CM6" s="248" t="s">
        <v>94</v>
      </c>
      <c r="CN6" s="248" t="s">
        <v>94</v>
      </c>
      <c r="CO6" s="161" t="s">
        <v>112</v>
      </c>
      <c r="CP6" s="36" t="s">
        <v>112</v>
      </c>
      <c r="CQ6" s="36" t="s">
        <v>112</v>
      </c>
      <c r="CR6" s="72" t="s">
        <v>93</v>
      </c>
      <c r="CS6" s="72" t="s">
        <v>93</v>
      </c>
      <c r="CT6" s="72" t="s">
        <v>93</v>
      </c>
      <c r="CU6" s="72" t="s">
        <v>93</v>
      </c>
      <c r="CV6" s="36" t="s">
        <v>94</v>
      </c>
      <c r="CW6" s="452" t="s">
        <v>93</v>
      </c>
      <c r="CX6"/>
      <c r="CY6"/>
      <c r="CZ6"/>
      <c r="DA6"/>
      <c r="DB6"/>
      <c r="DC6"/>
    </row>
    <row r="7" spans="1:107" s="40" customFormat="1" x14ac:dyDescent="0.2">
      <c r="A7" s="42" t="s">
        <v>109</v>
      </c>
      <c r="B7" s="42" t="s">
        <v>109</v>
      </c>
      <c r="C7" s="42" t="s">
        <v>109</v>
      </c>
      <c r="D7" s="301" t="s">
        <v>109</v>
      </c>
      <c r="E7" s="42" t="s">
        <v>109</v>
      </c>
      <c r="F7" s="122" t="s">
        <v>95</v>
      </c>
      <c r="G7" s="36" t="s">
        <v>96</v>
      </c>
      <c r="H7" s="72" t="s">
        <v>95</v>
      </c>
      <c r="I7" s="36" t="s">
        <v>96</v>
      </c>
      <c r="J7" s="197" t="s">
        <v>96</v>
      </c>
      <c r="K7" s="36" t="s">
        <v>96</v>
      </c>
      <c r="L7" s="199" t="s">
        <v>96</v>
      </c>
      <c r="M7" s="36" t="s">
        <v>96</v>
      </c>
      <c r="N7" s="84" t="s">
        <v>95</v>
      </c>
      <c r="O7" s="36" t="s">
        <v>96</v>
      </c>
      <c r="P7" s="72" t="s">
        <v>95</v>
      </c>
      <c r="Q7" s="36" t="s">
        <v>96</v>
      </c>
      <c r="R7" s="72" t="s">
        <v>95</v>
      </c>
      <c r="S7" s="36" t="s">
        <v>96</v>
      </c>
      <c r="T7" s="72" t="s">
        <v>95</v>
      </c>
      <c r="U7" s="36" t="s">
        <v>96</v>
      </c>
      <c r="V7" s="72" t="s">
        <v>95</v>
      </c>
      <c r="W7" s="36" t="s">
        <v>96</v>
      </c>
      <c r="X7" s="72" t="s">
        <v>95</v>
      </c>
      <c r="Y7" s="36" t="s">
        <v>96</v>
      </c>
      <c r="Z7" s="98" t="s">
        <v>95</v>
      </c>
      <c r="AA7" s="382" t="s">
        <v>95</v>
      </c>
      <c r="AB7" s="382" t="s">
        <v>95</v>
      </c>
      <c r="AC7" s="97" t="s">
        <v>95</v>
      </c>
      <c r="AD7" s="97" t="s">
        <v>95</v>
      </c>
      <c r="AE7" s="98" t="s">
        <v>95</v>
      </c>
      <c r="AF7" s="382" t="s">
        <v>95</v>
      </c>
      <c r="AG7" s="382" t="s">
        <v>95</v>
      </c>
      <c r="AH7" s="75" t="s">
        <v>95</v>
      </c>
      <c r="AI7" s="97" t="s">
        <v>95</v>
      </c>
      <c r="AJ7" s="161" t="s">
        <v>96</v>
      </c>
      <c r="AK7" s="248" t="s">
        <v>96</v>
      </c>
      <c r="AL7" s="248" t="s">
        <v>96</v>
      </c>
      <c r="AM7" s="273" t="s">
        <v>96</v>
      </c>
      <c r="AN7" s="104" t="s">
        <v>95</v>
      </c>
      <c r="AO7" s="122" t="s">
        <v>95</v>
      </c>
      <c r="AP7" s="104" t="s">
        <v>95</v>
      </c>
      <c r="AQ7" s="161" t="s">
        <v>96</v>
      </c>
      <c r="AR7" s="248" t="s">
        <v>96</v>
      </c>
      <c r="AS7" s="248" t="s">
        <v>96</v>
      </c>
      <c r="AT7" s="248" t="s">
        <v>96</v>
      </c>
      <c r="AU7" s="104" t="s">
        <v>95</v>
      </c>
      <c r="AV7" s="161" t="s">
        <v>96</v>
      </c>
      <c r="AW7" s="118" t="s">
        <v>95</v>
      </c>
      <c r="AX7" s="273" t="s">
        <v>96</v>
      </c>
      <c r="AY7" s="97" t="s">
        <v>95</v>
      </c>
      <c r="AZ7" s="248" t="s">
        <v>96</v>
      </c>
      <c r="BA7" s="169" t="s">
        <v>96</v>
      </c>
      <c r="BB7" s="169" t="s">
        <v>96</v>
      </c>
      <c r="BC7" s="248" t="s">
        <v>96</v>
      </c>
      <c r="BD7" s="248" t="s">
        <v>96</v>
      </c>
      <c r="BE7" s="248" t="s">
        <v>96</v>
      </c>
      <c r="BF7" s="248" t="s">
        <v>96</v>
      </c>
      <c r="BG7" s="248" t="s">
        <v>96</v>
      </c>
      <c r="BH7" s="217" t="s">
        <v>95</v>
      </c>
      <c r="BI7" s="217" t="s">
        <v>95</v>
      </c>
      <c r="BJ7" s="217" t="s">
        <v>95</v>
      </c>
      <c r="BK7" s="104" t="s">
        <v>95</v>
      </c>
      <c r="BL7" s="217" t="s">
        <v>96</v>
      </c>
      <c r="BM7" s="161" t="s">
        <v>96</v>
      </c>
      <c r="BN7" s="217" t="s">
        <v>95</v>
      </c>
      <c r="BO7" s="161" t="s">
        <v>96</v>
      </c>
      <c r="BP7" s="248" t="s">
        <v>96</v>
      </c>
      <c r="BQ7" s="104" t="s">
        <v>95</v>
      </c>
      <c r="BR7" s="122" t="s">
        <v>95</v>
      </c>
      <c r="BS7" s="169" t="s">
        <v>96</v>
      </c>
      <c r="BT7" s="366" t="s">
        <v>96</v>
      </c>
      <c r="BU7" s="161" t="s">
        <v>96</v>
      </c>
      <c r="BV7" s="75" t="s">
        <v>95</v>
      </c>
      <c r="BW7" s="75" t="s">
        <v>95</v>
      </c>
      <c r="BX7" s="169" t="s">
        <v>96</v>
      </c>
      <c r="BY7" s="169" t="s">
        <v>96</v>
      </c>
      <c r="BZ7" s="104" t="s">
        <v>95</v>
      </c>
      <c r="CA7" s="72" t="s">
        <v>95</v>
      </c>
      <c r="CB7" s="72" t="s">
        <v>95</v>
      </c>
      <c r="CC7" s="72" t="s">
        <v>95</v>
      </c>
      <c r="CD7" s="72" t="s">
        <v>95</v>
      </c>
      <c r="CE7" s="72" t="s">
        <v>95</v>
      </c>
      <c r="CF7" s="72" t="s">
        <v>95</v>
      </c>
      <c r="CG7" s="72" t="s">
        <v>95</v>
      </c>
      <c r="CH7" s="161" t="s">
        <v>96</v>
      </c>
      <c r="CI7" s="248" t="s">
        <v>96</v>
      </c>
      <c r="CJ7" s="248" t="s">
        <v>96</v>
      </c>
      <c r="CK7" s="248" t="s">
        <v>96</v>
      </c>
      <c r="CL7" s="248" t="s">
        <v>96</v>
      </c>
      <c r="CM7" s="248" t="s">
        <v>96</v>
      </c>
      <c r="CN7" s="248" t="s">
        <v>96</v>
      </c>
      <c r="CO7" s="161" t="s">
        <v>96</v>
      </c>
      <c r="CP7" s="36" t="s">
        <v>96</v>
      </c>
      <c r="CQ7" s="36" t="s">
        <v>96</v>
      </c>
      <c r="CR7" s="72" t="s">
        <v>95</v>
      </c>
      <c r="CS7" s="72" t="s">
        <v>95</v>
      </c>
      <c r="CT7" s="72" t="s">
        <v>95</v>
      </c>
      <c r="CU7" s="72" t="s">
        <v>95</v>
      </c>
      <c r="CV7" s="36" t="s">
        <v>96</v>
      </c>
      <c r="CW7" s="452" t="s">
        <v>95</v>
      </c>
      <c r="CX7"/>
      <c r="CY7"/>
      <c r="CZ7"/>
      <c r="DA7"/>
      <c r="DB7"/>
      <c r="DC7"/>
    </row>
    <row r="8" spans="1:107" s="328" customFormat="1" x14ac:dyDescent="0.2">
      <c r="A8" s="329"/>
      <c r="B8" s="329"/>
      <c r="C8" s="329"/>
      <c r="D8" s="386"/>
      <c r="E8" s="329"/>
      <c r="F8" s="442" t="s">
        <v>97</v>
      </c>
      <c r="G8" s="332"/>
      <c r="H8" s="119" t="s">
        <v>288</v>
      </c>
      <c r="I8" s="332"/>
      <c r="J8" s="387" t="s">
        <v>98</v>
      </c>
      <c r="K8" s="332"/>
      <c r="L8" s="423"/>
      <c r="M8" s="332"/>
      <c r="N8" s="214"/>
      <c r="O8" s="332"/>
      <c r="P8" s="119" t="s">
        <v>100</v>
      </c>
      <c r="Q8" s="332"/>
      <c r="R8" s="119" t="s">
        <v>612</v>
      </c>
      <c r="S8" s="332"/>
      <c r="T8" s="119" t="s">
        <v>295</v>
      </c>
      <c r="U8" s="332"/>
      <c r="V8" s="119"/>
      <c r="W8" s="332"/>
      <c r="X8" s="119" t="s">
        <v>101</v>
      </c>
      <c r="Y8" s="332"/>
      <c r="Z8" s="213"/>
      <c r="AA8" s="388" t="s">
        <v>958</v>
      </c>
      <c r="AB8" s="388" t="s">
        <v>771</v>
      </c>
      <c r="AC8" s="386" t="s">
        <v>142</v>
      </c>
      <c r="AD8" s="386" t="s">
        <v>895</v>
      </c>
      <c r="AE8" s="213"/>
      <c r="AF8" s="388" t="s">
        <v>138</v>
      </c>
      <c r="AG8" s="388" t="s">
        <v>136</v>
      </c>
      <c r="AH8" s="173" t="s">
        <v>140</v>
      </c>
      <c r="AI8" s="386" t="s">
        <v>793</v>
      </c>
      <c r="AJ8" s="331"/>
      <c r="AK8" s="389"/>
      <c r="AL8" s="389"/>
      <c r="AM8" s="393"/>
      <c r="AN8" s="395" t="s">
        <v>101</v>
      </c>
      <c r="AO8" s="442"/>
      <c r="AP8" s="395" t="s">
        <v>793</v>
      </c>
      <c r="AQ8" s="331"/>
      <c r="AR8" s="389"/>
      <c r="AS8" s="389"/>
      <c r="AT8" s="389"/>
      <c r="AU8" s="395" t="s">
        <v>140</v>
      </c>
      <c r="AV8" s="331"/>
      <c r="AW8" s="390"/>
      <c r="AX8" s="393"/>
      <c r="AY8" s="386"/>
      <c r="AZ8" s="389"/>
      <c r="BA8" s="392"/>
      <c r="BB8" s="392"/>
      <c r="BC8" s="389"/>
      <c r="BD8" s="389"/>
      <c r="BE8" s="389"/>
      <c r="BF8" s="389"/>
      <c r="BG8" s="389"/>
      <c r="BH8" s="391"/>
      <c r="BI8" s="391"/>
      <c r="BJ8" s="391"/>
      <c r="BK8" s="395"/>
      <c r="BL8" s="391"/>
      <c r="BM8" s="331"/>
      <c r="BN8" s="391" t="s">
        <v>138</v>
      </c>
      <c r="BO8" s="331"/>
      <c r="BP8" s="389"/>
      <c r="BQ8" s="395" t="s">
        <v>136</v>
      </c>
      <c r="BR8" s="442" t="s">
        <v>295</v>
      </c>
      <c r="BS8" s="392"/>
      <c r="BT8" s="394"/>
      <c r="BU8" s="331"/>
      <c r="BV8" s="173"/>
      <c r="BW8" s="173"/>
      <c r="BX8" s="392"/>
      <c r="BY8" s="392"/>
      <c r="BZ8" s="395"/>
      <c r="CA8" s="395"/>
      <c r="CB8" s="119"/>
      <c r="CC8" s="395"/>
      <c r="CD8" s="119"/>
      <c r="CE8" s="119"/>
      <c r="CF8" s="119"/>
      <c r="CG8" s="395"/>
      <c r="CH8" s="331"/>
      <c r="CI8" s="389"/>
      <c r="CJ8" s="389"/>
      <c r="CK8" s="389"/>
      <c r="CL8" s="389"/>
      <c r="CM8" s="389"/>
      <c r="CN8" s="389"/>
      <c r="CO8" s="331"/>
      <c r="CP8" s="332"/>
      <c r="CQ8" s="332"/>
      <c r="CR8" s="119" t="s">
        <v>145</v>
      </c>
      <c r="CS8" s="119" t="s">
        <v>145</v>
      </c>
      <c r="CT8" s="119" t="s">
        <v>147</v>
      </c>
      <c r="CU8" s="119" t="s">
        <v>147</v>
      </c>
      <c r="CV8" s="332"/>
      <c r="CW8" s="453"/>
      <c r="CX8" s="22"/>
      <c r="CY8" s="22"/>
      <c r="CZ8" s="22"/>
      <c r="DA8" s="22"/>
      <c r="DB8" s="22"/>
      <c r="DC8" s="22"/>
    </row>
    <row r="9" spans="1:107" s="328" customFormat="1" x14ac:dyDescent="0.2">
      <c r="A9" s="329"/>
      <c r="B9" s="329"/>
      <c r="C9" s="329"/>
      <c r="D9" s="386"/>
      <c r="E9" s="329"/>
      <c r="F9" s="442"/>
      <c r="G9" s="332"/>
      <c r="H9" s="119"/>
      <c r="I9" s="332"/>
      <c r="J9" s="387"/>
      <c r="K9" s="332"/>
      <c r="L9" s="423"/>
      <c r="M9" s="332"/>
      <c r="N9" s="214"/>
      <c r="O9" s="332"/>
      <c r="P9" s="119"/>
      <c r="Q9" s="332"/>
      <c r="R9" s="119"/>
      <c r="S9" s="332"/>
      <c r="T9" s="119"/>
      <c r="U9" s="332"/>
      <c r="V9" s="119"/>
      <c r="W9" s="332"/>
      <c r="X9" s="119"/>
      <c r="Y9" s="332"/>
      <c r="Z9" s="213"/>
      <c r="AA9" s="388" t="s">
        <v>959</v>
      </c>
      <c r="AB9" s="388" t="s">
        <v>274</v>
      </c>
      <c r="AC9" s="386" t="s">
        <v>1095</v>
      </c>
      <c r="AD9" s="386" t="s">
        <v>896</v>
      </c>
      <c r="AE9" s="213"/>
      <c r="AF9" s="388" t="s">
        <v>139</v>
      </c>
      <c r="AG9" s="388" t="s">
        <v>137</v>
      </c>
      <c r="AH9" s="173" t="s">
        <v>141</v>
      </c>
      <c r="AI9" s="386" t="s">
        <v>794</v>
      </c>
      <c r="AJ9" s="331"/>
      <c r="AK9" s="389"/>
      <c r="AL9" s="389"/>
      <c r="AM9" s="393"/>
      <c r="AN9" s="395"/>
      <c r="AO9" s="442"/>
      <c r="AP9" s="395" t="s">
        <v>794</v>
      </c>
      <c r="AQ9" s="331"/>
      <c r="AR9" s="389"/>
      <c r="AS9" s="389"/>
      <c r="AT9" s="389"/>
      <c r="AU9" s="395" t="s">
        <v>141</v>
      </c>
      <c r="AV9" s="331"/>
      <c r="AW9" s="390"/>
      <c r="AX9" s="393"/>
      <c r="AY9" s="386"/>
      <c r="AZ9" s="389"/>
      <c r="BA9" s="392"/>
      <c r="BB9" s="392"/>
      <c r="BC9" s="389"/>
      <c r="BD9" s="389"/>
      <c r="BE9" s="389"/>
      <c r="BF9" s="389"/>
      <c r="BG9" s="389"/>
      <c r="BH9" s="391"/>
      <c r="BI9" s="391"/>
      <c r="BJ9" s="391"/>
      <c r="BK9" s="395"/>
      <c r="BL9" s="391"/>
      <c r="BM9" s="331"/>
      <c r="BN9" s="391" t="s">
        <v>139</v>
      </c>
      <c r="BO9" s="331"/>
      <c r="BP9" s="389"/>
      <c r="BQ9" s="395" t="s">
        <v>137</v>
      </c>
      <c r="BR9" s="442"/>
      <c r="BS9" s="392"/>
      <c r="BT9" s="394"/>
      <c r="BU9" s="331"/>
      <c r="BV9" s="173"/>
      <c r="BW9" s="173"/>
      <c r="BX9" s="392"/>
      <c r="BY9" s="392"/>
      <c r="BZ9" s="395"/>
      <c r="CA9" s="395"/>
      <c r="CB9" s="119"/>
      <c r="CC9" s="395"/>
      <c r="CD9" s="119"/>
      <c r="CE9" s="119"/>
      <c r="CF9" s="119"/>
      <c r="CG9" s="395"/>
      <c r="CH9" s="331"/>
      <c r="CI9" s="389"/>
      <c r="CJ9" s="389"/>
      <c r="CK9" s="389"/>
      <c r="CL9" s="389"/>
      <c r="CM9" s="389"/>
      <c r="CN9" s="389"/>
      <c r="CO9" s="331"/>
      <c r="CP9" s="332"/>
      <c r="CQ9" s="332"/>
      <c r="CR9" s="119" t="s">
        <v>146</v>
      </c>
      <c r="CS9" s="119" t="s">
        <v>146</v>
      </c>
      <c r="CT9" s="119" t="s">
        <v>148</v>
      </c>
      <c r="CU9" s="119" t="s">
        <v>148</v>
      </c>
      <c r="CV9" s="396"/>
      <c r="CW9" s="453"/>
      <c r="CX9" s="22"/>
      <c r="CY9" s="22"/>
      <c r="CZ9" s="22"/>
      <c r="DA9" s="22"/>
      <c r="DB9" s="22"/>
      <c r="DC9" s="22"/>
    </row>
    <row r="10" spans="1:107" s="328" customFormat="1" x14ac:dyDescent="0.2">
      <c r="A10" s="329"/>
      <c r="B10" s="329"/>
      <c r="C10" s="329"/>
      <c r="D10" s="386"/>
      <c r="E10" s="329"/>
      <c r="F10" s="442"/>
      <c r="G10" s="332"/>
      <c r="H10" s="119" t="s">
        <v>105</v>
      </c>
      <c r="I10" s="332"/>
      <c r="J10" s="387"/>
      <c r="K10" s="332"/>
      <c r="L10" s="423"/>
      <c r="M10" s="332"/>
      <c r="N10" s="214"/>
      <c r="O10" s="332"/>
      <c r="P10" s="119" t="s">
        <v>105</v>
      </c>
      <c r="Q10" s="332"/>
      <c r="R10" s="119" t="s">
        <v>105</v>
      </c>
      <c r="S10" s="332"/>
      <c r="T10" s="119" t="s">
        <v>105</v>
      </c>
      <c r="U10" s="332"/>
      <c r="V10" s="119"/>
      <c r="W10" s="332"/>
      <c r="X10" s="119" t="s">
        <v>105</v>
      </c>
      <c r="Y10" s="332"/>
      <c r="Z10" s="213"/>
      <c r="AA10" s="388" t="s">
        <v>105</v>
      </c>
      <c r="AB10" s="388" t="s">
        <v>105</v>
      </c>
      <c r="AC10" s="386" t="s">
        <v>142</v>
      </c>
      <c r="AD10" s="386" t="s">
        <v>142</v>
      </c>
      <c r="AE10" s="213"/>
      <c r="AF10" s="388" t="s">
        <v>105</v>
      </c>
      <c r="AG10" s="388" t="s">
        <v>105</v>
      </c>
      <c r="AH10" s="388" t="s">
        <v>142</v>
      </c>
      <c r="AI10" s="388" t="s">
        <v>142</v>
      </c>
      <c r="AJ10" s="331"/>
      <c r="AK10" s="389"/>
      <c r="AL10" s="389"/>
      <c r="AM10" s="393"/>
      <c r="AN10" s="395" t="s">
        <v>105</v>
      </c>
      <c r="AO10" s="442"/>
      <c r="AP10" s="395" t="s">
        <v>142</v>
      </c>
      <c r="AQ10" s="331"/>
      <c r="AR10" s="389"/>
      <c r="AS10" s="389"/>
      <c r="AT10" s="389"/>
      <c r="AU10" s="395" t="s">
        <v>142</v>
      </c>
      <c r="AV10" s="331"/>
      <c r="AW10" s="390"/>
      <c r="AX10" s="393"/>
      <c r="AY10" s="386"/>
      <c r="AZ10" s="389"/>
      <c r="BA10" s="392"/>
      <c r="BB10" s="392"/>
      <c r="BC10" s="389"/>
      <c r="BD10" s="389"/>
      <c r="BE10" s="389"/>
      <c r="BF10" s="389"/>
      <c r="BG10" s="389"/>
      <c r="BH10" s="391"/>
      <c r="BI10" s="391"/>
      <c r="BJ10" s="391"/>
      <c r="BK10" s="395"/>
      <c r="BL10" s="391"/>
      <c r="BM10" s="331"/>
      <c r="BN10" s="391" t="s">
        <v>105</v>
      </c>
      <c r="BO10" s="331"/>
      <c r="BP10" s="389"/>
      <c r="BQ10" s="395" t="s">
        <v>105</v>
      </c>
      <c r="BR10" s="442" t="s">
        <v>105</v>
      </c>
      <c r="BS10" s="392"/>
      <c r="BT10" s="394"/>
      <c r="BU10" s="331"/>
      <c r="BV10" s="173"/>
      <c r="BW10" s="173"/>
      <c r="BX10" s="392"/>
      <c r="BY10" s="392"/>
      <c r="BZ10" s="395"/>
      <c r="CA10" s="395"/>
      <c r="CB10" s="119"/>
      <c r="CC10" s="395"/>
      <c r="CD10" s="119"/>
      <c r="CE10" s="119"/>
      <c r="CF10" s="119"/>
      <c r="CG10" s="395"/>
      <c r="CH10" s="331"/>
      <c r="CI10" s="389"/>
      <c r="CJ10" s="389"/>
      <c r="CK10" s="389"/>
      <c r="CL10" s="389"/>
      <c r="CM10" s="389"/>
      <c r="CN10" s="389"/>
      <c r="CO10" s="331"/>
      <c r="CP10" s="332"/>
      <c r="CQ10" s="332"/>
      <c r="CR10" s="119" t="s">
        <v>103</v>
      </c>
      <c r="CS10" s="119" t="s">
        <v>104</v>
      </c>
      <c r="CT10" s="119" t="s">
        <v>103</v>
      </c>
      <c r="CU10" s="119" t="s">
        <v>104</v>
      </c>
      <c r="CV10" s="332"/>
      <c r="CW10" s="453"/>
      <c r="CX10" s="22"/>
      <c r="CY10" s="22"/>
      <c r="CZ10" s="22"/>
      <c r="DA10" s="22"/>
      <c r="DB10" s="22"/>
      <c r="DC10" s="22"/>
    </row>
    <row r="11" spans="1:107" s="40" customFormat="1" x14ac:dyDescent="0.2">
      <c r="A11" s="42"/>
      <c r="B11" s="42"/>
      <c r="C11" s="42"/>
      <c r="D11" s="97"/>
      <c r="E11" s="42"/>
      <c r="F11" s="122" t="s">
        <v>203</v>
      </c>
      <c r="G11" s="36" t="s">
        <v>203</v>
      </c>
      <c r="H11" s="72" t="s">
        <v>203</v>
      </c>
      <c r="I11" s="36" t="s">
        <v>203</v>
      </c>
      <c r="J11" s="197" t="s">
        <v>203</v>
      </c>
      <c r="K11" s="36" t="s">
        <v>203</v>
      </c>
      <c r="L11" s="199" t="s">
        <v>203</v>
      </c>
      <c r="M11" s="36" t="s">
        <v>203</v>
      </c>
      <c r="N11" s="84" t="s">
        <v>203</v>
      </c>
      <c r="O11" s="36" t="s">
        <v>203</v>
      </c>
      <c r="P11" s="72" t="s">
        <v>203</v>
      </c>
      <c r="Q11" s="36" t="s">
        <v>203</v>
      </c>
      <c r="R11" s="72" t="s">
        <v>203</v>
      </c>
      <c r="S11" s="36" t="s">
        <v>203</v>
      </c>
      <c r="T11" s="72" t="s">
        <v>203</v>
      </c>
      <c r="U11" s="36" t="s">
        <v>203</v>
      </c>
      <c r="V11" s="72" t="s">
        <v>203</v>
      </c>
      <c r="W11" s="36" t="s">
        <v>203</v>
      </c>
      <c r="X11" s="72" t="s">
        <v>203</v>
      </c>
      <c r="Y11" s="36" t="s">
        <v>203</v>
      </c>
      <c r="Z11" s="98" t="s">
        <v>203</v>
      </c>
      <c r="AA11" s="382" t="s">
        <v>203</v>
      </c>
      <c r="AB11" s="382" t="s">
        <v>203</v>
      </c>
      <c r="AC11" s="97" t="s">
        <v>203</v>
      </c>
      <c r="AD11" s="97" t="s">
        <v>203</v>
      </c>
      <c r="AE11" s="98" t="s">
        <v>203</v>
      </c>
      <c r="AF11" s="382" t="s">
        <v>203</v>
      </c>
      <c r="AG11" s="382" t="s">
        <v>203</v>
      </c>
      <c r="AH11" s="75" t="s">
        <v>203</v>
      </c>
      <c r="AI11" s="382" t="s">
        <v>203</v>
      </c>
      <c r="AJ11" s="161" t="s">
        <v>203</v>
      </c>
      <c r="AK11" s="248" t="s">
        <v>203</v>
      </c>
      <c r="AL11" s="248" t="s">
        <v>203</v>
      </c>
      <c r="AM11" s="273" t="s">
        <v>203</v>
      </c>
      <c r="AN11" s="104" t="s">
        <v>203</v>
      </c>
      <c r="AO11" s="122" t="s">
        <v>38</v>
      </c>
      <c r="AP11" s="104" t="s">
        <v>203</v>
      </c>
      <c r="AQ11" s="161" t="s">
        <v>688</v>
      </c>
      <c r="AR11" s="248" t="s">
        <v>688</v>
      </c>
      <c r="AS11" s="248" t="s">
        <v>688</v>
      </c>
      <c r="AT11" s="248" t="s">
        <v>688</v>
      </c>
      <c r="AU11" s="104" t="s">
        <v>203</v>
      </c>
      <c r="AV11" s="161" t="s">
        <v>688</v>
      </c>
      <c r="AW11" s="118" t="s">
        <v>688</v>
      </c>
      <c r="AX11" s="273" t="s">
        <v>688</v>
      </c>
      <c r="AY11" s="97" t="s">
        <v>688</v>
      </c>
      <c r="AZ11" s="248" t="s">
        <v>688</v>
      </c>
      <c r="BA11" s="169" t="s">
        <v>688</v>
      </c>
      <c r="BB11" s="169" t="s">
        <v>688</v>
      </c>
      <c r="BC11" s="248" t="s">
        <v>688</v>
      </c>
      <c r="BD11" s="248" t="s">
        <v>688</v>
      </c>
      <c r="BE11" s="248" t="s">
        <v>688</v>
      </c>
      <c r="BF11" s="248" t="s">
        <v>688</v>
      </c>
      <c r="BG11" s="248" t="s">
        <v>688</v>
      </c>
      <c r="BH11" s="217" t="s">
        <v>203</v>
      </c>
      <c r="BI11" s="217" t="s">
        <v>688</v>
      </c>
      <c r="BJ11" s="217" t="s">
        <v>203</v>
      </c>
      <c r="BK11" s="104" t="s">
        <v>203</v>
      </c>
      <c r="BL11" s="217" t="s">
        <v>203</v>
      </c>
      <c r="BM11" s="161" t="s">
        <v>688</v>
      </c>
      <c r="BN11" s="217" t="s">
        <v>203</v>
      </c>
      <c r="BO11" s="161" t="s">
        <v>688</v>
      </c>
      <c r="BP11" s="248" t="s">
        <v>688</v>
      </c>
      <c r="BQ11" s="104" t="s">
        <v>203</v>
      </c>
      <c r="BR11" s="122" t="s">
        <v>203</v>
      </c>
      <c r="BS11" s="169" t="s">
        <v>203</v>
      </c>
      <c r="BT11" s="366" t="s">
        <v>203</v>
      </c>
      <c r="BU11" s="161" t="s">
        <v>688</v>
      </c>
      <c r="BV11" s="75" t="s">
        <v>688</v>
      </c>
      <c r="BW11" s="75" t="s">
        <v>203</v>
      </c>
      <c r="BX11" s="169" t="s">
        <v>688</v>
      </c>
      <c r="BY11" s="169" t="s">
        <v>688</v>
      </c>
      <c r="BZ11" s="104" t="s">
        <v>203</v>
      </c>
      <c r="CA11" s="104" t="s">
        <v>688</v>
      </c>
      <c r="CB11" s="72" t="s">
        <v>204</v>
      </c>
      <c r="CC11" s="104" t="s">
        <v>204</v>
      </c>
      <c r="CD11" s="72" t="s">
        <v>688</v>
      </c>
      <c r="CE11" s="72" t="s">
        <v>206</v>
      </c>
      <c r="CF11" s="72" t="s">
        <v>38</v>
      </c>
      <c r="CG11" s="104" t="s">
        <v>688</v>
      </c>
      <c r="CH11" s="161" t="s">
        <v>688</v>
      </c>
      <c r="CI11" s="248" t="s">
        <v>204</v>
      </c>
      <c r="CJ11" s="248" t="s">
        <v>204</v>
      </c>
      <c r="CK11" s="248" t="s">
        <v>688</v>
      </c>
      <c r="CL11" s="248" t="s">
        <v>206</v>
      </c>
      <c r="CM11" s="248" t="s">
        <v>38</v>
      </c>
      <c r="CN11" s="248" t="s">
        <v>688</v>
      </c>
      <c r="CO11" s="161" t="s">
        <v>688</v>
      </c>
      <c r="CP11" s="36" t="s">
        <v>688</v>
      </c>
      <c r="CQ11" s="36" t="s">
        <v>688</v>
      </c>
      <c r="CR11" s="72" t="s">
        <v>688</v>
      </c>
      <c r="CS11" s="72" t="s">
        <v>688</v>
      </c>
      <c r="CT11" s="72" t="s">
        <v>688</v>
      </c>
      <c r="CU11" s="72" t="s">
        <v>688</v>
      </c>
      <c r="CV11" s="36" t="s">
        <v>688</v>
      </c>
      <c r="CW11" s="452" t="s">
        <v>203</v>
      </c>
      <c r="CX11"/>
      <c r="CY11"/>
      <c r="CZ11"/>
      <c r="DA11"/>
      <c r="DB11"/>
      <c r="DC11"/>
    </row>
    <row r="12" spans="1:107" s="40" customFormat="1" x14ac:dyDescent="0.2">
      <c r="A12" s="42"/>
      <c r="B12" s="42"/>
      <c r="C12" s="42"/>
      <c r="D12" s="97"/>
      <c r="E12" s="42"/>
      <c r="F12" s="122" t="s">
        <v>202</v>
      </c>
      <c r="G12" s="36" t="s">
        <v>202</v>
      </c>
      <c r="H12" s="72" t="s">
        <v>202</v>
      </c>
      <c r="I12" s="36" t="s">
        <v>202</v>
      </c>
      <c r="J12" s="197" t="s">
        <v>202</v>
      </c>
      <c r="K12" s="36" t="s">
        <v>202</v>
      </c>
      <c r="L12" s="199" t="s">
        <v>202</v>
      </c>
      <c r="M12" s="36" t="s">
        <v>202</v>
      </c>
      <c r="N12" s="84" t="s">
        <v>202</v>
      </c>
      <c r="O12" s="36" t="s">
        <v>202</v>
      </c>
      <c r="P12" s="72" t="s">
        <v>202</v>
      </c>
      <c r="Q12" s="36" t="s">
        <v>202</v>
      </c>
      <c r="R12" s="72" t="s">
        <v>202</v>
      </c>
      <c r="S12" s="36" t="s">
        <v>202</v>
      </c>
      <c r="T12" s="72" t="s">
        <v>202</v>
      </c>
      <c r="U12" s="36" t="s">
        <v>202</v>
      </c>
      <c r="V12" s="72" t="s">
        <v>202</v>
      </c>
      <c r="W12" s="36" t="s">
        <v>202</v>
      </c>
      <c r="X12" s="72" t="s">
        <v>202</v>
      </c>
      <c r="Y12" s="36" t="s">
        <v>202</v>
      </c>
      <c r="Z12" s="98" t="s">
        <v>202</v>
      </c>
      <c r="AA12" s="382" t="s">
        <v>202</v>
      </c>
      <c r="AB12" s="382" t="s">
        <v>202</v>
      </c>
      <c r="AC12" s="97" t="s">
        <v>202</v>
      </c>
      <c r="AD12" s="97" t="s">
        <v>202</v>
      </c>
      <c r="AE12" s="98" t="s">
        <v>202</v>
      </c>
      <c r="AF12" s="382" t="s">
        <v>202</v>
      </c>
      <c r="AG12" s="382" t="s">
        <v>202</v>
      </c>
      <c r="AH12" s="75" t="s">
        <v>202</v>
      </c>
      <c r="AI12" s="382" t="s">
        <v>202</v>
      </c>
      <c r="AJ12" s="161" t="s">
        <v>202</v>
      </c>
      <c r="AK12" s="248" t="s">
        <v>202</v>
      </c>
      <c r="AL12" s="248" t="s">
        <v>202</v>
      </c>
      <c r="AM12" s="273" t="s">
        <v>202</v>
      </c>
      <c r="AN12" s="104" t="s">
        <v>202</v>
      </c>
      <c r="AO12" s="122" t="s">
        <v>202</v>
      </c>
      <c r="AP12" s="104" t="s">
        <v>202</v>
      </c>
      <c r="AQ12" s="161" t="s">
        <v>202</v>
      </c>
      <c r="AR12" s="248" t="s">
        <v>202</v>
      </c>
      <c r="AS12" s="248" t="s">
        <v>202</v>
      </c>
      <c r="AT12" s="248" t="s">
        <v>202</v>
      </c>
      <c r="AU12" s="104" t="s">
        <v>202</v>
      </c>
      <c r="AV12" s="161" t="s">
        <v>202</v>
      </c>
      <c r="AW12" s="118" t="s">
        <v>202</v>
      </c>
      <c r="AX12" s="273" t="s">
        <v>202</v>
      </c>
      <c r="AY12" s="97" t="s">
        <v>202</v>
      </c>
      <c r="AZ12" s="248" t="s">
        <v>202</v>
      </c>
      <c r="BA12" s="169" t="s">
        <v>202</v>
      </c>
      <c r="BB12" s="169" t="s">
        <v>202</v>
      </c>
      <c r="BC12" s="248" t="s">
        <v>202</v>
      </c>
      <c r="BD12" s="248" t="s">
        <v>202</v>
      </c>
      <c r="BE12" s="248" t="s">
        <v>202</v>
      </c>
      <c r="BF12" s="248" t="s">
        <v>202</v>
      </c>
      <c r="BG12" s="248" t="s">
        <v>202</v>
      </c>
      <c r="BH12" s="217" t="s">
        <v>202</v>
      </c>
      <c r="BI12" s="217" t="s">
        <v>202</v>
      </c>
      <c r="BJ12" s="217" t="s">
        <v>202</v>
      </c>
      <c r="BK12" s="104" t="s">
        <v>202</v>
      </c>
      <c r="BL12" s="217" t="s">
        <v>202</v>
      </c>
      <c r="BM12" s="161" t="s">
        <v>202</v>
      </c>
      <c r="BN12" s="217" t="s">
        <v>202</v>
      </c>
      <c r="BO12" s="161" t="s">
        <v>202</v>
      </c>
      <c r="BP12" s="248" t="s">
        <v>202</v>
      </c>
      <c r="BQ12" s="104" t="s">
        <v>202</v>
      </c>
      <c r="BR12" s="122" t="s">
        <v>202</v>
      </c>
      <c r="BS12" s="169" t="s">
        <v>202</v>
      </c>
      <c r="BT12" s="366" t="s">
        <v>202</v>
      </c>
      <c r="BU12" s="161" t="s">
        <v>202</v>
      </c>
      <c r="BV12" s="75" t="s">
        <v>202</v>
      </c>
      <c r="BW12" s="75" t="s">
        <v>202</v>
      </c>
      <c r="BX12" s="169" t="s">
        <v>202</v>
      </c>
      <c r="BY12" s="169" t="s">
        <v>202</v>
      </c>
      <c r="BZ12" s="104" t="s">
        <v>202</v>
      </c>
      <c r="CA12" s="104" t="s">
        <v>202</v>
      </c>
      <c r="CB12" s="72" t="s">
        <v>689</v>
      </c>
      <c r="CC12" s="104" t="s">
        <v>689</v>
      </c>
      <c r="CD12" s="72" t="s">
        <v>202</v>
      </c>
      <c r="CE12" s="72" t="s">
        <v>690</v>
      </c>
      <c r="CF12" s="72" t="s">
        <v>202</v>
      </c>
      <c r="CG12" s="104" t="s">
        <v>202</v>
      </c>
      <c r="CH12" s="161" t="s">
        <v>202</v>
      </c>
      <c r="CI12" s="248" t="s">
        <v>689</v>
      </c>
      <c r="CJ12" s="248" t="s">
        <v>689</v>
      </c>
      <c r="CK12" s="248" t="s">
        <v>202</v>
      </c>
      <c r="CL12" s="248" t="s">
        <v>690</v>
      </c>
      <c r="CM12" s="248" t="s">
        <v>202</v>
      </c>
      <c r="CN12" s="248" t="s">
        <v>202</v>
      </c>
      <c r="CO12" s="161" t="s">
        <v>202</v>
      </c>
      <c r="CP12" s="36" t="s">
        <v>202</v>
      </c>
      <c r="CQ12" s="36" t="s">
        <v>202</v>
      </c>
      <c r="CR12" s="72" t="s">
        <v>202</v>
      </c>
      <c r="CS12" s="72" t="s">
        <v>202</v>
      </c>
      <c r="CT12" s="72" t="s">
        <v>202</v>
      </c>
      <c r="CU12" s="72" t="s">
        <v>202</v>
      </c>
      <c r="CV12" s="36" t="s">
        <v>202</v>
      </c>
      <c r="CW12" s="452" t="s">
        <v>202</v>
      </c>
      <c r="CX12"/>
      <c r="CY12"/>
      <c r="CZ12"/>
      <c r="DA12"/>
      <c r="DB12"/>
      <c r="DC12"/>
    </row>
    <row r="13" spans="1:107" s="40" customFormat="1" x14ac:dyDescent="0.2">
      <c r="A13" s="42"/>
      <c r="B13" s="42"/>
      <c r="C13" s="42"/>
      <c r="D13" s="97"/>
      <c r="E13" s="42"/>
      <c r="F13" s="122"/>
      <c r="G13" s="36"/>
      <c r="H13" s="72"/>
      <c r="I13" s="36"/>
      <c r="J13" s="197"/>
      <c r="K13" s="36"/>
      <c r="L13" s="199"/>
      <c r="M13" s="36"/>
      <c r="N13" s="84"/>
      <c r="O13" s="36"/>
      <c r="P13" s="72"/>
      <c r="Q13" s="36"/>
      <c r="R13" s="72"/>
      <c r="S13" s="36"/>
      <c r="T13" s="72"/>
      <c r="U13" s="36"/>
      <c r="V13" s="72"/>
      <c r="W13" s="36"/>
      <c r="X13" s="72"/>
      <c r="Y13" s="36"/>
      <c r="Z13" s="98"/>
      <c r="AA13" s="382"/>
      <c r="AB13" s="382"/>
      <c r="AC13" s="97"/>
      <c r="AD13" s="97"/>
      <c r="AE13" s="98"/>
      <c r="AF13" s="382"/>
      <c r="AG13" s="382"/>
      <c r="AH13" s="75"/>
      <c r="AI13" s="97"/>
      <c r="AJ13" s="161"/>
      <c r="AK13" s="248"/>
      <c r="AL13" s="248"/>
      <c r="AM13" s="273"/>
      <c r="AN13" s="104"/>
      <c r="AO13" s="122"/>
      <c r="AP13" s="104"/>
      <c r="AQ13" s="161"/>
      <c r="AR13" s="248"/>
      <c r="AS13" s="248"/>
      <c r="AT13" s="248"/>
      <c r="AU13" s="104"/>
      <c r="AV13" s="161"/>
      <c r="AW13" s="118"/>
      <c r="AX13" s="273"/>
      <c r="AY13" s="97"/>
      <c r="AZ13" s="248"/>
      <c r="BA13" s="169"/>
      <c r="BB13" s="169"/>
      <c r="BC13" s="248"/>
      <c r="BD13" s="248"/>
      <c r="BE13" s="248"/>
      <c r="BF13" s="248"/>
      <c r="BG13" s="248"/>
      <c r="BH13" s="217"/>
      <c r="BI13" s="217"/>
      <c r="BJ13" s="217"/>
      <c r="BK13" s="104"/>
      <c r="BL13" s="217"/>
      <c r="BM13" s="161"/>
      <c r="BN13" s="217"/>
      <c r="BO13" s="161"/>
      <c r="BP13" s="248"/>
      <c r="BQ13" s="104"/>
      <c r="BR13" s="122"/>
      <c r="BS13" s="169"/>
      <c r="BT13" s="366"/>
      <c r="BU13" s="161"/>
      <c r="BV13" s="75"/>
      <c r="BW13" s="75"/>
      <c r="BX13" s="169"/>
      <c r="BY13" s="169"/>
      <c r="BZ13" s="104"/>
      <c r="CA13" s="104"/>
      <c r="CB13" s="72"/>
      <c r="CC13" s="104"/>
      <c r="CD13" s="72"/>
      <c r="CE13" s="72"/>
      <c r="CF13" s="72"/>
      <c r="CG13" s="104"/>
      <c r="CH13" s="161"/>
      <c r="CI13" s="248"/>
      <c r="CJ13" s="248"/>
      <c r="CK13" s="248"/>
      <c r="CL13" s="248"/>
      <c r="CM13" s="248"/>
      <c r="CN13" s="248"/>
      <c r="CO13" s="161"/>
      <c r="CP13" s="36"/>
      <c r="CQ13" s="36"/>
      <c r="CR13" s="72"/>
      <c r="CS13" s="72"/>
      <c r="CT13" s="72"/>
      <c r="CU13" s="72"/>
      <c r="CV13" s="36"/>
      <c r="CW13" s="452"/>
      <c r="CX13"/>
      <c r="CY13"/>
      <c r="CZ13"/>
      <c r="DA13"/>
      <c r="DB13"/>
      <c r="DC13"/>
    </row>
    <row r="14" spans="1:107" s="60" customFormat="1" x14ac:dyDescent="0.2">
      <c r="A14" s="59" t="s">
        <v>587</v>
      </c>
      <c r="B14" s="59" t="s">
        <v>5</v>
      </c>
      <c r="C14" s="54" t="s">
        <v>35</v>
      </c>
      <c r="D14" s="302" t="s">
        <v>6</v>
      </c>
      <c r="E14" s="54" t="s">
        <v>76</v>
      </c>
      <c r="F14" s="250" t="s">
        <v>302</v>
      </c>
      <c r="G14" s="209" t="s">
        <v>948</v>
      </c>
      <c r="H14" s="172" t="s">
        <v>303</v>
      </c>
      <c r="I14" s="209" t="s">
        <v>947</v>
      </c>
      <c r="J14" s="198" t="s">
        <v>305</v>
      </c>
      <c r="K14" s="209" t="s">
        <v>946</v>
      </c>
      <c r="L14" s="198" t="s">
        <v>1143</v>
      </c>
      <c r="M14" s="209" t="s">
        <v>1144</v>
      </c>
      <c r="N14" s="172" t="s">
        <v>1122</v>
      </c>
      <c r="O14" s="209" t="s">
        <v>1123</v>
      </c>
      <c r="P14" s="172" t="s">
        <v>304</v>
      </c>
      <c r="Q14" s="350" t="s">
        <v>1049</v>
      </c>
      <c r="R14" s="172" t="s">
        <v>610</v>
      </c>
      <c r="S14" s="209" t="s">
        <v>709</v>
      </c>
      <c r="T14" s="172" t="s">
        <v>306</v>
      </c>
      <c r="U14" s="209" t="s">
        <v>710</v>
      </c>
      <c r="V14" s="172" t="s">
        <v>790</v>
      </c>
      <c r="W14" s="209" t="s">
        <v>934</v>
      </c>
      <c r="X14" s="92" t="s">
        <v>307</v>
      </c>
      <c r="Y14" s="209" t="s">
        <v>935</v>
      </c>
      <c r="Z14" s="174" t="s">
        <v>1091</v>
      </c>
      <c r="AA14" s="384" t="s">
        <v>960</v>
      </c>
      <c r="AB14" s="384" t="s">
        <v>315</v>
      </c>
      <c r="AC14" s="176" t="s">
        <v>1090</v>
      </c>
      <c r="AD14" s="99" t="s">
        <v>954</v>
      </c>
      <c r="AE14" s="174" t="s">
        <v>1092</v>
      </c>
      <c r="AF14" s="384" t="s">
        <v>961</v>
      </c>
      <c r="AG14" s="384" t="s">
        <v>316</v>
      </c>
      <c r="AH14" s="92" t="s">
        <v>1089</v>
      </c>
      <c r="AI14" s="99" t="s">
        <v>953</v>
      </c>
      <c r="AJ14" s="369" t="s">
        <v>952</v>
      </c>
      <c r="AK14" s="362" t="s">
        <v>950</v>
      </c>
      <c r="AL14" s="362" t="s">
        <v>1112</v>
      </c>
      <c r="AM14" s="249" t="s">
        <v>1139</v>
      </c>
      <c r="AN14" s="99" t="s">
        <v>951</v>
      </c>
      <c r="AO14" s="443" t="s">
        <v>979</v>
      </c>
      <c r="AP14" s="99" t="s">
        <v>928</v>
      </c>
      <c r="AQ14" s="355" t="s">
        <v>949</v>
      </c>
      <c r="AR14" s="362" t="s">
        <v>956</v>
      </c>
      <c r="AS14" s="362" t="s">
        <v>1110</v>
      </c>
      <c r="AT14" s="362" t="s">
        <v>957</v>
      </c>
      <c r="AU14" s="99" t="s">
        <v>320</v>
      </c>
      <c r="AV14" s="355" t="s">
        <v>507</v>
      </c>
      <c r="AW14" s="176" t="s">
        <v>1197</v>
      </c>
      <c r="AX14" s="249" t="s">
        <v>501</v>
      </c>
      <c r="AY14" s="176" t="s">
        <v>1198</v>
      </c>
      <c r="AZ14" s="249" t="s">
        <v>1199</v>
      </c>
      <c r="BA14" s="170" t="s">
        <v>504</v>
      </c>
      <c r="BB14" s="170" t="s">
        <v>1108</v>
      </c>
      <c r="BC14" s="362" t="s">
        <v>505</v>
      </c>
      <c r="BD14" s="362" t="s">
        <v>506</v>
      </c>
      <c r="BE14" s="249" t="s">
        <v>955</v>
      </c>
      <c r="BF14" s="362" t="s">
        <v>1109</v>
      </c>
      <c r="BG14" s="362" t="s">
        <v>1200</v>
      </c>
      <c r="BH14" s="212" t="s">
        <v>1203</v>
      </c>
      <c r="BI14" s="212" t="s">
        <v>1201</v>
      </c>
      <c r="BJ14" s="218" t="s">
        <v>1202</v>
      </c>
      <c r="BK14" s="99" t="s">
        <v>1140</v>
      </c>
      <c r="BL14" s="218" t="s">
        <v>1204</v>
      </c>
      <c r="BM14" s="369" t="s">
        <v>1205</v>
      </c>
      <c r="BN14" s="218" t="s">
        <v>318</v>
      </c>
      <c r="BO14" s="369" t="s">
        <v>478</v>
      </c>
      <c r="BP14" s="362" t="s">
        <v>479</v>
      </c>
      <c r="BQ14" s="99" t="s">
        <v>317</v>
      </c>
      <c r="BR14" s="443" t="s">
        <v>963</v>
      </c>
      <c r="BS14" s="249" t="s">
        <v>1206</v>
      </c>
      <c r="BT14" s="362" t="s">
        <v>1207</v>
      </c>
      <c r="BU14" s="162" t="s">
        <v>1208</v>
      </c>
      <c r="BV14" s="106" t="s">
        <v>480</v>
      </c>
      <c r="BW14" s="106" t="s">
        <v>1209</v>
      </c>
      <c r="BX14" s="170" t="s">
        <v>967</v>
      </c>
      <c r="BY14" s="170" t="s">
        <v>976</v>
      </c>
      <c r="BZ14" s="99" t="s">
        <v>567</v>
      </c>
      <c r="CA14" s="99" t="s">
        <v>575</v>
      </c>
      <c r="CB14" s="385" t="s">
        <v>371</v>
      </c>
      <c r="CC14" s="385" t="s">
        <v>373</v>
      </c>
      <c r="CD14" s="172" t="s">
        <v>369</v>
      </c>
      <c r="CE14" s="172" t="s">
        <v>375</v>
      </c>
      <c r="CF14" s="172" t="s">
        <v>526</v>
      </c>
      <c r="CG14" s="99" t="s">
        <v>573</v>
      </c>
      <c r="CH14" s="162" t="s">
        <v>574</v>
      </c>
      <c r="CI14" s="379" t="s">
        <v>519</v>
      </c>
      <c r="CJ14" s="379" t="s">
        <v>518</v>
      </c>
      <c r="CK14" s="379" t="s">
        <v>576</v>
      </c>
      <c r="CL14" s="379" t="s">
        <v>577</v>
      </c>
      <c r="CM14" s="379" t="s">
        <v>578</v>
      </c>
      <c r="CN14" s="379" t="s">
        <v>579</v>
      </c>
      <c r="CO14" s="355" t="s">
        <v>337</v>
      </c>
      <c r="CP14" s="209" t="s">
        <v>338</v>
      </c>
      <c r="CQ14" s="209" t="s">
        <v>339</v>
      </c>
      <c r="CR14" s="92" t="s">
        <v>340</v>
      </c>
      <c r="CS14" s="92" t="s">
        <v>341</v>
      </c>
      <c r="CT14" s="92" t="s">
        <v>342</v>
      </c>
      <c r="CU14" s="92" t="s">
        <v>343</v>
      </c>
      <c r="CV14" s="209" t="s">
        <v>975</v>
      </c>
      <c r="CW14" s="250" t="s">
        <v>586</v>
      </c>
    </row>
    <row r="15" spans="1:107" s="40" customFormat="1" x14ac:dyDescent="0.2">
      <c r="A15" s="42"/>
      <c r="B15" s="42"/>
      <c r="C15" s="42"/>
      <c r="D15" s="301"/>
      <c r="E15" s="42" t="str">
        <f>B15&amp;"|"&amp;C15&amp;"|"&amp;D15</f>
        <v>||</v>
      </c>
      <c r="F15" s="461"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12" t="str">
        <f>IF(LEFT($B15,4)="_Mil","",_xlfn.IFNA(INDEX(Spectrum!$N:$N,MATCH(RIGHT($B15,13)&amp;"|"&amp;$C15&amp;"|"&amp;$D15&amp;"|"&amp;J$14&amp;"|"&amp;"CY2022Q3",Spectrum!$Q:$Q,0)),""))</f>
        <v/>
      </c>
      <c r="K15" s="55" t="str">
        <f>IF(OR($J15="",LEFT($B15,4)="_Mil"),"",_xlfn.IFNA(INDEX(Spectrum!$P:$P,MATCH(RIGHT($B15,13)&amp;"|"&amp;$C15&amp;"|"&amp;$D15&amp;"|"&amp;J$14&amp;"|"&amp;"CY2022Q3",Spectrum!$Q:$Q,0)),""))</f>
        <v/>
      </c>
      <c r="L15" s="458" t="str">
        <f>IF(LEFT($B15,4)="_Mil","",_xlfn.IFNA(INDEX(Spectrum!$N:$N,MATCH(RIGHT($B15,13)&amp;"|"&amp;$C15&amp;"|"&amp;$D15&amp;"|"&amp;L$14&amp;"|"&amp;"CY2022Q3",Spectrum!$Q:$Q,0)),""))</f>
        <v/>
      </c>
      <c r="M15" s="55" t="str">
        <f>IF(OR($J15="",LEFT($B15,4)="_Mil"),"",_xlfn.IFNA(INDEX(Spectrum!$P:$P,MATCH(RIGHT($B15,13)&amp;"|"&amp;$C15&amp;"|"&amp;$D15&amp;"|"&amp;L$14&amp;"|"&amp;"CY2022Q3",Spectrum!$Q:$Q,0)),""))</f>
        <v/>
      </c>
      <c r="N15" s="455"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08" t="str">
        <f>IF(OR($X15="",LEFT($B15,4)="_Mil"),"",_xlfn.IFNA(INDEX(Spectrum!$P:$P,MATCH(RIGHT($B15,13)&amp;"|"&amp;$C15&amp;"|"&amp;$D15&amp;"|"&amp;X$14&amp;"|"&amp;"CY2022Q3",Spectrum!$Q:$Q,0)),""))</f>
        <v/>
      </c>
      <c r="Z15" s="112"/>
      <c r="AA15" s="335"/>
      <c r="AB15" s="335"/>
      <c r="AC15" s="118"/>
      <c r="AD15" s="335"/>
      <c r="AE15" s="112"/>
      <c r="AF15" s="335"/>
      <c r="AG15" s="335"/>
      <c r="AH15" s="79"/>
      <c r="AI15" s="335"/>
      <c r="AJ15" s="163" t="str">
        <f>IF(LEFT($B15,4)="_Mil","",IF(SUM($T15)=0,IF(SUM($R15)=0,IF(AND(SUM($AG15)=0,SUM($AB15)=0),"",1),IF(SUM($AB15)=0,SUM($AG15),$AB15)/$R15),IF(SUM($AG15)=0,IF(SUM($R15)=0,SUM($AB15)/$T15,SUM($AB15)/$R15),$AG15/$T15)))</f>
        <v/>
      </c>
      <c r="AK15" s="356" t="str">
        <f>$AJ15</f>
        <v/>
      </c>
      <c r="AL15" s="356" t="str">
        <f>IF(SUM($H15)=0,"",IF(SUM($X15)=0,IF(SUM($AI15)=0,SUM($AD15),$AI15)/IF(SUM($AJ15)=0,1,$AJ15),$X15)/$H15)</f>
        <v/>
      </c>
      <c r="AM15" s="273">
        <f>IF(LEFT($B15,4)="_Mil","",MAX($AL15,95%*95%*95%))</f>
        <v>0.85737499999999989</v>
      </c>
      <c r="AN15" s="219">
        <f>IF(LEFT($B15,4)="_Mil","",ROUND($AM15*SUM($H15,$N15),0))</f>
        <v>0</v>
      </c>
      <c r="AO15" s="446" t="str">
        <f>IF($C15="&lt;01",IFERROR(ROUND(INDEX(EID!$V:$V,MATCH($B15,EID!$B:$B,0))/2,0),""),"")</f>
        <v/>
      </c>
      <c r="AP15" s="219" t="str">
        <f>IF(LEFT($B15,4)="_Mil",HYPERLINK("","Paste _Mil Targets Here"),IF($C15="&lt;01",HYPERLINK("",$AO15),IFERROR(HYPERLINK("",ROUND(SUM($AN15)*AK15,0)),HYPERLINK("#Cascade!AK"&amp;ROW($AK15),"&lt;- Add PEPFAR Contribution %"))))</f>
        <v>&lt;- Add PEPFAR Contribution %</v>
      </c>
      <c r="AQ15" s="161" t="str">
        <f>IF(OR(LEFT($B15,4)="_Mil",$C15="&lt;01",SUM($V15)=0),"",SUM($X15)/SUM($V15))</f>
        <v/>
      </c>
      <c r="AR15" s="356" t="str">
        <f>IF($C15="&lt;01","",IFERROR(SUM($AD15)/SUM($AC15),""))</f>
        <v/>
      </c>
      <c r="AS15" s="356" t="str">
        <f>IF($C15="&lt;01","",IFERROR(SUM($AI15)/SUM($AH15),""))</f>
        <v/>
      </c>
      <c r="AT15" s="356">
        <f>IF($C15="&lt;01","",MAX(95%,$AQ15,$AS15,$AR15))</f>
        <v>0.95</v>
      </c>
      <c r="AU15" s="219">
        <f>IF(AND(LEFT($B15,4)="_Mil",SUM($AP15)=0),"",IF($C15="&lt;01",HYPERLINK("",IFERROR(ROUND(INDEX(EID!$T:$T,MATCH($B15,EID!$B:$B,0))/2,0),0)),IF($AT15="",HYPERLINK("#Cascade!AT"&amp;ROW(AU15),"&lt;- Add VLS Rate"),HYPERLINK("",ROUND(SUM($AP15)/$AT15,0)))))</f>
        <v>0</v>
      </c>
      <c r="AV15" s="161" t="str">
        <f>IF(OR(SUM($H15)=0,LEFT($B15,4)="_Mil",$C15="&lt;01"),"",SUM($P15)/$H15)</f>
        <v/>
      </c>
      <c r="AW15" s="118">
        <f>IF(OR(LEFT($B15,4)="_Mil",$C15="&lt;01"),"",SUM($H15)-SUM($P15))</f>
        <v>0</v>
      </c>
      <c r="AX15" s="273" t="str">
        <f>IF(OR(LEFT($B15,4)="_Mil",$C15="&lt;01",SUM($P15)=0),"",IF(SUM($T15)=0,SUM($R15),$T15)/$P15)</f>
        <v/>
      </c>
      <c r="AY15" s="118">
        <f>IF(OR(LEFT($B15,4)="_Mil",$C15="&lt;01"),"",SUM($P15)-IF(SUM($T15)=0,SUM($R15),$T15))</f>
        <v>0</v>
      </c>
      <c r="AZ15" s="248">
        <f>IF($C15="&lt;01","",MAX(95%*95%,SUM($AV15)))</f>
        <v>0.90249999999999997</v>
      </c>
      <c r="BA15" s="171" t="str">
        <f>IF(OR(SUM($Z15)=0,$C15="&lt;01"),"",SUM($AA15)/$Z15)</f>
        <v/>
      </c>
      <c r="BB15" s="171" t="str">
        <f>IF(OR(SUM($AE15)=0,$C15="&lt;01"),"",SUM($AF15)/$AE15)</f>
        <v/>
      </c>
      <c r="BC15" s="356">
        <f>IF($C15="&lt;01","",MIN(MAX(95%,$AX15,$BB15,$BA15),1))</f>
        <v>0.95</v>
      </c>
      <c r="BD15" s="356">
        <f>IF($C15="&lt;01","",70%)</f>
        <v>0.7</v>
      </c>
      <c r="BE15" s="248" t="str">
        <f>IF(OR(LEFT($B15,4)="_Mil",$C15="&lt;01"),"",IFERROR(SUM($V15)/IF(SUM($T15)=0,SUM($R15),$T15),""))</f>
        <v/>
      </c>
      <c r="BF15" s="356" t="str">
        <f>IF($C15="&lt;01","",IFERROR(SUM($AH15)/SUM($AG15),""))</f>
        <v/>
      </c>
      <c r="BG15" s="356">
        <f>IF($C15="&lt;01","",100%)</f>
        <v>1</v>
      </c>
      <c r="BH15" s="217" t="str">
        <f>IF($C15="&lt;01",HYPERLINK("",IFERROR(ROUND(INDEX(EID!$N:$N,MATCH($B15,EID!$B:$B,0)),0),0)),IF($AK15="",HYPERLINK("#Cascade!AK"&amp;ROW(AK15),"&lt;- Add PEPFAR Contribution %"),IF($AZ15="",HYPERLINK("#Cascade!AZ"&amp;ROW(AZ15),"&lt;- Add % New Infections Diagnosed &amp; Linked"),IF($BC15="",HYPERLINK("#Cascade!BC"&amp;ROW(BC15),"&lt;- Add Linkage"),HYPERLINK("",ROUND(SUM($N15)*$AK15*$AZ15*$BC15,0))))))</f>
        <v>&lt;- Add PEPFAR Contribution %</v>
      </c>
      <c r="BI15" s="217">
        <f>IF($C15="&lt;01","",IF($BG15="",HYPERLINK("#Cascade!BG"&amp;ROW($BG15),"&lt;- Add VLT Coverage"),IF($BD15="",HYPERLINK("#Cascade!BD"&amp;ROW($BD15),"&lt;- Add Eligibility Rate"),HYPERLINK("",MAX(ROUND(((SUM($AU15)/SUM($BG15)-SUM($AG15))/SUM($BD15))-SUM($BH15),0),0)))))</f>
        <v>0</v>
      </c>
      <c r="BJ15" s="219">
        <f>IF(AND(LEFT($B15,4)="_Mil",SUM($AP15)=0),"",SUM($BH15,$BI15))</f>
        <v>0</v>
      </c>
      <c r="BK15" s="219">
        <f>IF(AND(LEFT($B15,4)="_Mil",SUM($AP15)=0),"",IF($C15="&lt;01",IFERROR(ROUND(INDEX(EID!$R:$R,MATCH($B15,EID!$B:$B,0))/2,0),0),SUM($AG15)+SUM($BJ15)*SUM($BD15)))</f>
        <v>0</v>
      </c>
      <c r="BL15" s="219" t="str">
        <f>IF(SUM($BK15)=0,"",SUM($AU15)/SUM($BK15))</f>
        <v/>
      </c>
      <c r="BM15" s="163">
        <f>IF($C15="&lt;01","",100%)</f>
        <v>1</v>
      </c>
      <c r="BN15" s="219">
        <f>SUM($BH15)+ROUND(SUM($BI15)*SUM($BM15),0)</f>
        <v>0</v>
      </c>
      <c r="BO15" s="163">
        <f>IF($C15="&lt;01","",98%)</f>
        <v>0.98</v>
      </c>
      <c r="BP15" s="356">
        <f>IF($C15="&lt;01","",98%)</f>
        <v>0.98</v>
      </c>
      <c r="BQ15" s="219">
        <f>IF(AND(LEFT($B15,4)="_Mil",SUM($AP15)=0),"",ROUND(IF($C15="&lt;01",IFERROR(INDEX(EID!P:$P,MATCH($B15,EID!$B:$B,0))/2,0),SUM($AG15)*SUM($BP15)+SUM($BJ15)*SUM($BO15)),0))</f>
        <v>0</v>
      </c>
      <c r="BR15" s="446" t="str">
        <f>IF(LEFT($B15,4)="_Mil","",IF($AK15="",HYPERLINK("#Cascade!AK"&amp;ROW($AK15),"&lt;- Add PEPFAR Contribution %"),HYPERLINK("",ROUND($BQ15/$AK15,0))))</f>
        <v>&lt;- Add PEPFAR Contribution %</v>
      </c>
      <c r="BS15" s="248" t="str">
        <f>IF(LEFT($B15,4)="_Mil","",IFERROR(1/(1/INDEX(Spectrum!$N:$N,MATCH(RIGHT($B15,13)&amp;"|"&amp;$C15&amp;"|"&amp;$D15&amp;"|"&amp;BS$14&amp;"|"&amp;"CY2022Q3",Spectrum!$Q:$Q,0))),IF(SUM($H15)=0,"",IF(SUM($T15)=0,SUM($R15),$T15)/$H15)))</f>
        <v/>
      </c>
      <c r="BT15" s="367" t="str">
        <f>IF(SUM($H15,$N15)=0,"",SUM($BR15)/SUM($H15,$N15))</f>
        <v/>
      </c>
      <c r="BU15" s="163">
        <f>IF($C15="&lt;01","",0%)</f>
        <v>0</v>
      </c>
      <c r="BV15" s="90">
        <f>IF($C15="&lt;01","",ROUND(SUM($BU15)*(SUM($BN15)-SUM($BH15)),0))</f>
        <v>0</v>
      </c>
      <c r="BW15" s="90">
        <f>SUM($BN15)-SUM($BV15)</f>
        <v>0</v>
      </c>
      <c r="BX15" s="171"/>
      <c r="BY15" s="171" t="str">
        <f>IF(OR(SUM($BW15)=0,$C15="&lt;01"),"",SUM($BX15))</f>
        <v/>
      </c>
      <c r="BZ15" s="105" t="str">
        <f>IF($C15="&lt;01",HYPERLINK("",IFERROR(ROUND(INDEX(EID!$L:$L,MATCH($B15,EID!$B:$B,0))/2,0),0)),IF(SUM($BW15)=0,"",IF($BC15="",HYPERLINK("#Cascade!BC"&amp;ROW($BC15),"&lt;- Add Linkage Rate"),HYPERLINK("",ROUND($BW15/$BC15,0)))))</f>
        <v/>
      </c>
      <c r="CA15" s="105" t="str">
        <f>IF($C15="&lt;01","",IF(SUM($BZ15)=0,"",ROUND($BZ15*SUM($BY15),0)))</f>
        <v/>
      </c>
      <c r="CB15" s="105" t="str">
        <f>IF(OR($D15&lt;&gt;"Female",$C15="&lt;01",$C15="01-04",$C15="05-09"),"",_xlfn.IFNA(INDEX(PMTCT!$AF:$AF,MATCH($E15,PMTCT!$E:$E,0)),""))</f>
        <v/>
      </c>
      <c r="CC15" s="105" t="str">
        <f>IF(OR($D15&lt;&gt;"Female",$C15="&lt;01",$C15="01-04",$C15="05-09"),"",_xlfn.IFNA(INDEX(PMTCT!$AV:$AV,MATCH($E15,PMTCT!$E:$E,0)),""))</f>
        <v/>
      </c>
      <c r="CD15" s="105">
        <f>IF($C15="&lt;01","",_xlfn.IFNA(INDEX(TB!$Q:$Q,MATCH($E15,TB!$E:$E,0)),""))</f>
        <v>0</v>
      </c>
      <c r="CE15" s="105" t="str">
        <f>IF(OR($D15&lt;&gt;"Male",$C15="&lt;01",$C15="01-04",$C15="05-09",$C15="10-14"),"",_xlfn.IFNA(INDEX(VMMC!$AC:$AC,MATCH($E15,VMMC!$E:$E,0)),""))</f>
        <v/>
      </c>
      <c r="CF15" s="105" t="str">
        <f>IF($C15="&lt;01",$BZ15,"")</f>
        <v/>
      </c>
      <c r="CG15" s="105" t="str">
        <f>IF(SUM($BZ15)=0,"",$BZ15-SUM($CA15:$CF15))</f>
        <v/>
      </c>
      <c r="CH15" s="163" t="str">
        <f>IF(OR(SUM($BZ15)=0,SUM($CA15)=0),"",$CA15/$BZ15)</f>
        <v/>
      </c>
      <c r="CI15" s="356" t="str">
        <f>IF(OR(SUM($BZ15)=0,SUM($CB15)=0),"",$CB15/$BZ15)</f>
        <v/>
      </c>
      <c r="CJ15" s="356" t="str">
        <f>IF(OR(SUM($BZ15)=0,SUM($CC15)=0),"",$CC15/$BZ15)</f>
        <v/>
      </c>
      <c r="CK15" s="356" t="str">
        <f>IF(OR(SUM($BZ15)=0,SUM($CD15)=0),"",$CD15/$BZ15)</f>
        <v/>
      </c>
      <c r="CL15" s="356" t="str">
        <f>IF(OR(SUM($BZ15)=0,SUM($CE15)=0),"",$CE15/$BZ15)</f>
        <v/>
      </c>
      <c r="CM15" s="356" t="str">
        <f>IF(OR(SUM($BZ15)=0,SUM($CF15)=0),"",$CF15/$BZ15)</f>
        <v/>
      </c>
      <c r="CN15" s="356" t="str">
        <f>IF(OR(SUM($BZ15)=0,SUM($CG15)=0),"",$CG15/$BZ15)</f>
        <v/>
      </c>
      <c r="CO15" s="161"/>
      <c r="CP15" s="36"/>
      <c r="CQ15" s="36"/>
      <c r="CR15" s="84" t="str">
        <f>IF(OR(SUM($CA15)=0,SUM($CO15)=0),"",ROUND($CA15*$CO15,0))</f>
        <v/>
      </c>
      <c r="CS15" s="84" t="str">
        <f>IF(SUM($CR15)=0,"",IF($CP15="",HYPERLINK("#Cascade!CP"&amp;ROW(CP$15),"&lt;- Add Community Yield"),HYPERLINK("",ROUND($CR15/$CP15,0)-$CR15)))</f>
        <v/>
      </c>
      <c r="CT15" s="84" t="str">
        <f>IF(SUM($CA15)=0,"",$CA15-SUM($CR15))</f>
        <v/>
      </c>
      <c r="CU15" s="84" t="str">
        <f>IF(SUM($CT15)=0,"",IF($CQ15="",HYPERLINK("#Cascade!CQ"&amp;ROW(CQ$15),"&lt;- Add Facility Yield"),HYPERLINK("",ROUND($CT15/$CQ15,0)-$CT15)))</f>
        <v/>
      </c>
      <c r="CV15" s="36" t="str">
        <f>IF(OR(SUM($BZ15)=0,$C15="&lt;01"),"",SUM($CR15,$CT15)/$BZ15)</f>
        <v/>
      </c>
      <c r="CW15" s="452" t="str" cm="1">
        <f t="array" ref="CW15">IF(LEFT($B15,4)="_Mil","",IF($AK15="",HYPERLINK("#Cascade!AK"&amp;ROW($AK15),"&lt;- Add % PEPFAR Contribution"),HYPERLINK("",UM($P15,$BZ15/$AK15))))</f>
        <v>&lt;- Add % PEPFAR Contribution</v>
      </c>
      <c r="CX15"/>
      <c r="CY15"/>
      <c r="CZ15"/>
      <c r="DA15"/>
      <c r="DB15"/>
      <c r="DC15"/>
    </row>
  </sheetData>
  <mergeCells count="1">
    <mergeCell ref="A2:B3"/>
  </mergeCells>
  <conditionalFormatting sqref="BU1:BV1048576">
    <cfRule type="expression" dxfId="172" priority="847">
      <formula>AND(ISNUMBER(BU1),ROUND(BU1,2)&gt;0)</formula>
    </cfRule>
  </conditionalFormatting>
  <conditionalFormatting sqref="F1:Y1048576 AJ1:AN1048576 AQ1:AQ1048576 AV1:AY1048576 BE1:BE1048576 BR1:BT1048576 CW1:CW1048576">
    <cfRule type="expression" dxfId="171" priority="102">
      <formula>LEFT($B1,4)="_Mil"</formula>
    </cfRule>
  </conditionalFormatting>
  <conditionalFormatting sqref="AQ1:AT1048576 AV1:BG1048576 BI1:BI1048576 BM1:BM1048576 BO1:BP1048576 BU1:BV1048576 BX1:BY1048576 CA1:CE1048576 CG1:CL1048576 CN1:CV1048576">
    <cfRule type="expression" dxfId="170" priority="95">
      <formula>$C1="&lt;01"</formula>
    </cfRule>
  </conditionalFormatting>
  <conditionalFormatting sqref="BO1:BP1048576">
    <cfRule type="expression" dxfId="169" priority="79">
      <formula>AND(ISNUMBER(BO1),ROUND(BO1,2)&lt;98%)</formula>
    </cfRule>
  </conditionalFormatting>
  <conditionalFormatting sqref="AO1:AO1048576 CF1:CF1048576 CM1:CM1048576">
    <cfRule type="expression" dxfId="168" priority="28">
      <formula>AND(ROW(AO1)&gt;14,$B1&lt;&gt;"",NOT($C1="&lt;01"))</formula>
    </cfRule>
  </conditionalFormatting>
  <conditionalFormatting sqref="BY1:BY1048576">
    <cfRule type="expression" dxfId="167" priority="2576">
      <formula>AND(ISNUMBER($BY1),$BY1&lt;&gt;$BX1)</formula>
    </cfRule>
  </conditionalFormatting>
  <conditionalFormatting sqref="J1:J1048576 L1:L1048576 AJ1:AM1048576 AQ1:AT1048576 AV1:AV1048576 AX1:AX1048576 AZ1:BG1048576 BL1:BM1048576 BO1:BP1048576 BS1:BU1048576 BX1:BY1048576 CH1:CQ1048576 CV1:CV1048576">
    <cfRule type="expression" dxfId="166" priority="6">
      <formula>AND(ISNUMBER(J1),OR(ROUND(J1,2)&lt;0,ROUND(J1,2)&gt;1))</formula>
    </cfRule>
  </conditionalFormatting>
  <conditionalFormatting sqref="AQ1:AT1048576 AV1:AV1048576 AX1:AX1048576 BA1:BC1048576">
    <cfRule type="expression" dxfId="165" priority="11">
      <formula>AND(ISNUMBER(AQ1),ROUND(AQ1,2)&lt;95%)</formula>
    </cfRule>
  </conditionalFormatting>
  <conditionalFormatting sqref="BS1:BT1048576">
    <cfRule type="expression" dxfId="164" priority="9">
      <formula>AND(ISNUMBER(BS1),ROUND(BS1,2)&lt;ROUND(90%*90%,2))</formula>
    </cfRule>
  </conditionalFormatting>
  <conditionalFormatting sqref="BE1:BG1048576 BM1:BM1048576">
    <cfRule type="expression" dxfId="163" priority="7">
      <formula>AND(ISNUMBER(BE1),ROUND(BE1,2)&lt;1)</formula>
    </cfRule>
  </conditionalFormatting>
  <conditionalFormatting sqref="CL1:CL1048576 CE1:CE1048576">
    <cfRule type="expression" dxfId="162" priority="2428">
      <formula>AND(ROW(CE1)&gt;14,$B1&lt;&gt;"",$D1&lt;&gt;"Male")</formula>
    </cfRule>
  </conditionalFormatting>
  <conditionalFormatting sqref="AL1:AM1048576">
    <cfRule type="expression" dxfId="161" priority="12">
      <formula>AND(ISNUMBER(AL1),ROUND(AL1,2)&lt;POWER(0.95,3))</formula>
    </cfRule>
  </conditionalFormatting>
  <conditionalFormatting sqref="BD1:BD1048576">
    <cfRule type="expression" dxfId="160" priority="2951">
      <formula>AND(ISNUMBER(BD1),ROUND(BD1,2)&lt;70%)</formula>
    </cfRule>
  </conditionalFormatting>
  <conditionalFormatting sqref="F1:F1048576 H1:H1048576 N1:N1048576 P1:P1048576 R1:R1048576 T1:T1048576 V1:V1048576 X1:X1048576 Z1:AI1048576 AN1:AP1048576 AU1:AU1048576 AW1:AW1048576 AY1:AY1048576 BH1:BK1048576 BN1:BN1048576 BQ1:BR1048576 BV1:BW1048576 BZ1:CG1048576 CR1:CU1048576 CW1:CW1048576">
    <cfRule type="expression" dxfId="159" priority="5">
      <formula>AND(ISNUMBER(F1),ROUND(F1,0)&lt;0)</formula>
    </cfRule>
  </conditionalFormatting>
  <conditionalFormatting sqref="CE1:CE1048576 CL1:CL1048576">
    <cfRule type="expression" dxfId="158" priority="2963">
      <formula>AND(ROW(CE1)&gt;14,$B1&lt;&gt;"",OR($C1="&lt;01",$C1="01-04",$C1="05-09",$C1="10-14"))</formula>
    </cfRule>
  </conditionalFormatting>
  <conditionalFormatting sqref="CO1:CO1048576">
    <cfRule type="expression" dxfId="157" priority="4">
      <formula>AND(ISNUMBER($CA1),$CA1&gt;0,CO1="")</formula>
    </cfRule>
  </conditionalFormatting>
  <conditionalFormatting sqref="F1:F1048576 H1:H1048576 J1:J1048576 L1:L1048576 N1:N1048576 P1:P1048576 R1:R1048576 T1:T1048576 V1:V1048576 X1:X1048576">
    <cfRule type="expression" dxfId="156" priority="103">
      <formula>AND(ISNUMBER(G1),ISNUMBER(F1),G1&gt;=40%)</formula>
    </cfRule>
    <cfRule type="expression" dxfId="155" priority="104">
      <formula>AND(ISNUMBER(G1),ISNUMBER(F1),G1&gt;=20%,G1&lt;40%)</formula>
    </cfRule>
    <cfRule type="expression" dxfId="154" priority="106">
      <formula>AND(ISNUMBER(G1),ISNUMBER(F1),G1&lt;20%)</formula>
    </cfRule>
  </conditionalFormatting>
  <conditionalFormatting sqref="AZ1:AZ1048576">
    <cfRule type="expression" dxfId="153" priority="1">
      <formula>AND(ISNUMBER($AZ1),ROUND($AZ1,2)&lt;ROUND(95%*95%,2))</formula>
    </cfRule>
  </conditionalFormatting>
  <conditionalFormatting sqref="CB1:CC1048576 CI1:CJ1048576">
    <cfRule type="expression" dxfId="152" priority="92">
      <formula>AND(ROW(CB1)&gt;14,$B1&lt;&gt;"",$D1&lt;&gt;"Female")</formula>
    </cfRule>
    <cfRule type="expression" dxfId="151" priority="94">
      <formula>AND(ROW(CB1)&gt;14,$B1&lt;&gt;"",OR($C1="&lt;01",$C1="01-04",$C1="05-09"))</formula>
    </cfRule>
  </conditionalFormatting>
  <conditionalFormatting sqref="BZ1:CN1048576">
    <cfRule type="expression" dxfId="150" priority="3281">
      <formula>AND(ROW(BZ1)&gt;14,$B1&lt;&gt;"",OR(SUM($CG1)&lt;0,ROUND(SUM($CN1),2)&lt;0))</formula>
    </cfRule>
    <cfRule type="expression" dxfId="149" priority="3282">
      <formula>AND(ROW($CG1)&gt;14,$B1&lt;&gt;"",$C1="&lt;01",OR(SUM($CG1)&lt;&gt;0,ROUND(SUM($CN1),2)&lt;&gt;0,SUM($CA1:$CE1)&lt;&gt;0))</formula>
    </cfRule>
  </conditionalFormatting>
  <conditionalFormatting sqref="CP1:CQ1048576">
    <cfRule type="expression" dxfId="148" priority="3279">
      <formula>AND(ISNUMBER($CA1),$CA1&lt;&gt;0,SUM(CP1)=0)</formula>
    </cfRule>
    <cfRule type="expression" dxfId="147" priority="3280">
      <formula>AND(OR($C1="15-19",$C1="20-24",$C1="25-29",$C1="30-34",$C1="35-39",$C1="40-44",$C1="45-49",$C1="50-54",$C1="55-59",$C1="60-64",$C1="65+"),CP1&lt;20%,CP1&lt;&gt;"")</formula>
    </cfRule>
  </conditionalFormatting>
  <hyperlinks>
    <hyperlink ref="CA3" location="Cascade!CI:CK" display="Cascade!CI:CK" xr:uid="{CFC22E83-CD81-744A-BD97-81BDFE5732F2}"/>
    <hyperlink ref="CB3" location="PMTCT!AF:AF" display="PMTCT_STAT New Positives (FY23)" xr:uid="{072C5291-7010-704F-BBB9-7097DE99B670}"/>
    <hyperlink ref="CC3" location="PMTCT!AV:AV" display="HTS_TST Post ANC1 New Positives (FY23)" xr:uid="{BD5510F0-19E5-3C41-B8F3-9039D1D2730F}"/>
    <hyperlink ref="CD3" location="TB!Q:Q" display="TB_STAT New Positives (FY22)" xr:uid="{4946A338-D073-E84B-90AE-459B22CC722F}"/>
    <hyperlink ref="CE3" location="VMMC!AC:AC" display="VMMC Tested Positives (FY22)" xr:uid="{9324AD3D-0667-6B41-8A55-485E12745DBA}"/>
    <hyperlink ref="CF3" location="EID!Q:Q" display="EID!Q:Q" xr:uid="{DD5860B7-2BBA-D54C-AC3A-9FA1A8C82695}"/>
    <hyperlink ref="CG3" location="HTS!O:O" display="HTS_TST_POS from All Other Modalities (FY23)" xr:uid="{94117302-B331-2E49-A0BD-18496ED310FB}"/>
    <hyperlink ref="AO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2" customWidth="1"/>
    <col min="9" max="9" width="11.83203125" style="78" customWidth="1"/>
    <col min="10" max="11" width="11.83203125" style="208" customWidth="1"/>
    <col min="12" max="18" width="11.83203125" style="84" customWidth="1"/>
    <col min="19" max="19" width="11.83203125" style="112" customWidth="1"/>
    <col min="20" max="20" width="11.83203125" style="36" customWidth="1"/>
    <col min="21" max="21" width="11.83203125" style="126" customWidth="1"/>
    <col min="22" max="22" width="11.83203125" style="161" customWidth="1"/>
    <col min="23" max="23" width="11.83203125" style="36" customWidth="1"/>
    <col min="24" max="24" width="11.83203125" style="126" customWidth="1"/>
    <col min="25" max="25" width="11.83203125" style="161" customWidth="1"/>
    <col min="26" max="29" width="11.83203125" style="248" customWidth="1"/>
    <col min="30" max="30" width="11.83203125" style="72" customWidth="1"/>
    <col min="31" max="31" width="11.83203125" style="129" customWidth="1"/>
    <col min="32" max="33" width="11.83203125" style="72" customWidth="1"/>
    <col min="34" max="34" width="11.83203125" style="122" customWidth="1"/>
    <col min="35" max="37" width="11.83203125" style="72" customWidth="1"/>
    <col min="38" max="38" width="11.83203125" style="402" customWidth="1"/>
    <col min="39" max="39" width="11.83203125" style="104" customWidth="1"/>
    <col min="40" max="40" width="11.83203125" style="72" customWidth="1"/>
    <col min="41" max="41" width="11.83203125" style="122" customWidth="1"/>
    <col min="42" max="42" width="11.83203125" style="104" customWidth="1"/>
    <col min="43" max="43" width="11.83203125" style="72" customWidth="1"/>
    <col min="44" max="44" width="11.83203125" style="98" customWidth="1"/>
    <col min="45" max="47" width="11.83203125" style="248" customWidth="1"/>
    <col min="48" max="48" width="11.83203125" style="104" customWidth="1"/>
    <col min="49" max="49" width="11.83203125" style="72" customWidth="1"/>
    <col min="50" max="50" width="11.83203125" style="75" customWidth="1"/>
    <col min="51" max="51" width="11.83203125" style="98" customWidth="1"/>
    <col min="52" max="52" width="11.83203125" style="97" customWidth="1"/>
    <col min="53" max="57" width="11.83203125" style="248" customWidth="1"/>
    <col min="58" max="16384" width="10.83203125" style="40"/>
  </cols>
  <sheetData>
    <row r="1" spans="1:57" s="61" customFormat="1" ht="31" customHeight="1" thickBot="1" x14ac:dyDescent="0.35">
      <c r="A1" s="5" t="s">
        <v>75</v>
      </c>
      <c r="C1" s="1"/>
      <c r="D1" s="1"/>
      <c r="E1" s="1"/>
      <c r="F1" s="80" t="s">
        <v>77</v>
      </c>
      <c r="G1" s="95"/>
      <c r="H1" s="201"/>
      <c r="I1" s="95"/>
      <c r="J1" s="35"/>
      <c r="K1" s="35"/>
      <c r="L1" s="80"/>
      <c r="M1" s="80"/>
      <c r="N1" s="80"/>
      <c r="O1" s="80"/>
      <c r="P1" s="80"/>
      <c r="Q1" s="80"/>
      <c r="R1" s="80"/>
      <c r="S1" s="110" t="s">
        <v>30</v>
      </c>
      <c r="T1" s="45"/>
      <c r="U1" s="123"/>
      <c r="V1" s="242" t="s">
        <v>740</v>
      </c>
      <c r="W1" s="45"/>
      <c r="X1" s="123"/>
      <c r="Y1" s="242" t="s">
        <v>31</v>
      </c>
      <c r="Z1" s="244"/>
      <c r="AA1" s="244"/>
      <c r="AB1" s="244"/>
      <c r="AC1" s="244"/>
      <c r="AD1" s="67"/>
      <c r="AE1" s="67"/>
      <c r="AF1" s="67"/>
      <c r="AG1" s="67"/>
      <c r="AH1" s="107" t="s">
        <v>741</v>
      </c>
      <c r="AI1" s="67"/>
      <c r="AJ1" s="67"/>
      <c r="AK1" s="67"/>
      <c r="AL1" s="242" t="s">
        <v>49</v>
      </c>
      <c r="AM1" s="114"/>
      <c r="AN1" s="80"/>
      <c r="AO1" s="110" t="s">
        <v>747</v>
      </c>
      <c r="AP1" s="114"/>
      <c r="AQ1" s="80"/>
      <c r="AR1" s="107" t="s">
        <v>68</v>
      </c>
      <c r="AS1" s="244"/>
      <c r="AT1" s="244"/>
      <c r="AU1" s="244"/>
      <c r="AV1" s="130"/>
      <c r="AW1" s="67"/>
      <c r="AX1" s="67"/>
      <c r="AY1" s="107" t="s">
        <v>589</v>
      </c>
      <c r="AZ1" s="130"/>
      <c r="BA1" s="244"/>
      <c r="BB1" s="244"/>
      <c r="BC1" s="244"/>
      <c r="BD1" s="244"/>
      <c r="BE1" s="244"/>
    </row>
    <row r="2" spans="1:57" s="56" customFormat="1" ht="19" customHeight="1" x14ac:dyDescent="0.25">
      <c r="A2" s="479" t="s">
        <v>797</v>
      </c>
      <c r="B2" s="476"/>
      <c r="D2" s="2"/>
      <c r="E2" s="2"/>
      <c r="F2" s="94" t="s">
        <v>74</v>
      </c>
      <c r="G2" s="94"/>
      <c r="H2" s="193"/>
      <c r="I2" s="94"/>
      <c r="J2" s="34"/>
      <c r="K2" s="34"/>
      <c r="L2" s="81"/>
      <c r="M2" s="81"/>
      <c r="N2" s="81"/>
      <c r="O2" s="81"/>
      <c r="P2" s="81"/>
      <c r="Q2" s="81"/>
      <c r="R2" s="81"/>
      <c r="S2" s="111" t="s">
        <v>74</v>
      </c>
      <c r="T2" s="34" t="s">
        <v>2</v>
      </c>
      <c r="U2" s="124" t="s">
        <v>3</v>
      </c>
      <c r="V2" s="243" t="s">
        <v>74</v>
      </c>
      <c r="W2" s="34" t="s">
        <v>2</v>
      </c>
      <c r="X2" s="124" t="s">
        <v>3</v>
      </c>
      <c r="Y2" s="243" t="s">
        <v>2</v>
      </c>
      <c r="Z2" s="245"/>
      <c r="AA2" s="245"/>
      <c r="AB2" s="245"/>
      <c r="AC2" s="245"/>
      <c r="AD2" s="68" t="s">
        <v>3</v>
      </c>
      <c r="AE2" s="127"/>
      <c r="AF2" s="68"/>
      <c r="AG2" s="68"/>
      <c r="AH2" s="230" t="s">
        <v>3</v>
      </c>
      <c r="AI2" s="68"/>
      <c r="AJ2" s="68"/>
      <c r="AK2" s="68"/>
      <c r="AL2" s="243" t="s">
        <v>74</v>
      </c>
      <c r="AM2" s="131" t="s">
        <v>3</v>
      </c>
      <c r="AN2" s="68"/>
      <c r="AO2" s="230" t="s">
        <v>3</v>
      </c>
      <c r="AP2" s="131"/>
      <c r="AQ2" s="68"/>
      <c r="AR2" s="108" t="s">
        <v>2</v>
      </c>
      <c r="AS2" s="245"/>
      <c r="AT2" s="245"/>
      <c r="AU2" s="245"/>
      <c r="AV2" s="131" t="s">
        <v>3</v>
      </c>
      <c r="AW2" s="68"/>
      <c r="AX2" s="94"/>
      <c r="AY2" s="108" t="s">
        <v>59</v>
      </c>
      <c r="AZ2" s="155"/>
      <c r="BA2" s="245"/>
      <c r="BB2" s="245"/>
      <c r="BC2" s="245"/>
      <c r="BD2" s="245"/>
      <c r="BE2" s="245"/>
    </row>
    <row r="3" spans="1:57" ht="117" customHeight="1" thickBot="1" x14ac:dyDescent="0.25">
      <c r="A3" s="477"/>
      <c r="B3" s="478"/>
      <c r="D3" s="47"/>
      <c r="E3" s="47"/>
      <c r="F3" s="256" t="s">
        <v>809</v>
      </c>
      <c r="G3" s="256" t="s">
        <v>606</v>
      </c>
      <c r="H3" s="257" t="s">
        <v>786</v>
      </c>
      <c r="I3" s="256" t="s">
        <v>787</v>
      </c>
      <c r="J3" s="258" t="s">
        <v>810</v>
      </c>
      <c r="K3" s="258" t="s">
        <v>1096</v>
      </c>
      <c r="L3" s="139" t="s">
        <v>811</v>
      </c>
      <c r="M3" s="139" t="s">
        <v>751</v>
      </c>
      <c r="N3" s="139" t="s">
        <v>752</v>
      </c>
      <c r="O3" s="139" t="s">
        <v>753</v>
      </c>
      <c r="P3" s="139" t="s">
        <v>754</v>
      </c>
      <c r="Q3" s="139" t="s">
        <v>755</v>
      </c>
      <c r="R3" s="139" t="s">
        <v>756</v>
      </c>
      <c r="S3" s="136" t="s">
        <v>1164</v>
      </c>
      <c r="T3" s="48" t="s">
        <v>260</v>
      </c>
      <c r="U3" s="125" t="s">
        <v>798</v>
      </c>
      <c r="V3" s="353" t="s">
        <v>981</v>
      </c>
      <c r="W3" s="48" t="s">
        <v>795</v>
      </c>
      <c r="X3" s="125" t="s">
        <v>796</v>
      </c>
      <c r="Y3" s="376" t="s">
        <v>799</v>
      </c>
      <c r="Z3" s="246" t="s">
        <v>982</v>
      </c>
      <c r="AA3" s="354" t="s">
        <v>983</v>
      </c>
      <c r="AB3" s="246" t="s">
        <v>1167</v>
      </c>
      <c r="AC3" s="354" t="s">
        <v>1168</v>
      </c>
      <c r="AD3" s="121" t="s">
        <v>1155</v>
      </c>
      <c r="AE3" s="69" t="s">
        <v>1156</v>
      </c>
      <c r="AF3" s="70" t="s">
        <v>1157</v>
      </c>
      <c r="AG3" s="69" t="s">
        <v>1158</v>
      </c>
      <c r="AH3" s="270" t="s">
        <v>739</v>
      </c>
      <c r="AI3" s="69" t="s">
        <v>800</v>
      </c>
      <c r="AJ3" s="69" t="s">
        <v>801</v>
      </c>
      <c r="AK3" s="69" t="s">
        <v>802</v>
      </c>
      <c r="AL3" s="401" t="s">
        <v>842</v>
      </c>
      <c r="AM3" s="158" t="s">
        <v>1159</v>
      </c>
      <c r="AN3" s="69" t="s">
        <v>1160</v>
      </c>
      <c r="AO3" s="270" t="s">
        <v>984</v>
      </c>
      <c r="AP3" s="158" t="s">
        <v>985</v>
      </c>
      <c r="AQ3" s="69" t="s">
        <v>986</v>
      </c>
      <c r="AR3" s="132" t="s">
        <v>987</v>
      </c>
      <c r="AS3" s="403" t="s">
        <v>988</v>
      </c>
      <c r="AT3" s="404" t="s">
        <v>989</v>
      </c>
      <c r="AU3" s="403" t="s">
        <v>842</v>
      </c>
      <c r="AV3" s="409" t="s">
        <v>1161</v>
      </c>
      <c r="AW3" s="69" t="s">
        <v>1162</v>
      </c>
      <c r="AX3" s="406" t="s">
        <v>1163</v>
      </c>
      <c r="AY3" s="255" t="s">
        <v>1063</v>
      </c>
      <c r="AZ3" s="259" t="s">
        <v>803</v>
      </c>
      <c r="BA3" s="260" t="s">
        <v>804</v>
      </c>
      <c r="BB3" s="260" t="s">
        <v>805</v>
      </c>
      <c r="BC3" s="260" t="s">
        <v>806</v>
      </c>
      <c r="BD3" s="260" t="s">
        <v>807</v>
      </c>
      <c r="BE3" s="260" t="s">
        <v>808</v>
      </c>
    </row>
    <row r="4" spans="1:57" x14ac:dyDescent="0.2">
      <c r="B4" s="49"/>
      <c r="C4" s="49"/>
      <c r="D4" s="49" t="s">
        <v>4</v>
      </c>
      <c r="E4" s="49"/>
      <c r="F4" s="89">
        <f>SUBTOTAL(109,F$15:INDEX(F:F,COUNTA($B:$B)+14-COUNTA($B$1:$B$14)))</f>
        <v>0</v>
      </c>
      <c r="G4" s="89">
        <f>SUBTOTAL(109,G$15:INDEX(G:G,COUNTA($B:$B)+14-COUNTA($B$1:$B$14)))</f>
        <v>0</v>
      </c>
      <c r="H4" s="154" t="str">
        <f>IF($F$4=0,"",$G4/$F4)</f>
        <v/>
      </c>
      <c r="I4" s="89">
        <f>SUBTOTAL(109,I$15:INDEX(I:I,COUNTA($B:$B)+14-COUNTA($B$1:$B$14)))</f>
        <v>0</v>
      </c>
      <c r="J4" s="349"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3">
        <f>SUBTOTAL(109,S$15:INDEX(S:S,COUNTA($B:$B)+14-COUNTA($B$1:$B$14)))</f>
        <v>0</v>
      </c>
      <c r="T4" s="50" t="str">
        <f>IF(SUM($S$4,$L$4)=0,"",$U$4/MIN($S$4,$L$4)-1)</f>
        <v/>
      </c>
      <c r="U4" s="143">
        <f>SUBTOTAL(109,U$15:INDEX(U:U,COUNTA($B:$B)+14-COUNTA($B$1:$B$14)))</f>
        <v>0</v>
      </c>
      <c r="V4" s="160" t="str">
        <f>IF($L$4=0,"",$S$4/$L$4)</f>
        <v/>
      </c>
      <c r="W4" s="50" t="str">
        <f>IF($X$4=0,"",$U$4/$X$4)</f>
        <v/>
      </c>
      <c r="X4" s="143">
        <f>SUBTOTAL(109,X$15:INDEX(X:X,COUNTA($B:$B)+14-COUNTA($B$1:$B$14)))</f>
        <v>0</v>
      </c>
      <c r="Y4" s="160" t="str">
        <f>IF($U$4=0,"",$AD$4/$U$4)</f>
        <v/>
      </c>
      <c r="Z4" s="247"/>
      <c r="AA4" s="247" t="str">
        <f>IF($AD$4=0,"",$AE$4/$AD$4)</f>
        <v/>
      </c>
      <c r="AB4" s="247"/>
      <c r="AC4" s="247" t="str">
        <f>IF($AD$4=0,"",$AF$4/($AD$4-$AE$4))</f>
        <v/>
      </c>
      <c r="AD4" s="86">
        <f>SUBTOTAL(109,AD$15:INDEX(AD:AD,COUNTA($B:$B)+14-COUNTA($B$1:$B$14)))</f>
        <v>0</v>
      </c>
      <c r="AE4" s="128">
        <f>IF(COUNTIF(AE$15:INDEX($AE:$AE,COUNTA($B:$B)+14-COUNTA($B$1:$B$14)),"&lt;0")&gt;0,"RESOLVE NEGATIVES",SUBTOTAL(109,AE$15:INDEX(AE:AE,COUNTA($B:$B)+14-COUNTA($B$1:$B$14))))</f>
        <v>0</v>
      </c>
      <c r="AF4" s="86">
        <f>SUBTOTAL(109,AF$15:INDEX(AF:AF,COUNTA($B:$B)+14-COUNTA($B$1:$B$14)))</f>
        <v>0</v>
      </c>
      <c r="AG4" s="86">
        <f>SUBTOTAL(109,AG$15:INDEX(AG:AG,COUNTA($B:$B)+14-COUNTA($B$1:$B$14)))</f>
        <v>0</v>
      </c>
      <c r="AH4" s="271">
        <f>SUBTOTAL(109,AH$15:INDEX(AH:AH,COUNTA($B:$B)+14-COUNTA($B$1:$B$14)))</f>
        <v>0</v>
      </c>
      <c r="AI4" s="86">
        <f>SUBTOTAL(109,AI$15:INDEX(AI:AI,COUNTA($B:$B)+14-COUNTA($B$1:$B$14)))</f>
        <v>0</v>
      </c>
      <c r="AJ4" s="86">
        <f>SUBTOTAL(109,AJ$15:INDEX(AJ:AJ,COUNTA($B:$B)+14-COUNTA($B$1:$B$14)))</f>
        <v>0</v>
      </c>
      <c r="AK4" s="86">
        <f>SUBTOTAL(109,AK$15:INDEX(AK:AK,COUNTA($B:$B)+14-COUNTA($B$1:$B$14)))</f>
        <v>0</v>
      </c>
      <c r="AL4" s="160" t="str">
        <f>IF($AF$4=0,"",$AN$4/$AF$4)</f>
        <v/>
      </c>
      <c r="AM4" s="134">
        <f>SUBTOTAL(109,AM$15:INDEX(AM:AM,COUNTA($B:$B)+14-COUNTA($B$1:$B$14)))</f>
        <v>0</v>
      </c>
      <c r="AN4" s="86">
        <f>SUBTOTAL(109,AN$15:INDEX(AN:AN,COUNTA($B:$B)+14-COUNTA($B$1:$B$14)))</f>
        <v>0</v>
      </c>
      <c r="AO4" s="271">
        <f>SUBTOTAL(109,AO$15:INDEX(AO:AO,COUNTA($B:$B)+14-COUNTA($B$1:$B$14)))</f>
        <v>0</v>
      </c>
      <c r="AP4" s="134">
        <f>SUBTOTAL(109,AP$15:INDEX(AP:AP,COUNTA($B:$B)+14-COUNTA($B$1:$B$14)))</f>
        <v>0</v>
      </c>
      <c r="AQ4" s="86">
        <f>SUBTOTAL(109,AQ$15:INDEX(AQ:AQ,COUNTA($B:$B)+14-COUNTA($B$1:$B$14)))</f>
        <v>0</v>
      </c>
      <c r="AR4" s="133">
        <f>SUBTOTAL(109,AR$15:INDEX(AR:AR,COUNTA($B:$B)+14-COUNTA($B$1:$B$14)))</f>
        <v>0</v>
      </c>
      <c r="AS4" s="405"/>
      <c r="AT4" s="405" t="str">
        <f>IF($AR$4=0,"",$AV$4/$AR$4)</f>
        <v/>
      </c>
      <c r="AU4" s="405" t="str">
        <f>IF($AV$4=0,"",$AX$4/$AV$4)</f>
        <v/>
      </c>
      <c r="AV4" s="134">
        <f>SUBTOTAL(109,AV$15:INDEX(AV:AV,COUNTA($B:$B)+14-COUNTA($B$1:$B$14)))</f>
        <v>0</v>
      </c>
      <c r="AW4" s="86">
        <f>SUBTOTAL(109,AW$15:INDEX(AW:AW,COUNTA($B:$B)+14-COUNTA($B$1:$B$14)))</f>
        <v>0</v>
      </c>
      <c r="AX4" s="89">
        <f>SUBTOTAL(109,AX$15:INDEX(AX:AX,COUNTA($B:$B)+14-COUNTA($B$1:$B$14)))</f>
        <v>0</v>
      </c>
      <c r="AY4" s="133">
        <f>SUBTOTAL(109,AY$15:INDEX(AY:AY,COUNTA($B:$B)+14-COUNTA($B$1:$B$14)))</f>
        <v>0</v>
      </c>
      <c r="AZ4" s="156">
        <f>SUBTOTAL(109,AZ$15:INDEX(AZ:AZ,COUNTA($B:$B)+14-COUNTA($B$1:$B$14)))</f>
        <v>0</v>
      </c>
      <c r="BA4" s="248" t="str">
        <f>IF($AF4=0,"",$AF4/$AZ4)</f>
        <v/>
      </c>
      <c r="BB4" s="248" t="str">
        <f>IF($AV4=0,"",$AV4/$AZ4)</f>
        <v/>
      </c>
    </row>
    <row r="5" spans="1:57" x14ac:dyDescent="0.2">
      <c r="A5" s="40" t="s">
        <v>99</v>
      </c>
      <c r="B5" s="42" t="s">
        <v>99</v>
      </c>
      <c r="C5" s="42" t="s">
        <v>99</v>
      </c>
      <c r="D5" s="42" t="s">
        <v>99</v>
      </c>
      <c r="E5" s="42" t="s">
        <v>99</v>
      </c>
      <c r="F5" s="75" t="s">
        <v>99</v>
      </c>
      <c r="G5" s="75" t="s">
        <v>99</v>
      </c>
      <c r="H5" s="177" t="s">
        <v>99</v>
      </c>
      <c r="I5" s="75" t="s">
        <v>99</v>
      </c>
      <c r="J5" s="36" t="s">
        <v>99</v>
      </c>
      <c r="K5" s="169" t="s">
        <v>99</v>
      </c>
      <c r="L5" s="72" t="s">
        <v>108</v>
      </c>
      <c r="M5" s="72" t="s">
        <v>108</v>
      </c>
      <c r="N5" s="72" t="s">
        <v>108</v>
      </c>
      <c r="O5" s="72" t="s">
        <v>108</v>
      </c>
      <c r="P5" s="72" t="s">
        <v>108</v>
      </c>
      <c r="Q5" s="72" t="s">
        <v>108</v>
      </c>
      <c r="R5" s="72" t="s">
        <v>108</v>
      </c>
      <c r="S5" s="98" t="s">
        <v>110</v>
      </c>
      <c r="T5" s="36" t="s">
        <v>99</v>
      </c>
      <c r="U5" s="72" t="s">
        <v>110</v>
      </c>
      <c r="V5" s="161" t="s">
        <v>99</v>
      </c>
      <c r="W5" s="36" t="s">
        <v>99</v>
      </c>
      <c r="X5" s="72" t="s">
        <v>108</v>
      </c>
      <c r="Y5" s="161" t="s">
        <v>99</v>
      </c>
      <c r="Z5" s="248" t="s">
        <v>99</v>
      </c>
      <c r="AA5" s="248" t="s">
        <v>99</v>
      </c>
      <c r="AB5" s="248" t="s">
        <v>99</v>
      </c>
      <c r="AC5" s="248" t="s">
        <v>99</v>
      </c>
      <c r="AD5" s="72" t="s">
        <v>99</v>
      </c>
      <c r="AE5" s="129" t="s">
        <v>110</v>
      </c>
      <c r="AF5" s="72" t="s">
        <v>110</v>
      </c>
      <c r="AG5" s="72" t="s">
        <v>110</v>
      </c>
      <c r="AH5" s="122" t="s">
        <v>99</v>
      </c>
      <c r="AI5" s="72" t="s">
        <v>108</v>
      </c>
      <c r="AJ5" s="72" t="s">
        <v>108</v>
      </c>
      <c r="AK5" s="72" t="s">
        <v>108</v>
      </c>
      <c r="AL5" s="161" t="s">
        <v>99</v>
      </c>
      <c r="AM5" s="104" t="s">
        <v>110</v>
      </c>
      <c r="AN5" s="72" t="s">
        <v>110</v>
      </c>
      <c r="AO5" s="122" t="s">
        <v>108</v>
      </c>
      <c r="AP5" s="104" t="s">
        <v>108</v>
      </c>
      <c r="AQ5" s="72" t="s">
        <v>108</v>
      </c>
      <c r="AR5" s="98" t="s">
        <v>99</v>
      </c>
      <c r="AS5" s="36" t="s">
        <v>99</v>
      </c>
      <c r="AT5" s="36" t="s">
        <v>99</v>
      </c>
      <c r="AU5" s="36" t="s">
        <v>99</v>
      </c>
      <c r="AV5" s="104" t="s">
        <v>110</v>
      </c>
      <c r="AW5" s="72" t="s">
        <v>110</v>
      </c>
      <c r="AX5" s="75" t="s">
        <v>99</v>
      </c>
      <c r="AY5" s="98" t="s">
        <v>99</v>
      </c>
      <c r="AZ5" s="97" t="s">
        <v>99</v>
      </c>
      <c r="BA5" s="248" t="s">
        <v>99</v>
      </c>
      <c r="BB5" s="248" t="s">
        <v>99</v>
      </c>
      <c r="BC5" s="248" t="s">
        <v>99</v>
      </c>
      <c r="BD5" s="248" t="s">
        <v>99</v>
      </c>
      <c r="BE5" s="248" t="s">
        <v>99</v>
      </c>
    </row>
    <row r="6" spans="1:57" x14ac:dyDescent="0.2">
      <c r="A6" s="40" t="s">
        <v>201</v>
      </c>
      <c r="B6" s="42" t="s">
        <v>201</v>
      </c>
      <c r="C6" s="42" t="s">
        <v>201</v>
      </c>
      <c r="D6" s="42" t="s">
        <v>201</v>
      </c>
      <c r="E6" s="42" t="s">
        <v>201</v>
      </c>
      <c r="F6" s="75" t="s">
        <v>94</v>
      </c>
      <c r="G6" s="75" t="s">
        <v>94</v>
      </c>
      <c r="H6" s="177" t="s">
        <v>94</v>
      </c>
      <c r="I6" s="75" t="s">
        <v>94</v>
      </c>
      <c r="J6" s="36" t="s">
        <v>94</v>
      </c>
      <c r="K6" s="51" t="s">
        <v>94</v>
      </c>
      <c r="L6" s="72" t="s">
        <v>93</v>
      </c>
      <c r="M6" s="72" t="s">
        <v>93</v>
      </c>
      <c r="N6" s="72" t="s">
        <v>93</v>
      </c>
      <c r="O6" s="72" t="s">
        <v>93</v>
      </c>
      <c r="P6" s="72" t="s">
        <v>93</v>
      </c>
      <c r="Q6" s="72" t="s">
        <v>93</v>
      </c>
      <c r="R6" s="72" t="s">
        <v>93</v>
      </c>
      <c r="S6" s="98" t="s">
        <v>111</v>
      </c>
      <c r="T6" s="36" t="s">
        <v>113</v>
      </c>
      <c r="U6" s="72" t="s">
        <v>93</v>
      </c>
      <c r="V6" s="161" t="s">
        <v>94</v>
      </c>
      <c r="W6" s="36" t="s">
        <v>113</v>
      </c>
      <c r="X6" s="72" t="s">
        <v>93</v>
      </c>
      <c r="Y6" s="161" t="s">
        <v>113</v>
      </c>
      <c r="Z6" s="248" t="s">
        <v>112</v>
      </c>
      <c r="AA6" s="248" t="s">
        <v>113</v>
      </c>
      <c r="AB6" s="248" t="s">
        <v>112</v>
      </c>
      <c r="AC6" s="248" t="s">
        <v>113</v>
      </c>
      <c r="AD6" s="72" t="s">
        <v>94</v>
      </c>
      <c r="AE6" s="129" t="s">
        <v>93</v>
      </c>
      <c r="AF6" s="72" t="s">
        <v>93</v>
      </c>
      <c r="AG6" s="72" t="s">
        <v>93</v>
      </c>
      <c r="AH6" s="122" t="s">
        <v>94</v>
      </c>
      <c r="AI6" s="72" t="s">
        <v>93</v>
      </c>
      <c r="AJ6" s="72" t="s">
        <v>93</v>
      </c>
      <c r="AK6" s="72" t="s">
        <v>93</v>
      </c>
      <c r="AL6" s="161" t="s">
        <v>94</v>
      </c>
      <c r="AM6" s="104" t="s">
        <v>93</v>
      </c>
      <c r="AN6" s="72" t="s">
        <v>93</v>
      </c>
      <c r="AO6" s="122" t="s">
        <v>93</v>
      </c>
      <c r="AP6" s="104" t="s">
        <v>93</v>
      </c>
      <c r="AQ6" s="72" t="s">
        <v>93</v>
      </c>
      <c r="AR6" s="98" t="s">
        <v>113</v>
      </c>
      <c r="AS6" s="36" t="s">
        <v>112</v>
      </c>
      <c r="AT6" s="36" t="s">
        <v>113</v>
      </c>
      <c r="AU6" s="36" t="s">
        <v>94</v>
      </c>
      <c r="AV6" s="104" t="s">
        <v>93</v>
      </c>
      <c r="AW6" s="72" t="s">
        <v>93</v>
      </c>
      <c r="AX6" s="75" t="s">
        <v>94</v>
      </c>
      <c r="AY6" s="98" t="s">
        <v>94</v>
      </c>
      <c r="AZ6" s="97" t="s">
        <v>94</v>
      </c>
      <c r="BA6" s="248" t="s">
        <v>94</v>
      </c>
      <c r="BB6" s="248" t="s">
        <v>94</v>
      </c>
      <c r="BC6" s="248" t="s">
        <v>94</v>
      </c>
      <c r="BD6" s="248" t="s">
        <v>94</v>
      </c>
      <c r="BE6" s="248" t="s">
        <v>94</v>
      </c>
    </row>
    <row r="7" spans="1:57" x14ac:dyDescent="0.2">
      <c r="A7" s="40" t="s">
        <v>109</v>
      </c>
      <c r="B7" s="42" t="s">
        <v>109</v>
      </c>
      <c r="C7" s="42" t="s">
        <v>109</v>
      </c>
      <c r="D7" s="42" t="s">
        <v>109</v>
      </c>
      <c r="E7" s="42" t="s">
        <v>109</v>
      </c>
      <c r="F7" s="75" t="s">
        <v>95</v>
      </c>
      <c r="G7" s="75" t="s">
        <v>95</v>
      </c>
      <c r="H7" s="177" t="s">
        <v>96</v>
      </c>
      <c r="I7" s="75" t="s">
        <v>95</v>
      </c>
      <c r="J7" s="36" t="s">
        <v>96</v>
      </c>
      <c r="K7" s="51" t="s">
        <v>96</v>
      </c>
      <c r="L7" s="72" t="s">
        <v>95</v>
      </c>
      <c r="M7" s="72" t="s">
        <v>95</v>
      </c>
      <c r="N7" s="72" t="s">
        <v>95</v>
      </c>
      <c r="O7" s="72" t="s">
        <v>95</v>
      </c>
      <c r="P7" s="72" t="s">
        <v>95</v>
      </c>
      <c r="Q7" s="72" t="s">
        <v>95</v>
      </c>
      <c r="R7" s="72" t="s">
        <v>95</v>
      </c>
      <c r="S7" s="98" t="s">
        <v>95</v>
      </c>
      <c r="T7" s="36" t="s">
        <v>96</v>
      </c>
      <c r="U7" s="72" t="s">
        <v>95</v>
      </c>
      <c r="V7" s="161" t="s">
        <v>96</v>
      </c>
      <c r="W7" s="36" t="s">
        <v>96</v>
      </c>
      <c r="X7" s="72" t="s">
        <v>95</v>
      </c>
      <c r="Y7" s="161" t="s">
        <v>96</v>
      </c>
      <c r="Z7" s="248" t="s">
        <v>96</v>
      </c>
      <c r="AA7" s="248" t="s">
        <v>96</v>
      </c>
      <c r="AB7" s="248" t="s">
        <v>96</v>
      </c>
      <c r="AC7" s="248" t="s">
        <v>96</v>
      </c>
      <c r="AD7" s="72" t="s">
        <v>95</v>
      </c>
      <c r="AE7" s="129" t="s">
        <v>95</v>
      </c>
      <c r="AF7" s="72" t="s">
        <v>95</v>
      </c>
      <c r="AG7" s="72" t="s">
        <v>95</v>
      </c>
      <c r="AH7" s="122" t="s">
        <v>95</v>
      </c>
      <c r="AI7" s="72" t="s">
        <v>95</v>
      </c>
      <c r="AJ7" s="72" t="s">
        <v>95</v>
      </c>
      <c r="AK7" s="72" t="s">
        <v>95</v>
      </c>
      <c r="AL7" s="161" t="s">
        <v>96</v>
      </c>
      <c r="AM7" s="104" t="s">
        <v>95</v>
      </c>
      <c r="AN7" s="72" t="s">
        <v>95</v>
      </c>
      <c r="AO7" s="122" t="s">
        <v>95</v>
      </c>
      <c r="AP7" s="104" t="s">
        <v>95</v>
      </c>
      <c r="AQ7" s="72" t="s">
        <v>95</v>
      </c>
      <c r="AR7" s="98" t="s">
        <v>95</v>
      </c>
      <c r="AS7" s="36" t="s">
        <v>96</v>
      </c>
      <c r="AT7" s="36" t="s">
        <v>96</v>
      </c>
      <c r="AU7" s="36" t="s">
        <v>96</v>
      </c>
      <c r="AV7" s="104" t="s">
        <v>95</v>
      </c>
      <c r="AW7" s="72" t="s">
        <v>95</v>
      </c>
      <c r="AX7" s="75" t="s">
        <v>95</v>
      </c>
      <c r="AY7" s="98" t="s">
        <v>95</v>
      </c>
      <c r="AZ7" s="97" t="s">
        <v>95</v>
      </c>
      <c r="BA7" s="248" t="s">
        <v>96</v>
      </c>
      <c r="BB7" s="248" t="s">
        <v>96</v>
      </c>
      <c r="BC7" s="248" t="s">
        <v>96</v>
      </c>
      <c r="BD7" s="248" t="s">
        <v>96</v>
      </c>
      <c r="BE7" s="248" t="s">
        <v>96</v>
      </c>
    </row>
    <row r="8" spans="1:57" x14ac:dyDescent="0.2">
      <c r="F8" s="75"/>
      <c r="G8" s="75"/>
      <c r="H8" s="177"/>
      <c r="I8" s="75"/>
      <c r="J8" s="36"/>
      <c r="K8" s="51"/>
      <c r="L8" s="309" t="s">
        <v>777</v>
      </c>
      <c r="M8" s="309" t="s">
        <v>778</v>
      </c>
      <c r="N8" s="309" t="s">
        <v>778</v>
      </c>
      <c r="O8" s="309" t="s">
        <v>778</v>
      </c>
      <c r="P8" s="309" t="s">
        <v>779</v>
      </c>
      <c r="Q8" s="309" t="s">
        <v>780</v>
      </c>
      <c r="R8" s="309" t="s">
        <v>780</v>
      </c>
      <c r="S8" s="314" t="s">
        <v>114</v>
      </c>
      <c r="U8" s="309" t="s">
        <v>114</v>
      </c>
      <c r="X8" s="309" t="s">
        <v>777</v>
      </c>
      <c r="AE8" s="324" t="s">
        <v>116</v>
      </c>
      <c r="AF8" s="309" t="s">
        <v>116</v>
      </c>
      <c r="AG8" s="309" t="s">
        <v>116</v>
      </c>
      <c r="AI8" s="309" t="s">
        <v>778</v>
      </c>
      <c r="AJ8" s="309" t="s">
        <v>778</v>
      </c>
      <c r="AK8" s="309" t="s">
        <v>778</v>
      </c>
      <c r="AL8" s="161"/>
      <c r="AM8" s="310" t="s">
        <v>118</v>
      </c>
      <c r="AN8" s="309" t="s">
        <v>118</v>
      </c>
      <c r="AO8" s="311" t="s">
        <v>779</v>
      </c>
      <c r="AP8" s="310" t="s">
        <v>780</v>
      </c>
      <c r="AQ8" s="309" t="s">
        <v>780</v>
      </c>
      <c r="AS8" s="36"/>
      <c r="AT8" s="36"/>
      <c r="AU8" s="36"/>
      <c r="AV8" s="310" t="s">
        <v>774</v>
      </c>
      <c r="AW8" s="309" t="s">
        <v>774</v>
      </c>
    </row>
    <row r="9" spans="1:57" x14ac:dyDescent="0.2">
      <c r="F9" s="75"/>
      <c r="G9" s="75"/>
      <c r="H9" s="177"/>
      <c r="I9" s="75"/>
      <c r="J9" s="36"/>
      <c r="K9" s="51"/>
      <c r="L9" s="309"/>
      <c r="M9" s="309"/>
      <c r="N9" s="309"/>
      <c r="O9" s="309"/>
      <c r="P9" s="309"/>
      <c r="Q9" s="309"/>
      <c r="R9" s="309"/>
      <c r="S9" s="314" t="s">
        <v>115</v>
      </c>
      <c r="U9" s="309" t="s">
        <v>115</v>
      </c>
      <c r="X9" s="309"/>
      <c r="AE9" s="324" t="s">
        <v>117</v>
      </c>
      <c r="AF9" s="309" t="s">
        <v>117</v>
      </c>
      <c r="AG9" s="309" t="s">
        <v>117</v>
      </c>
      <c r="AI9" s="309"/>
      <c r="AJ9" s="309"/>
      <c r="AK9" s="309"/>
      <c r="AL9" s="161"/>
      <c r="AM9" s="310" t="s">
        <v>119</v>
      </c>
      <c r="AN9" s="309" t="s">
        <v>119</v>
      </c>
      <c r="AO9" s="311"/>
      <c r="AP9" s="310"/>
      <c r="AQ9" s="309"/>
      <c r="AS9" s="36"/>
      <c r="AT9" s="36"/>
      <c r="AU9" s="36"/>
      <c r="AV9" s="310" t="s">
        <v>775</v>
      </c>
      <c r="AW9" s="309" t="s">
        <v>775</v>
      </c>
    </row>
    <row r="10" spans="1:57" x14ac:dyDescent="0.2">
      <c r="F10" s="75"/>
      <c r="G10" s="75"/>
      <c r="H10" s="177"/>
      <c r="I10" s="75"/>
      <c r="J10" s="36"/>
      <c r="K10" s="51"/>
      <c r="L10" s="309"/>
      <c r="M10" s="309" t="s">
        <v>102</v>
      </c>
      <c r="N10" s="309" t="s">
        <v>103</v>
      </c>
      <c r="O10" s="309" t="s">
        <v>104</v>
      </c>
      <c r="P10" s="309" t="s">
        <v>105</v>
      </c>
      <c r="Q10" s="309" t="s">
        <v>121</v>
      </c>
      <c r="R10" s="309" t="s">
        <v>120</v>
      </c>
      <c r="S10" s="314"/>
      <c r="U10" s="309"/>
      <c r="X10" s="309"/>
      <c r="AE10" s="324" t="s">
        <v>102</v>
      </c>
      <c r="AF10" s="309" t="s">
        <v>103</v>
      </c>
      <c r="AG10" s="309" t="s">
        <v>104</v>
      </c>
      <c r="AI10" s="309" t="s">
        <v>102</v>
      </c>
      <c r="AJ10" s="309" t="s">
        <v>103</v>
      </c>
      <c r="AK10" s="309" t="s">
        <v>104</v>
      </c>
      <c r="AL10" s="161"/>
      <c r="AM10" s="310" t="s">
        <v>121</v>
      </c>
      <c r="AN10" s="309" t="s">
        <v>120</v>
      </c>
      <c r="AO10" s="311" t="s">
        <v>105</v>
      </c>
      <c r="AP10" s="310" t="s">
        <v>121</v>
      </c>
      <c r="AQ10" s="309" t="s">
        <v>120</v>
      </c>
      <c r="AS10" s="36"/>
      <c r="AT10" s="36"/>
      <c r="AU10" s="36"/>
      <c r="AV10" s="310" t="s">
        <v>105</v>
      </c>
      <c r="AW10" s="309" t="s">
        <v>122</v>
      </c>
    </row>
    <row r="11" spans="1:57" x14ac:dyDescent="0.2">
      <c r="F11" s="75" t="s">
        <v>204</v>
      </c>
      <c r="G11" s="75" t="s">
        <v>204</v>
      </c>
      <c r="H11" s="177" t="s">
        <v>204</v>
      </c>
      <c r="I11" s="75" t="s">
        <v>204</v>
      </c>
      <c r="J11" s="36" t="s">
        <v>204</v>
      </c>
      <c r="K11" s="36" t="s">
        <v>204</v>
      </c>
      <c r="L11" s="72" t="s">
        <v>204</v>
      </c>
      <c r="M11" s="72" t="s">
        <v>204</v>
      </c>
      <c r="N11" s="72" t="s">
        <v>204</v>
      </c>
      <c r="O11" s="72" t="s">
        <v>204</v>
      </c>
      <c r="P11" s="72" t="s">
        <v>204</v>
      </c>
      <c r="Q11" s="72" t="s">
        <v>204</v>
      </c>
      <c r="R11" s="72" t="s">
        <v>204</v>
      </c>
      <c r="S11" s="98" t="s">
        <v>204</v>
      </c>
      <c r="T11" s="36" t="s">
        <v>204</v>
      </c>
      <c r="U11" s="72" t="s">
        <v>204</v>
      </c>
      <c r="V11" s="161" t="s">
        <v>204</v>
      </c>
      <c r="W11" s="36" t="s">
        <v>204</v>
      </c>
      <c r="X11" s="72" t="s">
        <v>204</v>
      </c>
      <c r="Y11" s="161" t="s">
        <v>204</v>
      </c>
      <c r="Z11" s="248" t="s">
        <v>204</v>
      </c>
      <c r="AA11" s="248" t="s">
        <v>204</v>
      </c>
      <c r="AB11" s="248" t="s">
        <v>204</v>
      </c>
      <c r="AC11" s="248" t="s">
        <v>204</v>
      </c>
      <c r="AD11" s="72" t="s">
        <v>204</v>
      </c>
      <c r="AE11" s="129" t="s">
        <v>204</v>
      </c>
      <c r="AF11" s="72" t="s">
        <v>204</v>
      </c>
      <c r="AG11" s="72" t="s">
        <v>204</v>
      </c>
      <c r="AH11" s="122" t="s">
        <v>204</v>
      </c>
      <c r="AI11" s="72" t="s">
        <v>204</v>
      </c>
      <c r="AJ11" s="72" t="s">
        <v>204</v>
      </c>
      <c r="AK11" s="72" t="s">
        <v>204</v>
      </c>
      <c r="AL11" s="161" t="s">
        <v>204</v>
      </c>
      <c r="AM11" s="104" t="s">
        <v>204</v>
      </c>
      <c r="AN11" s="72" t="s">
        <v>204</v>
      </c>
      <c r="AO11" s="122" t="s">
        <v>204</v>
      </c>
      <c r="AP11" s="104" t="s">
        <v>204</v>
      </c>
      <c r="AQ11" s="72" t="s">
        <v>204</v>
      </c>
      <c r="AR11" s="98" t="s">
        <v>204</v>
      </c>
      <c r="AS11" s="36" t="s">
        <v>204</v>
      </c>
      <c r="AT11" s="36" t="s">
        <v>204</v>
      </c>
      <c r="AU11" s="36" t="s">
        <v>204</v>
      </c>
      <c r="AV11" s="104" t="s">
        <v>204</v>
      </c>
      <c r="AW11" s="72" t="s">
        <v>204</v>
      </c>
      <c r="AX11" s="75" t="s">
        <v>204</v>
      </c>
      <c r="AY11" s="98" t="s">
        <v>204</v>
      </c>
      <c r="AZ11" s="97" t="s">
        <v>204</v>
      </c>
      <c r="BA11" s="248" t="s">
        <v>204</v>
      </c>
      <c r="BB11" s="248" t="s">
        <v>204</v>
      </c>
      <c r="BC11" s="248" t="s">
        <v>204</v>
      </c>
      <c r="BD11" s="248" t="s">
        <v>204</v>
      </c>
      <c r="BE11" s="248" t="s">
        <v>204</v>
      </c>
    </row>
    <row r="12" spans="1:57" x14ac:dyDescent="0.2">
      <c r="F12" s="75" t="s">
        <v>689</v>
      </c>
      <c r="G12" s="75" t="s">
        <v>689</v>
      </c>
      <c r="H12" s="177" t="s">
        <v>689</v>
      </c>
      <c r="I12" s="75" t="s">
        <v>689</v>
      </c>
      <c r="J12" s="36" t="s">
        <v>689</v>
      </c>
      <c r="K12" s="36" t="s">
        <v>689</v>
      </c>
      <c r="L12" s="72" t="s">
        <v>689</v>
      </c>
      <c r="M12" s="72" t="s">
        <v>689</v>
      </c>
      <c r="N12" s="72" t="s">
        <v>689</v>
      </c>
      <c r="O12" s="72" t="s">
        <v>689</v>
      </c>
      <c r="P12" s="72" t="s">
        <v>689</v>
      </c>
      <c r="Q12" s="72" t="s">
        <v>689</v>
      </c>
      <c r="R12" s="72" t="s">
        <v>689</v>
      </c>
      <c r="S12" s="98" t="s">
        <v>689</v>
      </c>
      <c r="T12" s="36" t="s">
        <v>689</v>
      </c>
      <c r="U12" s="72" t="s">
        <v>689</v>
      </c>
      <c r="V12" s="161" t="s">
        <v>689</v>
      </c>
      <c r="W12" s="36" t="s">
        <v>689</v>
      </c>
      <c r="X12" s="72" t="s">
        <v>689</v>
      </c>
      <c r="Y12" s="161" t="s">
        <v>689</v>
      </c>
      <c r="Z12" s="248" t="s">
        <v>689</v>
      </c>
      <c r="AA12" s="248" t="s">
        <v>689</v>
      </c>
      <c r="AB12" s="248" t="s">
        <v>689</v>
      </c>
      <c r="AC12" s="248" t="s">
        <v>689</v>
      </c>
      <c r="AD12" s="72" t="s">
        <v>689</v>
      </c>
      <c r="AE12" s="129" t="s">
        <v>689</v>
      </c>
      <c r="AF12" s="72" t="s">
        <v>689</v>
      </c>
      <c r="AG12" s="72" t="s">
        <v>689</v>
      </c>
      <c r="AH12" s="122" t="s">
        <v>689</v>
      </c>
      <c r="AI12" s="72" t="s">
        <v>689</v>
      </c>
      <c r="AJ12" s="72" t="s">
        <v>689</v>
      </c>
      <c r="AK12" s="72" t="s">
        <v>689</v>
      </c>
      <c r="AL12" s="161" t="s">
        <v>689</v>
      </c>
      <c r="AM12" s="104" t="s">
        <v>689</v>
      </c>
      <c r="AN12" s="72" t="s">
        <v>689</v>
      </c>
      <c r="AO12" s="122" t="s">
        <v>689</v>
      </c>
      <c r="AP12" s="104" t="s">
        <v>689</v>
      </c>
      <c r="AQ12" s="72" t="s">
        <v>689</v>
      </c>
      <c r="AR12" s="98" t="s">
        <v>689</v>
      </c>
      <c r="AS12" s="36" t="s">
        <v>689</v>
      </c>
      <c r="AT12" s="36" t="s">
        <v>689</v>
      </c>
      <c r="AU12" s="36" t="s">
        <v>689</v>
      </c>
      <c r="AV12" s="104" t="s">
        <v>689</v>
      </c>
      <c r="AW12" s="72" t="s">
        <v>689</v>
      </c>
      <c r="AX12" s="75" t="s">
        <v>689</v>
      </c>
      <c r="AY12" s="98" t="s">
        <v>689</v>
      </c>
      <c r="AZ12" s="97" t="s">
        <v>689</v>
      </c>
      <c r="BA12" s="248" t="s">
        <v>689</v>
      </c>
      <c r="BB12" s="248" t="s">
        <v>689</v>
      </c>
      <c r="BC12" s="248" t="s">
        <v>689</v>
      </c>
      <c r="BD12" s="248" t="s">
        <v>689</v>
      </c>
      <c r="BE12" s="248" t="s">
        <v>689</v>
      </c>
    </row>
    <row r="13" spans="1:57" x14ac:dyDescent="0.2">
      <c r="F13" s="75"/>
      <c r="G13" s="75"/>
      <c r="H13" s="177"/>
      <c r="I13" s="75"/>
      <c r="J13" s="36"/>
      <c r="K13" s="51"/>
      <c r="L13" s="72"/>
      <c r="M13" s="72"/>
      <c r="N13" s="72"/>
      <c r="O13" s="72"/>
      <c r="P13" s="72"/>
      <c r="Q13" s="72"/>
      <c r="R13" s="72"/>
      <c r="S13" s="98"/>
      <c r="U13" s="72"/>
      <c r="X13" s="72"/>
      <c r="AL13" s="161"/>
      <c r="AS13" s="36"/>
      <c r="AT13" s="36"/>
      <c r="AU13" s="36"/>
    </row>
    <row r="14" spans="1:57" x14ac:dyDescent="0.2">
      <c r="A14" s="52" t="s">
        <v>587</v>
      </c>
      <c r="B14" s="52" t="s">
        <v>5</v>
      </c>
      <c r="C14" s="52" t="s">
        <v>35</v>
      </c>
      <c r="D14" s="52" t="s">
        <v>6</v>
      </c>
      <c r="E14" s="52" t="s">
        <v>76</v>
      </c>
      <c r="F14" s="92" t="s">
        <v>302</v>
      </c>
      <c r="G14" s="92" t="s">
        <v>303</v>
      </c>
      <c r="H14" s="178" t="s">
        <v>305</v>
      </c>
      <c r="I14" s="92" t="s">
        <v>306</v>
      </c>
      <c r="J14" s="209" t="s">
        <v>501</v>
      </c>
      <c r="K14" s="209" t="s">
        <v>1093</v>
      </c>
      <c r="L14" s="172" t="s">
        <v>308</v>
      </c>
      <c r="M14" s="172" t="s">
        <v>309</v>
      </c>
      <c r="N14" s="172" t="s">
        <v>310</v>
      </c>
      <c r="O14" s="172" t="s">
        <v>311</v>
      </c>
      <c r="P14" s="172" t="s">
        <v>312</v>
      </c>
      <c r="Q14" s="172" t="s">
        <v>313</v>
      </c>
      <c r="R14" s="172" t="s">
        <v>314</v>
      </c>
      <c r="S14" s="174" t="s">
        <v>321</v>
      </c>
      <c r="T14" s="399" t="s">
        <v>508</v>
      </c>
      <c r="U14" s="397" t="s">
        <v>322</v>
      </c>
      <c r="V14" s="400" t="s">
        <v>737</v>
      </c>
      <c r="W14" s="399" t="s">
        <v>738</v>
      </c>
      <c r="X14" s="397" t="s">
        <v>735</v>
      </c>
      <c r="Y14" s="400" t="s">
        <v>509</v>
      </c>
      <c r="Z14" s="249" t="s">
        <v>604</v>
      </c>
      <c r="AA14" s="399" t="s">
        <v>510</v>
      </c>
      <c r="AB14" s="209" t="s">
        <v>605</v>
      </c>
      <c r="AC14" s="399" t="s">
        <v>511</v>
      </c>
      <c r="AD14" s="385" t="s">
        <v>745</v>
      </c>
      <c r="AE14" s="397" t="s">
        <v>323</v>
      </c>
      <c r="AF14" s="385" t="s">
        <v>371</v>
      </c>
      <c r="AG14" s="397" t="s">
        <v>372</v>
      </c>
      <c r="AH14" s="398" t="s">
        <v>746</v>
      </c>
      <c r="AI14" s="397" t="s">
        <v>742</v>
      </c>
      <c r="AJ14" s="397" t="s">
        <v>743</v>
      </c>
      <c r="AK14" s="397" t="s">
        <v>744</v>
      </c>
      <c r="AL14" s="355" t="s">
        <v>533</v>
      </c>
      <c r="AM14" s="397" t="s">
        <v>324</v>
      </c>
      <c r="AN14" s="397" t="s">
        <v>758</v>
      </c>
      <c r="AO14" s="398" t="s">
        <v>748</v>
      </c>
      <c r="AP14" s="157" t="s">
        <v>749</v>
      </c>
      <c r="AQ14" s="397" t="s">
        <v>750</v>
      </c>
      <c r="AR14" s="398" t="s">
        <v>512</v>
      </c>
      <c r="AS14" s="209" t="s">
        <v>736</v>
      </c>
      <c r="AT14" s="209" t="s">
        <v>513</v>
      </c>
      <c r="AU14" s="209" t="s">
        <v>514</v>
      </c>
      <c r="AV14" s="385" t="s">
        <v>373</v>
      </c>
      <c r="AW14" s="385" t="s">
        <v>374</v>
      </c>
      <c r="AX14" s="397" t="s">
        <v>515</v>
      </c>
      <c r="AY14" s="398" t="s">
        <v>516</v>
      </c>
      <c r="AZ14" s="157" t="s">
        <v>517</v>
      </c>
      <c r="BA14" s="249" t="s">
        <v>519</v>
      </c>
      <c r="BB14" s="249" t="s">
        <v>518</v>
      </c>
      <c r="BC14" s="249" t="s">
        <v>574</v>
      </c>
      <c r="BD14" s="249" t="s">
        <v>576</v>
      </c>
      <c r="BE14" s="249" t="s">
        <v>579</v>
      </c>
    </row>
    <row r="15" spans="1:57" x14ac:dyDescent="0.2">
      <c r="E15" s="42" t="str">
        <f>B15&amp;"|"&amp;C15&amp;"|"&amp;D15</f>
        <v>||</v>
      </c>
      <c r="F15" s="79" t="str">
        <f>IF(LEFT($B15,4)="_Mil","",_xlfn.IFNA(INDEX(Cascade!$F:$F,MATCH($E15,Cascade!$E:$E,0)),""))</f>
        <v/>
      </c>
      <c r="G15" s="79" t="str">
        <f>IF(LEFT($B15,4)="_Mil","",_xlfn.IFNA(INDEX(Cascade!$H:$H,MATCH($E15,Cascade!$E:$E,0)),""))</f>
        <v/>
      </c>
      <c r="H15" s="177" t="str">
        <f>IF(LEFT($B15,4)="_Mil","",_xlfn.IFNA(INDEX(Cascade!$J:$J,MATCH($E15,Cascade!$E:$E,0)),""))</f>
        <v/>
      </c>
      <c r="I15" s="79" t="str">
        <f>IF(LEFT($B15,4)="_Mil","",_xlfn.IFNA(INDEX(Cascade!$T:$T,MATCH($E15,Cascade!$E:$E,0)),""))</f>
        <v/>
      </c>
      <c r="J15" s="36" t="str">
        <f>IF(LEFT($B15,4)="_Mil","",_xlfn.IFNA(INDEX(Cascade!$BS:$BS,MATCH($E15,Cascade!$E:$E,0)),""))</f>
        <v/>
      </c>
      <c r="K15" s="36" t="str">
        <f>IF(LEFT($B15,4)="_Mil","",_xlfn.IFNA(INDEX(Cascade!$AL:$AL,MATCH($E15,Cascade!$E:$E,0)),""))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26" t="str">
        <f>IF(SUM($S15)=0,"",ROUND(MIN($S15,$L15)*(1+$T15),0))</f>
        <v/>
      </c>
      <c r="V15" s="161" t="str">
        <f>IF(SUM($L15)=0,IF(SUM($S15)=0,"",1),MIN($S15/$L15,1))</f>
        <v/>
      </c>
      <c r="W15" s="36" t="str">
        <f>$V15</f>
        <v/>
      </c>
      <c r="X15" s="126" t="str">
        <f>IF(SUM($U15)=0,"",ROUND($U15/$W15,0))</f>
        <v/>
      </c>
      <c r="Y15" s="161" t="str">
        <f>IF(SUM($S15)=0,"",100%)</f>
        <v/>
      </c>
      <c r="AA15" s="248" t="str">
        <f>IF(SUM($L15,$Z15)=0,"",MAX(IFERROR(SUM($M15)/$L15,0),SUM($Z15)))</f>
        <v/>
      </c>
      <c r="AC15" s="248"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2" t="str">
        <f>IF(SUM($X15)=0,"",ROUND($X15*SUM($Y15),0))</f>
        <v/>
      </c>
      <c r="AI15" s="72" t="str">
        <f>IF(SUM($AH15)=0,"",ROUND($AH15*SUM($AA15),0))</f>
        <v/>
      </c>
      <c r="AJ15" s="72" t="str">
        <f>IF(SUM($AH15)=0,"",ROUND(($AH15-SUM($AI15))*SUM($AC15),0))</f>
        <v/>
      </c>
      <c r="AK15" s="72" t="str">
        <f>IF(SUM($AH15)=0,"",ROUND($AH15-SUM($AI15)-SUM($AJ15),0))</f>
        <v/>
      </c>
      <c r="AL15" s="161" t="str">
        <f>IF(SUM($AF15)=0,"",_xlfn.IFNA(INDEX(Cascade!$BC:$BC,MATCH($E15,Cascade!$E:$E,0)),""))</f>
        <v/>
      </c>
      <c r="AM15" s="104" t="str">
        <f>IF(SUM($AE15)=0,"",$AE15)</f>
        <v/>
      </c>
      <c r="AN15" s="72" t="str">
        <f>IF(SUM($AF15)=0,"",ROUND($AF15*$AL15,0))</f>
        <v/>
      </c>
      <c r="AO15" s="122" t="str">
        <f>IF(SUM($AI15,$AJ15)=0,"",SUM($AI15,$AJ15))</f>
        <v/>
      </c>
      <c r="AP15" s="104" t="str">
        <f>IF(SUM($AI15)=0,"",$AI15)</f>
        <v/>
      </c>
      <c r="AQ15" s="72" t="str">
        <f>IF(SUM($AJ15)=0,"",ROUND($AJ15*SUM($AL15),0))</f>
        <v/>
      </c>
      <c r="AR15" s="98" t="str">
        <f>IF(AND((SUM($U15)-SUM($AE15)-SUM($AF15))=0,SUM($AG15)=0),"",MAX(SUM($U15)-SUM($AE15,$AF15),$AG15))</f>
        <v/>
      </c>
      <c r="AS15" s="36"/>
      <c r="AT15" s="36" t="str">
        <f>IF(SUM($AS15)=0,"",$AS15)</f>
        <v/>
      </c>
      <c r="AU15" s="36" t="str">
        <f>IF(SUM($AR15)=0,"",_xlfn.IFNA(INDEX(Cascade!$BC:$BC,MATCH($E15,Cascade!$E:$E,0)),""))</f>
        <v/>
      </c>
      <c r="AV15" s="104" t="str">
        <f>IF(SUM($AR15)=0,"",ROUND($AR15*$AT15,0))</f>
        <v/>
      </c>
      <c r="AW15" s="72" t="str">
        <f>IF(SUM($AR15)=0,"",$AR15-SUM($AV15))</f>
        <v/>
      </c>
      <c r="AX15" s="75" t="str">
        <f>IF(SUM($AV15)=0,"",ROUND($AV15*$AU15,0))</f>
        <v/>
      </c>
      <c r="AY15" s="98" t="str">
        <f>IF(SUM($AF15,$AE15,$AV15)=0,"",SUM($AF15,$AE15,$AV15))</f>
        <v/>
      </c>
      <c r="AZ15" s="97" t="str">
        <f>_xlfn.IFNA(INDEX(Cascade!$BZ:$BZ,MATCH($E15,Cascade!$E:$E,0)),"")</f>
        <v/>
      </c>
      <c r="BA15" s="248" t="str">
        <f>IF(SUM($AF15)=0,"",$AF15/SUM($AZ15))</f>
        <v/>
      </c>
      <c r="BB15" s="248" t="str">
        <f>IF(SUM($AV15)=0,"",$AV15/SUM($AZ15))</f>
        <v/>
      </c>
      <c r="BC15" s="248" t="str">
        <f>_xlfn.IFNA(INDEX(Cascade!$CH:$CH,MATCH($E15,Cascade!$E:$E,0)),"")</f>
        <v/>
      </c>
      <c r="BD15" s="248" t="str">
        <f>_xlfn.IFNA(INDEX(Cascade!$CK:$CK,MATCH($E15,Cascade!$E:$E,0)),"")</f>
        <v/>
      </c>
      <c r="BE15" s="248" t="str">
        <f>_xlfn.IFNA(INDEX(Cascade!$CN:$CN,MATCH($E15,Cascade!$E:$E,0)),"")</f>
        <v/>
      </c>
    </row>
  </sheetData>
  <mergeCells count="1">
    <mergeCell ref="A2:B3"/>
  </mergeCells>
  <phoneticPr fontId="27" type="noConversion"/>
  <conditionalFormatting sqref="T1:T1048576">
    <cfRule type="expression" dxfId="146" priority="45">
      <formula>AND(ISNUMBER($T1),ROUND($T1,2)&lt;&gt;0)</formula>
    </cfRule>
  </conditionalFormatting>
  <conditionalFormatting sqref="AL1:AL1048576 AU1:AU1048576">
    <cfRule type="expression" dxfId="145" priority="22">
      <formula>AND(ISNUMBER(AL1),ROUND(AL1,2)&lt;0.95)</formula>
    </cfRule>
  </conditionalFormatting>
  <conditionalFormatting sqref="AA1:AA1048576">
    <cfRule type="expression" dxfId="144" priority="47">
      <formula>AND(ISNUMBER(AA1),ROUND(AA1,2)&gt;=0.75)</formula>
    </cfRule>
  </conditionalFormatting>
  <conditionalFormatting sqref="Y1:Y1048576">
    <cfRule type="expression" dxfId="143" priority="13">
      <formula>AND(ISNUMBER($Y1),$Y1&lt;100%)</formula>
    </cfRule>
  </conditionalFormatting>
  <conditionalFormatting sqref="AY1:BE1048576">
    <cfRule type="expression" dxfId="142" priority="15">
      <formula>AND(ROW($BE1)&gt;14,ROUND($BE1,2)&lt;0)</formula>
    </cfRule>
  </conditionalFormatting>
  <conditionalFormatting sqref="AC1:AC1048576">
    <cfRule type="expression" dxfId="141" priority="2">
      <formula>AND(ROW($AA1)&gt;14,SUM($AD1)&gt;0,SUM($AA1)&lt;=0)</formula>
    </cfRule>
    <cfRule type="expression" dxfId="140" priority="3">
      <formula>AND(ROW($AC1)&gt;14,SUM($AD1)&gt;0,SUM($AC1)&lt;=0)</formula>
    </cfRule>
    <cfRule type="expression" dxfId="139" priority="12">
      <formula>AND(ROW($AC1)&gt;14,ROUND($AC1,2)&gt;10%)</formula>
    </cfRule>
  </conditionalFormatting>
  <conditionalFormatting sqref="U1:U1048576 X1:X1048576">
    <cfRule type="expression" dxfId="138" priority="1281">
      <formula>AND(ROW($U1)&gt;14,ISNUMBER($U1),$S1&gt;$L1)</formula>
    </cfRule>
  </conditionalFormatting>
  <conditionalFormatting sqref="F1:R1048576 V1:X1048576 AH1:AK1048576 AO1:AQ1048576">
    <cfRule type="expression" dxfId="137" priority="2177">
      <formula>AND(ROW(F1)&gt;14,LEFT(A1,4)="_Mil")</formula>
    </cfRule>
  </conditionalFormatting>
  <conditionalFormatting sqref="H1:H1048576 J1:K1048576 V1:W1048576 Y1:AC1048576 AL1:AL1048576 AS1:AU1048576 BA1:BE1048576">
    <cfRule type="expression" dxfId="136" priority="6">
      <formula>AND(ISNUMBER(H1),OR(ROUND(H1,2)&lt;0,ROUND(H1,2)&gt;1))</formula>
    </cfRule>
  </conditionalFormatting>
  <conditionalFormatting sqref="F1:G1048576 I1:I1048576 L1:S1048576 U1:U1048576 X1:X1048576 AD1:AK1048576 AM1:AR1048576 AV1:AZ1048576">
    <cfRule type="expression" dxfId="135" priority="5">
      <formula>AND(ISNUMBER(F1),ROUND(F1,0)&lt;0)</formula>
    </cfRule>
  </conditionalFormatting>
  <conditionalFormatting sqref="AT1:AT1048576">
    <cfRule type="expression" dxfId="134" priority="4">
      <formula>AND(ROW($AT1)&gt;14,SUM($AR1)&gt;0,SUM($AT1)&lt;=0)</formula>
    </cfRule>
  </conditionalFormatting>
  <conditionalFormatting sqref="W1:W1048576">
    <cfRule type="expression" dxfId="133"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customWidth="1"/>
    <col min="3" max="3" width="11.83203125" style="295" customWidth="1"/>
    <col min="4" max="5" width="11.83203125" style="294" customWidth="1"/>
    <col min="6" max="7" width="11.83203125" style="72" customWidth="1"/>
    <col min="8" max="11" width="11.83203125" style="294" customWidth="1"/>
    <col min="12" max="12" width="11.83203125" style="72" customWidth="1"/>
    <col min="13" max="13" width="11.83203125" style="294" customWidth="1"/>
    <col min="14" max="14" width="11.83203125" style="72" customWidth="1"/>
    <col min="15" max="15" width="11.83203125" style="294" customWidth="1"/>
    <col min="16" max="16" width="11.83203125" style="72" customWidth="1"/>
    <col min="17" max="17" width="11.83203125" style="294" customWidth="1"/>
    <col min="18" max="18" width="11.83203125" style="72" customWidth="1"/>
    <col min="19" max="19" width="11.83203125" style="294" customWidth="1"/>
    <col min="20" max="20" width="11.83203125" style="72" customWidth="1"/>
    <col min="21" max="21" width="11.83203125" style="294" customWidth="1"/>
    <col min="22" max="22" width="11.83203125" style="72" customWidth="1"/>
  </cols>
  <sheetData>
    <row r="1" spans="1:22" s="57" customFormat="1" ht="31" customHeight="1" x14ac:dyDescent="0.3">
      <c r="A1" s="5" t="s">
        <v>34</v>
      </c>
      <c r="B1" s="5"/>
      <c r="C1" s="67" t="s">
        <v>50</v>
      </c>
      <c r="D1" s="45"/>
      <c r="E1" s="43"/>
      <c r="F1" s="67"/>
      <c r="G1" s="67"/>
      <c r="H1" s="244" t="s">
        <v>69</v>
      </c>
      <c r="I1" s="244"/>
      <c r="J1" s="244"/>
      <c r="K1" s="45"/>
      <c r="L1" s="80"/>
      <c r="M1" s="45"/>
      <c r="N1" s="80"/>
      <c r="O1" s="45"/>
      <c r="P1" s="80"/>
      <c r="Q1" s="45"/>
      <c r="R1" s="80"/>
      <c r="S1" s="45"/>
      <c r="T1" s="80"/>
      <c r="U1" s="45"/>
      <c r="V1" s="80"/>
    </row>
    <row r="2" spans="1:22" s="3" customFormat="1" ht="19" x14ac:dyDescent="0.25">
      <c r="A2" s="39"/>
      <c r="B2" s="39"/>
      <c r="C2" s="94" t="s">
        <v>2</v>
      </c>
      <c r="D2" s="34"/>
      <c r="E2" s="34"/>
      <c r="F2" s="81" t="s">
        <v>3</v>
      </c>
      <c r="G2" s="81"/>
      <c r="H2" s="245" t="s">
        <v>2</v>
      </c>
      <c r="I2" s="245"/>
      <c r="J2" s="245"/>
      <c r="K2" s="34"/>
      <c r="L2" s="81"/>
      <c r="M2" s="34"/>
      <c r="N2" s="81"/>
      <c r="O2" s="34"/>
      <c r="P2" s="81"/>
      <c r="Q2" s="34"/>
      <c r="R2" s="81"/>
      <c r="S2" s="34"/>
      <c r="T2" s="81"/>
      <c r="U2" s="34"/>
      <c r="V2" s="81"/>
    </row>
    <row r="3" spans="1:22" s="40" customFormat="1" ht="117" customHeight="1" x14ac:dyDescent="0.2">
      <c r="A3" s="47"/>
      <c r="B3" s="47"/>
      <c r="C3" s="256" t="s">
        <v>1064</v>
      </c>
      <c r="D3" s="48" t="s">
        <v>1065</v>
      </c>
      <c r="E3" s="48" t="s">
        <v>1066</v>
      </c>
      <c r="F3" s="69" t="s">
        <v>991</v>
      </c>
      <c r="G3" s="69" t="s">
        <v>992</v>
      </c>
      <c r="H3" s="401" t="s">
        <v>929</v>
      </c>
      <c r="I3" s="404" t="s">
        <v>930</v>
      </c>
      <c r="J3" s="403" t="s">
        <v>931</v>
      </c>
      <c r="K3" s="414" t="s">
        <v>932</v>
      </c>
      <c r="L3" s="413" t="s">
        <v>994</v>
      </c>
      <c r="M3" s="414" t="s">
        <v>842</v>
      </c>
      <c r="N3" s="70" t="s">
        <v>997</v>
      </c>
      <c r="O3" s="414" t="s">
        <v>993</v>
      </c>
      <c r="P3" s="70" t="s">
        <v>998</v>
      </c>
      <c r="Q3" s="404" t="s">
        <v>1150</v>
      </c>
      <c r="R3" s="344" t="s">
        <v>1153</v>
      </c>
      <c r="S3" s="404" t="s">
        <v>1152</v>
      </c>
      <c r="T3" s="70" t="s">
        <v>995</v>
      </c>
      <c r="U3" s="404" t="s">
        <v>1151</v>
      </c>
      <c r="V3" s="70" t="s">
        <v>996</v>
      </c>
    </row>
    <row r="4" spans="1:22" s="40" customFormat="1" x14ac:dyDescent="0.2">
      <c r="A4" s="49"/>
      <c r="B4" s="49" t="s">
        <v>4</v>
      </c>
      <c r="C4" s="135">
        <f>SUBTOTAL(109,C$15:INDEX(C:C,COUNTA($B:$B)+14-COUNTA($B$1:$B$14)))</f>
        <v>0</v>
      </c>
      <c r="D4" s="50" t="str">
        <f>IF(SUM($C4)=0,"",SUM($F4)/$C4)</f>
        <v/>
      </c>
      <c r="E4" s="50" t="str">
        <f>IF(SUM($C4)=0,"",SUM($F4,$G4)/$C4)</f>
        <v/>
      </c>
      <c r="F4" s="71">
        <f>SUBTOTAL(109,F$15:INDEX(F:F,COUNTA($B:$B)+14-COUNTA($B$1:$B$14)))</f>
        <v>0</v>
      </c>
      <c r="G4" s="71">
        <f>SUBTOTAL(109,G$15:INDEX(G:G,COUNTA($B:$B)+14-COUNTA($B$1:$B$14)))</f>
        <v>0</v>
      </c>
      <c r="H4" s="160"/>
      <c r="I4" s="247"/>
      <c r="J4" s="247"/>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1" t="s">
        <v>99</v>
      </c>
      <c r="I5" s="248" t="s">
        <v>99</v>
      </c>
      <c r="J5" s="248" t="s">
        <v>99</v>
      </c>
      <c r="K5" s="36" t="s">
        <v>99</v>
      </c>
      <c r="L5" s="72" t="s">
        <v>99</v>
      </c>
      <c r="M5" s="36" t="s">
        <v>99</v>
      </c>
      <c r="N5" s="72" t="s">
        <v>99</v>
      </c>
      <c r="O5" s="36" t="s">
        <v>99</v>
      </c>
      <c r="P5" s="72" t="s">
        <v>99</v>
      </c>
      <c r="Q5" s="303" t="s">
        <v>99</v>
      </c>
      <c r="R5" s="345" t="s">
        <v>99</v>
      </c>
      <c r="S5" s="303" t="s">
        <v>99</v>
      </c>
      <c r="T5" s="72" t="s">
        <v>99</v>
      </c>
      <c r="U5" s="303" t="s">
        <v>99</v>
      </c>
      <c r="V5" s="72" t="s">
        <v>99</v>
      </c>
    </row>
    <row r="6" spans="1:22" s="40" customFormat="1" x14ac:dyDescent="0.2">
      <c r="A6" s="42" t="s">
        <v>201</v>
      </c>
      <c r="B6" s="42" t="s">
        <v>201</v>
      </c>
      <c r="C6" s="75" t="s">
        <v>94</v>
      </c>
      <c r="D6" s="51" t="s">
        <v>113</v>
      </c>
      <c r="E6" s="51" t="s">
        <v>113</v>
      </c>
      <c r="F6" s="72" t="s">
        <v>93</v>
      </c>
      <c r="G6" s="72" t="s">
        <v>93</v>
      </c>
      <c r="H6" s="161" t="s">
        <v>112</v>
      </c>
      <c r="I6" s="248" t="s">
        <v>113</v>
      </c>
      <c r="J6" s="248" t="s">
        <v>112</v>
      </c>
      <c r="K6" s="36" t="s">
        <v>113</v>
      </c>
      <c r="L6" s="72" t="s">
        <v>94</v>
      </c>
      <c r="M6" s="36" t="s">
        <v>113</v>
      </c>
      <c r="N6" s="72" t="s">
        <v>94</v>
      </c>
      <c r="O6" s="36" t="s">
        <v>113</v>
      </c>
      <c r="P6" s="72" t="s">
        <v>94</v>
      </c>
      <c r="Q6" s="303" t="s">
        <v>113</v>
      </c>
      <c r="R6" s="345" t="s">
        <v>94</v>
      </c>
      <c r="S6" s="303" t="s">
        <v>113</v>
      </c>
      <c r="T6" s="72" t="s">
        <v>94</v>
      </c>
      <c r="U6" s="303" t="s">
        <v>113</v>
      </c>
      <c r="V6" s="72" t="s">
        <v>94</v>
      </c>
    </row>
    <row r="7" spans="1:22" s="40" customFormat="1" x14ac:dyDescent="0.2">
      <c r="A7" s="42" t="s">
        <v>109</v>
      </c>
      <c r="B7" s="42" t="s">
        <v>109</v>
      </c>
      <c r="C7" s="75" t="s">
        <v>95</v>
      </c>
      <c r="D7" s="51" t="s">
        <v>96</v>
      </c>
      <c r="E7" s="51" t="s">
        <v>96</v>
      </c>
      <c r="F7" s="72" t="s">
        <v>95</v>
      </c>
      <c r="G7" s="72" t="s">
        <v>95</v>
      </c>
      <c r="H7" s="161" t="s">
        <v>96</v>
      </c>
      <c r="I7" s="248" t="s">
        <v>96</v>
      </c>
      <c r="J7" s="248" t="s">
        <v>96</v>
      </c>
      <c r="K7" s="36" t="s">
        <v>96</v>
      </c>
      <c r="L7" s="72" t="s">
        <v>95</v>
      </c>
      <c r="M7" s="36" t="s">
        <v>96</v>
      </c>
      <c r="N7" s="72" t="s">
        <v>95</v>
      </c>
      <c r="O7" s="36" t="s">
        <v>96</v>
      </c>
      <c r="P7" s="72" t="s">
        <v>95</v>
      </c>
      <c r="Q7" s="303" t="s">
        <v>96</v>
      </c>
      <c r="R7" s="345" t="s">
        <v>95</v>
      </c>
      <c r="S7" s="303" t="s">
        <v>96</v>
      </c>
      <c r="T7" s="72" t="s">
        <v>95</v>
      </c>
      <c r="U7" s="303" t="s">
        <v>96</v>
      </c>
      <c r="V7" s="72" t="s">
        <v>95</v>
      </c>
    </row>
    <row r="8" spans="1:22" s="40" customFormat="1" x14ac:dyDescent="0.2">
      <c r="A8" s="42"/>
      <c r="B8" s="42"/>
      <c r="C8" s="75"/>
      <c r="D8" s="51"/>
      <c r="E8" s="51"/>
      <c r="F8" s="309" t="s">
        <v>123</v>
      </c>
      <c r="G8" s="309" t="s">
        <v>123</v>
      </c>
      <c r="H8" s="161"/>
      <c r="I8" s="248"/>
      <c r="J8" s="248"/>
      <c r="K8" s="36"/>
      <c r="L8" s="72"/>
      <c r="M8" s="36"/>
      <c r="N8" s="72"/>
      <c r="O8" s="36"/>
      <c r="P8" s="72"/>
      <c r="Q8" s="36"/>
      <c r="R8" s="84"/>
      <c r="S8" s="36"/>
      <c r="T8" s="72"/>
      <c r="U8" s="36"/>
      <c r="V8" s="72"/>
    </row>
    <row r="9" spans="1:22" s="40" customFormat="1" x14ac:dyDescent="0.2">
      <c r="A9" s="42"/>
      <c r="B9" s="42"/>
      <c r="C9" s="75"/>
      <c r="D9" s="51"/>
      <c r="E9" s="51"/>
      <c r="F9" s="309" t="s">
        <v>124</v>
      </c>
      <c r="G9" s="309" t="s">
        <v>124</v>
      </c>
      <c r="H9" s="161"/>
      <c r="I9" s="248"/>
      <c r="J9" s="248"/>
      <c r="K9" s="36"/>
      <c r="L9" s="72"/>
      <c r="M9" s="36"/>
      <c r="N9" s="72"/>
      <c r="O9" s="36"/>
      <c r="P9" s="72"/>
      <c r="Q9" s="36"/>
      <c r="R9" s="84"/>
      <c r="S9" s="36"/>
      <c r="T9" s="72"/>
      <c r="U9" s="36"/>
      <c r="V9" s="72"/>
    </row>
    <row r="10" spans="1:22" s="40" customFormat="1" x14ac:dyDescent="0.2">
      <c r="A10" s="42"/>
      <c r="B10" s="42"/>
      <c r="C10" s="75"/>
      <c r="D10" s="51"/>
      <c r="E10" s="51"/>
      <c r="F10" s="309" t="s">
        <v>125</v>
      </c>
      <c r="G10" s="309" t="s">
        <v>126</v>
      </c>
      <c r="H10" s="161"/>
      <c r="I10" s="248"/>
      <c r="J10" s="248"/>
      <c r="K10" s="36"/>
      <c r="L10" s="72"/>
      <c r="M10" s="36"/>
      <c r="N10" s="72"/>
      <c r="O10" s="36"/>
      <c r="P10" s="72"/>
      <c r="Q10" s="36"/>
      <c r="R10" s="84"/>
      <c r="S10" s="36"/>
      <c r="T10" s="72"/>
      <c r="U10" s="36"/>
      <c r="V10" s="72"/>
    </row>
    <row r="11" spans="1:22" s="40" customFormat="1" x14ac:dyDescent="0.2">
      <c r="A11" s="42"/>
      <c r="B11" s="42"/>
      <c r="C11" s="75"/>
      <c r="D11" s="51"/>
      <c r="E11" s="51"/>
      <c r="F11" s="72"/>
      <c r="G11" s="72"/>
      <c r="H11" s="161"/>
      <c r="I11" s="248"/>
      <c r="J11" s="248"/>
      <c r="K11" s="36"/>
      <c r="L11" s="72"/>
      <c r="M11" s="36"/>
      <c r="N11" s="72"/>
      <c r="O11" s="36"/>
      <c r="P11" s="72"/>
      <c r="Q11" s="36"/>
      <c r="R11" s="84"/>
      <c r="S11" s="36"/>
      <c r="T11" s="72"/>
      <c r="U11" s="36"/>
      <c r="V11" s="72"/>
    </row>
    <row r="12" spans="1:22" s="40" customFormat="1" x14ac:dyDescent="0.2">
      <c r="A12" s="42"/>
      <c r="B12" s="42"/>
      <c r="C12" s="75"/>
      <c r="D12" s="51"/>
      <c r="E12" s="51"/>
      <c r="F12" s="72"/>
      <c r="G12" s="72"/>
      <c r="H12" s="161"/>
      <c r="I12" s="248"/>
      <c r="J12" s="248"/>
      <c r="K12" s="36"/>
      <c r="L12" s="72"/>
      <c r="M12" s="36"/>
      <c r="N12" s="72"/>
      <c r="O12" s="36"/>
      <c r="P12" s="72"/>
      <c r="Q12" s="36"/>
      <c r="R12" s="84"/>
      <c r="S12" s="36"/>
      <c r="T12" s="72"/>
      <c r="U12" s="36"/>
      <c r="V12" s="72"/>
    </row>
    <row r="13" spans="1:22" s="40" customFormat="1" x14ac:dyDescent="0.2">
      <c r="A13" s="42"/>
      <c r="B13" s="42"/>
      <c r="C13" s="75"/>
      <c r="D13" s="51"/>
      <c r="E13" s="51"/>
      <c r="F13" s="72"/>
      <c r="G13" s="72"/>
      <c r="H13" s="161"/>
      <c r="I13" s="248"/>
      <c r="J13" s="248"/>
      <c r="K13" s="36"/>
      <c r="L13" s="72"/>
      <c r="M13" s="36"/>
      <c r="N13" s="72"/>
      <c r="O13" s="36"/>
      <c r="P13" s="72"/>
      <c r="Q13" s="36"/>
      <c r="R13" s="84"/>
      <c r="S13" s="36"/>
      <c r="T13" s="72"/>
      <c r="U13" s="36"/>
      <c r="V13" s="72"/>
    </row>
    <row r="14" spans="1:22" s="40" customFormat="1" x14ac:dyDescent="0.2">
      <c r="A14" s="52" t="s">
        <v>587</v>
      </c>
      <c r="B14" s="52" t="s">
        <v>5</v>
      </c>
      <c r="C14" s="92" t="s">
        <v>520</v>
      </c>
      <c r="D14" s="209" t="s">
        <v>521</v>
      </c>
      <c r="E14" s="209" t="s">
        <v>522</v>
      </c>
      <c r="F14" s="172" t="s">
        <v>325</v>
      </c>
      <c r="G14" s="172" t="s">
        <v>326</v>
      </c>
      <c r="H14" s="355" t="s">
        <v>715</v>
      </c>
      <c r="I14" s="249" t="s">
        <v>523</v>
      </c>
      <c r="J14" s="249" t="s">
        <v>716</v>
      </c>
      <c r="K14" s="209" t="s">
        <v>524</v>
      </c>
      <c r="L14" s="172" t="s">
        <v>526</v>
      </c>
      <c r="M14" s="209" t="s">
        <v>525</v>
      </c>
      <c r="N14" s="343" t="s">
        <v>527</v>
      </c>
      <c r="O14" s="209" t="s">
        <v>999</v>
      </c>
      <c r="P14" s="343" t="s">
        <v>978</v>
      </c>
      <c r="Q14" s="209" t="s">
        <v>1002</v>
      </c>
      <c r="R14" s="172" t="s">
        <v>1154</v>
      </c>
      <c r="S14" s="209" t="s">
        <v>1001</v>
      </c>
      <c r="T14" s="343" t="s">
        <v>980</v>
      </c>
      <c r="U14" s="209" t="s">
        <v>1000</v>
      </c>
      <c r="V14" s="343" t="s">
        <v>979</v>
      </c>
    </row>
    <row r="15" spans="1:22" s="40" customFormat="1" x14ac:dyDescent="0.2">
      <c r="A15" s="53"/>
      <c r="B15" s="53"/>
      <c r="C15" s="79" t="str">
        <f>IFERROR(1/(1/SUMIF(PMTCT!$B:$B,$B15,PMTCT!$AY:$AY)),"")</f>
        <v/>
      </c>
      <c r="D15" s="36">
        <v>0.95</v>
      </c>
      <c r="E15" s="36">
        <f>MAX(95%,SUM($D15))</f>
        <v>0.95</v>
      </c>
      <c r="F15" s="72">
        <f>ROUND(SUM($C15)*$D15,0)</f>
        <v>0</v>
      </c>
      <c r="G15" s="72">
        <f>ROUND(SUM($C15)*$E15,0)-SUM($F15)</f>
        <v>0</v>
      </c>
      <c r="H15" s="161"/>
      <c r="I15" s="248" t="str">
        <f>IF(OR(SUM($H15)=0,SUM($F15)=0),"",$H15)</f>
        <v/>
      </c>
      <c r="J15" s="248"/>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132" priority="23">
      <formula>AND(ISNUMBER(E1),ROUND(E1,2)&lt;0.95)</formula>
    </cfRule>
  </conditionalFormatting>
  <conditionalFormatting sqref="D1:D1048576">
    <cfRule type="expression" dxfId="131" priority="22">
      <formula>AND(ISNUMBER(D1),ROUND(D1,2)&lt;0.8)</formula>
    </cfRule>
  </conditionalFormatting>
  <conditionalFormatting sqref="D1:E1048576 H1:K1048576 M1:M1048576 O1:O1048576 Q1:Q1048576 S1:S1048576 U1:U1048576">
    <cfRule type="expression" dxfId="130" priority="5">
      <formula>AND(ISNUMBER(D1),OR(ROUND(D1,2)&gt;1,ROUND(D1,2)&lt;0))</formula>
    </cfRule>
  </conditionalFormatting>
  <conditionalFormatting sqref="K1:K1048576">
    <cfRule type="expression" dxfId="129" priority="1267">
      <formula>AND(SUM(G1)&gt;0,SUM(K1)=0)</formula>
    </cfRule>
  </conditionalFormatting>
  <conditionalFormatting sqref="I1:I1048576">
    <cfRule type="expression" dxfId="128" priority="2151">
      <formula>AND(SUM(F1)&gt;0,SUM(I1)=0)</formula>
    </cfRule>
  </conditionalFormatting>
  <conditionalFormatting sqref="D1:E1048576">
    <cfRule type="expression" dxfId="127" priority="13">
      <formula>AND(ISNUMBER($D1),ROUND($E1,2)&lt;ROUND($D1,2))</formula>
    </cfRule>
  </conditionalFormatting>
  <conditionalFormatting sqref="C1:C1048576 F1:G1048576 L1:L1048576 N1:N1048576 P1:P1048576 R1:R1048576 T1:T1048576 V1:V1048576">
    <cfRule type="expression" dxfId="126" priority="4">
      <formula>AND(ISNUMBER(C1),C1&lt;0)</formula>
    </cfRule>
  </conditionalFormatting>
  <conditionalFormatting sqref="O1:O1048576">
    <cfRule type="expression" dxfId="125" priority="3">
      <formula>AND(ISNUMBER(O1),ROUND(O1,2)&lt;98%)</formula>
    </cfRule>
  </conditionalFormatting>
  <conditionalFormatting sqref="Q1:Q1048576">
    <cfRule type="expression" dxfId="124" priority="2">
      <formula>AND(ISNUMBER(Q1),ROUND(Q1,2)&lt;70%)</formula>
    </cfRule>
  </conditionalFormatting>
  <conditionalFormatting sqref="S1:S1048576">
    <cfRule type="expression" dxfId="123"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activeCell="G1" sqref="G1:G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2" customWidth="1"/>
    <col min="10" max="14" width="11.83203125" style="248" customWidth="1"/>
    <col min="15" max="18" width="11.83203125" style="72" customWidth="1"/>
    <col min="19" max="19" width="11.83203125" style="161" customWidth="1"/>
    <col min="20" max="20" width="11.83203125" style="104" customWidth="1"/>
    <col min="21" max="21" width="11.83203125" style="72" customWidth="1"/>
    <col min="22" max="22" width="11.83203125" style="98"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0" t="s">
        <v>17</v>
      </c>
      <c r="J1" s="244"/>
      <c r="K1" s="244"/>
      <c r="L1" s="244"/>
      <c r="M1" s="244"/>
      <c r="N1" s="244"/>
      <c r="O1" s="67"/>
      <c r="P1" s="67"/>
      <c r="Q1" s="67"/>
      <c r="R1" s="67"/>
      <c r="S1" s="242" t="s">
        <v>18</v>
      </c>
      <c r="T1" s="130"/>
      <c r="U1" s="67"/>
      <c r="V1" s="107" t="s">
        <v>589</v>
      </c>
      <c r="W1" s="35"/>
      <c r="X1" s="35"/>
      <c r="Y1" s="35"/>
      <c r="Z1" s="35"/>
      <c r="AA1" s="35"/>
      <c r="AB1" s="35"/>
    </row>
    <row r="2" spans="1:28" s="56" customFormat="1" ht="20" customHeight="1" x14ac:dyDescent="0.25">
      <c r="A2" s="479" t="s">
        <v>812</v>
      </c>
      <c r="B2" s="476"/>
      <c r="C2" s="2"/>
      <c r="D2" s="2"/>
      <c r="E2" s="2"/>
      <c r="F2" s="73" t="s">
        <v>74</v>
      </c>
      <c r="G2" s="34" t="s">
        <v>2</v>
      </c>
      <c r="H2" s="68" t="s">
        <v>3</v>
      </c>
      <c r="I2" s="111" t="s">
        <v>74</v>
      </c>
      <c r="J2" s="245" t="s">
        <v>2</v>
      </c>
      <c r="K2" s="245"/>
      <c r="L2" s="245"/>
      <c r="M2" s="245"/>
      <c r="N2" s="245"/>
      <c r="O2" s="68" t="s">
        <v>3</v>
      </c>
      <c r="P2" s="68"/>
      <c r="Q2" s="68"/>
      <c r="R2" s="68"/>
      <c r="S2" s="243" t="s">
        <v>2</v>
      </c>
      <c r="T2" s="131" t="s">
        <v>3</v>
      </c>
      <c r="U2" s="68"/>
      <c r="V2" s="108" t="s">
        <v>59</v>
      </c>
      <c r="W2" s="34"/>
      <c r="X2" s="34"/>
      <c r="Y2" s="34"/>
      <c r="Z2" s="34"/>
      <c r="AA2" s="34"/>
      <c r="AB2" s="34"/>
    </row>
    <row r="3" spans="1:28" ht="117" customHeight="1" thickBot="1" x14ac:dyDescent="0.25">
      <c r="A3" s="477"/>
      <c r="B3" s="478"/>
      <c r="C3" s="47"/>
      <c r="D3" s="47"/>
      <c r="E3" s="47"/>
      <c r="F3" s="137" t="s">
        <v>865</v>
      </c>
      <c r="G3" s="48" t="s">
        <v>726</v>
      </c>
      <c r="H3" s="69" t="s">
        <v>813</v>
      </c>
      <c r="I3" s="136" t="s">
        <v>1039</v>
      </c>
      <c r="J3" s="354" t="s">
        <v>814</v>
      </c>
      <c r="K3" s="246" t="s">
        <v>1040</v>
      </c>
      <c r="L3" s="354" t="s">
        <v>1003</v>
      </c>
      <c r="M3" s="246" t="s">
        <v>1166</v>
      </c>
      <c r="N3" s="354" t="s">
        <v>1165</v>
      </c>
      <c r="O3" s="121" t="s">
        <v>277</v>
      </c>
      <c r="P3" s="69" t="s">
        <v>28</v>
      </c>
      <c r="Q3" s="70" t="s">
        <v>29</v>
      </c>
      <c r="R3" s="69" t="s">
        <v>27</v>
      </c>
      <c r="S3" s="353" t="s">
        <v>842</v>
      </c>
      <c r="T3" s="158" t="s">
        <v>33</v>
      </c>
      <c r="U3" s="69" t="s">
        <v>32</v>
      </c>
      <c r="V3" s="255" t="s">
        <v>803</v>
      </c>
      <c r="W3" s="258" t="s">
        <v>807</v>
      </c>
      <c r="X3" s="258" t="s">
        <v>806</v>
      </c>
      <c r="Y3" s="258" t="s">
        <v>815</v>
      </c>
      <c r="Z3" s="258" t="s">
        <v>816</v>
      </c>
      <c r="AA3" s="258" t="s">
        <v>817</v>
      </c>
      <c r="AB3" s="258" t="s">
        <v>808</v>
      </c>
    </row>
    <row r="4" spans="1:28" x14ac:dyDescent="0.2">
      <c r="A4" s="49"/>
      <c r="B4" s="49"/>
      <c r="C4" s="49"/>
      <c r="D4" s="49" t="s">
        <v>4</v>
      </c>
      <c r="E4" s="49"/>
      <c r="F4" s="74">
        <f>SUBTOTAL(109,F$15:INDEX(F:F,COUNTA($B:$B)+14-COUNTA($B$1:$B$14)))</f>
        <v>0</v>
      </c>
      <c r="G4" s="50" t="str">
        <f>IF(SUM($F$4)=0,"",SUM($H$4)/SUM($F$4)-1)</f>
        <v/>
      </c>
      <c r="H4" s="71">
        <f>SUBTOTAL(109,H$15:INDEX(H:H,COUNTA($B:$B)+14-COUNTA($B$1:$B$14)))</f>
        <v>0</v>
      </c>
      <c r="I4" s="120">
        <f>SUBTOTAL(109,I$15:INDEX(I:I,COUNTA($B:$B)+14-COUNTA($B$1:$B$14)))</f>
        <v>0</v>
      </c>
      <c r="J4" s="247" t="str">
        <f>IF(SUM($H$4)=0,"",SUM($O$4)/$H$4)</f>
        <v/>
      </c>
      <c r="K4" s="247"/>
      <c r="L4" s="247" t="str">
        <f>IF(SUM($O$4)=0,"",SUM($P$4)/$O$4)</f>
        <v/>
      </c>
      <c r="M4" s="247"/>
      <c r="N4" s="247"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0" t="str">
        <f>IF(SUM($Q$4)=0,"",SUM($U$4)/$Q$4)</f>
        <v/>
      </c>
      <c r="T4" s="175">
        <f>SUBTOTAL(109,T$15:INDEX(T:T,COUNTA($B:$B)+14-COUNTA($B$1:$B$14)))</f>
        <v>0</v>
      </c>
      <c r="U4" s="71">
        <f>SUBTOTAL(109,U$15:INDEX(U:U,COUNTA($B:$B)+14-COUNTA($B$1:$B$14)))</f>
        <v>0</v>
      </c>
      <c r="V4" s="109">
        <f>SUBTOTAL(109,V$15:INDEX(V:V,COUNTA($B:$B)+14-COUNTA($B$1:$B$14)))</f>
        <v>0</v>
      </c>
      <c r="W4" s="50" t="e">
        <f>$Q$4/$V$4</f>
        <v>#DIV/0!</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2" t="s">
        <v>110</v>
      </c>
      <c r="J5" s="248" t="s">
        <v>99</v>
      </c>
      <c r="K5" s="248" t="s">
        <v>99</v>
      </c>
      <c r="L5" s="248" t="s">
        <v>99</v>
      </c>
      <c r="M5" s="248" t="s">
        <v>99</v>
      </c>
      <c r="N5" s="248" t="s">
        <v>99</v>
      </c>
      <c r="O5" s="72" t="s">
        <v>99</v>
      </c>
      <c r="P5" s="72" t="s">
        <v>110</v>
      </c>
      <c r="Q5" s="72" t="s">
        <v>110</v>
      </c>
      <c r="R5" s="72" t="s">
        <v>110</v>
      </c>
      <c r="S5" s="161" t="s">
        <v>99</v>
      </c>
      <c r="T5" s="104" t="s">
        <v>110</v>
      </c>
      <c r="U5" s="72" t="s">
        <v>110</v>
      </c>
      <c r="V5" s="98"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2" t="s">
        <v>111</v>
      </c>
      <c r="J6" s="248" t="s">
        <v>113</v>
      </c>
      <c r="K6" s="248" t="s">
        <v>112</v>
      </c>
      <c r="L6" s="248" t="s">
        <v>113</v>
      </c>
      <c r="M6" s="248" t="s">
        <v>112</v>
      </c>
      <c r="N6" s="248" t="s">
        <v>113</v>
      </c>
      <c r="O6" s="72" t="s">
        <v>94</v>
      </c>
      <c r="P6" s="72" t="s">
        <v>93</v>
      </c>
      <c r="Q6" s="72" t="s">
        <v>93</v>
      </c>
      <c r="R6" s="72" t="s">
        <v>93</v>
      </c>
      <c r="S6" s="161" t="s">
        <v>94</v>
      </c>
      <c r="T6" s="104" t="s">
        <v>93</v>
      </c>
      <c r="U6" s="72" t="s">
        <v>93</v>
      </c>
      <c r="V6" s="98"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2" t="s">
        <v>95</v>
      </c>
      <c r="J7" s="248" t="s">
        <v>96</v>
      </c>
      <c r="K7" s="248" t="s">
        <v>96</v>
      </c>
      <c r="L7" s="248" t="s">
        <v>96</v>
      </c>
      <c r="M7" s="248" t="s">
        <v>96</v>
      </c>
      <c r="N7" s="248" t="s">
        <v>96</v>
      </c>
      <c r="O7" s="72" t="s">
        <v>95</v>
      </c>
      <c r="P7" s="72" t="s">
        <v>95</v>
      </c>
      <c r="Q7" s="72" t="s">
        <v>95</v>
      </c>
      <c r="R7" s="72" t="s">
        <v>95</v>
      </c>
      <c r="S7" s="161" t="s">
        <v>96</v>
      </c>
      <c r="T7" s="104" t="s">
        <v>95</v>
      </c>
      <c r="U7" s="72" t="s">
        <v>95</v>
      </c>
      <c r="V7" s="98" t="s">
        <v>95</v>
      </c>
      <c r="W7" s="36" t="s">
        <v>96</v>
      </c>
      <c r="X7" s="36" t="s">
        <v>96</v>
      </c>
      <c r="Y7" s="36" t="s">
        <v>96</v>
      </c>
      <c r="Z7" s="36" t="s">
        <v>96</v>
      </c>
      <c r="AA7" s="36" t="s">
        <v>96</v>
      </c>
      <c r="AB7" s="36" t="s">
        <v>96</v>
      </c>
    </row>
    <row r="8" spans="1:28" x14ac:dyDescent="0.2">
      <c r="F8" s="312" t="s">
        <v>127</v>
      </c>
      <c r="H8" s="309" t="s">
        <v>127</v>
      </c>
      <c r="I8" s="316" t="s">
        <v>129</v>
      </c>
      <c r="P8" s="309" t="s">
        <v>129</v>
      </c>
      <c r="Q8" s="309" t="s">
        <v>129</v>
      </c>
      <c r="R8" s="309" t="s">
        <v>129</v>
      </c>
      <c r="S8" s="331"/>
      <c r="T8" s="310" t="s">
        <v>265</v>
      </c>
      <c r="U8" s="309" t="s">
        <v>265</v>
      </c>
      <c r="V8" s="213"/>
      <c r="W8" s="332"/>
      <c r="X8" s="332"/>
      <c r="Y8" s="332"/>
      <c r="Z8" s="332"/>
      <c r="AA8" s="332"/>
      <c r="AB8" s="332"/>
    </row>
    <row r="9" spans="1:28" x14ac:dyDescent="0.2">
      <c r="F9" s="312" t="s">
        <v>128</v>
      </c>
      <c r="H9" s="309" t="s">
        <v>128</v>
      </c>
      <c r="I9" s="316" t="s">
        <v>130</v>
      </c>
      <c r="P9" s="309" t="s">
        <v>130</v>
      </c>
      <c r="Q9" s="309" t="s">
        <v>130</v>
      </c>
      <c r="R9" s="309" t="s">
        <v>130</v>
      </c>
      <c r="S9" s="331"/>
      <c r="T9" s="310" t="s">
        <v>266</v>
      </c>
      <c r="U9" s="309" t="s">
        <v>266</v>
      </c>
      <c r="V9" s="213"/>
      <c r="W9" s="332"/>
      <c r="X9" s="332"/>
      <c r="Y9" s="332"/>
      <c r="Z9" s="332"/>
      <c r="AA9" s="332"/>
      <c r="AB9" s="332"/>
    </row>
    <row r="10" spans="1:28" x14ac:dyDescent="0.2">
      <c r="F10" s="312"/>
      <c r="H10" s="309"/>
      <c r="I10" s="316" t="s">
        <v>103</v>
      </c>
      <c r="P10" s="309" t="s">
        <v>102</v>
      </c>
      <c r="Q10" s="309" t="s">
        <v>103</v>
      </c>
      <c r="R10" s="309" t="s">
        <v>104</v>
      </c>
      <c r="T10" s="310" t="s">
        <v>121</v>
      </c>
      <c r="U10" s="309" t="s">
        <v>120</v>
      </c>
    </row>
    <row r="11" spans="1:28" x14ac:dyDescent="0.2">
      <c r="F11" s="75" t="s">
        <v>688</v>
      </c>
      <c r="G11" s="36" t="s">
        <v>688</v>
      </c>
      <c r="H11" s="72" t="s">
        <v>688</v>
      </c>
      <c r="I11" s="112" t="s">
        <v>688</v>
      </c>
      <c r="J11" s="248" t="s">
        <v>688</v>
      </c>
      <c r="K11" s="248" t="s">
        <v>688</v>
      </c>
      <c r="L11" s="248" t="s">
        <v>688</v>
      </c>
      <c r="M11" s="248" t="s">
        <v>688</v>
      </c>
      <c r="N11" s="248" t="s">
        <v>688</v>
      </c>
      <c r="O11" s="72" t="s">
        <v>688</v>
      </c>
      <c r="P11" s="72" t="s">
        <v>688</v>
      </c>
      <c r="Q11" s="72" t="s">
        <v>688</v>
      </c>
      <c r="R11" s="72" t="s">
        <v>688</v>
      </c>
      <c r="S11" s="161" t="s">
        <v>688</v>
      </c>
      <c r="T11" s="104" t="s">
        <v>688</v>
      </c>
      <c r="U11" s="72" t="s">
        <v>688</v>
      </c>
      <c r="V11" s="98" t="s">
        <v>688</v>
      </c>
      <c r="W11" s="36" t="s">
        <v>688</v>
      </c>
      <c r="X11" s="36" t="s">
        <v>688</v>
      </c>
      <c r="Y11" s="36" t="s">
        <v>204</v>
      </c>
      <c r="Z11" s="36" t="s">
        <v>204</v>
      </c>
      <c r="AA11" s="36" t="s">
        <v>206</v>
      </c>
      <c r="AB11" s="36" t="s">
        <v>688</v>
      </c>
    </row>
    <row r="12" spans="1:28" x14ac:dyDescent="0.2">
      <c r="F12" s="75" t="s">
        <v>202</v>
      </c>
      <c r="G12" s="36" t="s">
        <v>202</v>
      </c>
      <c r="H12" s="72" t="s">
        <v>202</v>
      </c>
      <c r="I12" s="112" t="s">
        <v>202</v>
      </c>
      <c r="J12" s="248" t="s">
        <v>202</v>
      </c>
      <c r="K12" s="248" t="s">
        <v>202</v>
      </c>
      <c r="L12" s="248" t="s">
        <v>202</v>
      </c>
      <c r="M12" s="248" t="s">
        <v>202</v>
      </c>
      <c r="N12" s="248" t="s">
        <v>202</v>
      </c>
      <c r="O12" s="72" t="s">
        <v>202</v>
      </c>
      <c r="P12" s="72" t="s">
        <v>202</v>
      </c>
      <c r="Q12" s="72" t="s">
        <v>202</v>
      </c>
      <c r="R12" s="72" t="s">
        <v>202</v>
      </c>
      <c r="S12" s="161" t="s">
        <v>202</v>
      </c>
      <c r="T12" s="104" t="s">
        <v>202</v>
      </c>
      <c r="U12" s="72" t="s">
        <v>202</v>
      </c>
      <c r="V12" s="98" t="s">
        <v>202</v>
      </c>
      <c r="W12" s="36" t="s">
        <v>202</v>
      </c>
      <c r="X12" s="36" t="s">
        <v>202</v>
      </c>
      <c r="Y12" s="36" t="s">
        <v>689</v>
      </c>
      <c r="Z12" s="36" t="s">
        <v>689</v>
      </c>
      <c r="AA12" s="36" t="s">
        <v>690</v>
      </c>
      <c r="AB12" s="36" t="s">
        <v>202</v>
      </c>
    </row>
    <row r="14" spans="1:28" x14ac:dyDescent="0.2">
      <c r="A14" s="54" t="s">
        <v>587</v>
      </c>
      <c r="B14" s="54" t="s">
        <v>5</v>
      </c>
      <c r="C14" s="54" t="s">
        <v>35</v>
      </c>
      <c r="D14" s="54" t="s">
        <v>6</v>
      </c>
      <c r="E14" s="54" t="s">
        <v>76</v>
      </c>
      <c r="F14" s="92" t="s">
        <v>327</v>
      </c>
      <c r="G14" s="209" t="s">
        <v>528</v>
      </c>
      <c r="H14" s="172" t="s">
        <v>328</v>
      </c>
      <c r="I14" s="174" t="s">
        <v>329</v>
      </c>
      <c r="J14" s="209" t="s">
        <v>529</v>
      </c>
      <c r="K14" s="209" t="s">
        <v>714</v>
      </c>
      <c r="L14" s="209" t="s">
        <v>530</v>
      </c>
      <c r="M14" s="209" t="s">
        <v>713</v>
      </c>
      <c r="N14" s="209" t="s">
        <v>531</v>
      </c>
      <c r="O14" s="172" t="s">
        <v>532</v>
      </c>
      <c r="P14" s="172" t="s">
        <v>330</v>
      </c>
      <c r="Q14" s="172" t="s">
        <v>369</v>
      </c>
      <c r="R14" s="172" t="s">
        <v>370</v>
      </c>
      <c r="S14" s="355" t="s">
        <v>534</v>
      </c>
      <c r="T14" s="212" t="s">
        <v>331</v>
      </c>
      <c r="U14" s="172" t="s">
        <v>319</v>
      </c>
      <c r="V14" s="174" t="s">
        <v>517</v>
      </c>
      <c r="W14" s="209" t="s">
        <v>576</v>
      </c>
      <c r="X14" s="209" t="s">
        <v>574</v>
      </c>
      <c r="Y14" s="209" t="s">
        <v>519</v>
      </c>
      <c r="Z14" s="209" t="s">
        <v>518</v>
      </c>
      <c r="AA14" s="209" t="s">
        <v>577</v>
      </c>
      <c r="AB14" s="209" t="s">
        <v>579</v>
      </c>
    </row>
    <row r="15" spans="1:28" x14ac:dyDescent="0.2">
      <c r="E15" s="42" t="str">
        <f>B15&amp;"|"&amp;C15&amp;"|"&amp;D15</f>
        <v>||</v>
      </c>
      <c r="G15" s="36">
        <v>0</v>
      </c>
      <c r="H15" s="72">
        <f>SUM($F15)*(1+$G15)</f>
        <v>0</v>
      </c>
      <c r="J15" s="248">
        <v>1</v>
      </c>
      <c r="L15" s="248" t="str">
        <f>IF(SUM($K15)=0,"",$K15)</f>
        <v/>
      </c>
      <c r="N15" s="248" t="str">
        <f>IF(SUM($M15)=0,"",$M15)</f>
        <v/>
      </c>
      <c r="O15" s="72">
        <f>ROUND($H15*$J15,0)</f>
        <v>0</v>
      </c>
      <c r="P15" s="72">
        <f>IF(SUM($O15)=0,0,ROUND($O15*$L15,0))</f>
        <v>0</v>
      </c>
      <c r="Q15" s="72">
        <f>IF(SUM($O15)=0,0,ROUND(($O15-$P15)*$N15,0))</f>
        <v>0</v>
      </c>
      <c r="R15" s="72">
        <f>IF(SUM($O15)=0,0,$O15-$P15-$Q15)</f>
        <v>0</v>
      </c>
      <c r="S15" s="161" t="str">
        <f>IF(SUM($Q15)=0,"",IFERROR(1/(1/INDEX(Cascade!$BC:$BC,MATCH($E15,Cascade!$E:$E,0))),""))</f>
        <v/>
      </c>
      <c r="T15" s="104">
        <f>$P15</f>
        <v>0</v>
      </c>
      <c r="U15" s="72">
        <f>IF(SUM($Q15)=0,0,ROUND($Q15*$S15,0))</f>
        <v>0</v>
      </c>
      <c r="V15" s="98" t="str">
        <f>_xlfn.IFNA(INDEX(Cascade!$BZ:$BZ,MATCH($E15,Cascade!$E:$E,0)),"")</f>
        <v/>
      </c>
      <c r="W15" s="36" t="str">
        <f>IF(SUM($Q15)=0,"",$Q15/$V15)</f>
        <v/>
      </c>
      <c r="X15" s="36" t="str">
        <f>_xlfn.IFNA(INDEX(Cascade!$CH:$CH,MATCH($E15,Cascade!$E:$E,0)),"")</f>
        <v/>
      </c>
      <c r="Y15" s="36" t="str">
        <f>_xlfn.IFNA(INDEX(Cascade!$CI:$CI,MATCH($E15,Cascade!$E:$E,0)),"")</f>
        <v/>
      </c>
      <c r="Z15" s="36" t="str">
        <f>_xlfn.IFNA(INDEX(Cascade!$CJ:$CJ,MATCH($E15,Cascade!$E:$E,0)),"")</f>
        <v/>
      </c>
      <c r="AA15" s="36" t="str">
        <f>_xlfn.IFNA(INDEX(Cascade!$CL:$CL,MATCH($E15,Cascade!$E:$E,0)),"")</f>
        <v/>
      </c>
      <c r="AB15" s="36" t="str">
        <f>_xlfn.IFNA(INDEX(Cascade!$CN:$CN,MATCH($E15,Cascade!$E:$E,0)),"")</f>
        <v/>
      </c>
    </row>
  </sheetData>
  <mergeCells count="1">
    <mergeCell ref="A2:B3"/>
  </mergeCells>
  <conditionalFormatting sqref="G1:G1048576">
    <cfRule type="expression" dxfId="122" priority="19">
      <formula>AND(ISNUMBER(G1),G1&lt;&gt;0)</formula>
    </cfRule>
  </conditionalFormatting>
  <conditionalFormatting sqref="Q1:Q1048576">
    <cfRule type="expression" dxfId="121" priority="671">
      <formula>AND(ISNUMBER($Q1),ROUND(SUM($Q1),2)&gt;ROUND(SUM($I1),2))</formula>
    </cfRule>
  </conditionalFormatting>
  <conditionalFormatting sqref="J1:J1048576">
    <cfRule type="expression" dxfId="120" priority="3">
      <formula>AND(ISNUMBER($J1),SUM($J1)&lt;1)</formula>
    </cfRule>
  </conditionalFormatting>
  <conditionalFormatting sqref="S1:S1048576">
    <cfRule type="expression" dxfId="119" priority="686">
      <formula>AND(ISNUMBER(S1),S1&lt;0.95)</formula>
    </cfRule>
  </conditionalFormatting>
  <conditionalFormatting sqref="Y1:Z1048576">
    <cfRule type="expression" dxfId="118" priority="10">
      <formula>AND(ROW(Y1)&gt;14,$B1&lt;&gt;"",$D1&lt;&gt;"Female")</formula>
    </cfRule>
    <cfRule type="expression" dxfId="117" priority="11">
      <formula>AND(ROW(Y1)&gt;14,$B1&lt;&gt;"",OR($C1="&lt;01",$C1="01-04",$C1="05-09"))</formula>
    </cfRule>
  </conditionalFormatting>
  <conditionalFormatting sqref="AA1:AA1048576">
    <cfRule type="expression" dxfId="116" priority="8">
      <formula>AND(ROW(AA1)&gt;14,$B1&lt;&gt;"",OR($C1="&lt;01",$C1="01-04",$C1="05-09",$C1="10-14"))</formula>
    </cfRule>
    <cfRule type="expression" dxfId="115" priority="9">
      <formula>AND(ROW(AA1)&gt;14,$B1&lt;&gt;"",$D1&lt;&gt;"Male")</formula>
    </cfRule>
  </conditionalFormatting>
  <conditionalFormatting sqref="V1:AB1048576">
    <cfRule type="expression" dxfId="114" priority="7">
      <formula>AND(ROW($AB1)&gt;14,$AB1&lt;0)</formula>
    </cfRule>
  </conditionalFormatting>
  <conditionalFormatting sqref="J1:N1048576 S1:S1048576 W1:AB1048576">
    <cfRule type="expression" dxfId="113" priority="1">
      <formula>AND(ISNUMBER(J1),OR(ROUND(J1,2)&gt;1,ROUND(J1,2)&lt;0))</formula>
    </cfRule>
  </conditionalFormatting>
  <conditionalFormatting sqref="N1:N1048576">
    <cfRule type="expression" dxfId="112" priority="13">
      <formula>AND(ROW($N1)&gt;14,$N1="",SUM($O1)&gt;0)</formula>
    </cfRule>
    <cfRule type="expression" dxfId="111" priority="14">
      <formula>AND(ISNUMBER($N1),SUM($N1)&gt;10%)</formula>
    </cfRule>
  </conditionalFormatting>
  <conditionalFormatting sqref="L1:L1048576">
    <cfRule type="expression" dxfId="110" priority="4">
      <formula>AND(ROW($L1)&gt;14,$L1="",SUM($O1)&gt;0)</formula>
    </cfRule>
    <cfRule type="expression" dxfId="109" priority="6">
      <formula>AND(ISNUMBER($L1),ROUND(SUM($L1),2)&gt;=0.75)</formula>
    </cfRule>
  </conditionalFormatting>
  <conditionalFormatting sqref="F1:F1048576 H1:I1048576 O1:R1048576 T1:U1048576">
    <cfRule type="expression" dxfId="108"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G15" activePane="bottomRight" state="frozen"/>
      <selection pane="topRight"/>
      <selection pane="bottomLeft"/>
      <selection pane="bottomRight" activeCell="V1" sqref="V1:V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52" customWidth="1"/>
    <col min="9" max="9" width="11.83203125" style="72" customWidth="1"/>
    <col min="10" max="11" width="11.83203125" style="352" customWidth="1"/>
    <col min="12" max="12" width="11.83203125" style="104" customWidth="1"/>
    <col min="13" max="13" width="11.83203125" style="72" customWidth="1"/>
    <col min="14" max="15" width="11.83203125" style="36" customWidth="1"/>
    <col min="16" max="17" width="11.83203125" style="84" customWidth="1"/>
    <col min="18" max="18" width="11.83203125" style="122" customWidth="1"/>
    <col min="19" max="19" width="11.83203125" style="75" customWidth="1"/>
    <col min="20" max="26" width="11.83203125" style="208" customWidth="1"/>
    <col min="27" max="30" width="11.83203125" style="72" customWidth="1"/>
    <col min="31" max="31" width="11.83203125" style="415" customWidth="1"/>
    <col min="32" max="32" width="11.83203125" style="72" customWidth="1"/>
    <col min="33" max="33" width="11.83203125" style="98" customWidth="1"/>
    <col min="34" max="34" width="11.83203125" style="248" customWidth="1"/>
    <col min="35" max="37" width="11.83203125" style="273" customWidth="1"/>
    <col min="38" max="16384" width="10.83203125" style="40"/>
  </cols>
  <sheetData>
    <row r="1" spans="1:37" s="57" customFormat="1" ht="31" customHeight="1" thickBot="1" x14ac:dyDescent="0.35">
      <c r="A1" s="5" t="s">
        <v>8</v>
      </c>
      <c r="B1" s="5"/>
      <c r="C1" s="1"/>
      <c r="D1" s="1"/>
      <c r="E1" s="1"/>
      <c r="F1" s="107" t="s">
        <v>45</v>
      </c>
      <c r="G1" s="130"/>
      <c r="H1" s="244"/>
      <c r="I1" s="130"/>
      <c r="J1" s="244"/>
      <c r="K1" s="35"/>
      <c r="L1" s="130"/>
      <c r="M1" s="67"/>
      <c r="N1" s="45"/>
      <c r="O1" s="45"/>
      <c r="P1" s="80"/>
      <c r="Q1" s="80"/>
      <c r="R1" s="107" t="s">
        <v>21</v>
      </c>
      <c r="S1" s="77"/>
      <c r="T1" s="35"/>
      <c r="U1" s="35"/>
      <c r="V1" s="35"/>
      <c r="W1" s="35"/>
      <c r="X1" s="35"/>
      <c r="Y1" s="35"/>
      <c r="Z1" s="35"/>
      <c r="AA1" s="67"/>
      <c r="AB1" s="67"/>
      <c r="AC1" s="67"/>
      <c r="AD1" s="67"/>
      <c r="AE1" s="242" t="s">
        <v>1006</v>
      </c>
      <c r="AF1" s="67"/>
      <c r="AG1" s="107" t="s">
        <v>589</v>
      </c>
      <c r="AH1" s="357"/>
      <c r="AI1" s="357"/>
      <c r="AJ1" s="357"/>
      <c r="AK1" s="357"/>
    </row>
    <row r="2" spans="1:37" s="56" customFormat="1" ht="19" customHeight="1" x14ac:dyDescent="0.25">
      <c r="A2" s="479" t="s">
        <v>760</v>
      </c>
      <c r="B2" s="476"/>
      <c r="C2" s="2"/>
      <c r="D2" s="2"/>
      <c r="E2" s="2"/>
      <c r="F2" s="108" t="s">
        <v>74</v>
      </c>
      <c r="G2" s="155"/>
      <c r="H2" s="245"/>
      <c r="I2" s="155"/>
      <c r="J2" s="245"/>
      <c r="K2" s="34"/>
      <c r="L2" s="131"/>
      <c r="M2" s="68"/>
      <c r="N2" s="34"/>
      <c r="O2" s="34" t="s">
        <v>2</v>
      </c>
      <c r="P2" s="81" t="s">
        <v>3</v>
      </c>
      <c r="Q2" s="81"/>
      <c r="R2" s="108" t="s">
        <v>74</v>
      </c>
      <c r="S2" s="73"/>
      <c r="T2" s="34"/>
      <c r="U2" s="34" t="s">
        <v>2</v>
      </c>
      <c r="V2" s="34" t="s">
        <v>1172</v>
      </c>
      <c r="W2" s="34"/>
      <c r="X2" s="34"/>
      <c r="Y2" s="34"/>
      <c r="Z2" s="34"/>
      <c r="AA2" s="68" t="s">
        <v>3</v>
      </c>
      <c r="AB2" s="68"/>
      <c r="AC2" s="68"/>
      <c r="AD2" s="68"/>
      <c r="AE2" s="243" t="s">
        <v>74</v>
      </c>
      <c r="AF2" s="68"/>
      <c r="AG2" s="108" t="s">
        <v>59</v>
      </c>
      <c r="AH2" s="245"/>
      <c r="AI2" s="245"/>
      <c r="AJ2" s="245"/>
      <c r="AK2" s="245"/>
    </row>
    <row r="3" spans="1:37" ht="117" customHeight="1" thickBot="1" x14ac:dyDescent="0.25">
      <c r="A3" s="477"/>
      <c r="B3" s="478"/>
      <c r="C3" s="47"/>
      <c r="D3" s="47"/>
      <c r="E3" s="47"/>
      <c r="F3" s="256" t="s">
        <v>822</v>
      </c>
      <c r="G3" s="256" t="s">
        <v>606</v>
      </c>
      <c r="H3" s="258" t="s">
        <v>786</v>
      </c>
      <c r="I3" s="256" t="s">
        <v>787</v>
      </c>
      <c r="J3" s="258" t="s">
        <v>810</v>
      </c>
      <c r="K3" s="258" t="s">
        <v>1096</v>
      </c>
      <c r="L3" s="211" t="s">
        <v>823</v>
      </c>
      <c r="M3" s="211" t="s">
        <v>824</v>
      </c>
      <c r="N3" s="336" t="s">
        <v>825</v>
      </c>
      <c r="O3" s="48" t="s">
        <v>818</v>
      </c>
      <c r="P3" s="82" t="s">
        <v>819</v>
      </c>
      <c r="Q3" s="82" t="s">
        <v>820</v>
      </c>
      <c r="R3" s="144" t="s">
        <v>1042</v>
      </c>
      <c r="S3" s="137" t="s">
        <v>1041</v>
      </c>
      <c r="T3" s="336" t="s">
        <v>1004</v>
      </c>
      <c r="U3" s="204" t="s">
        <v>1171</v>
      </c>
      <c r="V3" s="204" t="s">
        <v>1076</v>
      </c>
      <c r="W3" s="336" t="s">
        <v>1043</v>
      </c>
      <c r="X3" s="204" t="s">
        <v>1005</v>
      </c>
      <c r="Y3" s="336" t="s">
        <v>1169</v>
      </c>
      <c r="Z3" s="204" t="s">
        <v>1165</v>
      </c>
      <c r="AA3" s="69" t="s">
        <v>209</v>
      </c>
      <c r="AB3" s="69" t="s">
        <v>273</v>
      </c>
      <c r="AC3" s="70" t="s">
        <v>271</v>
      </c>
      <c r="AD3" s="69" t="s">
        <v>272</v>
      </c>
      <c r="AE3" s="353" t="s">
        <v>842</v>
      </c>
      <c r="AF3" s="69" t="s">
        <v>72</v>
      </c>
      <c r="AG3" s="255" t="s">
        <v>803</v>
      </c>
      <c r="AH3" s="260" t="s">
        <v>821</v>
      </c>
      <c r="AI3" s="260" t="s">
        <v>806</v>
      </c>
      <c r="AJ3" s="260" t="s">
        <v>807</v>
      </c>
      <c r="AK3" s="260" t="s">
        <v>808</v>
      </c>
    </row>
    <row r="4" spans="1:37" x14ac:dyDescent="0.2">
      <c r="A4" s="49"/>
      <c r="B4" s="49"/>
      <c r="C4" s="49"/>
      <c r="D4" s="49" t="s">
        <v>4</v>
      </c>
      <c r="E4" s="49"/>
      <c r="F4" s="74">
        <f>SUBTOTAL(109,F$15:INDEX(F:F,COUNTA($B:$B)+14-COUNTA($B$1:$B$14)))</f>
        <v>0</v>
      </c>
      <c r="G4" s="89">
        <f>SUBTOTAL(109,G$15:INDEX(G:G,COUNTA($B:$B)+14-COUNTA($B$1:$B$14)))</f>
        <v>0</v>
      </c>
      <c r="H4" s="349" t="str">
        <f>IF(SUM($F$4)=0,"",SUM($G$4)/$F$4)</f>
        <v/>
      </c>
      <c r="I4" s="89">
        <f>SUBTOTAL(109,I$15:INDEX(I:I,COUNTA($B:$B)+14-COUNTA($B$1:$B$14)))</f>
        <v>0</v>
      </c>
      <c r="J4" s="349" t="str">
        <f>IF(SUM($G$4)=0,"",SUM($I$4)/$G$4)</f>
        <v/>
      </c>
      <c r="K4" s="50"/>
      <c r="L4" s="175">
        <f>SUBTOTAL(109,L$15:INDEX(L:L,COUNTA($B:$B)+14-COUNTA($B$1:$B$14)))</f>
        <v>0</v>
      </c>
      <c r="M4" s="175">
        <f>SUBTOTAL(109,M$15:INDEX(M:M,COUNTA($B:$B)+14-COUNTA($B$1:$B$14)))</f>
        <v>0</v>
      </c>
      <c r="N4" s="50" t="str">
        <f>IF($F$4=0,"",$M$4/$F$4)</f>
        <v/>
      </c>
      <c r="O4" s="50" t="str">
        <f>IF($F$4=0,"",$P$4/$F$4)</f>
        <v/>
      </c>
      <c r="P4" s="83">
        <f>SUBTOTAL(109,P$15:INDEX(P:P,COUNTA($B:$B)+14-COUNTA($B$1:$B$14)))</f>
        <v>0</v>
      </c>
      <c r="Q4" s="83">
        <f>SUBTOTAL(109,Q$15:INDEX(Q:Q,COUNTA($B:$B)+14-COUNTA($B$1:$B$14)))</f>
        <v>0</v>
      </c>
      <c r="R4" s="109">
        <f>SUBTOTAL(109,R$15:INDEX(R:R,COUNTA($B:$B)+14-COUNTA($B$1:$B$14)))</f>
        <v>0</v>
      </c>
      <c r="S4" s="74">
        <f>SUBTOTAL(109,S$15:INDEX(S:S,COUNTA($B:$B)+14-COUNTA($B$1:$B$14)))</f>
        <v>0</v>
      </c>
      <c r="T4" s="206" t="str">
        <f>IF($L$4=0,"",$S$4/$L$4)</f>
        <v/>
      </c>
      <c r="U4" s="206" t="str">
        <f>IF($Q$4=0,"",$AA$4/$Q$4)</f>
        <v/>
      </c>
      <c r="V4" s="206"/>
      <c r="W4" s="206"/>
      <c r="X4" s="206" t="str">
        <f>IF($AA$4=0,"",$AB$4/$AA$4)</f>
        <v/>
      </c>
      <c r="Y4" s="206"/>
      <c r="Z4" s="206"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0" t="str">
        <f>IF($AC$4=0,"",$AF$4/$AC$4)</f>
        <v/>
      </c>
      <c r="AF4" s="71">
        <f>SUBTOTAL(109,AF$15:INDEX(AF:AF,COUNTA($B:$B)+14-COUNTA($B$1:$B$14)))</f>
        <v>0</v>
      </c>
      <c r="AG4" s="74">
        <f>SUBTOTAL(109,AG$15:INDEX(AG:AG,COUNTA($B:$B)+14-COUNTA($B$1:$B$14)))</f>
        <v>0</v>
      </c>
      <c r="AH4" s="359" t="e">
        <f>$AC$4/$AG$4</f>
        <v>#DIV/0!</v>
      </c>
      <c r="AI4" s="359"/>
      <c r="AJ4" s="359"/>
      <c r="AK4" s="359"/>
    </row>
    <row r="5" spans="1:37" x14ac:dyDescent="0.2">
      <c r="A5" s="42" t="s">
        <v>99</v>
      </c>
      <c r="B5" s="42" t="s">
        <v>99</v>
      </c>
      <c r="C5" s="42" t="s">
        <v>99</v>
      </c>
      <c r="D5" s="42" t="s">
        <v>99</v>
      </c>
      <c r="E5" s="42" t="s">
        <v>99</v>
      </c>
      <c r="F5" s="75" t="s">
        <v>99</v>
      </c>
      <c r="G5" s="75" t="s">
        <v>99</v>
      </c>
      <c r="H5" s="36" t="s">
        <v>99</v>
      </c>
      <c r="I5" s="75" t="s">
        <v>99</v>
      </c>
      <c r="J5" s="36" t="s">
        <v>99</v>
      </c>
      <c r="K5" s="169" t="s">
        <v>99</v>
      </c>
      <c r="L5" s="104" t="s">
        <v>108</v>
      </c>
      <c r="M5" s="104" t="s">
        <v>108</v>
      </c>
      <c r="N5" s="36" t="s">
        <v>99</v>
      </c>
      <c r="O5" s="36" t="s">
        <v>99</v>
      </c>
      <c r="P5" s="84" t="s">
        <v>108</v>
      </c>
      <c r="Q5" s="84" t="s">
        <v>108</v>
      </c>
      <c r="R5" s="98" t="s">
        <v>110</v>
      </c>
      <c r="S5" s="75" t="s">
        <v>110</v>
      </c>
      <c r="T5" s="208" t="s">
        <v>99</v>
      </c>
      <c r="U5" s="208" t="s">
        <v>99</v>
      </c>
      <c r="V5" s="208" t="s">
        <v>99</v>
      </c>
      <c r="W5" s="208" t="s">
        <v>99</v>
      </c>
      <c r="X5" s="208" t="s">
        <v>99</v>
      </c>
      <c r="Y5" s="208" t="s">
        <v>99</v>
      </c>
      <c r="Z5" s="208" t="s">
        <v>99</v>
      </c>
      <c r="AA5" s="72" t="s">
        <v>99</v>
      </c>
      <c r="AB5" s="72" t="s">
        <v>110</v>
      </c>
      <c r="AC5" s="72" t="s">
        <v>110</v>
      </c>
      <c r="AD5" s="72" t="s">
        <v>110</v>
      </c>
      <c r="AE5" s="161" t="s">
        <v>99</v>
      </c>
      <c r="AF5" s="72" t="s">
        <v>99</v>
      </c>
      <c r="AG5" s="98" t="s">
        <v>99</v>
      </c>
      <c r="AH5" s="248" t="s">
        <v>99</v>
      </c>
      <c r="AI5" s="273" t="s">
        <v>99</v>
      </c>
      <c r="AJ5" s="273" t="s">
        <v>99</v>
      </c>
      <c r="AK5" s="273"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4" t="s">
        <v>93</v>
      </c>
      <c r="M6" s="104" t="s">
        <v>93</v>
      </c>
      <c r="N6" s="36" t="s">
        <v>94</v>
      </c>
      <c r="O6" s="36" t="s">
        <v>113</v>
      </c>
      <c r="P6" s="84" t="s">
        <v>93</v>
      </c>
      <c r="Q6" s="84" t="s">
        <v>93</v>
      </c>
      <c r="R6" s="98" t="s">
        <v>111</v>
      </c>
      <c r="S6" s="75" t="s">
        <v>111</v>
      </c>
      <c r="T6" s="208" t="s">
        <v>94</v>
      </c>
      <c r="U6" s="208" t="s">
        <v>113</v>
      </c>
      <c r="V6" s="208" t="s">
        <v>113</v>
      </c>
      <c r="W6" s="208" t="s">
        <v>112</v>
      </c>
      <c r="X6" s="208" t="s">
        <v>113</v>
      </c>
      <c r="Y6" s="208" t="s">
        <v>112</v>
      </c>
      <c r="Z6" s="208" t="s">
        <v>113</v>
      </c>
      <c r="AA6" s="72" t="s">
        <v>94</v>
      </c>
      <c r="AB6" s="72" t="s">
        <v>93</v>
      </c>
      <c r="AC6" s="72" t="s">
        <v>93</v>
      </c>
      <c r="AD6" s="72" t="s">
        <v>93</v>
      </c>
      <c r="AE6" s="161" t="s">
        <v>94</v>
      </c>
      <c r="AF6" s="72" t="s">
        <v>94</v>
      </c>
      <c r="AG6" s="98" t="s">
        <v>94</v>
      </c>
      <c r="AH6" s="248" t="s">
        <v>94</v>
      </c>
      <c r="AI6" s="273" t="s">
        <v>94</v>
      </c>
      <c r="AJ6" s="273" t="s">
        <v>94</v>
      </c>
      <c r="AK6" s="273"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4" t="s">
        <v>95</v>
      </c>
      <c r="M7" s="104" t="s">
        <v>95</v>
      </c>
      <c r="N7" s="36" t="s">
        <v>96</v>
      </c>
      <c r="O7" s="36" t="s">
        <v>96</v>
      </c>
      <c r="P7" s="84" t="s">
        <v>95</v>
      </c>
      <c r="Q7" s="84" t="s">
        <v>95</v>
      </c>
      <c r="R7" s="98" t="s">
        <v>95</v>
      </c>
      <c r="S7" s="75" t="s">
        <v>95</v>
      </c>
      <c r="T7" s="208" t="s">
        <v>96</v>
      </c>
      <c r="U7" s="208" t="s">
        <v>96</v>
      </c>
      <c r="V7" s="208" t="s">
        <v>96</v>
      </c>
      <c r="W7" s="208" t="s">
        <v>96</v>
      </c>
      <c r="X7" s="208" t="s">
        <v>96</v>
      </c>
      <c r="Y7" s="208" t="s">
        <v>96</v>
      </c>
      <c r="Z7" s="208" t="s">
        <v>96</v>
      </c>
      <c r="AA7" s="72" t="s">
        <v>95</v>
      </c>
      <c r="AB7" s="72" t="s">
        <v>95</v>
      </c>
      <c r="AC7" s="72" t="s">
        <v>95</v>
      </c>
      <c r="AD7" s="72" t="s">
        <v>95</v>
      </c>
      <c r="AE7" s="161" t="s">
        <v>96</v>
      </c>
      <c r="AF7" s="72" t="s">
        <v>95</v>
      </c>
      <c r="AG7" s="98" t="s">
        <v>95</v>
      </c>
      <c r="AH7" s="248" t="s">
        <v>96</v>
      </c>
      <c r="AI7" s="273" t="s">
        <v>96</v>
      </c>
      <c r="AJ7" s="273" t="s">
        <v>96</v>
      </c>
      <c r="AK7" s="273" t="s">
        <v>96</v>
      </c>
    </row>
    <row r="8" spans="1:37" x14ac:dyDescent="0.2">
      <c r="F8" s="75"/>
      <c r="G8" s="75"/>
      <c r="H8" s="36"/>
      <c r="I8" s="75"/>
      <c r="J8" s="36"/>
      <c r="K8" s="51"/>
      <c r="L8" s="310" t="s">
        <v>131</v>
      </c>
      <c r="M8" s="310" t="s">
        <v>132</v>
      </c>
      <c r="P8" s="313" t="s">
        <v>132</v>
      </c>
      <c r="Q8" s="313" t="s">
        <v>131</v>
      </c>
      <c r="R8" s="314" t="s">
        <v>601</v>
      </c>
      <c r="S8" s="312" t="s">
        <v>133</v>
      </c>
      <c r="AB8" s="309" t="s">
        <v>133</v>
      </c>
      <c r="AC8" s="309" t="s">
        <v>133</v>
      </c>
      <c r="AD8" s="309" t="s">
        <v>133</v>
      </c>
      <c r="AE8" s="161"/>
    </row>
    <row r="9" spans="1:37" x14ac:dyDescent="0.2">
      <c r="F9" s="75"/>
      <c r="G9" s="75"/>
      <c r="H9" s="36"/>
      <c r="I9" s="75"/>
      <c r="J9" s="36"/>
      <c r="K9" s="51"/>
      <c r="L9" s="310"/>
      <c r="M9" s="310"/>
      <c r="P9" s="313"/>
      <c r="Q9" s="313"/>
      <c r="R9" s="314" t="s">
        <v>602</v>
      </c>
      <c r="S9" s="312" t="s">
        <v>134</v>
      </c>
      <c r="AB9" s="309" t="s">
        <v>134</v>
      </c>
      <c r="AC9" s="309" t="s">
        <v>134</v>
      </c>
      <c r="AD9" s="309" t="s">
        <v>134</v>
      </c>
      <c r="AE9" s="161"/>
    </row>
    <row r="10" spans="1:37" x14ac:dyDescent="0.2">
      <c r="F10" s="75"/>
      <c r="G10" s="75"/>
      <c r="H10" s="36"/>
      <c r="I10" s="75"/>
      <c r="J10" s="36"/>
      <c r="K10" s="51"/>
      <c r="L10" s="310"/>
      <c r="M10" s="310"/>
      <c r="P10" s="313"/>
      <c r="Q10" s="313"/>
      <c r="R10" s="314"/>
      <c r="S10" s="312"/>
      <c r="AB10" s="309" t="s">
        <v>135</v>
      </c>
      <c r="AC10" s="309" t="s">
        <v>105</v>
      </c>
      <c r="AD10" s="309" t="s">
        <v>122</v>
      </c>
      <c r="AE10" s="161"/>
    </row>
    <row r="11" spans="1:37" x14ac:dyDescent="0.2">
      <c r="F11" s="75" t="s">
        <v>206</v>
      </c>
      <c r="G11" s="75" t="s">
        <v>206</v>
      </c>
      <c r="H11" s="36" t="s">
        <v>206</v>
      </c>
      <c r="I11" s="75" t="s">
        <v>206</v>
      </c>
      <c r="J11" s="36" t="s">
        <v>206</v>
      </c>
      <c r="K11" s="36" t="s">
        <v>206</v>
      </c>
      <c r="L11" s="104" t="s">
        <v>206</v>
      </c>
      <c r="M11" s="104" t="s">
        <v>206</v>
      </c>
      <c r="N11" s="36" t="s">
        <v>206</v>
      </c>
      <c r="O11" s="51" t="s">
        <v>206</v>
      </c>
      <c r="P11" s="84" t="s">
        <v>206</v>
      </c>
      <c r="Q11" s="84" t="s">
        <v>206</v>
      </c>
      <c r="R11" s="98" t="s">
        <v>206</v>
      </c>
      <c r="S11" s="75" t="s">
        <v>206</v>
      </c>
      <c r="T11" s="208" t="s">
        <v>206</v>
      </c>
      <c r="U11" s="208" t="s">
        <v>206</v>
      </c>
      <c r="V11" s="208" t="s">
        <v>206</v>
      </c>
      <c r="W11" s="208" t="s">
        <v>206</v>
      </c>
      <c r="X11" s="208" t="s">
        <v>206</v>
      </c>
      <c r="Y11" s="208" t="s">
        <v>206</v>
      </c>
      <c r="Z11" s="208" t="s">
        <v>206</v>
      </c>
      <c r="AA11" s="72" t="s">
        <v>206</v>
      </c>
      <c r="AB11" s="72" t="s">
        <v>206</v>
      </c>
      <c r="AC11" s="72" t="s">
        <v>206</v>
      </c>
      <c r="AD11" s="72" t="s">
        <v>206</v>
      </c>
      <c r="AE11" s="339" t="s">
        <v>206</v>
      </c>
      <c r="AF11" s="72" t="s">
        <v>206</v>
      </c>
      <c r="AG11" s="98" t="s">
        <v>206</v>
      </c>
      <c r="AH11" s="248" t="s">
        <v>206</v>
      </c>
      <c r="AI11" s="273" t="s">
        <v>206</v>
      </c>
      <c r="AJ11" s="273" t="s">
        <v>206</v>
      </c>
      <c r="AK11" s="273" t="s">
        <v>206</v>
      </c>
    </row>
    <row r="12" spans="1:37" x14ac:dyDescent="0.2">
      <c r="F12" s="75" t="s">
        <v>690</v>
      </c>
      <c r="G12" s="75" t="s">
        <v>690</v>
      </c>
      <c r="H12" s="36" t="s">
        <v>690</v>
      </c>
      <c r="I12" s="75" t="s">
        <v>690</v>
      </c>
      <c r="J12" s="36" t="s">
        <v>690</v>
      </c>
      <c r="K12" s="36" t="s">
        <v>690</v>
      </c>
      <c r="L12" s="104" t="s">
        <v>690</v>
      </c>
      <c r="M12" s="104" t="s">
        <v>690</v>
      </c>
      <c r="N12" s="36" t="s">
        <v>690</v>
      </c>
      <c r="O12" s="36" t="s">
        <v>690</v>
      </c>
      <c r="P12" s="84" t="s">
        <v>690</v>
      </c>
      <c r="Q12" s="84" t="s">
        <v>690</v>
      </c>
      <c r="R12" s="98" t="s">
        <v>690</v>
      </c>
      <c r="S12" s="75" t="s">
        <v>690</v>
      </c>
      <c r="T12" s="208" t="s">
        <v>690</v>
      </c>
      <c r="U12" s="208" t="s">
        <v>690</v>
      </c>
      <c r="V12" s="208" t="s">
        <v>690</v>
      </c>
      <c r="W12" s="208" t="s">
        <v>690</v>
      </c>
      <c r="X12" s="208" t="s">
        <v>690</v>
      </c>
      <c r="Y12" s="208" t="s">
        <v>690</v>
      </c>
      <c r="Z12" s="208" t="s">
        <v>690</v>
      </c>
      <c r="AA12" s="72" t="s">
        <v>690</v>
      </c>
      <c r="AB12" s="72" t="s">
        <v>690</v>
      </c>
      <c r="AC12" s="72" t="s">
        <v>690</v>
      </c>
      <c r="AD12" s="72" t="s">
        <v>690</v>
      </c>
      <c r="AE12" s="161" t="s">
        <v>690</v>
      </c>
      <c r="AF12" s="72" t="s">
        <v>690</v>
      </c>
      <c r="AG12" s="98" t="s">
        <v>690</v>
      </c>
      <c r="AH12" s="248" t="s">
        <v>690</v>
      </c>
      <c r="AI12" s="273" t="s">
        <v>690</v>
      </c>
      <c r="AJ12" s="273" t="s">
        <v>690</v>
      </c>
      <c r="AK12" s="273" t="s">
        <v>690</v>
      </c>
    </row>
    <row r="13" spans="1:37" x14ac:dyDescent="0.2">
      <c r="F13" s="75"/>
      <c r="G13" s="75"/>
      <c r="H13" s="36"/>
      <c r="I13" s="75"/>
      <c r="J13" s="36"/>
      <c r="K13" s="51"/>
      <c r="M13" s="104"/>
      <c r="R13" s="98"/>
      <c r="AE13" s="161"/>
    </row>
    <row r="14" spans="1:37" x14ac:dyDescent="0.2">
      <c r="A14" s="52" t="s">
        <v>587</v>
      </c>
      <c r="B14" s="52" t="s">
        <v>5</v>
      </c>
      <c r="C14" s="52" t="s">
        <v>35</v>
      </c>
      <c r="D14" s="52" t="s">
        <v>6</v>
      </c>
      <c r="E14" s="52" t="s">
        <v>76</v>
      </c>
      <c r="F14" s="92" t="s">
        <v>302</v>
      </c>
      <c r="G14" s="92" t="s">
        <v>303</v>
      </c>
      <c r="H14" s="209" t="s">
        <v>305</v>
      </c>
      <c r="I14" s="92" t="s">
        <v>306</v>
      </c>
      <c r="J14" s="209" t="s">
        <v>501</v>
      </c>
      <c r="K14" s="209" t="s">
        <v>1093</v>
      </c>
      <c r="L14" s="212" t="s">
        <v>333</v>
      </c>
      <c r="M14" s="212" t="s">
        <v>334</v>
      </c>
      <c r="N14" s="209" t="s">
        <v>542</v>
      </c>
      <c r="O14" s="209" t="s">
        <v>541</v>
      </c>
      <c r="P14" s="172" t="s">
        <v>336</v>
      </c>
      <c r="Q14" s="172" t="s">
        <v>335</v>
      </c>
      <c r="R14" s="174" t="s">
        <v>698</v>
      </c>
      <c r="S14" s="92" t="s">
        <v>699</v>
      </c>
      <c r="T14" s="209" t="s">
        <v>588</v>
      </c>
      <c r="U14" s="209" t="s">
        <v>540</v>
      </c>
      <c r="V14" s="209" t="s">
        <v>727</v>
      </c>
      <c r="W14" s="209" t="s">
        <v>711</v>
      </c>
      <c r="X14" s="209" t="s">
        <v>535</v>
      </c>
      <c r="Y14" s="209" t="s">
        <v>712</v>
      </c>
      <c r="Z14" s="209" t="s">
        <v>537</v>
      </c>
      <c r="AA14" s="172" t="s">
        <v>536</v>
      </c>
      <c r="AB14" s="172" t="s">
        <v>332</v>
      </c>
      <c r="AC14" s="172" t="s">
        <v>375</v>
      </c>
      <c r="AD14" s="172" t="s">
        <v>376</v>
      </c>
      <c r="AE14" s="355" t="s">
        <v>538</v>
      </c>
      <c r="AF14" s="172" t="s">
        <v>539</v>
      </c>
      <c r="AG14" s="174" t="s">
        <v>517</v>
      </c>
      <c r="AH14" s="249" t="s">
        <v>577</v>
      </c>
      <c r="AI14" s="249" t="s">
        <v>574</v>
      </c>
      <c r="AJ14" s="249" t="s">
        <v>576</v>
      </c>
      <c r="AK14" s="249" t="s">
        <v>579</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IF(LEFT($B15,4)="_Mil","",_xlfn.IFNA(INDEX(Cascade!$BS:$BS,MATCH($E15,Cascade!$E:$E,0)),""))</f>
        <v/>
      </c>
      <c r="K15" s="36" t="str">
        <f>IF(LEFT($B15,4)="_Mil","",_xlfn.IFNA(INDEX(Cascade!$AL:$AL,MATCH($E15,Cascade!$E:$E,0)),""))</f>
        <v/>
      </c>
      <c r="L15" s="104" t="str">
        <f>IF(LEFT($B15,4)="_Mil","",_xlfn.IFNA(ROUND(INDEX(Spectrum!$N:$N,MATCH(RIGHT($B15,13)&amp;"|"&amp;$C15&amp;"|"&amp;$D15&amp;"|"&amp;L$14&amp;"|"&amp;"CY2022Q3",Spectrum!$Q:$Q,0)),0),""))</f>
        <v/>
      </c>
      <c r="M15" s="104"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t="str">
        <f>IF(OR(LEFT($B15,4)="_Mil",SUM($L15)=0),"",SUM($S15)/$L15)</f>
        <v/>
      </c>
      <c r="U15" s="36" t="str">
        <f>IF(SUM($T15)=0,"",$T15)</f>
        <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1" t="str">
        <f>IF(SUM($AC15)=0,"",_xlfn.IFNA(INDEX(Cascade!$BC:$BC,MATCH($E15,Cascade!$E:$E,0)),""))</f>
        <v/>
      </c>
      <c r="AF15" s="72">
        <f>IF(SUM($AC15)=0,0,ROUND($AC15*$AE15,0))</f>
        <v>0</v>
      </c>
      <c r="AG15" s="98" t="str">
        <f>_xlfn.IFNA(INDEX(Cascade!$BZ:$BZ,MATCH($E15,Cascade!$E:$E,0)),"")</f>
        <v/>
      </c>
      <c r="AH15" s="248" t="str">
        <f>IF(SUM($AC15)=0,"",$AC15/$AG15)</f>
        <v/>
      </c>
      <c r="AI15" s="248" t="str">
        <f>_xlfn.IFNA(INDEX(Cascade!$CH:$CH,MATCH($E15,Cascade!$E:$E,0)),"")</f>
        <v/>
      </c>
      <c r="AJ15" s="248" t="str">
        <f>_xlfn.IFNA(INDEX(Cascade!$CK:$CK,MATCH($E15,Cascade!$E:$E,0)),"")</f>
        <v/>
      </c>
      <c r="AK15" s="248" t="str">
        <f>_xlfn.IFNA(INDEX(Cascade!$CN:$CN,MATCH($E15,Cascade!$E:$E,0)),"")</f>
        <v/>
      </c>
    </row>
  </sheetData>
  <mergeCells count="1">
    <mergeCell ref="A2:B3"/>
  </mergeCells>
  <conditionalFormatting sqref="O1:O1048576">
    <cfRule type="expression" dxfId="107" priority="16">
      <formula>AND(ISNUMBER($O1),OR(ROUND($O1,2)&lt;0.8,ROUND($O1,2)&gt;1))</formula>
    </cfRule>
  </conditionalFormatting>
  <conditionalFormatting sqref="Z1:Z1048576">
    <cfRule type="expression" dxfId="106" priority="5">
      <formula>AND(ROW($Z1)&gt;14,$Z1="",SUM($AA1)&gt;0)</formula>
    </cfRule>
    <cfRule type="expression" dxfId="105" priority="6">
      <formula>AND(ROW($Z1)&gt;14,ROUND(SUM($Z1),2)&gt;0.01)</formula>
    </cfRule>
  </conditionalFormatting>
  <conditionalFormatting sqref="AG1:AK1048576">
    <cfRule type="expression" dxfId="104" priority="18">
      <formula>AND(ISNUMBER($AK1),$AK1&lt;0)</formula>
    </cfRule>
  </conditionalFormatting>
  <conditionalFormatting sqref="P1:P1048576">
    <cfRule type="expression" dxfId="103" priority="10">
      <formula>AND(ISNUMBER($P1),$P1&lt;$M1)</formula>
    </cfRule>
  </conditionalFormatting>
  <conditionalFormatting sqref="V1:V1048576">
    <cfRule type="expression" dxfId="102" priority="19">
      <formula>AND(ROW($V1)&gt;14,$E1&lt;&gt;"",LEFT($B1,4)&lt;&gt;"_Mil")</formula>
    </cfRule>
  </conditionalFormatting>
  <conditionalFormatting sqref="AE1:AE1048576">
    <cfRule type="expression" dxfId="101" priority="2163">
      <formula>AND(ISNUMBER($AE1),ROUND($AE1,2)&lt;95%)</formula>
    </cfRule>
  </conditionalFormatting>
  <conditionalFormatting sqref="L1:M1048576">
    <cfRule type="expression" dxfId="100" priority="26">
      <formula>AND(ISNUMBER($L1),ISNUMBER($M1),$M1&lt;$L1)</formula>
    </cfRule>
  </conditionalFormatting>
  <conditionalFormatting sqref="F1:Q1048576 T1:U1048576">
    <cfRule type="expression" dxfId="99" priority="15">
      <formula>LEFT($B1,4)="_Mil"</formula>
    </cfRule>
  </conditionalFormatting>
  <conditionalFormatting sqref="X1:X1048576">
    <cfRule type="expression" dxfId="98" priority="4">
      <formula>AND(ROW($X1)&gt;14,$X1="",SUM($AA1)&gt;0)</formula>
    </cfRule>
  </conditionalFormatting>
  <conditionalFormatting sqref="F1:G1048576 I1:I1048576 L1:M1048576 P1:S1048576 AA1:AD1048576 AF1:AG1048576">
    <cfRule type="expression" dxfId="97" priority="3">
      <formula>AND(ISNUMBER(F1),ROUND(F1,0)&lt;0)</formula>
    </cfRule>
  </conditionalFormatting>
  <conditionalFormatting sqref="H1:H1048576 J1:K1048576 N1:O1048576 T1:U1048576 W1:Z1048576 AE1:AE1048576 AH1:AK1048576">
    <cfRule type="expression" dxfId="96"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2" customWidth="1"/>
    <col min="6" max="6" width="11.83203125" style="72" customWidth="1"/>
    <col min="7" max="7" width="11.83203125" style="197" customWidth="1"/>
    <col min="8" max="8" width="11.83203125" style="417" customWidth="1"/>
    <col min="9" max="9" width="11.83203125" style="72" customWidth="1"/>
    <col min="10" max="10" width="11.83203125" style="417" customWidth="1"/>
    <col min="11" max="11" width="11.83203125" style="72" customWidth="1"/>
    <col min="12" max="12" width="11.83203125" style="417" customWidth="1"/>
    <col min="13" max="13" width="11.83203125" style="72" customWidth="1"/>
    <col min="14" max="14" width="11.83203125" style="417" customWidth="1"/>
    <col min="15" max="15" width="11.83203125" style="295" customWidth="1"/>
    <col min="16" max="17" width="11.83203125" style="72" customWidth="1"/>
    <col min="18" max="18" width="11.83203125" style="417" customWidth="1"/>
    <col min="19" max="21" width="11.83203125" style="294" customWidth="1"/>
    <col min="22" max="22" width="11.83203125" style="72" customWidth="1"/>
    <col min="23" max="23" width="11.83203125" style="420" customWidth="1"/>
    <col min="24" max="24" width="11.83203125" style="294" customWidth="1"/>
    <col min="25" max="25" width="11.83203125" style="72" customWidth="1"/>
    <col min="26" max="26" width="11.83203125" style="420" customWidth="1"/>
    <col min="27" max="27" width="11.83203125" style="72" customWidth="1"/>
    <col min="28" max="28" width="11.83203125" style="420" customWidth="1"/>
    <col min="29" max="32" width="11.83203125" style="295" customWidth="1"/>
    <col min="33" max="34" width="11.83203125" style="294" customWidth="1"/>
    <col min="35" max="36" width="11.83203125" style="72" customWidth="1"/>
    <col min="37" max="37" width="11.83203125" style="420" customWidth="1"/>
    <col min="38" max="38" width="11.83203125" style="72" customWidth="1"/>
    <col min="39" max="39" width="11.83203125" style="417" customWidth="1"/>
    <col min="40" max="40" width="11.83203125" style="72" customWidth="1"/>
  </cols>
  <sheetData>
    <row r="1" spans="1:40" s="57" customFormat="1" ht="31" customHeight="1" x14ac:dyDescent="0.3">
      <c r="A1" s="5" t="s">
        <v>481</v>
      </c>
      <c r="B1" s="5"/>
      <c r="C1" s="1"/>
      <c r="D1" s="1"/>
      <c r="E1" s="107" t="s">
        <v>43</v>
      </c>
      <c r="F1" s="67"/>
      <c r="G1" s="421"/>
      <c r="H1" s="107" t="s">
        <v>897</v>
      </c>
      <c r="I1" s="67"/>
      <c r="J1" s="107" t="s">
        <v>24</v>
      </c>
      <c r="K1" s="67"/>
      <c r="L1" s="107" t="s">
        <v>22</v>
      </c>
      <c r="M1" s="80"/>
      <c r="N1" s="107" t="s">
        <v>0</v>
      </c>
      <c r="O1" s="95"/>
      <c r="P1" s="67"/>
      <c r="Q1" s="67"/>
      <c r="R1" s="107" t="s">
        <v>1</v>
      </c>
      <c r="S1" s="410"/>
      <c r="T1" s="35"/>
      <c r="U1" s="35"/>
      <c r="V1" s="67"/>
      <c r="W1" s="242" t="s">
        <v>52</v>
      </c>
      <c r="X1" s="35"/>
      <c r="Y1" s="67"/>
      <c r="Z1" s="242" t="s">
        <v>51</v>
      </c>
      <c r="AA1" s="67"/>
      <c r="AB1" s="242" t="s">
        <v>249</v>
      </c>
      <c r="AC1" s="77"/>
      <c r="AD1" s="77"/>
      <c r="AE1" s="77"/>
      <c r="AF1" s="77"/>
      <c r="AG1" s="45"/>
      <c r="AH1" s="45"/>
      <c r="AI1" s="67"/>
      <c r="AJ1" s="67"/>
      <c r="AK1" s="242" t="s">
        <v>207</v>
      </c>
      <c r="AL1" s="67"/>
      <c r="AM1" s="107" t="s">
        <v>247</v>
      </c>
      <c r="AN1" s="67"/>
    </row>
    <row r="2" spans="1:40" s="56" customFormat="1" ht="19" x14ac:dyDescent="0.25">
      <c r="A2" s="2"/>
      <c r="B2" s="2"/>
      <c r="C2" s="2"/>
      <c r="D2" s="2"/>
      <c r="E2" s="230" t="s">
        <v>42</v>
      </c>
      <c r="F2" s="68"/>
      <c r="G2" s="194"/>
      <c r="H2" s="108" t="s">
        <v>74</v>
      </c>
      <c r="I2" s="68" t="s">
        <v>3</v>
      </c>
      <c r="J2" s="111" t="s">
        <v>74</v>
      </c>
      <c r="K2" s="68" t="s">
        <v>3</v>
      </c>
      <c r="L2" s="111" t="s">
        <v>74</v>
      </c>
      <c r="M2" s="81" t="s">
        <v>3</v>
      </c>
      <c r="N2" s="111" t="s">
        <v>74</v>
      </c>
      <c r="O2" s="94"/>
      <c r="P2" s="68" t="s">
        <v>3</v>
      </c>
      <c r="Q2" s="81"/>
      <c r="R2" s="111" t="s">
        <v>74</v>
      </c>
      <c r="S2" s="245" t="s">
        <v>2</v>
      </c>
      <c r="T2" s="34"/>
      <c r="U2" s="34"/>
      <c r="V2" s="68" t="s">
        <v>3</v>
      </c>
      <c r="W2" s="243" t="s">
        <v>2</v>
      </c>
      <c r="X2" s="34"/>
      <c r="Y2" s="68" t="s">
        <v>3</v>
      </c>
      <c r="Z2" s="243" t="s">
        <v>2</v>
      </c>
      <c r="AA2" s="68" t="s">
        <v>3</v>
      </c>
      <c r="AB2" s="243" t="s">
        <v>2</v>
      </c>
      <c r="AC2" s="73"/>
      <c r="AD2" s="73"/>
      <c r="AE2" s="73"/>
      <c r="AF2" s="73"/>
      <c r="AG2" s="34"/>
      <c r="AH2" s="34"/>
      <c r="AI2" s="68" t="s">
        <v>3</v>
      </c>
      <c r="AJ2" s="68"/>
      <c r="AK2" s="243" t="s">
        <v>2</v>
      </c>
      <c r="AL2" s="68" t="s">
        <v>3</v>
      </c>
      <c r="AM2" s="108" t="s">
        <v>74</v>
      </c>
      <c r="AN2" s="68" t="s">
        <v>3</v>
      </c>
    </row>
    <row r="3" spans="1:40" s="62" customFormat="1" ht="117" customHeight="1" x14ac:dyDescent="0.2">
      <c r="A3"/>
      <c r="B3"/>
      <c r="C3"/>
      <c r="D3" s="63"/>
      <c r="E3" s="235" t="s">
        <v>849</v>
      </c>
      <c r="F3" s="138" t="s">
        <v>850</v>
      </c>
      <c r="G3" s="195" t="s">
        <v>786</v>
      </c>
      <c r="H3" s="144" t="s">
        <v>899</v>
      </c>
      <c r="I3" s="138" t="s">
        <v>906</v>
      </c>
      <c r="J3" s="231" t="s">
        <v>900</v>
      </c>
      <c r="K3" s="138" t="s">
        <v>826</v>
      </c>
      <c r="L3" s="222" t="s">
        <v>901</v>
      </c>
      <c r="M3" s="139" t="s">
        <v>827</v>
      </c>
      <c r="N3" s="222" t="s">
        <v>905</v>
      </c>
      <c r="O3" s="146" t="s">
        <v>902</v>
      </c>
      <c r="P3" s="138" t="s">
        <v>828</v>
      </c>
      <c r="Q3" s="82" t="s">
        <v>829</v>
      </c>
      <c r="R3" s="222" t="s">
        <v>903</v>
      </c>
      <c r="S3" s="274" t="s">
        <v>830</v>
      </c>
      <c r="T3" s="204" t="s">
        <v>831</v>
      </c>
      <c r="U3" s="204" t="s">
        <v>832</v>
      </c>
      <c r="V3" s="138" t="s">
        <v>833</v>
      </c>
      <c r="W3" s="418" t="s">
        <v>834</v>
      </c>
      <c r="X3" s="351" t="s">
        <v>835</v>
      </c>
      <c r="Y3" s="138" t="s">
        <v>836</v>
      </c>
      <c r="Z3" s="418" t="s">
        <v>837</v>
      </c>
      <c r="AA3" s="138" t="s">
        <v>838</v>
      </c>
      <c r="AB3" s="376" t="s">
        <v>839</v>
      </c>
      <c r="AC3" s="137" t="s">
        <v>840</v>
      </c>
      <c r="AD3" s="137" t="s">
        <v>841</v>
      </c>
      <c r="AE3" s="137" t="s">
        <v>1007</v>
      </c>
      <c r="AF3" s="137" t="s">
        <v>1008</v>
      </c>
      <c r="AG3" s="204" t="s">
        <v>842</v>
      </c>
      <c r="AH3" s="204" t="s">
        <v>843</v>
      </c>
      <c r="AI3" s="138" t="s">
        <v>844</v>
      </c>
      <c r="AJ3" s="138" t="s">
        <v>845</v>
      </c>
      <c r="AK3" s="368" t="s">
        <v>846</v>
      </c>
      <c r="AL3" s="69" t="s">
        <v>847</v>
      </c>
      <c r="AM3" s="144" t="s">
        <v>904</v>
      </c>
      <c r="AN3" s="138" t="s">
        <v>848</v>
      </c>
    </row>
    <row r="4" spans="1:40" s="62" customFormat="1" x14ac:dyDescent="0.2">
      <c r="A4" s="65"/>
      <c r="B4" s="65"/>
      <c r="C4" s="65" t="s">
        <v>4</v>
      </c>
      <c r="D4" s="65"/>
      <c r="E4" s="232">
        <f>SUBTOTAL(109,E$15:INDEX(E:E,COUNTA($B:$B)+14-COUNTA($B$1:$B$14)))</f>
        <v>0</v>
      </c>
      <c r="F4" s="71">
        <f>SUBTOTAL(109,F$15:INDEX(F:F,COUNTA($B:$B)+14-COUNTA($B$1:$B$14)))</f>
        <v>0</v>
      </c>
      <c r="G4" s="196" t="str">
        <f>IF($E$4=0,"",$F$4/$E$4)</f>
        <v/>
      </c>
      <c r="H4" s="109">
        <f>SUBTOTAL(109,H$15:INDEX(H:H,COUNTA($B:$B)+14-COUNTA($B$1:$B$14)))</f>
        <v>0</v>
      </c>
      <c r="I4" s="71">
        <f>SUBTOTAL(109,I$15:INDEX(I:I,COUNTA($B:$B)+14-COUNTA($B$1:$B$14)))</f>
        <v>0</v>
      </c>
      <c r="J4" s="232">
        <f>SUBTOTAL(109,J$15:INDEX(J:J,COUNTA($B:$B)+14-COUNTA($B$1:$B$14)))</f>
        <v>0</v>
      </c>
      <c r="K4" s="71">
        <f>SUBTOTAL(109,K$15:INDEX(K:K,COUNTA($B:$B)+14-COUNTA($B$1:$B$14)))</f>
        <v>0</v>
      </c>
      <c r="L4" s="232">
        <f>SUBTOTAL(109,L$15:INDEX(L:L,COUNTA($B:$B)+14-COUNTA($B$1:$B$14)))</f>
        <v>0</v>
      </c>
      <c r="M4" s="71">
        <f>SUBTOTAL(109,M$15:INDEX(M:M,COUNTA($B:$B)+14-COUNTA($B$1:$B$14)))</f>
        <v>0</v>
      </c>
      <c r="N4" s="223">
        <f>SUBTOTAL(109,N$15:INDEX(N:N,COUNTA($B:$B)+14-COUNTA($B$1:$B$14)))</f>
        <v>0</v>
      </c>
      <c r="O4" s="220">
        <f>SUBTOTAL(109,O$15:INDEX(O:O,COUNTA($B:$B)+14-COUNTA($B$1:$B$14)))</f>
        <v>0</v>
      </c>
      <c r="P4" s="71">
        <f>SUBTOTAL(109,P$15:INDEX(P:P,COUNTA($B:$B)+14-COUNTA($B$1:$B$14)))</f>
        <v>0</v>
      </c>
      <c r="Q4" s="71">
        <f>SUBTOTAL(109,Q$15:INDEX(Q:Q,COUNTA($B:$B)+14-COUNTA($B$1:$B$14)))</f>
        <v>0</v>
      </c>
      <c r="R4" s="234">
        <f>SUBTOTAL(109,R$15:INDEX(R:R,COUNTA($B:$B)+14-COUNTA($B$1:$B$14)))</f>
        <v>0</v>
      </c>
      <c r="S4" s="359" t="str">
        <f>IF($Q$4=0,"",$V$4/$Q$4)</f>
        <v/>
      </c>
      <c r="T4" s="206"/>
      <c r="U4" s="206"/>
      <c r="V4" s="71">
        <f>SUBTOTAL(109,V$15:INDEX(V:V,COUNTA($B:$B)+14-COUNTA($B$1:$B$14)))</f>
        <v>0</v>
      </c>
      <c r="W4" s="419"/>
      <c r="X4" s="206"/>
      <c r="Y4" s="71">
        <f>SUBTOTAL(109,Y$15:INDEX(Y:Y,COUNTA($B:$B)+14-COUNTA($B$1:$B$14)))</f>
        <v>0</v>
      </c>
      <c r="Z4" s="419" t="str">
        <f>IF($Y$4=0,"",$AA$4/$Y$4)</f>
        <v/>
      </c>
      <c r="AA4" s="71">
        <f>SUBTOTAL(109,AA$15:INDEX(AA:AA,COUNTA($B:$B)+14-COUNTA($B$1:$B$14)))</f>
        <v>0</v>
      </c>
      <c r="AB4" s="160"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06" t="str">
        <f>IF($AI$4=0,"",$V$4/$AI$4)</f>
        <v/>
      </c>
      <c r="AH4" s="206" t="str">
        <f>IF(SUM($AI$4,$AJ$4)=0,"",$AI$4/SUM($AI$4,$AJ$4))</f>
        <v/>
      </c>
      <c r="AI4" s="71">
        <f>SUBTOTAL(109,AI$15:INDEX(AI:AI,COUNTA($B:$B)+14-COUNTA($B$1:$B$14)))</f>
        <v>0</v>
      </c>
      <c r="AJ4" s="71">
        <f>SUBTOTAL(109,AJ$15:INDEX(AJ:AJ,COUNTA($B:$B)+14-COUNTA($B$1:$B$14)))</f>
        <v>0</v>
      </c>
      <c r="AK4" s="419" t="str">
        <f>IF($AI$4=0,"",$AL$4/$AI$4)</f>
        <v/>
      </c>
      <c r="AL4" s="71">
        <f>SUBTOTAL(109,AL$15:INDEX(AL:AL,COUNTA($B:$B)+14-COUNTA($B$1:$B$14)))</f>
        <v>0</v>
      </c>
      <c r="AM4" s="109">
        <f>SUBTOTAL(109,AM$15:INDEX(AM:AM,COUNTA($B:$B)+14-COUNTA($B$1:$B$14)))</f>
        <v>0</v>
      </c>
      <c r="AN4" s="71">
        <f>SUBTOTAL(109,AN$15:INDEX(AN:AN,COUNTA($B:$B)+14-COUNTA($B$1:$B$14)))</f>
        <v>0</v>
      </c>
    </row>
    <row r="5" spans="1:40" s="62" customFormat="1" x14ac:dyDescent="0.2">
      <c r="A5" s="66" t="s">
        <v>99</v>
      </c>
      <c r="B5" s="66" t="s">
        <v>99</v>
      </c>
      <c r="C5" s="66" t="s">
        <v>99</v>
      </c>
      <c r="D5" s="66" t="s">
        <v>99</v>
      </c>
      <c r="E5" s="122" t="s">
        <v>107</v>
      </c>
      <c r="F5" s="72" t="s">
        <v>107</v>
      </c>
      <c r="G5" s="199" t="s">
        <v>107</v>
      </c>
      <c r="H5" s="98" t="s">
        <v>110</v>
      </c>
      <c r="I5" s="72" t="s">
        <v>110</v>
      </c>
      <c r="J5" s="233" t="s">
        <v>110</v>
      </c>
      <c r="K5" s="72" t="s">
        <v>110</v>
      </c>
      <c r="L5" s="233" t="s">
        <v>110</v>
      </c>
      <c r="M5" s="84" t="s">
        <v>110</v>
      </c>
      <c r="N5" s="224" t="s">
        <v>110</v>
      </c>
      <c r="O5" s="78" t="s">
        <v>110</v>
      </c>
      <c r="P5" s="72" t="s">
        <v>110</v>
      </c>
      <c r="Q5" s="72" t="s">
        <v>99</v>
      </c>
      <c r="R5" s="233" t="s">
        <v>110</v>
      </c>
      <c r="S5" s="273" t="s">
        <v>99</v>
      </c>
      <c r="T5" s="208" t="s">
        <v>99</v>
      </c>
      <c r="U5" s="208" t="s">
        <v>99</v>
      </c>
      <c r="V5" s="72" t="s">
        <v>110</v>
      </c>
      <c r="W5" s="415" t="s">
        <v>99</v>
      </c>
      <c r="X5" s="208" t="s">
        <v>99</v>
      </c>
      <c r="Y5" s="72" t="s">
        <v>110</v>
      </c>
      <c r="Z5" s="415" t="s">
        <v>99</v>
      </c>
      <c r="AA5" s="72" t="s">
        <v>110</v>
      </c>
      <c r="AB5" s="161" t="s">
        <v>99</v>
      </c>
      <c r="AC5" s="75" t="s">
        <v>99</v>
      </c>
      <c r="AD5" s="75" t="s">
        <v>99</v>
      </c>
      <c r="AE5" s="75" t="s">
        <v>110</v>
      </c>
      <c r="AF5" s="75" t="s">
        <v>110</v>
      </c>
      <c r="AG5" s="208" t="s">
        <v>99</v>
      </c>
      <c r="AH5" s="208" t="s">
        <v>99</v>
      </c>
      <c r="AI5" s="72" t="s">
        <v>110</v>
      </c>
      <c r="AJ5" s="72" t="s">
        <v>110</v>
      </c>
      <c r="AK5" s="415" t="s">
        <v>99</v>
      </c>
      <c r="AL5" s="72" t="s">
        <v>110</v>
      </c>
      <c r="AM5" s="98" t="s">
        <v>110</v>
      </c>
      <c r="AN5" s="72" t="s">
        <v>110</v>
      </c>
    </row>
    <row r="6" spans="1:40" s="62" customFormat="1" x14ac:dyDescent="0.2">
      <c r="A6" s="66" t="s">
        <v>201</v>
      </c>
      <c r="B6" s="66" t="s">
        <v>201</v>
      </c>
      <c r="C6" s="66" t="s">
        <v>201</v>
      </c>
      <c r="D6" s="66" t="s">
        <v>201</v>
      </c>
      <c r="E6" s="122" t="s">
        <v>93</v>
      </c>
      <c r="F6" s="72" t="s">
        <v>93</v>
      </c>
      <c r="G6" s="199" t="s">
        <v>93</v>
      </c>
      <c r="H6" s="98" t="s">
        <v>111</v>
      </c>
      <c r="I6" s="72" t="s">
        <v>93</v>
      </c>
      <c r="J6" s="233" t="s">
        <v>111</v>
      </c>
      <c r="K6" s="72" t="s">
        <v>93</v>
      </c>
      <c r="L6" s="233" t="s">
        <v>111</v>
      </c>
      <c r="M6" s="84" t="s">
        <v>93</v>
      </c>
      <c r="N6" s="224" t="s">
        <v>111</v>
      </c>
      <c r="O6" s="78" t="s">
        <v>111</v>
      </c>
      <c r="P6" s="72" t="s">
        <v>93</v>
      </c>
      <c r="Q6" s="72" t="s">
        <v>94</v>
      </c>
      <c r="R6" s="233" t="s">
        <v>111</v>
      </c>
      <c r="S6" s="273" t="s">
        <v>113</v>
      </c>
      <c r="T6" s="208" t="s">
        <v>113</v>
      </c>
      <c r="U6" s="208" t="s">
        <v>113</v>
      </c>
      <c r="V6" s="72" t="s">
        <v>93</v>
      </c>
      <c r="W6" s="415" t="s">
        <v>113</v>
      </c>
      <c r="X6" s="208" t="s">
        <v>113</v>
      </c>
      <c r="Y6" s="72" t="s">
        <v>93</v>
      </c>
      <c r="Z6" s="415" t="s">
        <v>113</v>
      </c>
      <c r="AA6" s="72" t="s">
        <v>93</v>
      </c>
      <c r="AB6" s="161" t="s">
        <v>94</v>
      </c>
      <c r="AC6" s="75" t="s">
        <v>94</v>
      </c>
      <c r="AD6" s="75" t="s">
        <v>94</v>
      </c>
      <c r="AE6" s="75" t="s">
        <v>111</v>
      </c>
      <c r="AF6" s="75" t="s">
        <v>111</v>
      </c>
      <c r="AG6" s="208" t="s">
        <v>113</v>
      </c>
      <c r="AH6" s="208" t="s">
        <v>113</v>
      </c>
      <c r="AI6" s="72" t="s">
        <v>93</v>
      </c>
      <c r="AJ6" s="72" t="s">
        <v>93</v>
      </c>
      <c r="AK6" s="415" t="s">
        <v>113</v>
      </c>
      <c r="AL6" s="72" t="s">
        <v>93</v>
      </c>
      <c r="AM6" s="98" t="s">
        <v>111</v>
      </c>
      <c r="AN6" s="72" t="s">
        <v>93</v>
      </c>
    </row>
    <row r="7" spans="1:40" s="62" customFormat="1" x14ac:dyDescent="0.2">
      <c r="A7" s="66" t="s">
        <v>109</v>
      </c>
      <c r="B7" s="66" t="s">
        <v>109</v>
      </c>
      <c r="C7" s="66" t="s">
        <v>109</v>
      </c>
      <c r="D7" s="66" t="s">
        <v>109</v>
      </c>
      <c r="E7" s="122" t="s">
        <v>95</v>
      </c>
      <c r="F7" s="72" t="s">
        <v>95</v>
      </c>
      <c r="G7" s="199" t="s">
        <v>96</v>
      </c>
      <c r="H7" s="98" t="s">
        <v>95</v>
      </c>
      <c r="I7" s="72" t="s">
        <v>95</v>
      </c>
      <c r="J7" s="233" t="s">
        <v>95</v>
      </c>
      <c r="K7" s="72" t="s">
        <v>95</v>
      </c>
      <c r="L7" s="233" t="s">
        <v>95</v>
      </c>
      <c r="M7" s="84" t="s">
        <v>95</v>
      </c>
      <c r="N7" s="224" t="s">
        <v>95</v>
      </c>
      <c r="O7" s="78" t="s">
        <v>95</v>
      </c>
      <c r="P7" s="72" t="s">
        <v>95</v>
      </c>
      <c r="Q7" s="72" t="s">
        <v>95</v>
      </c>
      <c r="R7" s="233" t="s">
        <v>95</v>
      </c>
      <c r="S7" s="273" t="s">
        <v>96</v>
      </c>
      <c r="T7" s="208" t="s">
        <v>96</v>
      </c>
      <c r="U7" s="208" t="s">
        <v>96</v>
      </c>
      <c r="V7" s="72" t="s">
        <v>95</v>
      </c>
      <c r="W7" s="415" t="s">
        <v>96</v>
      </c>
      <c r="X7" s="208" t="s">
        <v>96</v>
      </c>
      <c r="Y7" s="72" t="s">
        <v>95</v>
      </c>
      <c r="Z7" s="415" t="s">
        <v>96</v>
      </c>
      <c r="AA7" s="72" t="s">
        <v>95</v>
      </c>
      <c r="AB7" s="161" t="s">
        <v>96</v>
      </c>
      <c r="AC7" s="75" t="s">
        <v>95</v>
      </c>
      <c r="AD7" s="75" t="s">
        <v>95</v>
      </c>
      <c r="AE7" s="75" t="s">
        <v>95</v>
      </c>
      <c r="AF7" s="75" t="s">
        <v>95</v>
      </c>
      <c r="AG7" s="208" t="s">
        <v>96</v>
      </c>
      <c r="AH7" s="208" t="s">
        <v>96</v>
      </c>
      <c r="AI7" s="72" t="s">
        <v>95</v>
      </c>
      <c r="AJ7" s="72" t="s">
        <v>95</v>
      </c>
      <c r="AK7" s="415" t="s">
        <v>96</v>
      </c>
      <c r="AL7" s="72" t="s">
        <v>95</v>
      </c>
      <c r="AM7" s="98" t="s">
        <v>95</v>
      </c>
      <c r="AN7" s="72" t="s">
        <v>95</v>
      </c>
    </row>
    <row r="8" spans="1:40" s="62" customFormat="1" x14ac:dyDescent="0.2">
      <c r="A8" s="66"/>
      <c r="B8" s="66"/>
      <c r="C8" s="66"/>
      <c r="D8" s="66"/>
      <c r="E8" s="311" t="s">
        <v>177</v>
      </c>
      <c r="F8" s="309" t="s">
        <v>286</v>
      </c>
      <c r="G8" s="422" t="s">
        <v>287</v>
      </c>
      <c r="H8" s="314" t="s">
        <v>187</v>
      </c>
      <c r="I8" s="309" t="s">
        <v>1053</v>
      </c>
      <c r="J8" s="319" t="s">
        <v>189</v>
      </c>
      <c r="K8" s="309" t="s">
        <v>189</v>
      </c>
      <c r="L8" s="319" t="s">
        <v>178</v>
      </c>
      <c r="M8" s="313" t="s">
        <v>178</v>
      </c>
      <c r="N8" s="315" t="s">
        <v>772</v>
      </c>
      <c r="O8" s="320" t="s">
        <v>256</v>
      </c>
      <c r="P8" s="309" t="s">
        <v>256</v>
      </c>
      <c r="Q8" s="72"/>
      <c r="R8" s="319" t="s">
        <v>185</v>
      </c>
      <c r="S8" s="273"/>
      <c r="T8" s="208"/>
      <c r="U8" s="208"/>
      <c r="V8" s="309" t="s">
        <v>185</v>
      </c>
      <c r="W8" s="415"/>
      <c r="X8" s="208"/>
      <c r="Y8" s="309" t="s">
        <v>252</v>
      </c>
      <c r="Z8" s="415"/>
      <c r="AA8" s="309" t="s">
        <v>251</v>
      </c>
      <c r="AB8" s="161"/>
      <c r="AC8" s="75"/>
      <c r="AD8" s="75"/>
      <c r="AE8" s="312" t="s">
        <v>183</v>
      </c>
      <c r="AF8" s="312" t="s">
        <v>183</v>
      </c>
      <c r="AG8" s="208"/>
      <c r="AH8" s="208"/>
      <c r="AI8" s="309" t="s">
        <v>183</v>
      </c>
      <c r="AJ8" s="309" t="s">
        <v>183</v>
      </c>
      <c r="AK8" s="415"/>
      <c r="AL8" s="309" t="s">
        <v>248</v>
      </c>
      <c r="AM8" s="321" t="s">
        <v>270</v>
      </c>
      <c r="AN8" s="309" t="s">
        <v>270</v>
      </c>
    </row>
    <row r="9" spans="1:40" s="62" customFormat="1" x14ac:dyDescent="0.2">
      <c r="A9" s="66"/>
      <c r="B9" s="66"/>
      <c r="C9" s="66"/>
      <c r="D9" s="66"/>
      <c r="E9" s="311"/>
      <c r="F9" s="309"/>
      <c r="G9" s="422"/>
      <c r="H9" s="314" t="s">
        <v>188</v>
      </c>
      <c r="I9" s="309" t="s">
        <v>1054</v>
      </c>
      <c r="J9" s="319" t="s">
        <v>190</v>
      </c>
      <c r="K9" s="309" t="s">
        <v>190</v>
      </c>
      <c r="L9" s="319" t="s">
        <v>179</v>
      </c>
      <c r="M9" s="313" t="s">
        <v>179</v>
      </c>
      <c r="N9" s="315" t="s">
        <v>773</v>
      </c>
      <c r="O9" s="320" t="s">
        <v>257</v>
      </c>
      <c r="P9" s="309" t="s">
        <v>257</v>
      </c>
      <c r="Q9" s="72"/>
      <c r="R9" s="319" t="s">
        <v>186</v>
      </c>
      <c r="S9" s="273"/>
      <c r="T9" s="208"/>
      <c r="U9" s="208"/>
      <c r="V9" s="309" t="s">
        <v>186</v>
      </c>
      <c r="W9" s="415"/>
      <c r="X9" s="208"/>
      <c r="Y9" s="309" t="s">
        <v>253</v>
      </c>
      <c r="Z9" s="415"/>
      <c r="AA9" s="309" t="s">
        <v>250</v>
      </c>
      <c r="AB9" s="161"/>
      <c r="AC9" s="75"/>
      <c r="AD9" s="75"/>
      <c r="AE9" s="312" t="s">
        <v>184</v>
      </c>
      <c r="AF9" s="312" t="s">
        <v>184</v>
      </c>
      <c r="AG9" s="208"/>
      <c r="AH9" s="208"/>
      <c r="AI9" s="309" t="s">
        <v>184</v>
      </c>
      <c r="AJ9" s="309" t="s">
        <v>184</v>
      </c>
      <c r="AK9" s="415"/>
      <c r="AL9" s="309" t="s">
        <v>289</v>
      </c>
      <c r="AM9" s="321" t="s">
        <v>269</v>
      </c>
      <c r="AN9" s="309" t="s">
        <v>269</v>
      </c>
    </row>
    <row r="10" spans="1:40" s="62" customFormat="1" x14ac:dyDescent="0.2">
      <c r="A10" s="66"/>
      <c r="B10" s="66"/>
      <c r="C10" s="66"/>
      <c r="D10" s="66"/>
      <c r="E10" s="311"/>
      <c r="F10" s="309" t="s">
        <v>105</v>
      </c>
      <c r="G10" s="422" t="s">
        <v>105</v>
      </c>
      <c r="H10" s="314"/>
      <c r="I10" s="309"/>
      <c r="J10" s="319"/>
      <c r="K10" s="309"/>
      <c r="L10" s="319"/>
      <c r="M10" s="313"/>
      <c r="N10" s="315" t="s">
        <v>105</v>
      </c>
      <c r="O10" s="320" t="s">
        <v>105</v>
      </c>
      <c r="P10" s="309" t="s">
        <v>105</v>
      </c>
      <c r="Q10" s="72"/>
      <c r="R10" s="319" t="s">
        <v>105</v>
      </c>
      <c r="S10" s="273"/>
      <c r="T10" s="208"/>
      <c r="U10" s="208"/>
      <c r="V10" s="309" t="s">
        <v>105</v>
      </c>
      <c r="W10" s="415"/>
      <c r="X10" s="208"/>
      <c r="Y10" s="309" t="s">
        <v>105</v>
      </c>
      <c r="Z10" s="415"/>
      <c r="AA10" s="309" t="s">
        <v>105</v>
      </c>
      <c r="AB10" s="161"/>
      <c r="AC10" s="75"/>
      <c r="AD10" s="75"/>
      <c r="AE10" s="312" t="s">
        <v>105</v>
      </c>
      <c r="AF10" s="312" t="s">
        <v>122</v>
      </c>
      <c r="AG10" s="208"/>
      <c r="AH10" s="208"/>
      <c r="AI10" s="309" t="s">
        <v>105</v>
      </c>
      <c r="AJ10" s="309" t="s">
        <v>122</v>
      </c>
      <c r="AK10" s="415"/>
      <c r="AL10" s="309" t="s">
        <v>105</v>
      </c>
      <c r="AM10" s="321"/>
      <c r="AN10" s="309"/>
    </row>
    <row r="11" spans="1:40" s="62" customFormat="1" x14ac:dyDescent="0.2">
      <c r="A11" s="66"/>
      <c r="B11" s="66"/>
      <c r="C11" s="66"/>
      <c r="D11" s="66"/>
      <c r="E11" s="122"/>
      <c r="F11" s="119"/>
      <c r="G11" s="423"/>
      <c r="H11" s="98"/>
      <c r="I11" s="72"/>
      <c r="J11" s="233"/>
      <c r="K11" s="72"/>
      <c r="L11" s="233"/>
      <c r="M11" s="214"/>
      <c r="N11" s="225"/>
      <c r="O11" s="221"/>
      <c r="P11" s="72"/>
      <c r="Q11" s="72"/>
      <c r="R11" s="233"/>
      <c r="S11" s="273"/>
      <c r="T11" s="208"/>
      <c r="U11" s="208"/>
      <c r="V11" s="72"/>
      <c r="W11" s="415"/>
      <c r="X11" s="208"/>
      <c r="Y11" s="72"/>
      <c r="Z11" s="415"/>
      <c r="AA11" s="72"/>
      <c r="AB11" s="161"/>
      <c r="AC11" s="75"/>
      <c r="AD11" s="75"/>
      <c r="AE11" s="75"/>
      <c r="AF11" s="75"/>
      <c r="AG11" s="208"/>
      <c r="AH11" s="208"/>
      <c r="AI11" s="72"/>
      <c r="AJ11" s="72"/>
      <c r="AK11" s="415"/>
      <c r="AL11" s="72"/>
      <c r="AM11" s="98"/>
      <c r="AN11" s="72"/>
    </row>
    <row r="12" spans="1:40" s="62" customFormat="1" x14ac:dyDescent="0.2">
      <c r="A12" s="66"/>
      <c r="B12" s="66"/>
      <c r="C12" s="66"/>
      <c r="D12" s="66"/>
      <c r="E12" s="122"/>
      <c r="F12" s="72"/>
      <c r="G12" s="199"/>
      <c r="H12" s="98"/>
      <c r="I12" s="72"/>
      <c r="J12" s="233"/>
      <c r="K12" s="72"/>
      <c r="L12" s="233"/>
      <c r="M12" s="84"/>
      <c r="N12" s="224"/>
      <c r="O12" s="78"/>
      <c r="P12" s="72"/>
      <c r="Q12" s="72"/>
      <c r="R12" s="233"/>
      <c r="S12" s="273"/>
      <c r="T12" s="208"/>
      <c r="U12" s="208"/>
      <c r="V12" s="72"/>
      <c r="W12" s="415"/>
      <c r="X12" s="208"/>
      <c r="Y12" s="72"/>
      <c r="Z12" s="415"/>
      <c r="AA12" s="72"/>
      <c r="AB12" s="161"/>
      <c r="AC12" s="75"/>
      <c r="AD12" s="75"/>
      <c r="AE12" s="75"/>
      <c r="AF12" s="75"/>
      <c r="AG12" s="208"/>
      <c r="AH12" s="208"/>
      <c r="AI12" s="72"/>
      <c r="AJ12" s="72"/>
      <c r="AK12" s="415"/>
      <c r="AL12" s="72"/>
      <c r="AM12" s="98"/>
      <c r="AN12" s="72"/>
    </row>
    <row r="13" spans="1:40" s="62" customFormat="1" x14ac:dyDescent="0.2">
      <c r="A13" s="66"/>
      <c r="B13" s="66"/>
      <c r="C13" s="66"/>
      <c r="D13" s="66"/>
      <c r="E13" s="122" t="s">
        <v>697</v>
      </c>
      <c r="F13" s="72" t="s">
        <v>697</v>
      </c>
      <c r="G13" s="199" t="s">
        <v>697</v>
      </c>
      <c r="H13" s="98" t="s">
        <v>697</v>
      </c>
      <c r="I13" s="72" t="s">
        <v>697</v>
      </c>
      <c r="J13" s="233" t="s">
        <v>697</v>
      </c>
      <c r="K13" s="72" t="s">
        <v>697</v>
      </c>
      <c r="L13" s="233" t="s">
        <v>697</v>
      </c>
      <c r="M13" s="72" t="s">
        <v>697</v>
      </c>
      <c r="N13" s="224" t="s">
        <v>697</v>
      </c>
      <c r="O13" s="78" t="s">
        <v>697</v>
      </c>
      <c r="P13" s="72" t="s">
        <v>697</v>
      </c>
      <c r="Q13" s="72" t="s">
        <v>697</v>
      </c>
      <c r="R13" s="233" t="s">
        <v>697</v>
      </c>
      <c r="S13" s="273" t="s">
        <v>697</v>
      </c>
      <c r="T13" s="208" t="s">
        <v>697</v>
      </c>
      <c r="U13" s="208" t="s">
        <v>697</v>
      </c>
      <c r="V13" s="72" t="s">
        <v>697</v>
      </c>
      <c r="W13" s="415" t="s">
        <v>697</v>
      </c>
      <c r="X13" s="208" t="s">
        <v>697</v>
      </c>
      <c r="Y13" s="72" t="s">
        <v>697</v>
      </c>
      <c r="Z13" s="415" t="s">
        <v>697</v>
      </c>
      <c r="AA13" s="72" t="s">
        <v>697</v>
      </c>
      <c r="AB13" s="161" t="s">
        <v>697</v>
      </c>
      <c r="AC13" s="75" t="s">
        <v>697</v>
      </c>
      <c r="AD13" s="75" t="s">
        <v>697</v>
      </c>
      <c r="AE13" s="75" t="s">
        <v>697</v>
      </c>
      <c r="AF13" s="75" t="s">
        <v>697</v>
      </c>
      <c r="AG13" s="208" t="s">
        <v>697</v>
      </c>
      <c r="AH13" s="208" t="s">
        <v>697</v>
      </c>
      <c r="AI13" s="72" t="s">
        <v>697</v>
      </c>
      <c r="AJ13" s="72" t="s">
        <v>697</v>
      </c>
      <c r="AK13" s="415" t="s">
        <v>697</v>
      </c>
      <c r="AL13" s="72" t="s">
        <v>697</v>
      </c>
      <c r="AM13" s="98" t="s">
        <v>697</v>
      </c>
      <c r="AN13" s="72" t="s">
        <v>697</v>
      </c>
    </row>
    <row r="14" spans="1:40" s="62" customFormat="1" x14ac:dyDescent="0.2">
      <c r="A14" s="52" t="s">
        <v>587</v>
      </c>
      <c r="B14" s="52" t="s">
        <v>5</v>
      </c>
      <c r="C14" s="52" t="s">
        <v>73</v>
      </c>
      <c r="D14" s="52" t="s">
        <v>76</v>
      </c>
      <c r="E14" s="250" t="s">
        <v>782</v>
      </c>
      <c r="F14" s="172" t="s">
        <v>783</v>
      </c>
      <c r="G14" s="198" t="s">
        <v>784</v>
      </c>
      <c r="H14" s="174" t="s">
        <v>463</v>
      </c>
      <c r="I14" s="172" t="s">
        <v>907</v>
      </c>
      <c r="J14" s="174" t="s">
        <v>464</v>
      </c>
      <c r="K14" s="172" t="s">
        <v>465</v>
      </c>
      <c r="L14" s="174" t="s">
        <v>446</v>
      </c>
      <c r="M14" s="172" t="s">
        <v>447</v>
      </c>
      <c r="N14" s="174" t="s">
        <v>614</v>
      </c>
      <c r="O14" s="92" t="s">
        <v>615</v>
      </c>
      <c r="P14" s="172" t="s">
        <v>457</v>
      </c>
      <c r="Q14" s="172" t="s">
        <v>616</v>
      </c>
      <c r="R14" s="174" t="s">
        <v>455</v>
      </c>
      <c r="S14" s="249" t="s">
        <v>617</v>
      </c>
      <c r="T14" s="209" t="s">
        <v>619</v>
      </c>
      <c r="U14" s="209" t="s">
        <v>618</v>
      </c>
      <c r="V14" s="172" t="s">
        <v>456</v>
      </c>
      <c r="W14" s="355" t="s">
        <v>458</v>
      </c>
      <c r="X14" s="209" t="s">
        <v>459</v>
      </c>
      <c r="Y14" s="172" t="s">
        <v>460</v>
      </c>
      <c r="Z14" s="355" t="s">
        <v>461</v>
      </c>
      <c r="AA14" s="172" t="s">
        <v>462</v>
      </c>
      <c r="AB14" s="355" t="s">
        <v>620</v>
      </c>
      <c r="AC14" s="92" t="s">
        <v>621</v>
      </c>
      <c r="AD14" s="92" t="s">
        <v>622</v>
      </c>
      <c r="AE14" s="92" t="s">
        <v>733</v>
      </c>
      <c r="AF14" s="92" t="s">
        <v>734</v>
      </c>
      <c r="AG14" s="209" t="s">
        <v>623</v>
      </c>
      <c r="AH14" s="209" t="s">
        <v>624</v>
      </c>
      <c r="AI14" s="172" t="s">
        <v>450</v>
      </c>
      <c r="AJ14" s="172" t="s">
        <v>451</v>
      </c>
      <c r="AK14" s="355" t="s">
        <v>452</v>
      </c>
      <c r="AL14" s="172" t="s">
        <v>453</v>
      </c>
      <c r="AM14" s="174" t="s">
        <v>613</v>
      </c>
      <c r="AN14" s="172" t="s">
        <v>454</v>
      </c>
    </row>
    <row r="15" spans="1:40" s="40" customFormat="1" x14ac:dyDescent="0.2">
      <c r="A15" s="53"/>
      <c r="B15" s="53"/>
      <c r="C15" s="53"/>
      <c r="D15" s="53" t="str">
        <f>B15&amp;"|"&amp;C15</f>
        <v>|</v>
      </c>
      <c r="E15" s="122"/>
      <c r="F15" s="72"/>
      <c r="G15" s="199"/>
      <c r="H15" s="98"/>
      <c r="I15" s="72"/>
      <c r="J15" s="98"/>
      <c r="K15" s="72"/>
      <c r="L15" s="122"/>
      <c r="M15" s="84"/>
      <c r="N15" s="112"/>
      <c r="O15" s="79"/>
      <c r="P15" s="72"/>
      <c r="Q15" s="84" t="str">
        <f>IF(SUM($O15,$P15)=0,"",$P15-$O15)</f>
        <v/>
      </c>
      <c r="R15" s="112"/>
      <c r="S15" s="248" t="str">
        <f>IF(SUM($Q15)=0,"",100%)</f>
        <v/>
      </c>
      <c r="T15" s="36" t="str">
        <f>IF(SUM($P15)=0,"",98%)</f>
        <v/>
      </c>
      <c r="U15" s="36" t="str">
        <f>IF(SUM($P15)=0,"",98%)</f>
        <v/>
      </c>
      <c r="V15" s="72" t="str">
        <f>IF(SUM($P15)=0,"",ROUND(($P15-($O15*$T15))/$U15,0))</f>
        <v/>
      </c>
      <c r="W15" s="163" t="str">
        <f>IF(SUM($V15)=0,"",70%)</f>
        <v/>
      </c>
      <c r="X15" s="55" t="str">
        <f>IF(SUM($V15)=0,"",100%)</f>
        <v/>
      </c>
      <c r="Y15" s="72" t="str">
        <f>IF(SUM($V15,$O15)=0,"",ROUND(($V15*$W15+$O15)*$X15,0))</f>
        <v/>
      </c>
      <c r="Z15" s="163" t="str">
        <f>IF(SUM($Y15)=0,"",95%)</f>
        <v/>
      </c>
      <c r="AA15" s="72" t="str">
        <f>IF(SUM($Y15)=0,"",ROUND($Y15*$Z15,0))</f>
        <v/>
      </c>
      <c r="AB15" s="161"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1" t="str">
        <f>IF(SUM($AI15)=0,"",100%)</f>
        <v/>
      </c>
      <c r="AL15" s="72" t="str">
        <f>IF(SUM($AI15)=0,"",ROUND($AI15*$AK15,0))</f>
        <v/>
      </c>
      <c r="AM15" s="98"/>
      <c r="AN15" s="72"/>
    </row>
  </sheetData>
  <conditionalFormatting sqref="X1:X1048576">
    <cfRule type="expression" dxfId="95" priority="31">
      <formula>AND(ISNUMBER($X1),ROUND(SUM($Y1),0)&gt;0,ROUND(SUM($X1),2)&lt;1)</formula>
    </cfRule>
  </conditionalFormatting>
  <conditionalFormatting sqref="Z1:Z1048576">
    <cfRule type="expression" dxfId="94" priority="32">
      <formula>AND(ISNUMBER($Z1),SUM($Y1)&gt;0,ROUND(SUM($Z1),2)&lt;95%)</formula>
    </cfRule>
  </conditionalFormatting>
  <conditionalFormatting sqref="AK1:AK1048576">
    <cfRule type="expression" dxfId="93" priority="30">
      <formula>AND(ISNUMBER($AK1),SUM($AI1)&gt;0,ROUND(SUM($AK1),2)&lt;1)</formula>
    </cfRule>
  </conditionalFormatting>
  <conditionalFormatting sqref="E1:G1048576">
    <cfRule type="expression" dxfId="92" priority="17">
      <formula>LEFT($B1,4)="_Mil"</formula>
    </cfRule>
  </conditionalFormatting>
  <conditionalFormatting sqref="W1:W1048576">
    <cfRule type="expression" dxfId="91" priority="11">
      <formula>AND(ISNUMBER($W1),ROUND(SUM($V1),0)&gt;0,ROUND(SUM($W1),2)&lt;70%)</formula>
    </cfRule>
  </conditionalFormatting>
  <conditionalFormatting sqref="AG1:AG1048576">
    <cfRule type="expression" dxfId="90" priority="10">
      <formula>AND(ISNUMBER($AG1),ROUND(SUM($V1),0)&gt;0,ROUND(SUM($AG1),2)&lt;95%)</formula>
    </cfRule>
  </conditionalFormatting>
  <conditionalFormatting sqref="U1:U1048576">
    <cfRule type="expression" dxfId="89" priority="8">
      <formula>AND(ISNUMBER($U1),SUM($V1)&gt;0,ROUND(SUM($U1),2)&lt;98%)</formula>
    </cfRule>
  </conditionalFormatting>
  <conditionalFormatting sqref="S1:S1048576">
    <cfRule type="expression" dxfId="88" priority="4">
      <formula>AND(ISNUMBER($S1),ROUND(SUM($S1),2)&lt;100%)</formula>
    </cfRule>
  </conditionalFormatting>
  <conditionalFormatting sqref="AB1:AB1048576">
    <cfRule type="expression" dxfId="87" priority="5">
      <formula>AND(ISNUMBER($AB1),ROUND(SUM($V1),0)&gt;0,ROUND(SUM($AB1),2)&gt;0)</formula>
    </cfRule>
  </conditionalFormatting>
  <conditionalFormatting sqref="E1:F1048576 H1:R1048576 V1:V1048576 Y1:Y1048576 AA1:AA1048576 AC1:AF1048576 AI1:AJ1048576 AL1:AN1048576">
    <cfRule type="expression" dxfId="86" priority="2">
      <formula>AND(ISNUMBER(E1),ROUND(E1,0)&lt;0)</formula>
    </cfRule>
  </conditionalFormatting>
  <conditionalFormatting sqref="G1:G1048576 S1:U1048576 W1:X1048576 Z1:Z1048576 AB1:AB1048576 AG1:AH1048576 AK1:AK1048576">
    <cfRule type="expression" dxfId="85" priority="1">
      <formula>AND(ISNUMBER(G1),OR(ROUND(G1,2)&lt;0,ROUND(G1,2)&gt;1))</formula>
    </cfRule>
  </conditionalFormatting>
  <conditionalFormatting sqref="T1:T1048576">
    <cfRule type="expression" dxfId="84"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16" customWidth="1"/>
    <col min="7" max="15" width="11.83203125" customWidth="1"/>
    <col min="16" max="16" width="11.83203125" style="416" customWidth="1"/>
    <col min="17" max="33" width="11.83203125" customWidth="1"/>
    <col min="34" max="34" width="11.83203125" style="416" customWidth="1"/>
    <col min="35" max="36" width="11.83203125" customWidth="1"/>
    <col min="37" max="37" width="11.83203125" style="416" customWidth="1"/>
    <col min="38" max="39" width="11.83203125" customWidth="1"/>
    <col min="40" max="40" width="11.83203125" style="416" customWidth="1"/>
    <col min="41" max="42" width="11.83203125" customWidth="1"/>
    <col min="43" max="43" width="11.83203125" style="416" customWidth="1"/>
    <col min="44" max="45" width="11.83203125" customWidth="1"/>
    <col min="46" max="46" width="11.83203125" style="416" customWidth="1"/>
    <col min="47" max="48" width="11.83203125" customWidth="1"/>
    <col min="49" max="49" width="11.83203125" style="416" customWidth="1"/>
    <col min="50" max="51" width="11.83203125" customWidth="1"/>
    <col min="52" max="52" width="11.83203125" style="416" customWidth="1"/>
    <col min="53" max="54" width="11.83203125" customWidth="1"/>
    <col min="55" max="55" width="11.83203125" style="416" customWidth="1"/>
    <col min="56" max="57" width="11.83203125" customWidth="1"/>
    <col min="58" max="58" width="11.83203125" style="416" customWidth="1"/>
    <col min="59" max="60" width="11.83203125" customWidth="1"/>
    <col min="61" max="61" width="11.83203125" style="416" customWidth="1"/>
    <col min="62" max="63" width="11.83203125" customWidth="1"/>
    <col min="64" max="64" width="11.83203125" style="416" customWidth="1"/>
    <col min="65" max="66" width="11.83203125" customWidth="1"/>
    <col min="67" max="67" width="11.83203125" style="416" customWidth="1"/>
    <col min="68" max="78" width="11.83203125" customWidth="1"/>
    <col min="79" max="79" width="11.83203125" style="416" customWidth="1"/>
    <col min="80" max="81" width="11.83203125" customWidth="1"/>
  </cols>
  <sheetData>
    <row r="1" spans="1:81" s="57" customFormat="1" ht="31" customHeight="1" thickBot="1" x14ac:dyDescent="0.35">
      <c r="A1" s="5" t="s">
        <v>10</v>
      </c>
      <c r="B1" s="5"/>
      <c r="C1" s="1"/>
      <c r="D1" s="1"/>
      <c r="E1" s="1"/>
      <c r="F1" s="242" t="s">
        <v>603</v>
      </c>
      <c r="G1" s="357"/>
      <c r="H1" s="130"/>
      <c r="I1" s="130"/>
      <c r="J1" s="130"/>
      <c r="K1" s="130"/>
      <c r="L1" s="130"/>
      <c r="M1" s="130"/>
      <c r="N1" s="130"/>
      <c r="O1" s="130"/>
      <c r="P1" s="242" t="s">
        <v>58</v>
      </c>
      <c r="Q1" s="244"/>
      <c r="R1" s="244"/>
      <c r="S1" s="244"/>
      <c r="T1" s="244"/>
      <c r="U1" s="244"/>
      <c r="V1" s="45"/>
      <c r="W1" s="45"/>
      <c r="X1" s="45"/>
      <c r="Y1" s="45"/>
      <c r="Z1" s="45"/>
      <c r="AA1" s="45"/>
      <c r="AB1" s="45"/>
      <c r="AC1" s="45"/>
      <c r="AD1" s="244"/>
      <c r="AE1" s="244"/>
      <c r="AF1" s="45"/>
      <c r="AG1" s="45"/>
      <c r="AH1" s="242" t="s">
        <v>62</v>
      </c>
      <c r="AI1" s="67"/>
      <c r="AJ1" s="67"/>
      <c r="AK1" s="242" t="s">
        <v>64</v>
      </c>
      <c r="AL1" s="67"/>
      <c r="AM1" s="67"/>
      <c r="AN1" s="242" t="s">
        <v>63</v>
      </c>
      <c r="AO1" s="67"/>
      <c r="AP1" s="67"/>
      <c r="AQ1" s="242" t="s">
        <v>65</v>
      </c>
      <c r="AR1" s="67"/>
      <c r="AS1" s="67"/>
      <c r="AT1" s="242" t="s">
        <v>61</v>
      </c>
      <c r="AU1" s="67"/>
      <c r="AV1" s="67"/>
      <c r="AW1" s="242" t="s">
        <v>67</v>
      </c>
      <c r="AX1" s="67"/>
      <c r="AY1" s="67"/>
      <c r="AZ1" s="242" t="s">
        <v>66</v>
      </c>
      <c r="BA1" s="67"/>
      <c r="BB1" s="67"/>
      <c r="BC1" s="242" t="s">
        <v>925</v>
      </c>
      <c r="BD1" s="67"/>
      <c r="BE1" s="67"/>
      <c r="BF1" s="242" t="s">
        <v>54</v>
      </c>
      <c r="BG1" s="67"/>
      <c r="BH1" s="67"/>
      <c r="BI1" s="242" t="s">
        <v>921</v>
      </c>
      <c r="BJ1" s="67"/>
      <c r="BK1" s="67"/>
      <c r="BL1" s="242" t="s">
        <v>60</v>
      </c>
      <c r="BM1" s="67"/>
      <c r="BN1" s="67"/>
      <c r="BO1" s="110" t="s">
        <v>255</v>
      </c>
      <c r="BP1" s="114"/>
      <c r="BQ1" s="114"/>
      <c r="BR1" s="114"/>
      <c r="BS1" s="114"/>
      <c r="BT1" s="114"/>
      <c r="BU1" s="114"/>
      <c r="BV1" s="114"/>
      <c r="BW1" s="114"/>
      <c r="BX1" s="114"/>
      <c r="BY1" s="114"/>
      <c r="BZ1" s="35"/>
      <c r="CA1" s="110" t="s">
        <v>53</v>
      </c>
      <c r="CB1" s="45"/>
      <c r="CC1" s="67"/>
    </row>
    <row r="2" spans="1:81" s="56" customFormat="1" ht="19" customHeight="1" x14ac:dyDescent="0.25">
      <c r="A2" s="479" t="s">
        <v>770</v>
      </c>
      <c r="B2" s="476"/>
      <c r="C2" s="2"/>
      <c r="D2" s="2"/>
      <c r="E2" s="2"/>
      <c r="F2" s="243" t="s">
        <v>74</v>
      </c>
      <c r="G2" s="245"/>
      <c r="H2" s="155"/>
      <c r="I2" s="155"/>
      <c r="J2" s="155"/>
      <c r="K2" s="155"/>
      <c r="L2" s="155"/>
      <c r="M2" s="155"/>
      <c r="N2" s="155"/>
      <c r="O2" s="155"/>
      <c r="P2" s="243" t="s">
        <v>74</v>
      </c>
      <c r="Q2" s="245"/>
      <c r="R2" s="245"/>
      <c r="S2" s="245"/>
      <c r="T2" s="245"/>
      <c r="U2" s="245"/>
      <c r="V2" s="34" t="s">
        <v>2</v>
      </c>
      <c r="W2" s="34"/>
      <c r="X2" s="34"/>
      <c r="Y2" s="34"/>
      <c r="Z2" s="34"/>
      <c r="AA2" s="34"/>
      <c r="AB2" s="34"/>
      <c r="AC2" s="34"/>
      <c r="AD2" s="245"/>
      <c r="AE2" s="245"/>
      <c r="AF2" s="34"/>
      <c r="AG2" s="34" t="s">
        <v>59</v>
      </c>
      <c r="AH2" s="243" t="s">
        <v>2</v>
      </c>
      <c r="AI2" s="68" t="s">
        <v>3</v>
      </c>
      <c r="AJ2" s="68"/>
      <c r="AK2" s="243" t="s">
        <v>2</v>
      </c>
      <c r="AL2" s="68" t="s">
        <v>3</v>
      </c>
      <c r="AM2" s="68"/>
      <c r="AN2" s="243" t="s">
        <v>2</v>
      </c>
      <c r="AO2" s="68" t="s">
        <v>3</v>
      </c>
      <c r="AP2" s="68"/>
      <c r="AQ2" s="243" t="s">
        <v>2</v>
      </c>
      <c r="AR2" s="68" t="s">
        <v>3</v>
      </c>
      <c r="AS2" s="68"/>
      <c r="AT2" s="243" t="s">
        <v>2</v>
      </c>
      <c r="AU2" s="68" t="s">
        <v>3</v>
      </c>
      <c r="AV2" s="68"/>
      <c r="AW2" s="243" t="s">
        <v>2</v>
      </c>
      <c r="AX2" s="68" t="s">
        <v>3</v>
      </c>
      <c r="AY2" s="68"/>
      <c r="AZ2" s="243" t="s">
        <v>2</v>
      </c>
      <c r="BA2" s="68" t="s">
        <v>3</v>
      </c>
      <c r="BB2" s="68"/>
      <c r="BC2" s="243" t="s">
        <v>2</v>
      </c>
      <c r="BD2" s="68" t="s">
        <v>3</v>
      </c>
      <c r="BE2" s="68"/>
      <c r="BF2" s="243" t="s">
        <v>2</v>
      </c>
      <c r="BG2" s="68" t="s">
        <v>3</v>
      </c>
      <c r="BH2" s="68"/>
      <c r="BI2" s="243" t="s">
        <v>2</v>
      </c>
      <c r="BJ2" s="68" t="s">
        <v>3</v>
      </c>
      <c r="BK2" s="68"/>
      <c r="BL2" s="243" t="s">
        <v>2</v>
      </c>
      <c r="BM2" s="68" t="s">
        <v>3</v>
      </c>
      <c r="BN2" s="68"/>
      <c r="BO2" s="111" t="s">
        <v>59</v>
      </c>
      <c r="BP2" s="269"/>
      <c r="BQ2" s="115"/>
      <c r="BR2" s="115" t="s">
        <v>74</v>
      </c>
      <c r="BS2" s="115"/>
      <c r="BT2" s="115"/>
      <c r="BU2" s="115"/>
      <c r="BV2" s="115"/>
      <c r="BW2" s="115"/>
      <c r="BX2" s="269" t="s">
        <v>3</v>
      </c>
      <c r="BY2" s="269"/>
      <c r="BZ2" s="34"/>
      <c r="CA2" s="108" t="s">
        <v>74</v>
      </c>
      <c r="CB2" s="34" t="s">
        <v>2</v>
      </c>
      <c r="CC2" s="68" t="s">
        <v>3</v>
      </c>
    </row>
    <row r="3" spans="1:81" s="40" customFormat="1" ht="117" customHeight="1" thickBot="1" x14ac:dyDescent="0.25">
      <c r="A3" s="477"/>
      <c r="B3" s="478"/>
      <c r="C3" s="47"/>
      <c r="D3" s="47"/>
      <c r="E3" s="47"/>
      <c r="F3" s="261" t="s">
        <v>810</v>
      </c>
      <c r="G3" s="260" t="s">
        <v>1096</v>
      </c>
      <c r="H3" s="259" t="s">
        <v>803</v>
      </c>
      <c r="I3" s="259" t="s">
        <v>1015</v>
      </c>
      <c r="J3" s="259" t="s">
        <v>1016</v>
      </c>
      <c r="K3" s="259" t="s">
        <v>851</v>
      </c>
      <c r="L3" s="259" t="s">
        <v>852</v>
      </c>
      <c r="M3" s="259" t="s">
        <v>853</v>
      </c>
      <c r="N3" s="259" t="s">
        <v>854</v>
      </c>
      <c r="O3" s="259" t="s">
        <v>855</v>
      </c>
      <c r="P3" s="261" t="s">
        <v>792</v>
      </c>
      <c r="Q3" s="260" t="s">
        <v>791</v>
      </c>
      <c r="R3" s="260" t="s">
        <v>731</v>
      </c>
      <c r="S3" s="260" t="s">
        <v>730</v>
      </c>
      <c r="T3" s="260" t="s">
        <v>729</v>
      </c>
      <c r="U3" s="260" t="s">
        <v>728</v>
      </c>
      <c r="V3" s="262" t="s">
        <v>84</v>
      </c>
      <c r="W3" s="262" t="s">
        <v>86</v>
      </c>
      <c r="X3" s="262" t="s">
        <v>85</v>
      </c>
      <c r="Y3" s="262" t="s">
        <v>87</v>
      </c>
      <c r="Z3" s="262" t="s">
        <v>83</v>
      </c>
      <c r="AA3" s="262" t="s">
        <v>89</v>
      </c>
      <c r="AB3" s="262" t="s">
        <v>88</v>
      </c>
      <c r="AC3" s="262" t="s">
        <v>1009</v>
      </c>
      <c r="AD3" s="263" t="s">
        <v>81</v>
      </c>
      <c r="AE3" s="263" t="s">
        <v>1010</v>
      </c>
      <c r="AF3" s="262" t="s">
        <v>82</v>
      </c>
      <c r="AG3" s="373" t="s">
        <v>90</v>
      </c>
      <c r="AH3" s="376" t="s">
        <v>55</v>
      </c>
      <c r="AI3" s="70" t="s">
        <v>56</v>
      </c>
      <c r="AJ3" s="69" t="s">
        <v>57</v>
      </c>
      <c r="AK3" s="376" t="s">
        <v>55</v>
      </c>
      <c r="AL3" s="70" t="s">
        <v>56</v>
      </c>
      <c r="AM3" s="69" t="s">
        <v>57</v>
      </c>
      <c r="AN3" s="376" t="s">
        <v>55</v>
      </c>
      <c r="AO3" s="70" t="s">
        <v>56</v>
      </c>
      <c r="AP3" s="69" t="s">
        <v>57</v>
      </c>
      <c r="AQ3" s="376" t="s">
        <v>55</v>
      </c>
      <c r="AR3" s="70" t="s">
        <v>56</v>
      </c>
      <c r="AS3" s="69" t="s">
        <v>57</v>
      </c>
      <c r="AT3" s="376" t="s">
        <v>55</v>
      </c>
      <c r="AU3" s="70" t="s">
        <v>56</v>
      </c>
      <c r="AV3" s="69" t="s">
        <v>57</v>
      </c>
      <c r="AW3" s="376" t="s">
        <v>55</v>
      </c>
      <c r="AX3" s="70" t="s">
        <v>56</v>
      </c>
      <c r="AY3" s="69" t="s">
        <v>57</v>
      </c>
      <c r="AZ3" s="376" t="s">
        <v>55</v>
      </c>
      <c r="BA3" s="70" t="s">
        <v>56</v>
      </c>
      <c r="BB3" s="69" t="s">
        <v>57</v>
      </c>
      <c r="BC3" s="376" t="s">
        <v>55</v>
      </c>
      <c r="BD3" s="70" t="s">
        <v>56</v>
      </c>
      <c r="BE3" s="69" t="s">
        <v>57</v>
      </c>
      <c r="BF3" s="376" t="s">
        <v>55</v>
      </c>
      <c r="BG3" s="70" t="s">
        <v>56</v>
      </c>
      <c r="BH3" s="69" t="s">
        <v>57</v>
      </c>
      <c r="BI3" s="376" t="s">
        <v>55</v>
      </c>
      <c r="BJ3" s="70" t="s">
        <v>56</v>
      </c>
      <c r="BK3" s="69" t="s">
        <v>57</v>
      </c>
      <c r="BL3" s="376" t="s">
        <v>55</v>
      </c>
      <c r="BM3" s="70" t="s">
        <v>56</v>
      </c>
      <c r="BN3" s="69" t="s">
        <v>57</v>
      </c>
      <c r="BO3" s="255" t="s">
        <v>1075</v>
      </c>
      <c r="BP3" s="253" t="s">
        <v>1020</v>
      </c>
      <c r="BQ3" s="116" t="s">
        <v>264</v>
      </c>
      <c r="BR3" s="259" t="s">
        <v>1013</v>
      </c>
      <c r="BS3" s="259" t="s">
        <v>1014</v>
      </c>
      <c r="BT3" s="259" t="s">
        <v>856</v>
      </c>
      <c r="BU3" s="259" t="s">
        <v>857</v>
      </c>
      <c r="BV3" s="259" t="s">
        <v>858</v>
      </c>
      <c r="BW3" s="259" t="s">
        <v>859</v>
      </c>
      <c r="BX3" s="253" t="s">
        <v>1074</v>
      </c>
      <c r="BY3" s="253" t="s">
        <v>1073</v>
      </c>
      <c r="BZ3" s="373" t="s">
        <v>1072</v>
      </c>
      <c r="CA3" s="144" t="s">
        <v>1044</v>
      </c>
      <c r="CB3" s="48" t="s">
        <v>261</v>
      </c>
      <c r="CC3" s="69" t="s">
        <v>860</v>
      </c>
    </row>
    <row r="4" spans="1:81" s="40" customFormat="1" x14ac:dyDescent="0.2">
      <c r="A4" s="49"/>
      <c r="B4" s="49"/>
      <c r="C4" s="49"/>
      <c r="D4" s="49" t="s">
        <v>4</v>
      </c>
      <c r="E4" s="49"/>
      <c r="F4" s="160"/>
      <c r="G4" s="247"/>
      <c r="H4" s="117">
        <f>SUBTOTAL(109,H$15:INDEX(H:H,COUNTA($B:$B)+14-COUNTA($B$1:$B$14)))</f>
        <v>0</v>
      </c>
      <c r="I4" s="117">
        <f>SUBTOTAL(109,I$15:INDEX(I:I,COUNTA($B:$B)+14-COUNTA($B$1:$B$14)))</f>
        <v>0</v>
      </c>
      <c r="J4" s="117">
        <f>SUBTOTAL(109,J$15:INDEX(J:J,COUNTA($B:$B)+14-COUNTA($B$1:$B$14)))</f>
        <v>0</v>
      </c>
      <c r="K4" s="117">
        <f>SUBTOTAL(109,K$15:INDEX(K:K,COUNTA($B:$B)+14-COUNTA($B$1:$B$14)))</f>
        <v>0</v>
      </c>
      <c r="L4" s="117">
        <f>SUBTOTAL(109,L$15:INDEX(L:L,COUNTA($B:$B)+14-COUNTA($B$1:$B$14)))</f>
        <v>0</v>
      </c>
      <c r="M4" s="117">
        <f>SUBTOTAL(109,M$15:INDEX(M:M,COUNTA($B:$B)+14-COUNTA($B$1:$B$14)))</f>
        <v>0</v>
      </c>
      <c r="N4" s="117">
        <f>SUBTOTAL(109,N$15:INDEX(N:N,COUNTA($B:$B)+14-COUNTA($B$1:$B$14)))</f>
        <v>0</v>
      </c>
      <c r="O4" s="117">
        <f>SUBTOTAL(109,O$15:INDEX(O:O,COUNTA($B:$B)+14-COUNTA($B$1:$B$14)))</f>
        <v>0</v>
      </c>
      <c r="P4" s="160" t="str">
        <f>IF(OR(SUM($I$4)=0,SUM($H$4)=0),"",SUM($I$4)/SUM($H$4))</f>
        <v/>
      </c>
      <c r="Q4" s="247" t="str">
        <f>IF(OR(SUM($J$4)=0,SUM($H$4)=0),"",SUM($J$4)/SUM($H$4))</f>
        <v/>
      </c>
      <c r="R4" s="247" t="str">
        <f>IF(OR(SUM($H$4)=0,SUM($K$4)=0),"",SUM($K$4)/SUM($H$4))</f>
        <v/>
      </c>
      <c r="S4" s="247" t="str">
        <f>IF(OR(SUM($H$4)=0,SUM($L$4)=0),"",SUM($L$4)/SUM($H$4))</f>
        <v/>
      </c>
      <c r="T4" s="247" t="str">
        <f>IF(OR(SUM($H$4)=0,SUM($M$4)=0),"",SUM($M$4)/SUM($H$4))</f>
        <v/>
      </c>
      <c r="U4" s="247"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47" t="str">
        <f>IF(OR(SUM($H$4)=0,SUM($BG$4)=0),"",SUM($BG$4)/SUM($H$4))</f>
        <v/>
      </c>
      <c r="AE4" s="247" t="str">
        <f>IF(OR(SUM($H$4)=0,SUM($BJ$4)=0),"",SUM($BJ$4)/SUM($H$4))</f>
        <v/>
      </c>
      <c r="AF4" s="50" t="str">
        <f>IF(OR(SUM($H$4)=0,SUM($BM$4)=0),"",SUM($BM$4)/SUM($H$4))</f>
        <v/>
      </c>
      <c r="AG4" s="50">
        <f>SUM($P4:$AF4)</f>
        <v>0</v>
      </c>
      <c r="AH4" s="160" t="str">
        <f>IF(SUM(AI4:AJ4)=0,"",AI4/(SUM(AI4:AJ4)))</f>
        <v/>
      </c>
      <c r="AI4" s="71">
        <f>SUBTOTAL(109,AI$15:INDEX(AI:AI,COUNTA($B:$B)+14-COUNTA($B$1:$B$14)))</f>
        <v>0</v>
      </c>
      <c r="AJ4" s="71">
        <f>SUBTOTAL(109,AJ$15:INDEX(AJ:AJ,COUNTA($B:$B)+14-COUNTA($B$1:$B$14)))</f>
        <v>0</v>
      </c>
      <c r="AK4" s="160" t="str">
        <f>IF(SUM(AL4:AM4)=0,"",AL4/(SUM(AL4:AM4)))</f>
        <v/>
      </c>
      <c r="AL4" s="71">
        <f>SUBTOTAL(109,AL$15:INDEX(AL:AL,COUNTA($B:$B)+14-COUNTA($B$1:$B$14)))</f>
        <v>0</v>
      </c>
      <c r="AM4" s="71">
        <f>SUBTOTAL(109,AM$15:INDEX(AM:AM,COUNTA($B:$B)+14-COUNTA($B$1:$B$14)))</f>
        <v>0</v>
      </c>
      <c r="AN4" s="160" t="str">
        <f>IF(SUM(AO4:AP4)=0,"",AO4/(SUM(AO4:AP4)))</f>
        <v/>
      </c>
      <c r="AO4" s="71">
        <f>SUBTOTAL(109,AO$15:INDEX(AO:AO,COUNTA($B:$B)+14-COUNTA($B$1:$B$14)))</f>
        <v>0</v>
      </c>
      <c r="AP4" s="71">
        <f>SUBTOTAL(109,AP$15:INDEX(AP:AP,COUNTA($B:$B)+14-COUNTA($B$1:$B$14)))</f>
        <v>0</v>
      </c>
      <c r="AQ4" s="160" t="str">
        <f>IF(SUM(AR4:AS4)=0,"",AR4/(SUM(AR4:AS4)))</f>
        <v/>
      </c>
      <c r="AR4" s="71">
        <f>SUBTOTAL(109,AR$15:INDEX(AR:AR,COUNTA($B:$B)+14-COUNTA($B$1:$B$14)))</f>
        <v>0</v>
      </c>
      <c r="AS4" s="71">
        <f>SUBTOTAL(109,AS$15:INDEX(AS:AS,COUNTA($B:$B)+14-COUNTA($B$1:$B$14)))</f>
        <v>0</v>
      </c>
      <c r="AT4" s="160" t="str">
        <f>IF(SUM(AU4:AV4)=0,"",AU4/(SUM(AU4:AV4)))</f>
        <v/>
      </c>
      <c r="AU4" s="71">
        <f>SUBTOTAL(109,AU$15:INDEX(AU:AU,COUNTA($B:$B)+14-COUNTA($B$1:$B$14)))</f>
        <v>0</v>
      </c>
      <c r="AV4" s="71">
        <f>SUBTOTAL(109,AV$15:INDEX(AV:AV,COUNTA($B:$B)+14-COUNTA($B$1:$B$14)))</f>
        <v>0</v>
      </c>
      <c r="AW4" s="160" t="str">
        <f>IF(SUM(AX4:AY4)=0,"",AX4/(SUM(AX4:AY4)))</f>
        <v/>
      </c>
      <c r="AX4" s="71">
        <f>SUBTOTAL(109,AX$15:INDEX(AX:AX,COUNTA($B:$B)+14-COUNTA($B$1:$B$14)))</f>
        <v>0</v>
      </c>
      <c r="AY4" s="71">
        <f>SUBTOTAL(109,AY$15:INDEX(AY:AY,COUNTA($B:$B)+14-COUNTA($B$1:$B$14)))</f>
        <v>0</v>
      </c>
      <c r="AZ4" s="160" t="str">
        <f>IF(SUM(BA4:BB4)=0,"",BA4/(SUM(BA4:BB4)))</f>
        <v/>
      </c>
      <c r="BA4" s="71">
        <f>SUBTOTAL(109,BA$15:INDEX(BA:BA,COUNTA($B:$B)+14-COUNTA($B$1:$B$14)))</f>
        <v>0</v>
      </c>
      <c r="BB4" s="71">
        <f>SUBTOTAL(109,BB$15:INDEX(BB:BB,COUNTA($B:$B)+14-COUNTA($B$1:$B$14)))</f>
        <v>0</v>
      </c>
      <c r="BC4" s="160" t="str">
        <f>IF(SUM(BD4:BE4)=0,"",BD4/(SUM(BD4:BE4)))</f>
        <v/>
      </c>
      <c r="BD4" s="71">
        <f>SUBTOTAL(109,BD$15:INDEX(BD:BD,COUNTA($B:$B)+14-COUNTA($B$1:$B$14)))</f>
        <v>0</v>
      </c>
      <c r="BE4" s="71">
        <f>SUBTOTAL(109,BE$15:INDEX(BE:BE,COUNTA($B:$B)+14-COUNTA($B$1:$B$14)))</f>
        <v>0</v>
      </c>
      <c r="BF4" s="160" t="str">
        <f>IF(SUM(BG4:BH4)=0,"",BG4/(SUM(BG4:BH4)))</f>
        <v/>
      </c>
      <c r="BG4" s="71">
        <f>SUBTOTAL(109,BG$15:INDEX(BG:BG,COUNTA($B:$B)+14-COUNTA($B$1:$B$14)))</f>
        <v>0</v>
      </c>
      <c r="BH4" s="71">
        <f>SUBTOTAL(109,BH$15:INDEX(BH:BH,COUNTA($B:$B)+14-COUNTA($B$1:$B$14)))</f>
        <v>0</v>
      </c>
      <c r="BI4" s="160" t="str">
        <f>IF(SUM(BJ4:BK4)=0,"",BJ4/(SUM(BJ4:BK4)))</f>
        <v/>
      </c>
      <c r="BJ4" s="71">
        <f>SUBTOTAL(109,BJ$15:INDEX(BJ:BJ,COUNTA($B:$B)+14-COUNTA($B$1:$B$14)))</f>
        <v>0</v>
      </c>
      <c r="BK4" s="71">
        <f>SUBTOTAL(109,BK$15:INDEX(BK:BK,COUNTA($B:$B)+14-COUNTA($B$1:$B$14)))</f>
        <v>0</v>
      </c>
      <c r="BL4" s="160" t="str">
        <f>IF(SUM(BM4:BN4)=0,"",BM4/(SUM(BM4:BN4)))</f>
        <v/>
      </c>
      <c r="BM4" s="71">
        <f>SUBTOTAL(109,BM$15:INDEX(BM:BM,COUNTA($B:$B)+14-COUNTA($B$1:$B$14)))</f>
        <v>0</v>
      </c>
      <c r="BN4" s="71">
        <f>SUBTOTAL(109,BN$15:INDEX(BN:BN,COUNTA($B:$B)+14-COUNTA($B$1:$B$14)))</f>
        <v>0</v>
      </c>
      <c r="BO4" s="109">
        <f>SUBTOTAL(109,BO$15:INDEX(BO:BO,COUNTA($B:$B)+14-COUNTA($B$1:$B$14)))</f>
        <v>0</v>
      </c>
      <c r="BP4" s="175">
        <f>SUBTOTAL(109,BP$15:INDEX(BP:BP,COUNTA($B:$B)+14-COUNTA($B$1:$B$14)))</f>
        <v>0</v>
      </c>
      <c r="BQ4" s="117">
        <f>SUBTOTAL(109,BQ$15:INDEX(BQ:BQ,COUNTA($B:$B)+14-COUNTA($B$1:$B$14)))</f>
        <v>0</v>
      </c>
      <c r="BR4" s="117">
        <f>SUBTOTAL(109,BR$15:INDEX(BR:BR,COUNTA($B:$B)+14-COUNTA($B$1:$B$14)))</f>
        <v>0</v>
      </c>
      <c r="BS4" s="117">
        <f>SUBTOTAL(109,BS$15:INDEX(BS:BS,COUNTA($B:$B)+14-COUNTA($B$1:$B$14)))</f>
        <v>0</v>
      </c>
      <c r="BT4" s="117">
        <f>SUBTOTAL(109,BT$15:INDEX(BT:BT,COUNTA($B:$B)+14-COUNTA($B$1:$B$14)))</f>
        <v>0</v>
      </c>
      <c r="BU4" s="117">
        <f>SUBTOTAL(109,BU$15:INDEX(BU:BU,COUNTA($B:$B)+14-COUNTA($B$1:$B$14)))</f>
        <v>0</v>
      </c>
      <c r="BV4" s="117">
        <f>SUBTOTAL(109,BV$15:INDEX(BV:BV,COUNTA($B:$B)+14-COUNTA($B$1:$B$14)))</f>
        <v>0</v>
      </c>
      <c r="BW4" s="117">
        <f>SUBTOTAL(109,BW$15:INDEX(BW:BW,COUNTA($B:$B)+14-COUNTA($B$1:$B$14)))</f>
        <v>0</v>
      </c>
      <c r="BX4" s="175">
        <f>SUBTOTAL(109,BX$15:INDEX(BX:BX,COUNTA($B:$B)+14-COUNTA($B$1:$B$14)))</f>
        <v>0</v>
      </c>
      <c r="BY4" s="71">
        <f>SUBTOTAL(109,BY$15:INDEX(BY:BY,COUNTA($B:$B)+14-COUNTA($B$1:$B$14)))</f>
        <v>0</v>
      </c>
      <c r="BZ4" s="50" t="str">
        <f>IF($BY$4=0,"",$BP$4/$BY$4)</f>
        <v/>
      </c>
      <c r="CA4" s="109">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1" t="s">
        <v>99</v>
      </c>
      <c r="G5" s="169" t="s">
        <v>99</v>
      </c>
      <c r="H5" s="97" t="s">
        <v>99</v>
      </c>
      <c r="I5" s="97" t="s">
        <v>99</v>
      </c>
      <c r="J5" s="97" t="s">
        <v>99</v>
      </c>
      <c r="K5" s="97" t="s">
        <v>99</v>
      </c>
      <c r="L5" s="97" t="s">
        <v>99</v>
      </c>
      <c r="M5" s="97" t="s">
        <v>99</v>
      </c>
      <c r="N5" s="97" t="s">
        <v>99</v>
      </c>
      <c r="O5" s="97" t="s">
        <v>99</v>
      </c>
      <c r="P5" s="161" t="s">
        <v>99</v>
      </c>
      <c r="Q5" s="36" t="s">
        <v>99</v>
      </c>
      <c r="R5" s="248"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1" t="s">
        <v>99</v>
      </c>
      <c r="AI5" s="72" t="s">
        <v>110</v>
      </c>
      <c r="AJ5" s="72" t="s">
        <v>110</v>
      </c>
      <c r="AK5" s="161" t="s">
        <v>99</v>
      </c>
      <c r="AL5" s="72" t="s">
        <v>110</v>
      </c>
      <c r="AM5" s="72" t="s">
        <v>110</v>
      </c>
      <c r="AN5" s="161" t="s">
        <v>99</v>
      </c>
      <c r="AO5" s="72" t="s">
        <v>110</v>
      </c>
      <c r="AP5" s="72" t="s">
        <v>110</v>
      </c>
      <c r="AQ5" s="161" t="s">
        <v>99</v>
      </c>
      <c r="AR5" s="72" t="s">
        <v>110</v>
      </c>
      <c r="AS5" s="72" t="s">
        <v>110</v>
      </c>
      <c r="AT5" s="161" t="s">
        <v>99</v>
      </c>
      <c r="AU5" s="72" t="s">
        <v>110</v>
      </c>
      <c r="AV5" s="72" t="s">
        <v>110</v>
      </c>
      <c r="AW5" s="161" t="s">
        <v>99</v>
      </c>
      <c r="AX5" s="72" t="s">
        <v>110</v>
      </c>
      <c r="AY5" s="72" t="s">
        <v>110</v>
      </c>
      <c r="AZ5" s="161" t="s">
        <v>99</v>
      </c>
      <c r="BA5" s="72" t="s">
        <v>110</v>
      </c>
      <c r="BB5" s="72" t="s">
        <v>110</v>
      </c>
      <c r="BC5" s="161" t="s">
        <v>99</v>
      </c>
      <c r="BD5" s="72" t="s">
        <v>110</v>
      </c>
      <c r="BE5" s="72" t="s">
        <v>110</v>
      </c>
      <c r="BF5" s="161" t="s">
        <v>99</v>
      </c>
      <c r="BG5" s="72" t="s">
        <v>110</v>
      </c>
      <c r="BH5" s="72" t="s">
        <v>110</v>
      </c>
      <c r="BI5" s="161" t="s">
        <v>99</v>
      </c>
      <c r="BJ5" s="72" t="s">
        <v>110</v>
      </c>
      <c r="BK5" s="72" t="s">
        <v>110</v>
      </c>
      <c r="BL5" s="161" t="s">
        <v>99</v>
      </c>
      <c r="BM5" s="72" t="s">
        <v>110</v>
      </c>
      <c r="BN5" s="72" t="s">
        <v>110</v>
      </c>
      <c r="BO5" s="98" t="s">
        <v>99</v>
      </c>
      <c r="BP5" s="104" t="s">
        <v>99</v>
      </c>
      <c r="BQ5" s="97" t="s">
        <v>99</v>
      </c>
      <c r="BR5" s="97" t="s">
        <v>99</v>
      </c>
      <c r="BS5" s="97" t="s">
        <v>99</v>
      </c>
      <c r="BT5" s="97" t="s">
        <v>99</v>
      </c>
      <c r="BU5" s="97" t="s">
        <v>99</v>
      </c>
      <c r="BV5" s="97" t="s">
        <v>99</v>
      </c>
      <c r="BW5" s="97" t="s">
        <v>99</v>
      </c>
      <c r="BX5" s="104" t="s">
        <v>99</v>
      </c>
      <c r="BY5" s="72" t="s">
        <v>99</v>
      </c>
      <c r="BZ5" s="36" t="s">
        <v>99</v>
      </c>
      <c r="CA5" s="98" t="s">
        <v>110</v>
      </c>
      <c r="CB5" s="36" t="s">
        <v>99</v>
      </c>
      <c r="CC5" s="72" t="s">
        <v>110</v>
      </c>
    </row>
    <row r="6" spans="1:81" s="40" customFormat="1" x14ac:dyDescent="0.2">
      <c r="A6" s="42" t="s">
        <v>201</v>
      </c>
      <c r="B6" s="42" t="s">
        <v>201</v>
      </c>
      <c r="C6" s="42" t="s">
        <v>201</v>
      </c>
      <c r="D6" s="42" t="s">
        <v>201</v>
      </c>
      <c r="E6" s="42" t="s">
        <v>201</v>
      </c>
      <c r="F6" s="161" t="s">
        <v>94</v>
      </c>
      <c r="G6" s="169" t="s">
        <v>94</v>
      </c>
      <c r="H6" s="97" t="s">
        <v>94</v>
      </c>
      <c r="I6" s="97" t="s">
        <v>94</v>
      </c>
      <c r="J6" s="97" t="s">
        <v>94</v>
      </c>
      <c r="K6" s="97" t="s">
        <v>94</v>
      </c>
      <c r="L6" s="97" t="s">
        <v>94</v>
      </c>
      <c r="M6" s="97" t="s">
        <v>94</v>
      </c>
      <c r="N6" s="97" t="s">
        <v>94</v>
      </c>
      <c r="O6" s="97" t="s">
        <v>94</v>
      </c>
      <c r="P6" s="161" t="s">
        <v>94</v>
      </c>
      <c r="Q6" s="36" t="s">
        <v>94</v>
      </c>
      <c r="R6" s="248"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1" t="s">
        <v>112</v>
      </c>
      <c r="AI6" s="72" t="s">
        <v>93</v>
      </c>
      <c r="AJ6" s="72" t="s">
        <v>93</v>
      </c>
      <c r="AK6" s="161" t="s">
        <v>112</v>
      </c>
      <c r="AL6" s="72" t="s">
        <v>93</v>
      </c>
      <c r="AM6" s="72" t="s">
        <v>93</v>
      </c>
      <c r="AN6" s="161" t="s">
        <v>112</v>
      </c>
      <c r="AO6" s="72" t="s">
        <v>93</v>
      </c>
      <c r="AP6" s="72" t="s">
        <v>93</v>
      </c>
      <c r="AQ6" s="161" t="s">
        <v>112</v>
      </c>
      <c r="AR6" s="72" t="s">
        <v>93</v>
      </c>
      <c r="AS6" s="72" t="s">
        <v>93</v>
      </c>
      <c r="AT6" s="161" t="s">
        <v>112</v>
      </c>
      <c r="AU6" s="72" t="s">
        <v>93</v>
      </c>
      <c r="AV6" s="72" t="s">
        <v>93</v>
      </c>
      <c r="AW6" s="161" t="s">
        <v>112</v>
      </c>
      <c r="AX6" s="72" t="s">
        <v>93</v>
      </c>
      <c r="AY6" s="72" t="s">
        <v>93</v>
      </c>
      <c r="AZ6" s="161" t="s">
        <v>112</v>
      </c>
      <c r="BA6" s="72" t="s">
        <v>93</v>
      </c>
      <c r="BB6" s="72" t="s">
        <v>93</v>
      </c>
      <c r="BC6" s="161" t="s">
        <v>113</v>
      </c>
      <c r="BD6" s="72" t="s">
        <v>93</v>
      </c>
      <c r="BE6" s="72" t="s">
        <v>93</v>
      </c>
      <c r="BF6" s="161" t="s">
        <v>112</v>
      </c>
      <c r="BG6" s="72" t="s">
        <v>93</v>
      </c>
      <c r="BH6" s="72" t="s">
        <v>93</v>
      </c>
      <c r="BI6" s="161" t="s">
        <v>113</v>
      </c>
      <c r="BJ6" s="72" t="s">
        <v>93</v>
      </c>
      <c r="BK6" s="72" t="s">
        <v>93</v>
      </c>
      <c r="BL6" s="161" t="s">
        <v>112</v>
      </c>
      <c r="BM6" s="72" t="s">
        <v>93</v>
      </c>
      <c r="BN6" s="72" t="s">
        <v>93</v>
      </c>
      <c r="BO6" s="98" t="s">
        <v>94</v>
      </c>
      <c r="BP6" s="104" t="s">
        <v>94</v>
      </c>
      <c r="BQ6" s="97" t="s">
        <v>94</v>
      </c>
      <c r="BR6" s="97" t="s">
        <v>94</v>
      </c>
      <c r="BS6" s="97" t="s">
        <v>94</v>
      </c>
      <c r="BT6" s="97" t="s">
        <v>94</v>
      </c>
      <c r="BU6" s="97" t="s">
        <v>94</v>
      </c>
      <c r="BV6" s="97" t="s">
        <v>94</v>
      </c>
      <c r="BW6" s="97" t="s">
        <v>94</v>
      </c>
      <c r="BX6" s="104" t="s">
        <v>94</v>
      </c>
      <c r="BY6" s="72" t="s">
        <v>94</v>
      </c>
      <c r="BZ6" s="36" t="s">
        <v>94</v>
      </c>
      <c r="CA6" s="98" t="s">
        <v>111</v>
      </c>
      <c r="CB6" s="36" t="s">
        <v>113</v>
      </c>
      <c r="CC6" s="72" t="s">
        <v>93</v>
      </c>
    </row>
    <row r="7" spans="1:81" s="40" customFormat="1" x14ac:dyDescent="0.2">
      <c r="A7" s="42" t="s">
        <v>109</v>
      </c>
      <c r="B7" s="42" t="s">
        <v>109</v>
      </c>
      <c r="C7" s="42" t="s">
        <v>109</v>
      </c>
      <c r="D7" s="42" t="s">
        <v>109</v>
      </c>
      <c r="E7" s="42" t="s">
        <v>109</v>
      </c>
      <c r="F7" s="161" t="s">
        <v>96</v>
      </c>
      <c r="G7" s="169" t="s">
        <v>96</v>
      </c>
      <c r="H7" s="97" t="s">
        <v>95</v>
      </c>
      <c r="I7" s="97" t="s">
        <v>95</v>
      </c>
      <c r="J7" s="97" t="s">
        <v>95</v>
      </c>
      <c r="K7" s="97" t="s">
        <v>95</v>
      </c>
      <c r="L7" s="97" t="s">
        <v>95</v>
      </c>
      <c r="M7" s="97" t="s">
        <v>95</v>
      </c>
      <c r="N7" s="97" t="s">
        <v>95</v>
      </c>
      <c r="O7" s="97" t="s">
        <v>95</v>
      </c>
      <c r="P7" s="161" t="s">
        <v>96</v>
      </c>
      <c r="Q7" s="36" t="s">
        <v>96</v>
      </c>
      <c r="R7" s="248"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1" t="s">
        <v>96</v>
      </c>
      <c r="AI7" s="72" t="s">
        <v>95</v>
      </c>
      <c r="AJ7" s="72" t="s">
        <v>95</v>
      </c>
      <c r="AK7" s="161" t="s">
        <v>96</v>
      </c>
      <c r="AL7" s="72" t="s">
        <v>95</v>
      </c>
      <c r="AM7" s="72" t="s">
        <v>95</v>
      </c>
      <c r="AN7" s="161" t="s">
        <v>96</v>
      </c>
      <c r="AO7" s="72" t="s">
        <v>95</v>
      </c>
      <c r="AP7" s="72" t="s">
        <v>95</v>
      </c>
      <c r="AQ7" s="161" t="s">
        <v>96</v>
      </c>
      <c r="AR7" s="72" t="s">
        <v>95</v>
      </c>
      <c r="AS7" s="72" t="s">
        <v>95</v>
      </c>
      <c r="AT7" s="161" t="s">
        <v>96</v>
      </c>
      <c r="AU7" s="72" t="s">
        <v>95</v>
      </c>
      <c r="AV7" s="72" t="s">
        <v>95</v>
      </c>
      <c r="AW7" s="161" t="s">
        <v>96</v>
      </c>
      <c r="AX7" s="72" t="s">
        <v>95</v>
      </c>
      <c r="AY7" s="72" t="s">
        <v>95</v>
      </c>
      <c r="AZ7" s="161" t="s">
        <v>96</v>
      </c>
      <c r="BA7" s="72" t="s">
        <v>95</v>
      </c>
      <c r="BB7" s="72" t="s">
        <v>95</v>
      </c>
      <c r="BC7" s="161" t="s">
        <v>96</v>
      </c>
      <c r="BD7" s="72" t="s">
        <v>95</v>
      </c>
      <c r="BE7" s="72" t="s">
        <v>95</v>
      </c>
      <c r="BF7" s="161" t="s">
        <v>96</v>
      </c>
      <c r="BG7" s="72" t="s">
        <v>95</v>
      </c>
      <c r="BH7" s="72" t="s">
        <v>95</v>
      </c>
      <c r="BI7" s="161" t="s">
        <v>96</v>
      </c>
      <c r="BJ7" s="72" t="s">
        <v>95</v>
      </c>
      <c r="BK7" s="72" t="s">
        <v>95</v>
      </c>
      <c r="BL7" s="161" t="s">
        <v>96</v>
      </c>
      <c r="BM7" s="72" t="s">
        <v>95</v>
      </c>
      <c r="BN7" s="72" t="s">
        <v>95</v>
      </c>
      <c r="BO7" s="98" t="s">
        <v>95</v>
      </c>
      <c r="BP7" s="104" t="s">
        <v>95</v>
      </c>
      <c r="BQ7" s="97" t="s">
        <v>95</v>
      </c>
      <c r="BR7" s="97" t="s">
        <v>95</v>
      </c>
      <c r="BS7" s="97" t="s">
        <v>95</v>
      </c>
      <c r="BT7" s="97" t="s">
        <v>95</v>
      </c>
      <c r="BU7" s="97" t="s">
        <v>95</v>
      </c>
      <c r="BV7" s="97" t="s">
        <v>95</v>
      </c>
      <c r="BW7" s="97" t="s">
        <v>95</v>
      </c>
      <c r="BX7" s="104" t="s">
        <v>95</v>
      </c>
      <c r="BY7" s="72" t="s">
        <v>95</v>
      </c>
      <c r="BZ7" s="36" t="s">
        <v>96</v>
      </c>
      <c r="CA7" s="98" t="s">
        <v>95</v>
      </c>
      <c r="CB7" s="36" t="s">
        <v>96</v>
      </c>
      <c r="CC7" s="72" t="s">
        <v>95</v>
      </c>
    </row>
    <row r="8" spans="1:81" s="40" customFormat="1" x14ac:dyDescent="0.2">
      <c r="A8" s="42"/>
      <c r="B8" s="42"/>
      <c r="C8" s="42"/>
      <c r="D8" s="42"/>
      <c r="E8" s="42"/>
      <c r="F8" s="161"/>
      <c r="G8" s="169"/>
      <c r="H8" s="97"/>
      <c r="I8" s="97"/>
      <c r="J8" s="97"/>
      <c r="K8" s="97"/>
      <c r="L8" s="97"/>
      <c r="M8" s="97"/>
      <c r="N8" s="97"/>
      <c r="O8" s="97"/>
      <c r="P8" s="161"/>
      <c r="Q8" s="36"/>
      <c r="R8" s="248"/>
      <c r="S8" s="36"/>
      <c r="T8" s="36"/>
      <c r="U8" s="36"/>
      <c r="V8" s="36"/>
      <c r="W8" s="36"/>
      <c r="X8" s="36"/>
      <c r="Y8" s="36"/>
      <c r="Z8" s="36"/>
      <c r="AA8" s="36"/>
      <c r="AB8" s="36"/>
      <c r="AC8" s="36"/>
      <c r="AD8" s="36"/>
      <c r="AE8" s="36"/>
      <c r="AF8" s="36"/>
      <c r="AG8" s="36"/>
      <c r="AH8" s="161"/>
      <c r="AI8" s="309" t="s">
        <v>155</v>
      </c>
      <c r="AJ8" s="309" t="s">
        <v>155</v>
      </c>
      <c r="AK8" s="331"/>
      <c r="AL8" s="309" t="s">
        <v>159</v>
      </c>
      <c r="AM8" s="309" t="s">
        <v>159</v>
      </c>
      <c r="AN8" s="331"/>
      <c r="AO8" s="309" t="s">
        <v>157</v>
      </c>
      <c r="AP8" s="309" t="s">
        <v>157</v>
      </c>
      <c r="AQ8" s="161"/>
      <c r="AR8" s="309" t="s">
        <v>161</v>
      </c>
      <c r="AS8" s="309" t="s">
        <v>161</v>
      </c>
      <c r="AT8" s="331"/>
      <c r="AU8" s="309" t="s">
        <v>153</v>
      </c>
      <c r="AV8" s="309" t="s">
        <v>153</v>
      </c>
      <c r="AW8" s="331"/>
      <c r="AX8" s="309" t="s">
        <v>165</v>
      </c>
      <c r="AY8" s="309" t="s">
        <v>165</v>
      </c>
      <c r="AZ8" s="331"/>
      <c r="BA8" s="309" t="s">
        <v>163</v>
      </c>
      <c r="BB8" s="309" t="s">
        <v>163</v>
      </c>
      <c r="BC8" s="161"/>
      <c r="BD8" s="309" t="s">
        <v>1055</v>
      </c>
      <c r="BE8" s="309" t="s">
        <v>1055</v>
      </c>
      <c r="BF8" s="161"/>
      <c r="BG8" s="309" t="s">
        <v>149</v>
      </c>
      <c r="BH8" s="309" t="s">
        <v>149</v>
      </c>
      <c r="BI8" s="161"/>
      <c r="BJ8" s="309" t="s">
        <v>1057</v>
      </c>
      <c r="BK8" s="309" t="s">
        <v>1057</v>
      </c>
      <c r="BL8" s="161"/>
      <c r="BM8" s="309" t="s">
        <v>151</v>
      </c>
      <c r="BN8" s="309" t="s">
        <v>151</v>
      </c>
      <c r="BO8" s="98"/>
      <c r="BP8" s="104"/>
      <c r="BQ8" s="97"/>
      <c r="BR8" s="97"/>
      <c r="BS8" s="97"/>
      <c r="BT8" s="97"/>
      <c r="BU8" s="97"/>
      <c r="BV8" s="97"/>
      <c r="BW8" s="97"/>
      <c r="BX8" s="104"/>
      <c r="BY8" s="72"/>
      <c r="BZ8" s="36"/>
      <c r="CA8" s="318" t="s">
        <v>267</v>
      </c>
      <c r="CB8" s="36"/>
      <c r="CC8" s="309" t="s">
        <v>267</v>
      </c>
    </row>
    <row r="9" spans="1:81" s="40" customFormat="1" x14ac:dyDescent="0.2">
      <c r="A9" s="42"/>
      <c r="B9" s="42"/>
      <c r="C9" s="42"/>
      <c r="D9" s="42"/>
      <c r="E9" s="42"/>
      <c r="F9" s="161"/>
      <c r="G9" s="169"/>
      <c r="H9" s="97"/>
      <c r="I9" s="97"/>
      <c r="J9" s="97"/>
      <c r="K9" s="97"/>
      <c r="L9" s="97"/>
      <c r="M9" s="97"/>
      <c r="N9" s="97"/>
      <c r="O9" s="97"/>
      <c r="P9" s="161"/>
      <c r="Q9" s="36"/>
      <c r="R9" s="248"/>
      <c r="S9" s="36"/>
      <c r="T9" s="36"/>
      <c r="U9" s="36"/>
      <c r="V9" s="36"/>
      <c r="W9" s="36"/>
      <c r="X9" s="36"/>
      <c r="Y9" s="36"/>
      <c r="Z9" s="36"/>
      <c r="AA9" s="36"/>
      <c r="AB9" s="36"/>
      <c r="AC9" s="36"/>
      <c r="AD9" s="36"/>
      <c r="AE9" s="36"/>
      <c r="AF9" s="36"/>
      <c r="AG9" s="36"/>
      <c r="AH9" s="161"/>
      <c r="AI9" s="309" t="s">
        <v>156</v>
      </c>
      <c r="AJ9" s="309" t="s">
        <v>156</v>
      </c>
      <c r="AK9" s="331"/>
      <c r="AL9" s="309" t="s">
        <v>160</v>
      </c>
      <c r="AM9" s="309" t="s">
        <v>160</v>
      </c>
      <c r="AN9" s="331"/>
      <c r="AO9" s="309" t="s">
        <v>158</v>
      </c>
      <c r="AP9" s="309" t="s">
        <v>158</v>
      </c>
      <c r="AQ9" s="161"/>
      <c r="AR9" s="309" t="s">
        <v>162</v>
      </c>
      <c r="AS9" s="309" t="s">
        <v>162</v>
      </c>
      <c r="AT9" s="331"/>
      <c r="AU9" s="309" t="s">
        <v>154</v>
      </c>
      <c r="AV9" s="309" t="s">
        <v>154</v>
      </c>
      <c r="AW9" s="331"/>
      <c r="AX9" s="309" t="s">
        <v>166</v>
      </c>
      <c r="AY9" s="309" t="s">
        <v>166</v>
      </c>
      <c r="AZ9" s="331"/>
      <c r="BA9" s="309" t="s">
        <v>164</v>
      </c>
      <c r="BB9" s="309" t="s">
        <v>164</v>
      </c>
      <c r="BC9" s="161"/>
      <c r="BD9" s="309" t="s">
        <v>1056</v>
      </c>
      <c r="BE9" s="309" t="s">
        <v>1056</v>
      </c>
      <c r="BF9" s="161"/>
      <c r="BG9" s="309" t="s">
        <v>150</v>
      </c>
      <c r="BH9" s="309" t="s">
        <v>150</v>
      </c>
      <c r="BI9" s="161"/>
      <c r="BJ9" s="309" t="s">
        <v>1058</v>
      </c>
      <c r="BK9" s="309" t="s">
        <v>1058</v>
      </c>
      <c r="BL9" s="161"/>
      <c r="BM9" s="309" t="s">
        <v>152</v>
      </c>
      <c r="BN9" s="309" t="s">
        <v>152</v>
      </c>
      <c r="BO9" s="98"/>
      <c r="BP9" s="104"/>
      <c r="BQ9" s="97"/>
      <c r="BR9" s="97"/>
      <c r="BS9" s="97"/>
      <c r="BT9" s="97"/>
      <c r="BU9" s="97"/>
      <c r="BV9" s="97"/>
      <c r="BW9" s="97"/>
      <c r="BX9" s="104"/>
      <c r="BY9" s="72"/>
      <c r="BZ9" s="36"/>
      <c r="CA9" s="318" t="s">
        <v>268</v>
      </c>
      <c r="CB9" s="36"/>
      <c r="CC9" s="309" t="s">
        <v>268</v>
      </c>
    </row>
    <row r="10" spans="1:81" s="40" customFormat="1" x14ac:dyDescent="0.2">
      <c r="A10" s="42"/>
      <c r="B10" s="42"/>
      <c r="C10" s="42"/>
      <c r="D10" s="42"/>
      <c r="E10" s="42"/>
      <c r="F10" s="161"/>
      <c r="G10" s="169"/>
      <c r="H10" s="97"/>
      <c r="I10" s="97"/>
      <c r="J10" s="97"/>
      <c r="K10" s="97"/>
      <c r="L10" s="97"/>
      <c r="M10" s="97"/>
      <c r="N10" s="97"/>
      <c r="O10" s="97"/>
      <c r="P10" s="161"/>
      <c r="Q10" s="36"/>
      <c r="R10" s="248"/>
      <c r="S10" s="36"/>
      <c r="T10" s="36"/>
      <c r="U10" s="36"/>
      <c r="V10" s="36"/>
      <c r="W10" s="36"/>
      <c r="X10" s="36"/>
      <c r="Y10" s="36"/>
      <c r="Z10" s="36"/>
      <c r="AA10" s="36"/>
      <c r="AB10" s="36"/>
      <c r="AC10" s="36"/>
      <c r="AD10" s="36"/>
      <c r="AE10" s="36"/>
      <c r="AF10" s="36"/>
      <c r="AG10" s="36"/>
      <c r="AH10" s="161"/>
      <c r="AI10" s="309" t="s">
        <v>105</v>
      </c>
      <c r="AJ10" s="309" t="s">
        <v>122</v>
      </c>
      <c r="AK10" s="331"/>
      <c r="AL10" s="309" t="s">
        <v>105</v>
      </c>
      <c r="AM10" s="309" t="s">
        <v>122</v>
      </c>
      <c r="AN10" s="331"/>
      <c r="AO10" s="309" t="s">
        <v>105</v>
      </c>
      <c r="AP10" s="309" t="s">
        <v>122</v>
      </c>
      <c r="AQ10" s="161"/>
      <c r="AR10" s="309" t="s">
        <v>105</v>
      </c>
      <c r="AS10" s="309" t="s">
        <v>122</v>
      </c>
      <c r="AT10" s="331"/>
      <c r="AU10" s="309" t="s">
        <v>105</v>
      </c>
      <c r="AV10" s="309" t="s">
        <v>122</v>
      </c>
      <c r="AW10" s="331"/>
      <c r="AX10" s="309" t="s">
        <v>105</v>
      </c>
      <c r="AY10" s="309" t="s">
        <v>122</v>
      </c>
      <c r="AZ10" s="331"/>
      <c r="BA10" s="309" t="s">
        <v>105</v>
      </c>
      <c r="BB10" s="309" t="s">
        <v>122</v>
      </c>
      <c r="BC10" s="161"/>
      <c r="BD10" s="309" t="s">
        <v>105</v>
      </c>
      <c r="BE10" s="309" t="s">
        <v>122</v>
      </c>
      <c r="BF10" s="161"/>
      <c r="BG10" s="309" t="s">
        <v>105</v>
      </c>
      <c r="BH10" s="309" t="s">
        <v>122</v>
      </c>
      <c r="BI10" s="161"/>
      <c r="BJ10" s="309" t="s">
        <v>105</v>
      </c>
      <c r="BK10" s="309" t="s">
        <v>122</v>
      </c>
      <c r="BL10" s="161"/>
      <c r="BM10" s="309" t="s">
        <v>105</v>
      </c>
      <c r="BN10" s="309" t="s">
        <v>122</v>
      </c>
      <c r="BO10" s="98"/>
      <c r="BP10" s="104"/>
      <c r="BQ10" s="97"/>
      <c r="BR10" s="97"/>
      <c r="BS10" s="97"/>
      <c r="BT10" s="97"/>
      <c r="BU10" s="97"/>
      <c r="BV10" s="97"/>
      <c r="BW10" s="97"/>
      <c r="BX10" s="104"/>
      <c r="BY10" s="72"/>
      <c r="BZ10" s="36"/>
      <c r="CA10" s="314"/>
      <c r="CB10" s="36"/>
      <c r="CC10" s="309"/>
    </row>
    <row r="11" spans="1:81" s="40" customFormat="1" x14ac:dyDescent="0.2">
      <c r="A11" s="42"/>
      <c r="B11" s="42"/>
      <c r="C11" s="42"/>
      <c r="D11" s="42"/>
      <c r="E11" s="42"/>
      <c r="F11" s="161" t="s">
        <v>1036</v>
      </c>
      <c r="G11" s="248" t="s">
        <v>206</v>
      </c>
      <c r="H11" s="97" t="s">
        <v>1036</v>
      </c>
      <c r="I11" s="97" t="s">
        <v>1036</v>
      </c>
      <c r="J11" s="97" t="s">
        <v>1036</v>
      </c>
      <c r="K11" s="97" t="s">
        <v>1037</v>
      </c>
      <c r="L11" s="97" t="s">
        <v>1037</v>
      </c>
      <c r="M11" s="97" t="s">
        <v>1036</v>
      </c>
      <c r="N11" s="97" t="s">
        <v>1038</v>
      </c>
      <c r="O11" s="97" t="s">
        <v>1036</v>
      </c>
      <c r="P11" s="161" t="s">
        <v>1036</v>
      </c>
      <c r="Q11" s="36" t="s">
        <v>1036</v>
      </c>
      <c r="R11" s="248" t="s">
        <v>1037</v>
      </c>
      <c r="S11" s="36" t="s">
        <v>1037</v>
      </c>
      <c r="T11" s="36" t="s">
        <v>1036</v>
      </c>
      <c r="U11" s="36" t="s">
        <v>1038</v>
      </c>
      <c r="V11" s="36" t="s">
        <v>1036</v>
      </c>
      <c r="W11" s="36" t="s">
        <v>691</v>
      </c>
      <c r="X11" s="36" t="s">
        <v>691</v>
      </c>
      <c r="Y11" s="36" t="s">
        <v>1036</v>
      </c>
      <c r="Z11" s="36" t="s">
        <v>1036</v>
      </c>
      <c r="AA11" s="36" t="s">
        <v>1036</v>
      </c>
      <c r="AB11" s="36" t="s">
        <v>1036</v>
      </c>
      <c r="AC11" s="36" t="s">
        <v>1036</v>
      </c>
      <c r="AD11" s="36" t="s">
        <v>1036</v>
      </c>
      <c r="AE11" s="36" t="s">
        <v>1036</v>
      </c>
      <c r="AF11" s="36" t="s">
        <v>1036</v>
      </c>
      <c r="AG11" s="36" t="s">
        <v>1036</v>
      </c>
      <c r="AH11" s="161" t="s">
        <v>1036</v>
      </c>
      <c r="AI11" s="72" t="s">
        <v>1036</v>
      </c>
      <c r="AJ11" s="72" t="s">
        <v>1036</v>
      </c>
      <c r="AK11" s="161" t="s">
        <v>691</v>
      </c>
      <c r="AL11" s="113" t="s">
        <v>691</v>
      </c>
      <c r="AM11" s="113" t="s">
        <v>691</v>
      </c>
      <c r="AN11" s="161" t="s">
        <v>691</v>
      </c>
      <c r="AO11" s="113" t="s">
        <v>691</v>
      </c>
      <c r="AP11" s="113" t="s">
        <v>691</v>
      </c>
      <c r="AQ11" s="161" t="s">
        <v>1036</v>
      </c>
      <c r="AR11" s="72" t="s">
        <v>1036</v>
      </c>
      <c r="AS11" s="72" t="s">
        <v>1036</v>
      </c>
      <c r="AT11" s="161" t="s">
        <v>1036</v>
      </c>
      <c r="AU11" s="72" t="s">
        <v>1036</v>
      </c>
      <c r="AV11" s="72" t="s">
        <v>1036</v>
      </c>
      <c r="AW11" s="161" t="s">
        <v>1036</v>
      </c>
      <c r="AX11" s="72" t="s">
        <v>1036</v>
      </c>
      <c r="AY11" s="72" t="s">
        <v>1036</v>
      </c>
      <c r="AZ11" s="161" t="s">
        <v>1036</v>
      </c>
      <c r="BA11" s="72" t="s">
        <v>1036</v>
      </c>
      <c r="BB11" s="72" t="s">
        <v>1036</v>
      </c>
      <c r="BC11" s="161" t="s">
        <v>1036</v>
      </c>
      <c r="BD11" s="72" t="s">
        <v>1036</v>
      </c>
      <c r="BE11" s="72" t="s">
        <v>1036</v>
      </c>
      <c r="BF11" s="161" t="s">
        <v>1036</v>
      </c>
      <c r="BG11" s="72" t="s">
        <v>1036</v>
      </c>
      <c r="BH11" s="72" t="s">
        <v>1036</v>
      </c>
      <c r="BI11" s="161" t="s">
        <v>1036</v>
      </c>
      <c r="BJ11" s="72" t="s">
        <v>1036</v>
      </c>
      <c r="BK11" s="72" t="s">
        <v>1036</v>
      </c>
      <c r="BL11" s="161" t="s">
        <v>1036</v>
      </c>
      <c r="BM11" s="72" t="s">
        <v>1036</v>
      </c>
      <c r="BN11" s="72" t="s">
        <v>1036</v>
      </c>
      <c r="BO11" s="98" t="s">
        <v>1036</v>
      </c>
      <c r="BP11" s="104" t="s">
        <v>1036</v>
      </c>
      <c r="BQ11" s="97" t="s">
        <v>1036</v>
      </c>
      <c r="BR11" s="97" t="s">
        <v>1036</v>
      </c>
      <c r="BS11" s="97" t="s">
        <v>1036</v>
      </c>
      <c r="BT11" s="97" t="s">
        <v>1037</v>
      </c>
      <c r="BU11" s="97" t="s">
        <v>1037</v>
      </c>
      <c r="BV11" s="97" t="s">
        <v>1036</v>
      </c>
      <c r="BW11" s="97" t="s">
        <v>1038</v>
      </c>
      <c r="BX11" s="104" t="s">
        <v>1036</v>
      </c>
      <c r="BY11" s="72" t="s">
        <v>1036</v>
      </c>
      <c r="BZ11" s="36" t="s">
        <v>1036</v>
      </c>
      <c r="CA11" s="98" t="s">
        <v>1037</v>
      </c>
      <c r="CB11" s="36" t="s">
        <v>1037</v>
      </c>
      <c r="CC11" s="72" t="s">
        <v>1037</v>
      </c>
    </row>
    <row r="12" spans="1:81" s="40" customFormat="1" x14ac:dyDescent="0.2">
      <c r="A12" s="42"/>
      <c r="B12" s="42"/>
      <c r="C12" s="42"/>
      <c r="D12" s="42"/>
      <c r="E12" s="42"/>
      <c r="F12" s="161" t="s">
        <v>202</v>
      </c>
      <c r="G12" s="248" t="s">
        <v>690</v>
      </c>
      <c r="H12" s="97" t="s">
        <v>202</v>
      </c>
      <c r="I12" s="97" t="s">
        <v>202</v>
      </c>
      <c r="J12" s="97" t="s">
        <v>202</v>
      </c>
      <c r="K12" s="97" t="s">
        <v>689</v>
      </c>
      <c r="L12" s="97" t="s">
        <v>689</v>
      </c>
      <c r="M12" s="97" t="s">
        <v>202</v>
      </c>
      <c r="N12" s="97" t="s">
        <v>690</v>
      </c>
      <c r="O12" s="97" t="s">
        <v>202</v>
      </c>
      <c r="P12" s="161" t="s">
        <v>202</v>
      </c>
      <c r="Q12" s="36" t="s">
        <v>202</v>
      </c>
      <c r="R12" s="248" t="s">
        <v>689</v>
      </c>
      <c r="S12" s="36" t="s">
        <v>689</v>
      </c>
      <c r="T12" s="36" t="s">
        <v>202</v>
      </c>
      <c r="U12" s="36" t="s">
        <v>690</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1" t="s">
        <v>202</v>
      </c>
      <c r="AI12" s="72" t="s">
        <v>202</v>
      </c>
      <c r="AJ12" s="72" t="s">
        <v>202</v>
      </c>
      <c r="AK12" s="161" t="s">
        <v>202</v>
      </c>
      <c r="AL12" s="72" t="s">
        <v>202</v>
      </c>
      <c r="AM12" s="72" t="s">
        <v>202</v>
      </c>
      <c r="AN12" s="161" t="s">
        <v>202</v>
      </c>
      <c r="AO12" s="72" t="s">
        <v>202</v>
      </c>
      <c r="AP12" s="72" t="s">
        <v>202</v>
      </c>
      <c r="AQ12" s="161" t="s">
        <v>202</v>
      </c>
      <c r="AR12" s="72" t="s">
        <v>202</v>
      </c>
      <c r="AS12" s="72" t="s">
        <v>202</v>
      </c>
      <c r="AT12" s="161" t="s">
        <v>202</v>
      </c>
      <c r="AU12" s="72" t="s">
        <v>202</v>
      </c>
      <c r="AV12" s="72" t="s">
        <v>202</v>
      </c>
      <c r="AW12" s="161" t="s">
        <v>202</v>
      </c>
      <c r="AX12" s="72" t="s">
        <v>202</v>
      </c>
      <c r="AY12" s="72" t="s">
        <v>202</v>
      </c>
      <c r="AZ12" s="161" t="s">
        <v>202</v>
      </c>
      <c r="BA12" s="72" t="s">
        <v>202</v>
      </c>
      <c r="BB12" s="72" t="s">
        <v>202</v>
      </c>
      <c r="BC12" s="161" t="s">
        <v>202</v>
      </c>
      <c r="BD12" s="72" t="s">
        <v>202</v>
      </c>
      <c r="BE12" s="72" t="s">
        <v>202</v>
      </c>
      <c r="BF12" s="161" t="s">
        <v>202</v>
      </c>
      <c r="BG12" s="72" t="s">
        <v>202</v>
      </c>
      <c r="BH12" s="72" t="s">
        <v>202</v>
      </c>
      <c r="BI12" s="161" t="s">
        <v>202</v>
      </c>
      <c r="BJ12" s="72" t="s">
        <v>202</v>
      </c>
      <c r="BK12" s="72" t="s">
        <v>202</v>
      </c>
      <c r="BL12" s="161" t="s">
        <v>202</v>
      </c>
      <c r="BM12" s="72" t="s">
        <v>202</v>
      </c>
      <c r="BN12" s="72" t="s">
        <v>202</v>
      </c>
      <c r="BO12" s="98" t="s">
        <v>202</v>
      </c>
      <c r="BP12" s="104" t="s">
        <v>202</v>
      </c>
      <c r="BQ12" s="97" t="s">
        <v>202</v>
      </c>
      <c r="BR12" s="97" t="s">
        <v>202</v>
      </c>
      <c r="BS12" s="97" t="s">
        <v>202</v>
      </c>
      <c r="BT12" s="97" t="s">
        <v>689</v>
      </c>
      <c r="BU12" s="97" t="s">
        <v>689</v>
      </c>
      <c r="BV12" s="97" t="s">
        <v>202</v>
      </c>
      <c r="BW12" s="97" t="s">
        <v>690</v>
      </c>
      <c r="BX12" s="104" t="s">
        <v>202</v>
      </c>
      <c r="BY12" s="72" t="s">
        <v>202</v>
      </c>
      <c r="BZ12" s="36" t="s">
        <v>202</v>
      </c>
      <c r="CA12" s="98" t="s">
        <v>202</v>
      </c>
      <c r="CB12" s="36" t="s">
        <v>202</v>
      </c>
      <c r="CC12" s="72" t="s">
        <v>202</v>
      </c>
    </row>
    <row r="13" spans="1:81" s="40" customFormat="1" x14ac:dyDescent="0.2">
      <c r="A13" s="42"/>
      <c r="B13" s="42"/>
      <c r="C13" s="42"/>
      <c r="D13" s="42"/>
      <c r="E13" s="42"/>
      <c r="F13" s="161"/>
      <c r="G13" s="169"/>
      <c r="H13" s="97"/>
      <c r="I13" s="97"/>
      <c r="J13" s="97"/>
      <c r="K13" s="97"/>
      <c r="L13" s="97"/>
      <c r="M13" s="97"/>
      <c r="N13" s="97"/>
      <c r="O13" s="97"/>
      <c r="P13" s="161"/>
      <c r="Q13" s="36"/>
      <c r="R13" s="248"/>
      <c r="S13" s="36"/>
      <c r="T13" s="36"/>
      <c r="U13" s="36"/>
      <c r="V13" s="36"/>
      <c r="W13" s="36"/>
      <c r="X13" s="36"/>
      <c r="Y13" s="36"/>
      <c r="Z13" s="36"/>
      <c r="AA13" s="36"/>
      <c r="AB13" s="36"/>
      <c r="AC13" s="36"/>
      <c r="AD13" s="36"/>
      <c r="AE13" s="36"/>
      <c r="AF13" s="36"/>
      <c r="AG13" s="36"/>
      <c r="AH13" s="161"/>
      <c r="AI13" s="72"/>
      <c r="AJ13" s="72"/>
      <c r="AK13" s="161"/>
      <c r="AL13" s="72"/>
      <c r="AM13" s="72"/>
      <c r="AN13" s="161"/>
      <c r="AO13" s="72"/>
      <c r="AP13" s="72"/>
      <c r="AQ13" s="161"/>
      <c r="AR13" s="72"/>
      <c r="AS13" s="72"/>
      <c r="AT13" s="161"/>
      <c r="AU13" s="72"/>
      <c r="AV13" s="72"/>
      <c r="AW13" s="161"/>
      <c r="AX13" s="72"/>
      <c r="AY13" s="72"/>
      <c r="AZ13" s="161"/>
      <c r="BA13" s="72"/>
      <c r="BB13" s="72"/>
      <c r="BC13" s="161"/>
      <c r="BD13" s="72"/>
      <c r="BE13" s="72"/>
      <c r="BF13" s="161"/>
      <c r="BG13" s="72"/>
      <c r="BH13" s="72"/>
      <c r="BI13" s="161"/>
      <c r="BJ13" s="72"/>
      <c r="BK13" s="72"/>
      <c r="BL13" s="161"/>
      <c r="BM13" s="72"/>
      <c r="BN13" s="72"/>
      <c r="BO13" s="98"/>
      <c r="BP13" s="104"/>
      <c r="BQ13" s="97"/>
      <c r="BR13" s="97"/>
      <c r="BS13" s="97"/>
      <c r="BT13" s="97"/>
      <c r="BU13" s="97"/>
      <c r="BV13" s="97"/>
      <c r="BW13" s="97"/>
      <c r="BX13" s="104"/>
      <c r="BY13" s="72"/>
      <c r="BZ13" s="36"/>
      <c r="CA13" s="98"/>
      <c r="CB13" s="36"/>
      <c r="CC13" s="72"/>
    </row>
    <row r="14" spans="1:81" s="40" customFormat="1" x14ac:dyDescent="0.2">
      <c r="A14" s="52" t="s">
        <v>587</v>
      </c>
      <c r="B14" s="52" t="s">
        <v>5</v>
      </c>
      <c r="C14" s="54" t="s">
        <v>35</v>
      </c>
      <c r="D14" s="54" t="s">
        <v>6</v>
      </c>
      <c r="E14" s="54" t="s">
        <v>76</v>
      </c>
      <c r="F14" s="355" t="s">
        <v>501</v>
      </c>
      <c r="G14" s="249" t="s">
        <v>1093</v>
      </c>
      <c r="H14" s="176" t="s">
        <v>517</v>
      </c>
      <c r="I14" s="176" t="s">
        <v>340</v>
      </c>
      <c r="J14" s="176" t="s">
        <v>342</v>
      </c>
      <c r="K14" s="176" t="s">
        <v>371</v>
      </c>
      <c r="L14" s="176" t="s">
        <v>373</v>
      </c>
      <c r="M14" s="176" t="s">
        <v>369</v>
      </c>
      <c r="N14" s="176" t="s">
        <v>375</v>
      </c>
      <c r="O14" s="176" t="s">
        <v>573</v>
      </c>
      <c r="P14" s="355" t="s">
        <v>344</v>
      </c>
      <c r="Q14" s="209" t="s">
        <v>345</v>
      </c>
      <c r="R14" s="209" t="s">
        <v>350</v>
      </c>
      <c r="S14" s="209" t="s">
        <v>351</v>
      </c>
      <c r="T14" s="209" t="s">
        <v>349</v>
      </c>
      <c r="U14" s="209" t="s">
        <v>352</v>
      </c>
      <c r="V14" s="209" t="s">
        <v>346</v>
      </c>
      <c r="W14" s="209" t="s">
        <v>347</v>
      </c>
      <c r="X14" s="209" t="s">
        <v>348</v>
      </c>
      <c r="Y14" s="209" t="s">
        <v>353</v>
      </c>
      <c r="Z14" s="209" t="s">
        <v>354</v>
      </c>
      <c r="AA14" s="209" t="s">
        <v>355</v>
      </c>
      <c r="AB14" s="209" t="s">
        <v>356</v>
      </c>
      <c r="AC14" s="209" t="s">
        <v>916</v>
      </c>
      <c r="AD14" s="209" t="s">
        <v>357</v>
      </c>
      <c r="AE14" s="209" t="s">
        <v>1011</v>
      </c>
      <c r="AF14" s="209" t="s">
        <v>358</v>
      </c>
      <c r="AG14" s="209" t="s">
        <v>359</v>
      </c>
      <c r="AH14" s="355" t="s">
        <v>360</v>
      </c>
      <c r="AI14" s="92" t="s">
        <v>361</v>
      </c>
      <c r="AJ14" s="172" t="s">
        <v>362</v>
      </c>
      <c r="AK14" s="355" t="s">
        <v>363</v>
      </c>
      <c r="AL14" s="92" t="s">
        <v>364</v>
      </c>
      <c r="AM14" s="172" t="s">
        <v>365</v>
      </c>
      <c r="AN14" s="355" t="s">
        <v>366</v>
      </c>
      <c r="AO14" s="92" t="s">
        <v>367</v>
      </c>
      <c r="AP14" s="172" t="s">
        <v>368</v>
      </c>
      <c r="AQ14" s="355" t="s">
        <v>377</v>
      </c>
      <c r="AR14" s="92" t="s">
        <v>378</v>
      </c>
      <c r="AS14" s="172" t="s">
        <v>379</v>
      </c>
      <c r="AT14" s="355" t="s">
        <v>380</v>
      </c>
      <c r="AU14" s="92" t="s">
        <v>381</v>
      </c>
      <c r="AV14" s="172" t="s">
        <v>382</v>
      </c>
      <c r="AW14" s="355" t="s">
        <v>383</v>
      </c>
      <c r="AX14" s="92" t="s">
        <v>384</v>
      </c>
      <c r="AY14" s="172" t="s">
        <v>385</v>
      </c>
      <c r="AZ14" s="355" t="s">
        <v>386</v>
      </c>
      <c r="BA14" s="92" t="s">
        <v>387</v>
      </c>
      <c r="BB14" s="172" t="s">
        <v>388</v>
      </c>
      <c r="BC14" s="355" t="s">
        <v>1012</v>
      </c>
      <c r="BD14" s="92" t="s">
        <v>917</v>
      </c>
      <c r="BE14" s="172" t="s">
        <v>918</v>
      </c>
      <c r="BF14" s="355" t="s">
        <v>389</v>
      </c>
      <c r="BG14" s="92" t="s">
        <v>390</v>
      </c>
      <c r="BH14" s="172" t="s">
        <v>391</v>
      </c>
      <c r="BI14" s="355" t="s">
        <v>922</v>
      </c>
      <c r="BJ14" s="92" t="s">
        <v>923</v>
      </c>
      <c r="BK14" s="172" t="s">
        <v>924</v>
      </c>
      <c r="BL14" s="355" t="s">
        <v>392</v>
      </c>
      <c r="BM14" s="92" t="s">
        <v>393</v>
      </c>
      <c r="BN14" s="172" t="s">
        <v>394</v>
      </c>
      <c r="BO14" s="174" t="s">
        <v>395</v>
      </c>
      <c r="BP14" s="172" t="s">
        <v>396</v>
      </c>
      <c r="BQ14" s="92" t="s">
        <v>397</v>
      </c>
      <c r="BR14" s="92" t="s">
        <v>341</v>
      </c>
      <c r="BS14" s="92" t="s">
        <v>343</v>
      </c>
      <c r="BT14" s="92" t="s">
        <v>372</v>
      </c>
      <c r="BU14" s="92" t="s">
        <v>374</v>
      </c>
      <c r="BV14" s="92" t="s">
        <v>370</v>
      </c>
      <c r="BW14" s="92" t="s">
        <v>376</v>
      </c>
      <c r="BX14" s="172" t="s">
        <v>398</v>
      </c>
      <c r="BY14" s="172" t="s">
        <v>399</v>
      </c>
      <c r="BZ14" s="209" t="s">
        <v>400</v>
      </c>
      <c r="CA14" s="174" t="s">
        <v>700</v>
      </c>
      <c r="CB14" s="209" t="s">
        <v>401</v>
      </c>
      <c r="CC14" s="172" t="s">
        <v>402</v>
      </c>
    </row>
    <row r="15" spans="1:81" s="40" customFormat="1" x14ac:dyDescent="0.2">
      <c r="A15" s="42"/>
      <c r="B15" s="42"/>
      <c r="C15" s="42"/>
      <c r="D15" s="42"/>
      <c r="E15" s="42" t="str">
        <f>B15&amp;"|"&amp;C15&amp;"|"&amp;D15</f>
        <v>||</v>
      </c>
      <c r="F15" s="161" t="str" cm="1">
        <f t="array" ref="F15">IFERROR(1/(1/IF($C15="50+",SUM(SUMIFS(Cascade!$BS:$BS,Cascade!$B:$B,$B15,Cascade!$C:$C,{"50-54","55-59","60-64","65+"},Cascade!$D:$D,$D15)),INDEX(Cascade!$BS:$BS,MATCH($E15,Cascade!$E:$E,0)))),"")</f>
        <v/>
      </c>
      <c r="G15" s="248" t="str" cm="1">
        <f t="array" ref="G15">IFERROR(1/(1/IF($C15="50+",SUM(SUMIFS(Cascade!$AL:$AL,Cascade!$B:$B,$B15,Cascade!$C:$C,{"50-54","55-59","60-64","65+"},Cascade!$D:$D,$D15)),INDEX(Cascade!$AL:$AL,MATCH($E15,Cascade!$E:$E,0)))),"")</f>
        <v/>
      </c>
      <c r="H15" s="118" t="str" cm="1">
        <f t="array" ref="H15">IFERROR(1/(1/IF($C15="50+",SUM(SUMIFS(Cascade!$BZ:$BZ,Cascade!$B:$B,$B15,Cascade!$C:$C,{"50-54","55-59","60-64","65+"},Cascade!$D:$D,$D15)),INDEX(Cascade!$BZ:$BZ,MATCH($E15,Cascade!$E:$E,0)))),"")</f>
        <v/>
      </c>
      <c r="I15" s="118" t="str" cm="1">
        <f t="array" ref="I15">IFERROR(1/(1/IF($C15="50+",SUM(SUMIFS(Cascade!$CR:$CR,Cascade!$B:$B,$B15,Cascade!$C:$C,{"50-54","55-59","60-64","65+"},Cascade!$D:$D,$D15)),INDEX(Cascade!$CR:$CR,MATCH($E15,Cascade!$E:$E,0)))),"")</f>
        <v/>
      </c>
      <c r="J15" s="118" t="str" cm="1">
        <f t="array" ref="J15">IFERROR(1/(1/IF($C15="50+",SUM(SUMIFS(Cascade!$CT:$CT,Cascade!$B:$B,$B15,Cascade!$C:$C,{"50-54","55-59","60-64","65+"},Cascade!$D:$D,$D15)),INDEX(Cascade!$CT:$CT,MATCH($E15,Cascade!$E:$E,0)))),"")</f>
        <v/>
      </c>
      <c r="K15" s="118" t="str" cm="1">
        <f t="array" ref="K15">IFERROR(1/(1/IF($C15="50+",SUM(SUMIFS(Cascade!$CB:$CB,Cascade!$B:$B,$B15,Cascade!$C:$C,{"50-54","55-59","60-64","65+"},Cascade!$D:$D,$D15)),INDEX(Cascade!$CB:$CB,MATCH($E15,Cascade!$E:$E,0)))),"")</f>
        <v/>
      </c>
      <c r="L15" s="118" t="str" cm="1">
        <f t="array" ref="L15">IFERROR(1/(1/IF($C15="50+",SUM(SUMIFS(Cascade!$CC:$CC,Cascade!$B:$B,$B15,Cascade!$C:$C,{"50-54","55-59","60-64","65+"},Cascade!$D:$D,$D15)),INDEX(Cascade!$CC:$CC,MATCH($E15,Cascade!$E:$E,0)))),"")</f>
        <v/>
      </c>
      <c r="M15" s="118" t="str" cm="1">
        <f t="array" ref="M15">IFERROR(1/(1/IF($C15="50+",SUM(SUMIFS(Cascade!$CD:$CD,Cascade!$B:$B,$B15,Cascade!$C:$C,{"50-54","55-59","60-64","65+"},Cascade!$D:$D,$D15)),INDEX(Cascade!$CD:$CD,MATCH($E15,Cascade!$E:$E,0)))),"")</f>
        <v/>
      </c>
      <c r="N15" s="118" t="str" cm="1">
        <f t="array" ref="N15">IFERROR(1/(1/IF($C15="50+",SUM(SUMIFS(Cascade!$CE:$CE,Cascade!$B:$B,$B15,Cascade!$C:$C,{"50-54","55-59","60-64","65+"},Cascade!$D:$D,$D15)),INDEX(Cascade!$CE:$CE,MATCH($E15,Cascade!$E:$E,0)))),"")</f>
        <v/>
      </c>
      <c r="O15" s="118" t="str" cm="1">
        <f t="array" ref="O15">IFERROR(1/(1/IF($C15="50+",SUM(SUMIFS(Cascade!$CG:$CG,Cascade!$B:$B,$B15,Cascade!$C:$C,{"50-54","55-59","60-64","65+"},Cascade!$D:$D,$D15)),INDEX(Cascade!$CG:$CG,MATCH($E15,Cascade!$E:$E,0)))),"")</f>
        <v/>
      </c>
      <c r="P15" s="161" t="str">
        <f>IF(OR(SUM($I15)=0,SUM($H15)=0),"",SUM($I15)/SUM($H15))</f>
        <v/>
      </c>
      <c r="Q15" s="248" t="str">
        <f>IF(OR(SUM($J15)=0,SUM($H15)=0),"",SUM($J15)/SUM($H15))</f>
        <v/>
      </c>
      <c r="R15" s="248" t="str">
        <f>IF(OR(SUM($H15)=0,SUM($K15)=0),"",SUM($K15)/SUM($H15))</f>
        <v/>
      </c>
      <c r="S15" s="248" t="str">
        <f>IF(OR(SUM($H15)=0,SUM($L15)=0),"",SUM($L15)/SUM($H15))</f>
        <v/>
      </c>
      <c r="T15" s="248" t="str">
        <f>IF(OR(SUM($H15)=0,SUM($M15)=0),"",SUM($M15)/SUM($H15))</f>
        <v/>
      </c>
      <c r="U15" s="248" t="str">
        <f>IF(OR(SUM($H15)=0,SUM($N15)=0),"",SUM($N15)/SUM($H15))</f>
        <v/>
      </c>
      <c r="V15" s="36"/>
      <c r="W15" s="36"/>
      <c r="X15" s="36"/>
      <c r="Y15" s="36"/>
      <c r="Z15" s="36"/>
      <c r="AA15" s="36"/>
      <c r="AB15" s="36"/>
      <c r="AC15" s="36"/>
      <c r="AD15" s="36"/>
      <c r="AE15" s="36"/>
      <c r="AF15" s="36"/>
      <c r="AG15" s="36" t="str">
        <f>IF(SUM($H15)=0,"",SUM($P15:$AF15))</f>
        <v/>
      </c>
      <c r="AH15" s="161"/>
      <c r="AI15" s="72" t="str">
        <f>IF(OR(SUM($V15)=0,SUM($H15)=0),"",ROUND($H15*$V15,0))</f>
        <v/>
      </c>
      <c r="AJ15" s="72" t="str">
        <f>IF($AI15="","",IF(SUM($AH15)=0,"ENTER VALID YIELD!",ROUND($AI15/$AH15,0)-$AI15))</f>
        <v/>
      </c>
      <c r="AK15" s="161"/>
      <c r="AL15" s="72" t="str">
        <f>IF(OR(SUM($W15)=0,SUM($H15)=0),"",ROUND($H15*$W15,0))</f>
        <v/>
      </c>
      <c r="AM15" s="72" t="str">
        <f>IF($AL15="","",IF(SUM($AK15)=0,"ENTER VALID YIELD!",ROUND($AL15/$AK15,0)-$AL15))</f>
        <v/>
      </c>
      <c r="AN15" s="161"/>
      <c r="AO15" s="72" t="str">
        <f>IF(OR(SUM($X15)=0,SUM($H15)=0),"",ROUND($H15*$X15,0))</f>
        <v/>
      </c>
      <c r="AP15" s="72" t="str">
        <f>IF($AO15="","",IF(SUM($AN15)=0,"ENTER VALID YIELD!",ROUND($AO15/$AN15,0)-$AO15))</f>
        <v/>
      </c>
      <c r="AQ15" s="161"/>
      <c r="AR15" s="72" t="str">
        <f>IF(OR(SUM($Y15)=0,SUM($H15)=0),"",ROUND($H15*$Y15,0))</f>
        <v/>
      </c>
      <c r="AS15" s="72" t="str">
        <f>IF($AR15="","",IF(SUM($AQ15)=0,"ENTER VALID YIELD!",ROUND($AR15/$AQ15,0)-$AR15))</f>
        <v/>
      </c>
      <c r="AT15" s="161"/>
      <c r="AU15" s="72" t="str">
        <f>IF(OR(SUM($Z15)=0,SUM($H15)=0),"",ROUND($H15*$Z15,0))</f>
        <v/>
      </c>
      <c r="AV15" s="72" t="str">
        <f>IF($AU15="","",IF(SUM($AT15)=0,"ENTER VALID YIELD!",ROUND($AU15/$AT15,0)-$AU15))</f>
        <v/>
      </c>
      <c r="AW15" s="161"/>
      <c r="AX15" s="72" t="str">
        <f>IF(OR(SUM($AA15)=0,SUM($H15)=0),"",ROUND($H15*$AA15,0))</f>
        <v/>
      </c>
      <c r="AY15" s="72" t="str">
        <f>IF($AX15="","",IF(SUM($AW15)=0,"ENTER VALID YIELD!",ROUND($AX15/$AW15,0)-$AX15))</f>
        <v/>
      </c>
      <c r="AZ15" s="161"/>
      <c r="BA15" s="72" t="str">
        <f>IF(OR(SUM($AB15)=0,SUM($H15)=0),"",ROUND($H15*$AB15,0))</f>
        <v/>
      </c>
      <c r="BB15" s="72" t="str">
        <f>IF($BA15="","",IF(SUM($AZ15)=0,"ENTER VALID YIELD!",ROUND($BA15/$AZ15,0)-$BA15))</f>
        <v/>
      </c>
      <c r="BC15" s="161" t="str">
        <f>IF(OR(SUM($H15)=0,SUM($AC15)=0),"",5%)</f>
        <v/>
      </c>
      <c r="BD15" s="72" t="str">
        <f>IF(OR(SUM($AC15)=0,SUM($H15)=0),"",ROUND($H15*$AC15,0))</f>
        <v/>
      </c>
      <c r="BE15" s="72" t="str">
        <f>IF($BD15="","",IF(SUM($BC15)=0,"ENTER VALID YIELD!",ROUND($BD15/$BC15,0)-$BD15))</f>
        <v/>
      </c>
      <c r="BF15" s="161"/>
      <c r="BG15" s="72" t="str">
        <f>IF(OR(SUM($AD15)=0,SUM($H15)=0),"",ROUND($H15*$AD15,0))</f>
        <v/>
      </c>
      <c r="BH15" s="72" t="str">
        <f>IF($BG15="","",IF(SUM($BF15)=0,"ENTER VALID YIELD!",ROUND($BG15/$BF15,0)-$BG15))</f>
        <v/>
      </c>
      <c r="BI15" s="161" t="str">
        <f>IF(OR(SUM($H15)=0,SUM($AE15)=0),"",5%)</f>
        <v/>
      </c>
      <c r="BJ15" s="72" t="str">
        <f>IF(OR(SUM($AE15)=0,SUM($H15)=0),"",ROUND($H15*$AE15,0))</f>
        <v/>
      </c>
      <c r="BK15" s="72" t="str">
        <f>IF($BJ15="","",IF(SUM($BI15)=0,"ENTER VALID YIELD!",ROUND($BJ15/$BI15,0)-$BJ15))</f>
        <v/>
      </c>
      <c r="BL15" s="161"/>
      <c r="BM15" s="72" t="str">
        <f>IF(OR(SUM($AF15)=0,SUM($H15)=0),"",ROUND($H15*$AF15,0))</f>
        <v/>
      </c>
      <c r="BN15" s="72" t="str">
        <f>IF($BM15="","",IF(SUM($BL15)=0,"ENTER VALID YIELD!",ROUND($BM15/$BL15,0)-$BM15))</f>
        <v/>
      </c>
      <c r="BO15" s="112" t="str">
        <f>IF(SUM($H15)=0,"",$H15)</f>
        <v/>
      </c>
      <c r="BP15" s="217" t="str">
        <f>IF(SUM($H15)=0,"",SUM($I15:$N15,$AI15,$AL15,$AO15,$AR15,$AU15,$AX15,$BA15,$BD15,$BG15,$BJ15,$BM15))</f>
        <v/>
      </c>
      <c r="BQ15" s="118" t="str">
        <f>IF(AND(SUM($BP15)=0,SUM($BO15)=0),"",SUM($BP15)-SUM($BO15))</f>
        <v/>
      </c>
      <c r="BR15" s="118" t="str" cm="1">
        <f t="array" ref="BR15">IFERROR(1/(1/IF($C15="50+",SUM(SUMIFS(Cascade!$CS:$CS,Cascade!$B:$B,$B15,Cascade!$C:$C,{"50-54","55-59","60-64","65+"},Cascade!$D:$D,$D15)),INDEX(Cascade!$CS:$CS,MATCH($E15,Cascade!$E:$E,0)))),"")</f>
        <v/>
      </c>
      <c r="BS15" s="118" t="str" cm="1">
        <f t="array" ref="BS15">IFERROR(1/(1/IF($C15="50+",SUM(SUMIFS(Cascade!$CU:$CU,Cascade!$B:$B,$B15,Cascade!$C:$C,{"50-54","55-59","60-64","65+"},Cascade!$D:$D,$D15)),INDEX(Cascade!$CU:$CU,MATCH($E15,Cascade!$E:$E,0)))),"")</f>
        <v/>
      </c>
      <c r="BT15" s="118" t="str" cm="1">
        <f t="array" ref="BT15">IFERROR(1/(1/IF($C15="50+",SUM(SUMIFS(PMTCT!$AG:$AG,PMTCT!$B:$B,$B15,PMTCT!$C:$C,{"50-54","55-59","60-64","65+"},PMTCT!$D:$D,$D15)),INDEX(PMTCT!$AG:$AG,MATCH($E15,PMTCT!$E:$E,0)))),"")</f>
        <v/>
      </c>
      <c r="BU15" s="118" t="str" cm="1">
        <f t="array" ref="BU15">IFERROR(1/(1/IF($C15="50+",SUM(SUMIFS(PMTCT!$AW:$AW,PMTCT!$B:$B,$B15,PMTCT!$C:$C,{"50-54","55-59","60-64","65+"},PMTCT!$D:$D,$D15)),INDEX(PMTCT!$AW:$AW,MATCH($E15,PMTCT!$E:$E,0)))),"")</f>
        <v/>
      </c>
      <c r="BV15" s="118" t="str" cm="1">
        <f t="array" ref="BV15">IFERROR(1/(1/IF($C15="50+",SUM(SUMIFS(TB!$R:$R,TB!$B:$B,$B15,TB!$C:$C,{"50-54","55-59","60-64","65+"},TB!$D:$D,$D15)),INDEX(TB!$R:$R,MATCH($E15,TB!$E:$E,0)))),"")</f>
        <v/>
      </c>
      <c r="BW15" s="118" t="str" cm="1">
        <f t="array" ref="BW15">IFERROR(1/(1/IF($C15="50+",SUM(SUMIFS(VMMC!$AD:$AD,VMMC!$B:$B,$B15,VMMC!$C:$C,{"50-54","55-59","60-64","65+"},VMMC!$D:$D,$D15)),INDEX(VMMC!$AD:$AD,MATCH($E15,VMMC!$E:$E,0)))),"")</f>
        <v/>
      </c>
      <c r="BX15" s="217" t="str">
        <f>IFERROR(1/(1/SUM($AJ15,$AM15,$AP15,$AS15,$AV15,$AY15,$BB15,$BE15,$BH15,$BK15,$BN15,$BR15:$BW15)),"")</f>
        <v/>
      </c>
      <c r="BY15" s="217" t="str">
        <f>IFERROR(1/(1/SUM($BX15,$BP15)),"")</f>
        <v/>
      </c>
      <c r="BZ15" s="36" t="str">
        <f>IF(AND(SUM($BP15)=0,SUM($BY15)=0),"",$BP15/$BY15)</f>
        <v/>
      </c>
      <c r="CA15" s="98"/>
      <c r="CB15" s="36" t="str">
        <f>IF(OR($C15="01-04",$C15="05-09",SUM($CA15)=0),"",0%)</f>
        <v/>
      </c>
      <c r="CC15" s="72" t="str">
        <f>IF(OR($C15="01-04",$C15="05-09",SUM($CA15)=0),"",ROUND($CA15*(1+$CB15),0))</f>
        <v/>
      </c>
    </row>
  </sheetData>
  <mergeCells count="1">
    <mergeCell ref="A2:B3"/>
  </mergeCells>
  <conditionalFormatting sqref="N1:N1048576 U1:U1048576 BW1:BW1048576">
    <cfRule type="expression" dxfId="83" priority="25">
      <formula>OR($D1="Female",$C1="01-04",$C1="05-09",$C1="10-14")</formula>
    </cfRule>
  </conditionalFormatting>
  <conditionalFormatting sqref="W1:X1048576 AK1:AP1048576">
    <cfRule type="expression" dxfId="82" priority="355">
      <formula>AND(ROW(W1)&gt;14,$B1&lt;&gt;"",$C1&lt;&gt;"01-04")</formula>
    </cfRule>
  </conditionalFormatting>
  <conditionalFormatting sqref="CA1:CC1048576">
    <cfRule type="expression" dxfId="81" priority="197">
      <formula>OR($C1="01-04",$C1="05-09")</formula>
    </cfRule>
  </conditionalFormatting>
  <conditionalFormatting sqref="K1:L1048576 R1:S1048576 BT1:BU1048576">
    <cfRule type="expression" dxfId="80" priority="34">
      <formula>OR($D1="Male",$C1="01-04",$C1="05-09")</formula>
    </cfRule>
  </conditionalFormatting>
  <conditionalFormatting sqref="BQ1:BQ1048576">
    <cfRule type="expression" dxfId="79" priority="680">
      <formula>AND(ISNUMBER($BQ1),ROUND(SUM($BQ1),0)&lt;&gt;0)</formula>
    </cfRule>
  </conditionalFormatting>
  <conditionalFormatting sqref="AH1:AH1048576 AQ1:AQ1048576 AT1:AT1048576 AW1:AW1048576 AZ1:AZ1048576 BC1:BC1048576">
    <cfRule type="expression" dxfId="78"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77" priority="26" operator="containsText" text="ENTER YIELD!">
      <formula>NOT(ISERROR(SEARCH("ENTER YIELD!",AJ1)))</formula>
    </cfRule>
  </conditionalFormatting>
  <conditionalFormatting sqref="AF1:AF1048576">
    <cfRule type="expression" dxfId="76" priority="2165">
      <formula>AND(ISNUMBER($AF1),ROUND(SUM($F1),2)&gt;=80%,(SUM($H1)*SUM($AF1))&gt;0)</formula>
    </cfRule>
  </conditionalFormatting>
  <conditionalFormatting sqref="P1:AG1048576">
    <cfRule type="expression" dxfId="75" priority="2168">
      <formula>AND(ISNUMBER($AG1),ROUND($AG1,2)&lt;&gt;1,ROUND($H1,0)&lt;&gt;0)</formula>
    </cfRule>
  </conditionalFormatting>
  <conditionalFormatting sqref="BM1:BN1048576">
    <cfRule type="expression" dxfId="74" priority="2170">
      <formula>AND(ISNUMBER(BM1),SUM($F1)&gt;=80%,SUM(BM1)&gt;0)</formula>
    </cfRule>
  </conditionalFormatting>
  <conditionalFormatting sqref="F1:G1048576">
    <cfRule type="expression" dxfId="73"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72"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71"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2"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0" t="s">
        <v>15</v>
      </c>
      <c r="G1" s="80"/>
      <c r="H1" s="80"/>
      <c r="I1" s="45"/>
      <c r="J1" s="45"/>
      <c r="K1" s="67"/>
    </row>
    <row r="2" spans="1:11" s="56" customFormat="1" ht="19" customHeight="1" x14ac:dyDescent="0.25">
      <c r="A2" s="479" t="s">
        <v>759</v>
      </c>
      <c r="B2" s="476"/>
      <c r="C2" s="2"/>
      <c r="D2" s="2"/>
      <c r="E2" s="2"/>
      <c r="F2" s="111" t="s">
        <v>74</v>
      </c>
      <c r="G2" s="94"/>
      <c r="H2" s="94"/>
      <c r="I2" s="34"/>
      <c r="J2" s="34" t="s">
        <v>2</v>
      </c>
      <c r="K2" s="68" t="s">
        <v>3</v>
      </c>
    </row>
    <row r="3" spans="1:11" ht="117" customHeight="1" thickBot="1" x14ac:dyDescent="0.25">
      <c r="A3" s="477"/>
      <c r="B3" s="478"/>
      <c r="C3" s="47"/>
      <c r="D3" s="47"/>
      <c r="E3" s="47"/>
      <c r="F3" s="144" t="s">
        <v>1077</v>
      </c>
      <c r="G3" s="137" t="s">
        <v>1078</v>
      </c>
      <c r="H3" s="256" t="s">
        <v>789</v>
      </c>
      <c r="I3" s="424" t="s">
        <v>864</v>
      </c>
      <c r="J3" s="48" t="s">
        <v>1019</v>
      </c>
      <c r="K3" s="69" t="s">
        <v>863</v>
      </c>
    </row>
    <row r="4" spans="1:11" x14ac:dyDescent="0.2">
      <c r="A4" s="49"/>
      <c r="B4" s="49"/>
      <c r="C4" s="49"/>
      <c r="D4" s="49" t="s">
        <v>4</v>
      </c>
      <c r="E4" s="49"/>
      <c r="F4" s="109">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2" t="s">
        <v>110</v>
      </c>
      <c r="G5" s="79" t="s">
        <v>110</v>
      </c>
      <c r="H5" s="79" t="s">
        <v>99</v>
      </c>
      <c r="I5" s="36" t="s">
        <v>99</v>
      </c>
      <c r="J5" s="36" t="s">
        <v>99</v>
      </c>
      <c r="K5" s="72" t="s">
        <v>110</v>
      </c>
    </row>
    <row r="6" spans="1:11" x14ac:dyDescent="0.2">
      <c r="A6" s="42" t="s">
        <v>201</v>
      </c>
      <c r="B6" s="42" t="s">
        <v>201</v>
      </c>
      <c r="C6" s="42" t="s">
        <v>201</v>
      </c>
      <c r="D6" s="42" t="s">
        <v>201</v>
      </c>
      <c r="E6" s="42" t="s">
        <v>201</v>
      </c>
      <c r="F6" s="112" t="s">
        <v>111</v>
      </c>
      <c r="G6" s="79" t="s">
        <v>111</v>
      </c>
      <c r="H6" s="79" t="s">
        <v>94</v>
      </c>
      <c r="I6" s="36" t="s">
        <v>112</v>
      </c>
      <c r="J6" s="36" t="s">
        <v>113</v>
      </c>
      <c r="K6" s="72" t="s">
        <v>93</v>
      </c>
    </row>
    <row r="7" spans="1:11" x14ac:dyDescent="0.2">
      <c r="A7" s="42" t="s">
        <v>109</v>
      </c>
      <c r="B7" s="42" t="s">
        <v>109</v>
      </c>
      <c r="C7" s="42" t="s">
        <v>109</v>
      </c>
      <c r="D7" s="42" t="s">
        <v>109</v>
      </c>
      <c r="E7" s="42" t="s">
        <v>109</v>
      </c>
      <c r="F7" s="112" t="s">
        <v>95</v>
      </c>
      <c r="G7" s="79" t="s">
        <v>95</v>
      </c>
      <c r="H7" s="79" t="s">
        <v>95</v>
      </c>
      <c r="I7" s="36" t="s">
        <v>96</v>
      </c>
      <c r="J7" s="36" t="s">
        <v>96</v>
      </c>
      <c r="K7" s="72" t="s">
        <v>95</v>
      </c>
    </row>
    <row r="8" spans="1:11" x14ac:dyDescent="0.2">
      <c r="F8" s="316" t="s">
        <v>482</v>
      </c>
      <c r="G8" s="312" t="s">
        <v>143</v>
      </c>
      <c r="K8" s="309" t="s">
        <v>143</v>
      </c>
    </row>
    <row r="9" spans="1:11" x14ac:dyDescent="0.2">
      <c r="F9" s="316" t="s">
        <v>483</v>
      </c>
      <c r="G9" s="312" t="s">
        <v>144</v>
      </c>
      <c r="K9" s="309" t="s">
        <v>144</v>
      </c>
    </row>
    <row r="10" spans="1:11" x14ac:dyDescent="0.2">
      <c r="F10" s="314" t="s">
        <v>105</v>
      </c>
      <c r="G10" s="312" t="s">
        <v>105</v>
      </c>
      <c r="K10" s="309" t="s">
        <v>105</v>
      </c>
    </row>
    <row r="11" spans="1:11" x14ac:dyDescent="0.2">
      <c r="F11" s="112" t="s">
        <v>205</v>
      </c>
      <c r="G11" s="79" t="s">
        <v>205</v>
      </c>
      <c r="H11" s="79" t="s">
        <v>205</v>
      </c>
      <c r="I11" s="36" t="s">
        <v>205</v>
      </c>
      <c r="J11" s="36" t="s">
        <v>205</v>
      </c>
      <c r="K11" s="72" t="s">
        <v>205</v>
      </c>
    </row>
    <row r="12" spans="1:11" x14ac:dyDescent="0.2">
      <c r="F12" s="112" t="s">
        <v>689</v>
      </c>
      <c r="G12" s="79" t="s">
        <v>689</v>
      </c>
      <c r="H12" s="79" t="s">
        <v>689</v>
      </c>
      <c r="I12" s="36" t="s">
        <v>689</v>
      </c>
      <c r="J12" s="36" t="s">
        <v>689</v>
      </c>
      <c r="K12" s="72" t="s">
        <v>689</v>
      </c>
    </row>
    <row r="14" spans="1:11" x14ac:dyDescent="0.2">
      <c r="A14" s="52" t="s">
        <v>587</v>
      </c>
      <c r="B14" s="52" t="s">
        <v>5</v>
      </c>
      <c r="C14" s="52" t="s">
        <v>35</v>
      </c>
      <c r="D14" s="52" t="s">
        <v>6</v>
      </c>
      <c r="E14" s="52" t="s">
        <v>76</v>
      </c>
      <c r="F14" s="174" t="s">
        <v>543</v>
      </c>
      <c r="G14" s="92" t="s">
        <v>544</v>
      </c>
      <c r="H14" s="92" t="s">
        <v>317</v>
      </c>
      <c r="I14" s="209" t="s">
        <v>545</v>
      </c>
      <c r="J14" s="209" t="s">
        <v>546</v>
      </c>
      <c r="K14" s="172" t="s">
        <v>403</v>
      </c>
    </row>
    <row r="15" spans="1:11" x14ac:dyDescent="0.2">
      <c r="E15" s="42" t="str">
        <f>B15&amp;"|"&amp;C15&amp;"|"&amp;D15</f>
        <v>||</v>
      </c>
      <c r="H15" s="79" t="str">
        <f>IFERROR(1/(1/INDEX(Cascade!$BQ:$BQ,MATCH($E15,Cascade!$E:$E,0))),"")</f>
        <v/>
      </c>
      <c r="J15" s="36">
        <v>0.5</v>
      </c>
      <c r="K15" s="72" t="str">
        <f>IF(SUM($H15)=0,"",ROUND($J15*$H15,0))</f>
        <v/>
      </c>
    </row>
  </sheetData>
  <mergeCells count="1">
    <mergeCell ref="A2:B3"/>
  </mergeCells>
  <conditionalFormatting sqref="J1:J1048576">
    <cfRule type="expression" dxfId="70" priority="6">
      <formula>AND(ISNUMBER($J1),ROUND($J1,2)&lt;0.5)</formula>
    </cfRule>
  </conditionalFormatting>
  <conditionalFormatting sqref="I1:J1048576">
    <cfRule type="expression" dxfId="69" priority="2">
      <formula>AND(ISNUMBER(I1),OR(ROUND(I1,2)&gt;1,ROUND(I1,2)&lt;0))</formula>
    </cfRule>
  </conditionalFormatting>
  <conditionalFormatting sqref="F1:H1048576 K1:K1048576">
    <cfRule type="expression" dxfId="68"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1" customWidth="1"/>
    <col min="7" max="7" width="11.83203125" style="72" customWidth="1"/>
    <col min="8" max="8" width="11.83203125" style="161" customWidth="1"/>
    <col min="9" max="9" width="11.83203125" style="72" customWidth="1"/>
    <col min="10" max="10" width="11.83203125" style="161" customWidth="1"/>
    <col min="11" max="11" width="11.83203125" style="72" customWidth="1"/>
    <col min="12" max="12" width="11.83203125" style="161" customWidth="1"/>
    <col min="13" max="13" width="11.83203125" style="72" customWidth="1"/>
    <col min="14" max="14" width="11.83203125" style="161" customWidth="1"/>
    <col min="15" max="15" width="11.83203125" style="72" customWidth="1"/>
    <col min="16" max="16" width="11.83203125" style="161" customWidth="1"/>
    <col min="17" max="17" width="11.83203125" style="72" customWidth="1"/>
    <col min="18" max="18" width="11.83203125" style="161" customWidth="1"/>
    <col min="19" max="19" width="11.83203125" style="72" customWidth="1"/>
    <col min="20" max="20" width="11.83203125" style="161" customWidth="1"/>
    <col min="21" max="21" width="11.83203125" style="72" customWidth="1"/>
    <col min="22" max="22" width="11.83203125" style="161" customWidth="1"/>
    <col min="23" max="23" width="11.83203125" style="72" customWidth="1"/>
    <col min="24" max="24" width="11.83203125" style="161" customWidth="1"/>
    <col min="25" max="25" width="11.83203125" style="72" customWidth="1"/>
    <col min="26" max="26" width="11.83203125" style="161" customWidth="1"/>
    <col min="27" max="27" width="11.83203125" style="72" customWidth="1"/>
    <col min="28" max="28" width="11.83203125" style="161" customWidth="1"/>
    <col min="29" max="29" width="11.83203125" style="72" customWidth="1"/>
    <col min="30" max="30" width="11.83203125" style="161" customWidth="1"/>
    <col min="31" max="31" width="11.83203125" style="72" customWidth="1"/>
    <col min="32" max="32" width="11.83203125" style="161" customWidth="1"/>
    <col min="33" max="33" width="11.83203125" style="72" customWidth="1"/>
    <col min="34" max="34" width="11.83203125" style="161" customWidth="1"/>
    <col min="35" max="35" width="11.83203125" style="72" customWidth="1"/>
    <col min="36" max="36" width="11.83203125" style="112" customWidth="1"/>
    <col min="37" max="37" width="11.83203125" style="267" customWidth="1"/>
    <col min="38" max="38" width="11.83203125" style="248" customWidth="1"/>
    <col min="39" max="16384" width="10.83203125" style="40"/>
  </cols>
  <sheetData>
    <row r="1" spans="1:38" s="57" customFormat="1" ht="31" customHeight="1" x14ac:dyDescent="0.3">
      <c r="A1" s="254" t="s">
        <v>207</v>
      </c>
      <c r="B1" s="5"/>
      <c r="C1" s="1"/>
      <c r="D1" s="1"/>
      <c r="E1" s="304"/>
      <c r="F1" s="242" t="s">
        <v>217</v>
      </c>
      <c r="G1" s="67"/>
      <c r="H1" s="242" t="s">
        <v>218</v>
      </c>
      <c r="I1" s="67"/>
      <c r="J1" s="242" t="s">
        <v>219</v>
      </c>
      <c r="K1" s="67"/>
      <c r="L1" s="242" t="s">
        <v>220</v>
      </c>
      <c r="M1" s="67"/>
      <c r="N1" s="242" t="s">
        <v>216</v>
      </c>
      <c r="O1" s="67"/>
      <c r="P1" s="242" t="s">
        <v>215</v>
      </c>
      <c r="Q1" s="67"/>
      <c r="R1" s="242" t="s">
        <v>62</v>
      </c>
      <c r="S1" s="67"/>
      <c r="T1" s="242" t="s">
        <v>65</v>
      </c>
      <c r="U1" s="67"/>
      <c r="V1" s="242" t="s">
        <v>61</v>
      </c>
      <c r="W1" s="67"/>
      <c r="X1" s="242" t="s">
        <v>67</v>
      </c>
      <c r="Y1" s="67"/>
      <c r="Z1" s="242" t="s">
        <v>66</v>
      </c>
      <c r="AA1" s="67"/>
      <c r="AB1" s="242" t="s">
        <v>925</v>
      </c>
      <c r="AC1" s="67"/>
      <c r="AD1" s="242" t="s">
        <v>54</v>
      </c>
      <c r="AE1" s="67"/>
      <c r="AF1" s="242" t="s">
        <v>921</v>
      </c>
      <c r="AG1" s="67"/>
      <c r="AH1" s="242" t="s">
        <v>60</v>
      </c>
      <c r="AI1" s="67"/>
      <c r="AJ1" s="110" t="s">
        <v>254</v>
      </c>
      <c r="AK1" s="340"/>
      <c r="AL1" s="244"/>
    </row>
    <row r="2" spans="1:38" s="56" customFormat="1" ht="19" x14ac:dyDescent="0.25">
      <c r="B2" s="2"/>
      <c r="C2" s="2"/>
      <c r="D2" s="2"/>
      <c r="E2" s="305"/>
      <c r="F2" s="243" t="s">
        <v>2</v>
      </c>
      <c r="G2" s="68" t="s">
        <v>3</v>
      </c>
      <c r="H2" s="243" t="s">
        <v>2</v>
      </c>
      <c r="I2" s="68" t="s">
        <v>3</v>
      </c>
      <c r="J2" s="243" t="s">
        <v>2</v>
      </c>
      <c r="K2" s="68" t="s">
        <v>3</v>
      </c>
      <c r="L2" s="243" t="s">
        <v>2</v>
      </c>
      <c r="M2" s="68" t="s">
        <v>3</v>
      </c>
      <c r="N2" s="243" t="s">
        <v>2</v>
      </c>
      <c r="O2" s="68" t="s">
        <v>3</v>
      </c>
      <c r="P2" s="243" t="s">
        <v>2</v>
      </c>
      <c r="Q2" s="68" t="s">
        <v>3</v>
      </c>
      <c r="R2" s="243" t="s">
        <v>2</v>
      </c>
      <c r="S2" s="68" t="s">
        <v>3</v>
      </c>
      <c r="T2" s="243" t="s">
        <v>2</v>
      </c>
      <c r="U2" s="68" t="s">
        <v>3</v>
      </c>
      <c r="V2" s="243" t="s">
        <v>2</v>
      </c>
      <c r="W2" s="68" t="s">
        <v>3</v>
      </c>
      <c r="X2" s="243" t="s">
        <v>2</v>
      </c>
      <c r="Y2" s="68" t="s">
        <v>3</v>
      </c>
      <c r="Z2" s="243" t="s">
        <v>2</v>
      </c>
      <c r="AA2" s="68" t="s">
        <v>3</v>
      </c>
      <c r="AB2" s="243" t="s">
        <v>2</v>
      </c>
      <c r="AC2" s="68" t="s">
        <v>3</v>
      </c>
      <c r="AD2" s="243" t="s">
        <v>2</v>
      </c>
      <c r="AE2" s="68" t="s">
        <v>3</v>
      </c>
      <c r="AF2" s="243" t="s">
        <v>2</v>
      </c>
      <c r="AG2" s="68" t="s">
        <v>3</v>
      </c>
      <c r="AH2" s="243" t="s">
        <v>2</v>
      </c>
      <c r="AI2" s="68" t="s">
        <v>3</v>
      </c>
      <c r="AJ2" s="111" t="s">
        <v>59</v>
      </c>
      <c r="AK2" s="115"/>
      <c r="AL2" s="245"/>
    </row>
    <row r="3" spans="1:38" ht="117" customHeight="1" x14ac:dyDescent="0.2">
      <c r="B3"/>
      <c r="C3"/>
      <c r="D3" s="47"/>
      <c r="E3" s="306"/>
      <c r="F3" s="264" t="s">
        <v>208</v>
      </c>
      <c r="G3" s="69" t="s">
        <v>214</v>
      </c>
      <c r="H3" s="264" t="s">
        <v>208</v>
      </c>
      <c r="I3" s="69" t="s">
        <v>214</v>
      </c>
      <c r="J3" s="264" t="s">
        <v>208</v>
      </c>
      <c r="K3" s="69" t="s">
        <v>214</v>
      </c>
      <c r="L3" s="264" t="s">
        <v>208</v>
      </c>
      <c r="M3" s="69" t="s">
        <v>214</v>
      </c>
      <c r="N3" s="264" t="s">
        <v>208</v>
      </c>
      <c r="O3" s="69" t="s">
        <v>214</v>
      </c>
      <c r="P3" s="264" t="s">
        <v>208</v>
      </c>
      <c r="Q3" s="69" t="s">
        <v>214</v>
      </c>
      <c r="R3" s="264" t="s">
        <v>208</v>
      </c>
      <c r="S3" s="69" t="s">
        <v>214</v>
      </c>
      <c r="T3" s="264" t="s">
        <v>208</v>
      </c>
      <c r="U3" s="69" t="s">
        <v>214</v>
      </c>
      <c r="V3" s="264" t="s">
        <v>208</v>
      </c>
      <c r="W3" s="69" t="s">
        <v>214</v>
      </c>
      <c r="X3" s="264" t="s">
        <v>208</v>
      </c>
      <c r="Y3" s="69" t="s">
        <v>214</v>
      </c>
      <c r="Z3" s="264" t="s">
        <v>208</v>
      </c>
      <c r="AA3" s="69" t="s">
        <v>214</v>
      </c>
      <c r="AB3" s="264" t="s">
        <v>208</v>
      </c>
      <c r="AC3" s="69" t="s">
        <v>214</v>
      </c>
      <c r="AD3" s="264" t="s">
        <v>208</v>
      </c>
      <c r="AE3" s="69" t="s">
        <v>214</v>
      </c>
      <c r="AF3" s="264" t="s">
        <v>208</v>
      </c>
      <c r="AG3" s="69" t="s">
        <v>214</v>
      </c>
      <c r="AH3" s="264" t="s">
        <v>208</v>
      </c>
      <c r="AI3" s="69" t="s">
        <v>214</v>
      </c>
      <c r="AJ3" s="136" t="s">
        <v>1080</v>
      </c>
      <c r="AK3" s="408" t="s">
        <v>1020</v>
      </c>
      <c r="AL3" s="246" t="s">
        <v>1079</v>
      </c>
    </row>
    <row r="4" spans="1:38" x14ac:dyDescent="0.2">
      <c r="B4" s="49"/>
      <c r="C4" s="49"/>
      <c r="D4" s="49" t="s">
        <v>4</v>
      </c>
      <c r="E4" s="307"/>
      <c r="F4" s="160"/>
      <c r="G4" s="71">
        <f>SUBTOTAL(109,G$15:INDEX(G:G,COUNTA($B:$B)+14-COUNTA($B$1:$B$14)))</f>
        <v>0</v>
      </c>
      <c r="H4" s="160"/>
      <c r="I4" s="71">
        <f>SUBTOTAL(109,I$15:INDEX(I:I,COUNTA($B:$B)+14-COUNTA($B$1:$B$14)))</f>
        <v>0</v>
      </c>
      <c r="J4" s="160"/>
      <c r="K4" s="71">
        <f>SUBTOTAL(109,K$15:INDEX(K:K,COUNTA($B:$B)+14-COUNTA($B$1:$B$14)))</f>
        <v>0</v>
      </c>
      <c r="L4" s="160"/>
      <c r="M4" s="71">
        <f>SUBTOTAL(109,M$15:INDEX(M:M,COUNTA($B:$B)+14-COUNTA($B$1:$B$14)))</f>
        <v>0</v>
      </c>
      <c r="N4" s="160"/>
      <c r="O4" s="71">
        <f>SUBTOTAL(109,O$15:INDEX(O:O,COUNTA($B:$B)+14-COUNTA($B$1:$B$14)))</f>
        <v>0</v>
      </c>
      <c r="P4" s="160"/>
      <c r="Q4" s="71">
        <f>SUBTOTAL(109,Q$15:INDEX(Q:Q,COUNTA($B:$B)+14-COUNTA($B$1:$B$14)))</f>
        <v>0</v>
      </c>
      <c r="R4" s="160"/>
      <c r="S4" s="71">
        <f>SUBTOTAL(109,S$15:INDEX(S:S,COUNTA($B:$B)+14-COUNTA($B$1:$B$14)))</f>
        <v>0</v>
      </c>
      <c r="T4" s="160"/>
      <c r="U4" s="71">
        <f>SUBTOTAL(109,U$15:INDEX(U:U,COUNTA($B:$B)+14-COUNTA($B$1:$B$14)))</f>
        <v>0</v>
      </c>
      <c r="V4" s="160"/>
      <c r="W4" s="71">
        <f>SUBTOTAL(109,W$15:INDEX(W:W,COUNTA($B:$B)+14-COUNTA($B$1:$B$14)))</f>
        <v>0</v>
      </c>
      <c r="X4" s="160"/>
      <c r="Y4" s="71">
        <f>SUBTOTAL(109,Y$15:INDEX(Y:Y,COUNTA($B:$B)+14-COUNTA($B$1:$B$14)))</f>
        <v>0</v>
      </c>
      <c r="Z4" s="160"/>
      <c r="AA4" s="71">
        <f>SUBTOTAL(109,AA$15:INDEX(AA:AA,COUNTA($B:$B)+14-COUNTA($B$1:$B$14)))</f>
        <v>0</v>
      </c>
      <c r="AB4" s="160"/>
      <c r="AC4" s="71">
        <f>SUBTOTAL(109,AC$15:INDEX(AC:AC,COUNTA($B:$B)+14-COUNTA($B$1:$B$14)))</f>
        <v>0</v>
      </c>
      <c r="AD4" s="160"/>
      <c r="AE4" s="71">
        <f>SUBTOTAL(109,AE$15:INDEX(AE:AE,COUNTA($B:$B)+14-COUNTA($B$1:$B$14)))</f>
        <v>0</v>
      </c>
      <c r="AF4" s="160"/>
      <c r="AG4" s="71">
        <f>SUBTOTAL(109,AG$15:INDEX(AG:AG,COUNTA($B:$B)+14-COUNTA($B$1:$B$14)))</f>
        <v>0</v>
      </c>
      <c r="AH4" s="160"/>
      <c r="AI4" s="71">
        <f>SUBTOTAL(109,AI$15:INDEX(AI:AI,COUNTA($B:$B)+14-COUNTA($B$1:$B$14)))</f>
        <v>0</v>
      </c>
      <c r="AJ4" s="109">
        <f>SUBTOTAL(109,AJ$15:INDEX(AJ:AJ,COUNTA($B:$B)+14-COUNTA($B$1:$B$14)))</f>
        <v>0</v>
      </c>
      <c r="AK4" s="117">
        <f>SUBTOTAL(109,AK$15:INDEX(AK:AK,COUNTA($B:$B)+14-COUNTA($B$1:$B$14)))</f>
        <v>0</v>
      </c>
      <c r="AL4" s="247" t="str">
        <f>IF(SUM($AK4)=0,"",$AJ4/$AK4)</f>
        <v/>
      </c>
    </row>
    <row r="5" spans="1:38" x14ac:dyDescent="0.2">
      <c r="A5" s="40" t="s">
        <v>99</v>
      </c>
      <c r="B5" s="42" t="s">
        <v>99</v>
      </c>
      <c r="C5" s="42" t="s">
        <v>99</v>
      </c>
      <c r="D5" s="42" t="s">
        <v>99</v>
      </c>
      <c r="E5" s="44" t="s">
        <v>99</v>
      </c>
      <c r="F5" s="161" t="s">
        <v>99</v>
      </c>
      <c r="G5" s="72" t="s">
        <v>110</v>
      </c>
      <c r="H5" s="161" t="s">
        <v>99</v>
      </c>
      <c r="I5" s="72" t="s">
        <v>110</v>
      </c>
      <c r="J5" s="161" t="s">
        <v>99</v>
      </c>
      <c r="K5" s="72" t="s">
        <v>110</v>
      </c>
      <c r="L5" s="161" t="s">
        <v>99</v>
      </c>
      <c r="M5" s="72" t="s">
        <v>110</v>
      </c>
      <c r="N5" s="161" t="s">
        <v>99</v>
      </c>
      <c r="O5" s="72" t="s">
        <v>110</v>
      </c>
      <c r="P5" s="161" t="s">
        <v>99</v>
      </c>
      <c r="Q5" s="72" t="s">
        <v>110</v>
      </c>
      <c r="R5" s="161" t="s">
        <v>99</v>
      </c>
      <c r="S5" s="72" t="s">
        <v>110</v>
      </c>
      <c r="T5" s="161" t="s">
        <v>99</v>
      </c>
      <c r="U5" s="72" t="s">
        <v>110</v>
      </c>
      <c r="V5" s="161" t="s">
        <v>99</v>
      </c>
      <c r="W5" s="72" t="s">
        <v>110</v>
      </c>
      <c r="X5" s="161" t="s">
        <v>99</v>
      </c>
      <c r="Y5" s="72" t="s">
        <v>110</v>
      </c>
      <c r="Z5" s="161" t="s">
        <v>99</v>
      </c>
      <c r="AA5" s="72" t="s">
        <v>110</v>
      </c>
      <c r="AB5" s="161" t="s">
        <v>99</v>
      </c>
      <c r="AC5" s="72" t="s">
        <v>110</v>
      </c>
      <c r="AD5" s="161" t="s">
        <v>99</v>
      </c>
      <c r="AE5" s="72" t="s">
        <v>110</v>
      </c>
      <c r="AF5" s="161" t="s">
        <v>99</v>
      </c>
      <c r="AG5" s="72" t="s">
        <v>110</v>
      </c>
      <c r="AH5" s="161" t="s">
        <v>99</v>
      </c>
      <c r="AI5" s="72" t="s">
        <v>110</v>
      </c>
      <c r="AJ5" s="98" t="s">
        <v>99</v>
      </c>
      <c r="AK5" s="75" t="s">
        <v>99</v>
      </c>
      <c r="AL5" s="36" t="s">
        <v>99</v>
      </c>
    </row>
    <row r="6" spans="1:38" x14ac:dyDescent="0.2">
      <c r="A6" s="40" t="s">
        <v>201</v>
      </c>
      <c r="B6" s="42" t="s">
        <v>201</v>
      </c>
      <c r="C6" s="42" t="s">
        <v>201</v>
      </c>
      <c r="D6" s="42" t="s">
        <v>201</v>
      </c>
      <c r="E6" s="44" t="s">
        <v>201</v>
      </c>
      <c r="F6" s="161" t="s">
        <v>113</v>
      </c>
      <c r="G6" s="72" t="s">
        <v>93</v>
      </c>
      <c r="H6" s="161" t="s">
        <v>113</v>
      </c>
      <c r="I6" s="72" t="s">
        <v>93</v>
      </c>
      <c r="J6" s="161" t="s">
        <v>113</v>
      </c>
      <c r="K6" s="72" t="s">
        <v>93</v>
      </c>
      <c r="L6" s="161" t="s">
        <v>113</v>
      </c>
      <c r="M6" s="72" t="s">
        <v>93</v>
      </c>
      <c r="N6" s="161" t="s">
        <v>113</v>
      </c>
      <c r="O6" s="72" t="s">
        <v>93</v>
      </c>
      <c r="P6" s="161" t="s">
        <v>113</v>
      </c>
      <c r="Q6" s="72" t="s">
        <v>93</v>
      </c>
      <c r="R6" s="161" t="s">
        <v>113</v>
      </c>
      <c r="S6" s="72" t="s">
        <v>93</v>
      </c>
      <c r="T6" s="161" t="s">
        <v>113</v>
      </c>
      <c r="U6" s="72" t="s">
        <v>93</v>
      </c>
      <c r="V6" s="161" t="s">
        <v>113</v>
      </c>
      <c r="W6" s="72" t="s">
        <v>93</v>
      </c>
      <c r="X6" s="161" t="s">
        <v>113</v>
      </c>
      <c r="Y6" s="72" t="s">
        <v>93</v>
      </c>
      <c r="Z6" s="161" t="s">
        <v>113</v>
      </c>
      <c r="AA6" s="72" t="s">
        <v>93</v>
      </c>
      <c r="AB6" s="161" t="s">
        <v>113</v>
      </c>
      <c r="AC6" s="72" t="s">
        <v>93</v>
      </c>
      <c r="AD6" s="161" t="s">
        <v>113</v>
      </c>
      <c r="AE6" s="72" t="s">
        <v>93</v>
      </c>
      <c r="AF6" s="161" t="s">
        <v>113</v>
      </c>
      <c r="AG6" s="72" t="s">
        <v>93</v>
      </c>
      <c r="AH6" s="161" t="s">
        <v>113</v>
      </c>
      <c r="AI6" s="72" t="s">
        <v>93</v>
      </c>
      <c r="AJ6" s="98" t="s">
        <v>94</v>
      </c>
      <c r="AK6" s="75" t="s">
        <v>94</v>
      </c>
      <c r="AL6" s="36" t="s">
        <v>94</v>
      </c>
    </row>
    <row r="7" spans="1:38" x14ac:dyDescent="0.2">
      <c r="A7" s="40" t="s">
        <v>109</v>
      </c>
      <c r="B7" s="42" t="s">
        <v>109</v>
      </c>
      <c r="C7" s="42" t="s">
        <v>109</v>
      </c>
      <c r="D7" s="42" t="s">
        <v>109</v>
      </c>
      <c r="E7" s="44" t="s">
        <v>109</v>
      </c>
      <c r="F7" s="161" t="s">
        <v>96</v>
      </c>
      <c r="G7" s="72" t="s">
        <v>95</v>
      </c>
      <c r="H7" s="161" t="s">
        <v>96</v>
      </c>
      <c r="I7" s="72" t="s">
        <v>95</v>
      </c>
      <c r="J7" s="161" t="s">
        <v>96</v>
      </c>
      <c r="K7" s="72" t="s">
        <v>95</v>
      </c>
      <c r="L7" s="161" t="s">
        <v>96</v>
      </c>
      <c r="M7" s="72" t="s">
        <v>95</v>
      </c>
      <c r="N7" s="161" t="s">
        <v>96</v>
      </c>
      <c r="O7" s="72" t="s">
        <v>95</v>
      </c>
      <c r="P7" s="161" t="s">
        <v>96</v>
      </c>
      <c r="Q7" s="72" t="s">
        <v>95</v>
      </c>
      <c r="R7" s="161" t="s">
        <v>96</v>
      </c>
      <c r="S7" s="72" t="s">
        <v>95</v>
      </c>
      <c r="T7" s="161" t="s">
        <v>96</v>
      </c>
      <c r="U7" s="72" t="s">
        <v>95</v>
      </c>
      <c r="V7" s="161" t="s">
        <v>96</v>
      </c>
      <c r="W7" s="72" t="s">
        <v>95</v>
      </c>
      <c r="X7" s="161" t="s">
        <v>96</v>
      </c>
      <c r="Y7" s="72" t="s">
        <v>95</v>
      </c>
      <c r="Z7" s="161" t="s">
        <v>96</v>
      </c>
      <c r="AA7" s="72" t="s">
        <v>95</v>
      </c>
      <c r="AB7" s="161" t="s">
        <v>96</v>
      </c>
      <c r="AC7" s="72" t="s">
        <v>95</v>
      </c>
      <c r="AD7" s="161" t="s">
        <v>96</v>
      </c>
      <c r="AE7" s="72" t="s">
        <v>95</v>
      </c>
      <c r="AF7" s="161" t="s">
        <v>96</v>
      </c>
      <c r="AG7" s="72" t="s">
        <v>95</v>
      </c>
      <c r="AH7" s="161" t="s">
        <v>96</v>
      </c>
      <c r="AI7" s="72" t="s">
        <v>95</v>
      </c>
      <c r="AJ7" s="98" t="s">
        <v>95</v>
      </c>
      <c r="AK7" s="75" t="s">
        <v>95</v>
      </c>
      <c r="AL7" s="36" t="s">
        <v>96</v>
      </c>
    </row>
    <row r="8" spans="1:38" s="328" customFormat="1" x14ac:dyDescent="0.2">
      <c r="B8" s="329"/>
      <c r="C8" s="329"/>
      <c r="D8" s="329"/>
      <c r="E8" s="330"/>
      <c r="F8" s="331"/>
      <c r="G8" s="309" t="s">
        <v>225</v>
      </c>
      <c r="H8" s="331"/>
      <c r="I8" s="309" t="s">
        <v>226</v>
      </c>
      <c r="J8" s="331"/>
      <c r="K8" s="309" t="s">
        <v>228</v>
      </c>
      <c r="L8" s="331"/>
      <c r="M8" s="309" t="s">
        <v>230</v>
      </c>
      <c r="N8" s="331"/>
      <c r="O8" s="309" t="s">
        <v>232</v>
      </c>
      <c r="P8" s="331"/>
      <c r="Q8" s="309" t="s">
        <v>222</v>
      </c>
      <c r="R8" s="331"/>
      <c r="S8" s="425" t="s">
        <v>224</v>
      </c>
      <c r="T8" s="331"/>
      <c r="U8" s="309" t="s">
        <v>227</v>
      </c>
      <c r="V8" s="331"/>
      <c r="W8" s="309" t="s">
        <v>223</v>
      </c>
      <c r="X8" s="331"/>
      <c r="Y8" s="309" t="s">
        <v>231</v>
      </c>
      <c r="Z8" s="331"/>
      <c r="AA8" s="309" t="s">
        <v>229</v>
      </c>
      <c r="AB8" s="331"/>
      <c r="AC8" s="309" t="s">
        <v>1059</v>
      </c>
      <c r="AD8" s="331"/>
      <c r="AE8" s="309" t="s">
        <v>233</v>
      </c>
      <c r="AF8" s="331"/>
      <c r="AG8" s="309" t="s">
        <v>1061</v>
      </c>
      <c r="AH8" s="331"/>
      <c r="AI8" s="309" t="s">
        <v>234</v>
      </c>
      <c r="AJ8" s="213"/>
      <c r="AK8" s="173"/>
      <c r="AL8" s="332"/>
    </row>
    <row r="9" spans="1:38" s="328" customFormat="1" x14ac:dyDescent="0.2">
      <c r="B9" s="329"/>
      <c r="C9" s="329"/>
      <c r="D9" s="329"/>
      <c r="E9" s="330"/>
      <c r="F9" s="331"/>
      <c r="G9" s="309" t="s">
        <v>237</v>
      </c>
      <c r="H9" s="331"/>
      <c r="I9" s="309" t="s">
        <v>238</v>
      </c>
      <c r="J9" s="331"/>
      <c r="K9" s="309" t="s">
        <v>240</v>
      </c>
      <c r="L9" s="331"/>
      <c r="M9" s="309" t="s">
        <v>242</v>
      </c>
      <c r="N9" s="331"/>
      <c r="O9" s="309" t="s">
        <v>244</v>
      </c>
      <c r="P9" s="331"/>
      <c r="Q9" s="309" t="s">
        <v>221</v>
      </c>
      <c r="R9" s="331"/>
      <c r="S9" s="309" t="s">
        <v>236</v>
      </c>
      <c r="T9" s="331"/>
      <c r="U9" s="309" t="s">
        <v>239</v>
      </c>
      <c r="V9" s="331"/>
      <c r="W9" s="309" t="s">
        <v>235</v>
      </c>
      <c r="X9" s="331"/>
      <c r="Y9" s="309" t="s">
        <v>243</v>
      </c>
      <c r="Z9" s="331"/>
      <c r="AA9" s="309" t="s">
        <v>241</v>
      </c>
      <c r="AB9" s="331"/>
      <c r="AC9" s="309" t="s">
        <v>1060</v>
      </c>
      <c r="AD9" s="331"/>
      <c r="AE9" s="309" t="s">
        <v>245</v>
      </c>
      <c r="AF9" s="331"/>
      <c r="AG9" s="309" t="s">
        <v>1062</v>
      </c>
      <c r="AH9" s="331"/>
      <c r="AI9" s="309" t="s">
        <v>246</v>
      </c>
      <c r="AJ9" s="213"/>
      <c r="AK9" s="173"/>
      <c r="AL9" s="332"/>
    </row>
    <row r="10" spans="1:38" s="328" customFormat="1" x14ac:dyDescent="0.2">
      <c r="B10" s="329"/>
      <c r="C10" s="329"/>
      <c r="D10" s="329"/>
      <c r="E10" s="330"/>
      <c r="F10" s="331"/>
      <c r="G10" s="309" t="s">
        <v>105</v>
      </c>
      <c r="H10" s="331"/>
      <c r="I10" s="309" t="s">
        <v>105</v>
      </c>
      <c r="J10" s="331"/>
      <c r="K10" s="309" t="s">
        <v>105</v>
      </c>
      <c r="L10" s="331"/>
      <c r="M10" s="309" t="s">
        <v>105</v>
      </c>
      <c r="N10" s="331"/>
      <c r="O10" s="309" t="s">
        <v>105</v>
      </c>
      <c r="P10" s="331"/>
      <c r="Q10" s="309" t="s">
        <v>105</v>
      </c>
      <c r="R10" s="331"/>
      <c r="S10" s="309" t="s">
        <v>105</v>
      </c>
      <c r="T10" s="331"/>
      <c r="U10" s="309" t="s">
        <v>105</v>
      </c>
      <c r="V10" s="331"/>
      <c r="W10" s="309" t="s">
        <v>105</v>
      </c>
      <c r="X10" s="331"/>
      <c r="Y10" s="309" t="s">
        <v>105</v>
      </c>
      <c r="Z10" s="331"/>
      <c r="AA10" s="309" t="s">
        <v>105</v>
      </c>
      <c r="AB10" s="331"/>
      <c r="AC10" s="309" t="s">
        <v>105</v>
      </c>
      <c r="AD10" s="331"/>
      <c r="AE10" s="309" t="s">
        <v>105</v>
      </c>
      <c r="AF10" s="331"/>
      <c r="AG10" s="309" t="s">
        <v>105</v>
      </c>
      <c r="AH10" s="331"/>
      <c r="AI10" s="309" t="s">
        <v>105</v>
      </c>
      <c r="AJ10" s="213"/>
      <c r="AK10" s="173"/>
      <c r="AL10" s="332"/>
    </row>
    <row r="11" spans="1:38" x14ac:dyDescent="0.2">
      <c r="F11" s="161" t="s">
        <v>1038</v>
      </c>
      <c r="G11" s="72" t="s">
        <v>1038</v>
      </c>
      <c r="H11" s="161" t="s">
        <v>1038</v>
      </c>
      <c r="I11" s="72" t="s">
        <v>1038</v>
      </c>
      <c r="J11" s="161" t="s">
        <v>1038</v>
      </c>
      <c r="K11" s="72" t="s">
        <v>1038</v>
      </c>
      <c r="L11" s="161" t="s">
        <v>1038</v>
      </c>
      <c r="M11" s="72" t="s">
        <v>1038</v>
      </c>
      <c r="N11" s="161" t="s">
        <v>1038</v>
      </c>
      <c r="O11" s="72" t="s">
        <v>1038</v>
      </c>
      <c r="P11" s="161" t="s">
        <v>1038</v>
      </c>
      <c r="Q11" s="72" t="s">
        <v>1038</v>
      </c>
      <c r="R11" s="161" t="s">
        <v>1038</v>
      </c>
      <c r="S11" s="72" t="s">
        <v>1038</v>
      </c>
      <c r="T11" s="161" t="s">
        <v>1038</v>
      </c>
      <c r="U11" s="72" t="s">
        <v>1038</v>
      </c>
      <c r="V11" s="161" t="s">
        <v>1038</v>
      </c>
      <c r="W11" s="72" t="s">
        <v>1038</v>
      </c>
      <c r="X11" s="161" t="s">
        <v>1038</v>
      </c>
      <c r="Y11" s="72" t="s">
        <v>1038</v>
      </c>
      <c r="Z11" s="161" t="s">
        <v>1038</v>
      </c>
      <c r="AA11" s="72" t="s">
        <v>1038</v>
      </c>
      <c r="AB11" s="161" t="s">
        <v>1038</v>
      </c>
      <c r="AC11" s="72" t="s">
        <v>1038</v>
      </c>
      <c r="AD11" s="161" t="s">
        <v>1038</v>
      </c>
      <c r="AE11" s="72" t="s">
        <v>1038</v>
      </c>
      <c r="AF11" s="161" t="s">
        <v>1038</v>
      </c>
      <c r="AG11" s="72" t="s">
        <v>1038</v>
      </c>
      <c r="AH11" s="161" t="s">
        <v>1038</v>
      </c>
      <c r="AI11" s="72" t="s">
        <v>1038</v>
      </c>
      <c r="AJ11" s="98" t="s">
        <v>1038</v>
      </c>
      <c r="AK11" s="75" t="s">
        <v>1038</v>
      </c>
      <c r="AL11" s="36" t="s">
        <v>1038</v>
      </c>
    </row>
    <row r="12" spans="1:38" x14ac:dyDescent="0.2">
      <c r="F12" s="161" t="s">
        <v>689</v>
      </c>
      <c r="G12" s="72" t="s">
        <v>689</v>
      </c>
      <c r="H12" s="161" t="s">
        <v>689</v>
      </c>
      <c r="I12" s="72" t="s">
        <v>689</v>
      </c>
      <c r="J12" s="161" t="s">
        <v>202</v>
      </c>
      <c r="K12" s="72" t="s">
        <v>202</v>
      </c>
      <c r="L12" s="161" t="s">
        <v>690</v>
      </c>
      <c r="M12" s="72" t="s">
        <v>690</v>
      </c>
      <c r="N12" s="161" t="s">
        <v>202</v>
      </c>
      <c r="O12" s="72" t="s">
        <v>202</v>
      </c>
      <c r="P12" s="161" t="s">
        <v>202</v>
      </c>
      <c r="Q12" s="72" t="s">
        <v>202</v>
      </c>
      <c r="R12" s="161" t="s">
        <v>202</v>
      </c>
      <c r="S12" s="72" t="s">
        <v>202</v>
      </c>
      <c r="T12" s="161" t="s">
        <v>202</v>
      </c>
      <c r="U12" s="72" t="s">
        <v>202</v>
      </c>
      <c r="V12" s="161" t="s">
        <v>202</v>
      </c>
      <c r="W12" s="72" t="s">
        <v>202</v>
      </c>
      <c r="X12" s="161" t="s">
        <v>202</v>
      </c>
      <c r="Y12" s="72" t="s">
        <v>202</v>
      </c>
      <c r="Z12" s="161" t="s">
        <v>202</v>
      </c>
      <c r="AA12" s="72" t="s">
        <v>202</v>
      </c>
      <c r="AB12" s="161" t="s">
        <v>202</v>
      </c>
      <c r="AC12" s="72" t="s">
        <v>202</v>
      </c>
      <c r="AD12" s="161" t="s">
        <v>202</v>
      </c>
      <c r="AE12" s="72" t="s">
        <v>202</v>
      </c>
      <c r="AF12" s="161" t="s">
        <v>202</v>
      </c>
      <c r="AG12" s="72" t="s">
        <v>202</v>
      </c>
      <c r="AH12" s="161" t="s">
        <v>202</v>
      </c>
      <c r="AI12" s="72" t="s">
        <v>202</v>
      </c>
      <c r="AJ12" s="98" t="s">
        <v>202</v>
      </c>
      <c r="AK12" s="75" t="s">
        <v>202</v>
      </c>
      <c r="AL12" s="36" t="s">
        <v>202</v>
      </c>
    </row>
    <row r="13" spans="1:38" x14ac:dyDescent="0.2">
      <c r="AJ13" s="98"/>
      <c r="AK13" s="75"/>
      <c r="AL13" s="36"/>
    </row>
    <row r="14" spans="1:38" x14ac:dyDescent="0.2">
      <c r="A14" s="52" t="s">
        <v>587</v>
      </c>
      <c r="B14" s="52" t="s">
        <v>5</v>
      </c>
      <c r="C14" s="54" t="s">
        <v>35</v>
      </c>
      <c r="D14" s="54" t="s">
        <v>6</v>
      </c>
      <c r="E14" s="308" t="s">
        <v>76</v>
      </c>
      <c r="F14" s="355" t="s">
        <v>547</v>
      </c>
      <c r="G14" s="172" t="s">
        <v>548</v>
      </c>
      <c r="H14" s="355" t="s">
        <v>412</v>
      </c>
      <c r="I14" s="172" t="s">
        <v>413</v>
      </c>
      <c r="J14" s="355" t="s">
        <v>410</v>
      </c>
      <c r="K14" s="172" t="s">
        <v>411</v>
      </c>
      <c r="L14" s="355" t="s">
        <v>414</v>
      </c>
      <c r="M14" s="172" t="s">
        <v>415</v>
      </c>
      <c r="N14" s="355" t="s">
        <v>404</v>
      </c>
      <c r="O14" s="172" t="s">
        <v>405</v>
      </c>
      <c r="P14" s="355" t="s">
        <v>406</v>
      </c>
      <c r="Q14" s="172" t="s">
        <v>407</v>
      </c>
      <c r="R14" s="355" t="s">
        <v>408</v>
      </c>
      <c r="S14" s="172" t="s">
        <v>409</v>
      </c>
      <c r="T14" s="355" t="s">
        <v>416</v>
      </c>
      <c r="U14" s="172" t="s">
        <v>417</v>
      </c>
      <c r="V14" s="355" t="s">
        <v>418</v>
      </c>
      <c r="W14" s="172" t="s">
        <v>419</v>
      </c>
      <c r="X14" s="355" t="s">
        <v>420</v>
      </c>
      <c r="Y14" s="172" t="s">
        <v>421</v>
      </c>
      <c r="Z14" s="355" t="s">
        <v>422</v>
      </c>
      <c r="AA14" s="172" t="s">
        <v>423</v>
      </c>
      <c r="AB14" s="355" t="s">
        <v>919</v>
      </c>
      <c r="AC14" s="172" t="s">
        <v>920</v>
      </c>
      <c r="AD14" s="355" t="s">
        <v>424</v>
      </c>
      <c r="AE14" s="172" t="s">
        <v>425</v>
      </c>
      <c r="AF14" s="355" t="s">
        <v>926</v>
      </c>
      <c r="AG14" s="172" t="s">
        <v>927</v>
      </c>
      <c r="AH14" s="355" t="s">
        <v>426</v>
      </c>
      <c r="AI14" s="172" t="s">
        <v>427</v>
      </c>
      <c r="AJ14" s="174" t="s">
        <v>428</v>
      </c>
      <c r="AK14" s="92" t="s">
        <v>396</v>
      </c>
      <c r="AL14" s="209" t="s">
        <v>549</v>
      </c>
    </row>
    <row r="15" spans="1:38" x14ac:dyDescent="0.2">
      <c r="E15" s="44" t="str">
        <f>$B15&amp;"|"&amp;$C15&amp;"|"&amp;$D15</f>
        <v>||</v>
      </c>
      <c r="F15" s="161" t="str">
        <f>IF($D15="Female",100%,"")</f>
        <v/>
      </c>
      <c r="G15" s="72" t="str" cm="1">
        <f t="array" ref="G15">IFERROR(ROUND($F15*IF($C15="50+",SUM(SUMIFS(PMTCT!$AF:$AF,PMTCT!$B:$B,$B15,PMTCT!$C:$C,{"50-54","55-59","60-64","65+"},PMTCT!$D:$D,$D15)),INDEX(PMTCT!$AF:$AF,MATCH($E15,PMTCT!$E:$E,0))),0),"")</f>
        <v/>
      </c>
      <c r="H15" s="161" t="str">
        <f>IF($D15="Female",100%,"")</f>
        <v/>
      </c>
      <c r="I15" s="72" t="str" cm="1">
        <f t="array" ref="I15">IFERROR(ROUND($H15*IF($C15="50+",SUM(SUMIFS(PMTCT!$AV:$AV,PMTCT!$B:$B,$B15,PMTCT!$C:$C,{"50-54","55-59","60-64","65+"},PMTCT!$D:$D,$D15)),INDEX(PMTCT!$AV:$AV,MATCH($E15,PMTCT!$E:$E,0))),0),"")</f>
        <v/>
      </c>
      <c r="J15" s="161">
        <v>1</v>
      </c>
      <c r="K15" s="72" cm="1">
        <f t="array" ref="K15">IFERROR(ROUND($J15*IF($C15="50+",SUM(SUMIFS(TB!$Q:$Q,TB!$B:$B,$B15,TB!$C:$C,{"50-54","55-59","60-64","65+"},TB!$D:$D,$D15)),INDEX(TB!$Q:$Q,MATCH($E15,TB!$E:$E,0))),0),"")</f>
        <v>0</v>
      </c>
      <c r="L15" s="161" t="str">
        <f>IF($D15="Male",100%,"")</f>
        <v/>
      </c>
      <c r="M15" s="87" t="str" cm="1">
        <f t="array" ref="M15">IFERROR(ROUND($L14*IF($C14="50+",SUM(SUMIFS(VMMC!$AC:$AC,VMMC!$B:$B,$B14,VMMC!$C:$C,{"50-54","55-59","60-64","65+"},VMMC!$D:$D,$D14)),INDEX(VMMC!$AC:$AC,MATCH($E14,VMMC!$E:$E,0))),0),"")</f>
        <v/>
      </c>
      <c r="N15" s="161">
        <v>1</v>
      </c>
      <c r="O15" s="72" t="str" cm="1">
        <f t="array" ref="O15">IFERROR(ROUND($N15*IF($C15="50+",SUM(SUMIFS(Cascade!$CR:$CR,Cascade!$B:$B,$B15,Cascade!$C:$C,{"50-54","55-59","60-64","65+"},Cascade!$D:$D,$D15)),INDEX(Cascade!$CR:$CR,MATCH($E15,Cascade!$E:$E,0))),0),"")</f>
        <v/>
      </c>
      <c r="P15" s="161">
        <v>1</v>
      </c>
      <c r="Q15" s="72" t="str" cm="1">
        <f t="array" ref="Q15">IFERROR(ROUND($P15*IF($C15="50+",SUM(SUMIFS(Cascade!$CT:$CT,Cascade!$B:$B,$B15,Cascade!$C:$C,{"50-54","55-59","60-64","65+"},Cascade!$D:$D,$D15)),INDEX(Cascade!$CT:$CT,MATCH($E15,Cascade!$E:$E,0))),0),"")</f>
        <v/>
      </c>
      <c r="R15" s="161">
        <v>1</v>
      </c>
      <c r="S15" s="72" t="str">
        <f>IFERROR(ROUND($R15*INDEX(HTS!$AI:$AI,MATCH($E15,HTS!$E:$E,0)),0),"")</f>
        <v/>
      </c>
      <c r="T15" s="161">
        <v>1</v>
      </c>
      <c r="U15" s="72" t="str">
        <f>IFERROR(ROUND($T15*INDEX(HTS!$AR:$AR,MATCH($E15,HTS!$E:$E,0)),0),"")</f>
        <v/>
      </c>
      <c r="V15" s="161">
        <v>1</v>
      </c>
      <c r="W15" s="72" t="str">
        <f>IFERROR(ROUND($V15*INDEX(HTS!$AU:$AU,MATCH($E15,HTS!$E:$E,0)),0),"")</f>
        <v/>
      </c>
      <c r="X15" s="161">
        <v>1</v>
      </c>
      <c r="Y15" s="72" t="str">
        <f>IFERROR(ROUND($X15*INDEX(HTS!$AX:$AX,MATCH($E15,HTS!$E:$E,0)),0),"")</f>
        <v/>
      </c>
      <c r="Z15" s="161">
        <v>1</v>
      </c>
      <c r="AA15" s="72" t="str">
        <f>IFERROR(ROUND($Z15*INDEX(HTS!$BA:$BA,MATCH($E15,HTS!$E:$E,0)),0),"")</f>
        <v/>
      </c>
      <c r="AB15" s="161">
        <v>1</v>
      </c>
      <c r="AC15" s="72" t="str">
        <f>IFERROR(ROUND($AB15*INDEX(HTS!$BD:$BD,MATCH($E15,HTS!$E:$E,0)),0),"")</f>
        <v/>
      </c>
      <c r="AD15" s="161">
        <v>1</v>
      </c>
      <c r="AE15" s="72" t="str">
        <f>IFERROR(ROUND($AD15*INDEX(HTS!$BG:$BG,MATCH($E15,HTS!$E:$E,0)),0),"")</f>
        <v/>
      </c>
      <c r="AF15" s="161">
        <v>1</v>
      </c>
      <c r="AG15" s="72" t="str">
        <f>IFERROR(ROUND($AF15*INDEX(HTS!$BJ:$BJ,MATCH($E15,HTS!$E:$E,0)),0),"")</f>
        <v/>
      </c>
      <c r="AH15" s="161">
        <v>1</v>
      </c>
      <c r="AI15" s="72" t="str">
        <f>IFERROR(ROUND($AH15*INDEX(HTS!$BM:$BM,MATCH($E15,HTS!$E:$E,0)),0),"")</f>
        <v/>
      </c>
      <c r="AJ15" s="112">
        <f>SUM($G15,$I15,$K15,$M15,$O15,$Q15,$S15,$U15,$W15,$Y15,$AA15,$AC15,$AE15,$AG15,$AI15)</f>
        <v>0</v>
      </c>
      <c r="AK15" s="267" t="str">
        <f>INDEX(HTS!$BP:$BP,MATCH($E15,HTS!$E:$E,0))</f>
        <v/>
      </c>
      <c r="AL15" s="248" t="str">
        <f>IF(SUM($AK15)=0,"",$AJ15/$AK15)</f>
        <v/>
      </c>
    </row>
    <row r="16" spans="1:38" x14ac:dyDescent="0.2">
      <c r="M16" s="87"/>
    </row>
  </sheetData>
  <conditionalFormatting sqref="F1:I1048576">
    <cfRule type="expression" dxfId="67" priority="6">
      <formula>$D1="Male"</formula>
    </cfRule>
  </conditionalFormatting>
  <conditionalFormatting sqref="L1:M1048576">
    <cfRule type="expression" dxfId="66"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65" priority="2">
      <formula>AND(ISNUMBER(F1),OR(ROUND(F1,2)&gt;1,ROUND(F1,2)&lt;0))</formula>
    </cfRule>
    <cfRule type="expression" dxfId="64"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63"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63BE7B"/>
  </sheetPr>
  <dimension ref="A1:AC15"/>
  <sheetViews>
    <sheetView tabSelected="1"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75" customWidth="1"/>
    <col min="8" max="11" width="11.83203125" style="36" customWidth="1"/>
    <col min="12" max="15" width="11.83203125" style="72" customWidth="1"/>
    <col min="16" max="16" width="11.83203125" style="98" customWidth="1"/>
    <col min="17" max="17" width="11.83203125" style="97" customWidth="1"/>
    <col min="18" max="18" width="11.83203125" style="75" customWidth="1"/>
    <col min="19" max="20" width="11.83203125" style="118" customWidth="1"/>
    <col min="21" max="21" width="11.83203125" style="248" customWidth="1"/>
    <col min="22" max="22" width="11.83203125" style="36" customWidth="1"/>
    <col min="23" max="24" width="11.83203125" style="72" customWidth="1"/>
    <col min="25" max="25" width="11.83203125" style="161" customWidth="1"/>
    <col min="26" max="27" width="11.83203125" style="72" customWidth="1"/>
    <col min="28" max="29" width="11.83203125" style="36" customWidth="1"/>
    <col min="30" max="16384" width="10.83203125" style="40"/>
  </cols>
  <sheetData>
    <row r="1" spans="1:29" s="57" customFormat="1" ht="31" customHeight="1" x14ac:dyDescent="0.3">
      <c r="A1" s="5" t="s">
        <v>91</v>
      </c>
      <c r="B1" s="5"/>
      <c r="C1" s="1"/>
      <c r="D1" s="1"/>
      <c r="E1" s="1"/>
      <c r="F1" s="107" t="s">
        <v>19</v>
      </c>
      <c r="G1" s="77"/>
      <c r="H1" s="45"/>
      <c r="I1" s="45"/>
      <c r="J1" s="45"/>
      <c r="K1" s="45"/>
      <c r="L1" s="67"/>
      <c r="M1" s="67"/>
      <c r="N1" s="67"/>
      <c r="O1" s="67"/>
      <c r="P1" s="107" t="s">
        <v>20</v>
      </c>
      <c r="Q1" s="114"/>
      <c r="R1" s="80"/>
      <c r="S1" s="114"/>
      <c r="T1" s="114"/>
      <c r="U1" s="244"/>
      <c r="V1" s="45"/>
      <c r="W1" s="67"/>
      <c r="X1" s="67"/>
      <c r="Y1" s="242" t="s">
        <v>41</v>
      </c>
      <c r="Z1" s="67"/>
      <c r="AA1" s="67"/>
      <c r="AB1" s="35"/>
      <c r="AC1" s="35"/>
    </row>
    <row r="2" spans="1:29" s="56" customFormat="1" ht="19" x14ac:dyDescent="0.25">
      <c r="A2" s="2"/>
      <c r="B2" s="2"/>
      <c r="C2" s="2"/>
      <c r="D2" s="2"/>
      <c r="E2" s="2"/>
      <c r="F2" s="108" t="s">
        <v>74</v>
      </c>
      <c r="G2" s="73"/>
      <c r="H2" s="34" t="s">
        <v>2</v>
      </c>
      <c r="I2" s="34"/>
      <c r="J2" s="34"/>
      <c r="K2" s="34"/>
      <c r="L2" s="68" t="s">
        <v>3</v>
      </c>
      <c r="M2" s="68"/>
      <c r="N2" s="68"/>
      <c r="O2" s="68"/>
      <c r="P2" s="108" t="s">
        <v>74</v>
      </c>
      <c r="Q2" s="115"/>
      <c r="R2" s="94"/>
      <c r="S2" s="115"/>
      <c r="T2" s="115"/>
      <c r="U2" s="245" t="s">
        <v>2</v>
      </c>
      <c r="V2" s="34"/>
      <c r="W2" s="68" t="s">
        <v>3</v>
      </c>
      <c r="X2" s="68"/>
      <c r="Y2" s="243" t="s">
        <v>2</v>
      </c>
      <c r="Z2" s="68" t="s">
        <v>3</v>
      </c>
      <c r="AA2" s="68"/>
      <c r="AB2" s="34" t="s">
        <v>74</v>
      </c>
      <c r="AC2" s="34"/>
    </row>
    <row r="3" spans="1:29" ht="117" customHeight="1" x14ac:dyDescent="0.2">
      <c r="A3" s="47"/>
      <c r="B3" s="47"/>
      <c r="C3" s="47"/>
      <c r="D3" s="47"/>
      <c r="E3" s="47"/>
      <c r="F3" s="255" t="s">
        <v>788</v>
      </c>
      <c r="G3" s="256" t="s">
        <v>1021</v>
      </c>
      <c r="H3" s="48" t="s">
        <v>1071</v>
      </c>
      <c r="I3" s="48" t="s">
        <v>1070</v>
      </c>
      <c r="J3" s="48" t="s">
        <v>1069</v>
      </c>
      <c r="K3" s="48" t="s">
        <v>1068</v>
      </c>
      <c r="L3" s="69" t="s">
        <v>92</v>
      </c>
      <c r="M3" s="69" t="s">
        <v>36</v>
      </c>
      <c r="N3" s="69" t="s">
        <v>37</v>
      </c>
      <c r="O3" s="69" t="s">
        <v>40</v>
      </c>
      <c r="P3" s="144" t="s">
        <v>1173</v>
      </c>
      <c r="Q3" s="116" t="s">
        <v>1175</v>
      </c>
      <c r="R3" s="145" t="s">
        <v>1176</v>
      </c>
      <c r="S3" s="116" t="s">
        <v>1211</v>
      </c>
      <c r="T3" s="116" t="s">
        <v>1214</v>
      </c>
      <c r="U3" s="354" t="s">
        <v>1212</v>
      </c>
      <c r="V3" s="48" t="s">
        <v>1213</v>
      </c>
      <c r="W3" s="69" t="s">
        <v>32</v>
      </c>
      <c r="X3" s="69" t="s">
        <v>33</v>
      </c>
      <c r="Y3" s="376" t="s">
        <v>1067</v>
      </c>
      <c r="Z3" s="69" t="s">
        <v>32</v>
      </c>
      <c r="AA3" s="69" t="s">
        <v>33</v>
      </c>
      <c r="AB3" s="373" t="s">
        <v>262</v>
      </c>
      <c r="AC3" s="373" t="s">
        <v>263</v>
      </c>
    </row>
    <row r="4" spans="1:29" x14ac:dyDescent="0.2">
      <c r="A4" s="49"/>
      <c r="B4" s="49"/>
      <c r="C4" s="49"/>
      <c r="D4" s="49" t="s">
        <v>4</v>
      </c>
      <c r="E4" s="49"/>
      <c r="F4" s="109">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09">
        <f>SUBTOTAL(109,P$15:INDEX(P:P,COUNTA($B:$B)+14-COUNTA($B$1:$B$14)))</f>
        <v>0</v>
      </c>
      <c r="Q4" s="117">
        <f>SUBTOTAL(109,Q$15:INDEX(Q:Q,COUNTA($B:$B)+14-COUNTA($B$1:$B$14)))</f>
        <v>0</v>
      </c>
      <c r="R4" s="74">
        <f>SUBTOTAL(109,R$15:INDEX(R:R,COUNTA($B:$B)+14-COUNTA($B$1:$B$14)))</f>
        <v>0</v>
      </c>
      <c r="S4" s="337">
        <f>SUBTOTAL(109,S$15:INDEX(S:S,COUNTA($B:$B)+14-COUNTA($B$1:$B$14)))</f>
        <v>0</v>
      </c>
      <c r="T4" s="337">
        <f>SUBTOTAL(109,T$15:INDEX(T:T,COUNTA($B:$B)+14-COUNTA($B$1:$B$14)))</f>
        <v>0</v>
      </c>
      <c r="U4" s="247" t="str">
        <f>IF(SUM($M$4)=0,"",$W$4/$M$4)</f>
        <v/>
      </c>
      <c r="V4" s="50" t="str">
        <f>IF(SUM($O$4)=0,"",$X$4/$T$4)</f>
        <v/>
      </c>
      <c r="W4" s="71">
        <f>SUBTOTAL(109,W$15:INDEX(W:W,COUNTA($B:$B)+14-COUNTA($B$1:$B$14)))</f>
        <v>0</v>
      </c>
      <c r="X4" s="71">
        <f>SUBTOTAL(109,X$15:INDEX(X:X,COUNTA($B:$B)+14-COUNTA($B$1:$B$14)))</f>
        <v>0</v>
      </c>
      <c r="Y4" s="160" t="str">
        <f>IF(SUM($W$4,$X$4)=0,"",SUM($Z$4,$AA$4)/SUM($W$4,$X$4))</f>
        <v/>
      </c>
      <c r="Z4" s="71">
        <f>SUBTOTAL(109,Z$15:INDEX(Z:Z,COUNTA($B:$B)+14-COUNTA($B$1:$B$14)))</f>
        <v>0</v>
      </c>
      <c r="AA4" s="71">
        <f>SUBTOTAL(109,AA$15:INDEX(AA:AA,COUNTA($B:$B)+14-COUNTA($B$1:$B$14)))</f>
        <v>0</v>
      </c>
      <c r="AB4" s="50" t="str">
        <f>IF(SUM($Q4)=0,"",(SUM($Z4)-$Q4)/$Q4)</f>
        <v/>
      </c>
      <c r="AC4" s="50" t="str">
        <f>IF(SUM($R4)=0,"",(SUM($AA4)-$R4)/$R4)</f>
        <v/>
      </c>
    </row>
    <row r="5" spans="1:29" x14ac:dyDescent="0.2">
      <c r="A5" s="42" t="s">
        <v>99</v>
      </c>
      <c r="B5" s="42" t="s">
        <v>99</v>
      </c>
      <c r="C5" s="42" t="s">
        <v>99</v>
      </c>
      <c r="D5" s="42" t="s">
        <v>99</v>
      </c>
      <c r="E5" s="42" t="s">
        <v>99</v>
      </c>
      <c r="F5" s="98" t="s">
        <v>99</v>
      </c>
      <c r="G5" s="75" t="s">
        <v>99</v>
      </c>
      <c r="H5" s="36" t="s">
        <v>99</v>
      </c>
      <c r="I5" s="36" t="s">
        <v>99</v>
      </c>
      <c r="J5" s="36" t="s">
        <v>99</v>
      </c>
      <c r="K5" s="36" t="s">
        <v>99</v>
      </c>
      <c r="L5" s="72" t="s">
        <v>110</v>
      </c>
      <c r="M5" s="72" t="s">
        <v>110</v>
      </c>
      <c r="N5" s="72" t="s">
        <v>110</v>
      </c>
      <c r="O5" s="72" t="s">
        <v>110</v>
      </c>
      <c r="P5" s="98" t="s">
        <v>99</v>
      </c>
      <c r="Q5" s="97" t="s">
        <v>110</v>
      </c>
      <c r="R5" s="75" t="s">
        <v>110</v>
      </c>
      <c r="S5" s="118" t="s">
        <v>99</v>
      </c>
      <c r="T5" s="118" t="s">
        <v>99</v>
      </c>
      <c r="U5" s="248" t="s">
        <v>99</v>
      </c>
      <c r="V5" s="36" t="s">
        <v>99</v>
      </c>
      <c r="W5" s="72" t="s">
        <v>110</v>
      </c>
      <c r="X5" s="72" t="s">
        <v>110</v>
      </c>
      <c r="Y5" s="161" t="s">
        <v>99</v>
      </c>
      <c r="Z5" s="72" t="s">
        <v>110</v>
      </c>
      <c r="AA5" s="72" t="s">
        <v>110</v>
      </c>
      <c r="AB5" s="36" t="s">
        <v>99</v>
      </c>
      <c r="AC5" s="36" t="s">
        <v>99</v>
      </c>
    </row>
    <row r="6" spans="1:29" x14ac:dyDescent="0.2">
      <c r="A6" s="42" t="s">
        <v>201</v>
      </c>
      <c r="B6" s="42" t="s">
        <v>201</v>
      </c>
      <c r="C6" s="42" t="s">
        <v>201</v>
      </c>
      <c r="D6" s="42" t="s">
        <v>201</v>
      </c>
      <c r="E6" s="42" t="s">
        <v>201</v>
      </c>
      <c r="F6" s="98" t="s">
        <v>94</v>
      </c>
      <c r="G6" s="75" t="s">
        <v>94</v>
      </c>
      <c r="H6" s="36" t="s">
        <v>113</v>
      </c>
      <c r="I6" s="36" t="s">
        <v>113</v>
      </c>
      <c r="J6" s="36" t="s">
        <v>112</v>
      </c>
      <c r="K6" s="36" t="s">
        <v>112</v>
      </c>
      <c r="L6" s="72" t="s">
        <v>93</v>
      </c>
      <c r="M6" s="72" t="s">
        <v>93</v>
      </c>
      <c r="N6" s="72" t="s">
        <v>93</v>
      </c>
      <c r="O6" s="72" t="s">
        <v>93</v>
      </c>
      <c r="P6" s="98" t="s">
        <v>112</v>
      </c>
      <c r="Q6" s="97" t="s">
        <v>111</v>
      </c>
      <c r="R6" s="75" t="s">
        <v>111</v>
      </c>
      <c r="S6" s="118" t="s">
        <v>94</v>
      </c>
      <c r="T6" s="118" t="s">
        <v>94</v>
      </c>
      <c r="U6" s="248" t="s">
        <v>113</v>
      </c>
      <c r="V6" s="36" t="s">
        <v>113</v>
      </c>
      <c r="W6" s="72" t="s">
        <v>93</v>
      </c>
      <c r="X6" s="72" t="s">
        <v>93</v>
      </c>
      <c r="Y6" s="161" t="s">
        <v>113</v>
      </c>
      <c r="Z6" s="72" t="s">
        <v>93</v>
      </c>
      <c r="AA6" s="72" t="s">
        <v>93</v>
      </c>
      <c r="AB6" s="36" t="s">
        <v>94</v>
      </c>
      <c r="AC6" s="36" t="s">
        <v>94</v>
      </c>
    </row>
    <row r="7" spans="1:29" x14ac:dyDescent="0.2">
      <c r="A7" s="42" t="s">
        <v>109</v>
      </c>
      <c r="B7" s="42" t="s">
        <v>109</v>
      </c>
      <c r="C7" s="42" t="s">
        <v>109</v>
      </c>
      <c r="D7" s="42" t="s">
        <v>109</v>
      </c>
      <c r="E7" s="42" t="s">
        <v>109</v>
      </c>
      <c r="F7" s="98" t="s">
        <v>95</v>
      </c>
      <c r="G7" s="75" t="s">
        <v>95</v>
      </c>
      <c r="H7" s="36" t="s">
        <v>96</v>
      </c>
      <c r="I7" s="36" t="s">
        <v>96</v>
      </c>
      <c r="J7" s="36" t="s">
        <v>96</v>
      </c>
      <c r="K7" s="36" t="s">
        <v>96</v>
      </c>
      <c r="L7" s="72" t="s">
        <v>95</v>
      </c>
      <c r="M7" s="72" t="s">
        <v>95</v>
      </c>
      <c r="N7" s="72" t="s">
        <v>95</v>
      </c>
      <c r="O7" s="72" t="s">
        <v>95</v>
      </c>
      <c r="P7" s="98" t="s">
        <v>95</v>
      </c>
      <c r="Q7" s="97" t="s">
        <v>95</v>
      </c>
      <c r="R7" s="75" t="s">
        <v>95</v>
      </c>
      <c r="S7" s="118" t="s">
        <v>95</v>
      </c>
      <c r="T7" s="118" t="s">
        <v>95</v>
      </c>
      <c r="U7" s="248" t="s">
        <v>96</v>
      </c>
      <c r="V7" s="36" t="s">
        <v>96</v>
      </c>
      <c r="W7" s="72" t="s">
        <v>95</v>
      </c>
      <c r="X7" s="72" t="s">
        <v>95</v>
      </c>
      <c r="Y7" s="161" t="s">
        <v>96</v>
      </c>
      <c r="Z7" s="72" t="s">
        <v>95</v>
      </c>
      <c r="AA7" s="72" t="s">
        <v>95</v>
      </c>
      <c r="AB7" s="36" t="s">
        <v>96</v>
      </c>
      <c r="AC7" s="36" t="s">
        <v>96</v>
      </c>
    </row>
    <row r="8" spans="1:29" x14ac:dyDescent="0.2">
      <c r="L8" s="309" t="s">
        <v>167</v>
      </c>
      <c r="M8" s="309" t="s">
        <v>167</v>
      </c>
      <c r="N8" s="309" t="s">
        <v>167</v>
      </c>
      <c r="O8" s="309" t="s">
        <v>167</v>
      </c>
      <c r="P8" s="213"/>
      <c r="Q8" s="383" t="s">
        <v>212</v>
      </c>
      <c r="R8" s="312" t="s">
        <v>212</v>
      </c>
      <c r="W8" s="309" t="s">
        <v>211</v>
      </c>
      <c r="X8" s="309" t="s">
        <v>211</v>
      </c>
      <c r="Z8" s="309" t="s">
        <v>212</v>
      </c>
      <c r="AA8" s="309" t="s">
        <v>212</v>
      </c>
    </row>
    <row r="9" spans="1:29" x14ac:dyDescent="0.2">
      <c r="L9" s="309" t="s">
        <v>168</v>
      </c>
      <c r="M9" s="309" t="s">
        <v>168</v>
      </c>
      <c r="N9" s="309" t="s">
        <v>168</v>
      </c>
      <c r="O9" s="309" t="s">
        <v>168</v>
      </c>
      <c r="P9" s="213"/>
      <c r="Q9" s="383" t="s">
        <v>213</v>
      </c>
      <c r="R9" s="312" t="s">
        <v>213</v>
      </c>
      <c r="W9" s="309" t="s">
        <v>210</v>
      </c>
      <c r="X9" s="309" t="s">
        <v>210</v>
      </c>
      <c r="Z9" s="309" t="s">
        <v>213</v>
      </c>
      <c r="AA9" s="309" t="s">
        <v>213</v>
      </c>
    </row>
    <row r="10" spans="1:29" x14ac:dyDescent="0.2">
      <c r="L10" s="309" t="s">
        <v>169</v>
      </c>
      <c r="M10" s="309" t="s">
        <v>170</v>
      </c>
      <c r="N10" s="309" t="s">
        <v>171</v>
      </c>
      <c r="O10" s="309" t="s">
        <v>172</v>
      </c>
      <c r="P10" s="213"/>
      <c r="Q10" s="383" t="s">
        <v>120</v>
      </c>
      <c r="R10" s="312" t="s">
        <v>121</v>
      </c>
      <c r="W10" s="309" t="s">
        <v>120</v>
      </c>
      <c r="X10" s="309" t="s">
        <v>121</v>
      </c>
      <c r="Z10" s="309" t="s">
        <v>120</v>
      </c>
      <c r="AA10" s="309" t="s">
        <v>121</v>
      </c>
    </row>
    <row r="11" spans="1:29" x14ac:dyDescent="0.2">
      <c r="F11" s="98" t="s">
        <v>692</v>
      </c>
      <c r="G11" s="75" t="s">
        <v>692</v>
      </c>
      <c r="H11" s="36" t="s">
        <v>692</v>
      </c>
      <c r="I11" s="36" t="s">
        <v>692</v>
      </c>
      <c r="J11" s="36" t="s">
        <v>692</v>
      </c>
      <c r="K11" s="36" t="s">
        <v>692</v>
      </c>
      <c r="L11" s="72" t="s">
        <v>692</v>
      </c>
      <c r="M11" s="72" t="s">
        <v>692</v>
      </c>
      <c r="N11" s="72" t="s">
        <v>692</v>
      </c>
      <c r="O11" s="72" t="s">
        <v>692</v>
      </c>
      <c r="P11" s="98" t="s">
        <v>692</v>
      </c>
      <c r="Q11" s="97" t="s">
        <v>692</v>
      </c>
      <c r="R11" s="75" t="s">
        <v>692</v>
      </c>
      <c r="S11" s="118" t="s">
        <v>692</v>
      </c>
      <c r="T11" s="118" t="s">
        <v>692</v>
      </c>
      <c r="U11" s="248" t="s">
        <v>692</v>
      </c>
      <c r="V11" s="36" t="s">
        <v>692</v>
      </c>
      <c r="W11" s="72" t="s">
        <v>692</v>
      </c>
      <c r="X11" s="72" t="s">
        <v>692</v>
      </c>
      <c r="Y11" s="161" t="s">
        <v>692</v>
      </c>
      <c r="Z11" s="72" t="s">
        <v>692</v>
      </c>
      <c r="AA11" s="72" t="s">
        <v>692</v>
      </c>
      <c r="AB11" s="36" t="s">
        <v>692</v>
      </c>
      <c r="AC11" s="36" t="s">
        <v>692</v>
      </c>
    </row>
    <row r="12" spans="1:29" x14ac:dyDescent="0.2">
      <c r="F12" s="98" t="s">
        <v>202</v>
      </c>
      <c r="G12" s="75" t="s">
        <v>202</v>
      </c>
      <c r="H12" s="36" t="s">
        <v>202</v>
      </c>
      <c r="I12" s="36" t="s">
        <v>202</v>
      </c>
      <c r="J12" s="36" t="s">
        <v>202</v>
      </c>
      <c r="K12" s="36" t="s">
        <v>202</v>
      </c>
      <c r="L12" s="72" t="s">
        <v>202</v>
      </c>
      <c r="M12" s="72" t="s">
        <v>202</v>
      </c>
      <c r="N12" s="72" t="s">
        <v>202</v>
      </c>
      <c r="O12" s="72" t="s">
        <v>202</v>
      </c>
      <c r="P12" s="98" t="s">
        <v>202</v>
      </c>
      <c r="Q12" s="97" t="s">
        <v>202</v>
      </c>
      <c r="R12" s="75" t="s">
        <v>202</v>
      </c>
      <c r="S12" s="118" t="s">
        <v>202</v>
      </c>
      <c r="T12" s="118" t="s">
        <v>202</v>
      </c>
      <c r="U12" s="248" t="s">
        <v>202</v>
      </c>
      <c r="V12" s="36" t="s">
        <v>202</v>
      </c>
      <c r="W12" s="72" t="s">
        <v>202</v>
      </c>
      <c r="X12" s="72" t="s">
        <v>202</v>
      </c>
      <c r="Y12" s="161" t="s">
        <v>202</v>
      </c>
      <c r="Z12" s="72" t="s">
        <v>202</v>
      </c>
      <c r="AA12" s="72" t="s">
        <v>202</v>
      </c>
      <c r="AB12" s="36" t="s">
        <v>202</v>
      </c>
      <c r="AC12" s="36" t="s">
        <v>202</v>
      </c>
    </row>
    <row r="14" spans="1:29" x14ac:dyDescent="0.2">
      <c r="A14" s="52" t="s">
        <v>587</v>
      </c>
      <c r="B14" s="52" t="s">
        <v>5</v>
      </c>
      <c r="C14" s="54" t="s">
        <v>35</v>
      </c>
      <c r="D14" s="54" t="s">
        <v>6</v>
      </c>
      <c r="E14" s="54" t="s">
        <v>76</v>
      </c>
      <c r="F14" s="174" t="s">
        <v>318</v>
      </c>
      <c r="G14" s="92" t="s">
        <v>316</v>
      </c>
      <c r="H14" s="209" t="s">
        <v>1022</v>
      </c>
      <c r="I14" s="209" t="s">
        <v>1023</v>
      </c>
      <c r="J14" s="209" t="s">
        <v>429</v>
      </c>
      <c r="K14" s="209" t="s">
        <v>430</v>
      </c>
      <c r="L14" s="172" t="s">
        <v>431</v>
      </c>
      <c r="M14" s="172" t="s">
        <v>432</v>
      </c>
      <c r="N14" s="172" t="s">
        <v>433</v>
      </c>
      <c r="O14" s="172" t="s">
        <v>434</v>
      </c>
      <c r="P14" s="174" t="s">
        <v>1174</v>
      </c>
      <c r="Q14" s="176" t="s">
        <v>439</v>
      </c>
      <c r="R14" s="92" t="s">
        <v>440</v>
      </c>
      <c r="S14" s="176" t="s">
        <v>1215</v>
      </c>
      <c r="T14" s="176" t="s">
        <v>1210</v>
      </c>
      <c r="U14" s="249" t="s">
        <v>435</v>
      </c>
      <c r="V14" s="209" t="s">
        <v>436</v>
      </c>
      <c r="W14" s="172" t="s">
        <v>437</v>
      </c>
      <c r="X14" s="172" t="s">
        <v>438</v>
      </c>
      <c r="Y14" s="355" t="s">
        <v>441</v>
      </c>
      <c r="Z14" s="172" t="s">
        <v>442</v>
      </c>
      <c r="AA14" s="172" t="s">
        <v>443</v>
      </c>
      <c r="AB14" s="209" t="s">
        <v>444</v>
      </c>
      <c r="AC14" s="209" t="s">
        <v>445</v>
      </c>
    </row>
    <row r="15" spans="1:29" x14ac:dyDescent="0.2">
      <c r="E15" s="42" t="str">
        <f>B15&amp;"|"&amp;C15&amp;"|"&amp;D15</f>
        <v>||</v>
      </c>
      <c r="F15" s="98" t="str" cm="1">
        <f t="array" ref="F15">IFERROR(1/(1/IF($C15="&lt;15",SUM(SUMIFS(Cascade!$BN:$BN,Cascade!$B:$B,$B15,Cascade!$C:$C,{"=&lt;01","01-04","05-09","10-14"},Cascade!$D:$D,$D15)),SUM(SUMIFS(Cascade!$BN:$BN,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118">
        <f>IF($G15=0,"",MAX(SUM($G15)-SUM($P15:$R15),0))</f>
        <v>0</v>
      </c>
      <c r="T15" s="118">
        <f>MAX(SUM(S15)*SUM(I15)-SUM(N15),0)</f>
        <v>0</v>
      </c>
      <c r="U15" s="248">
        <v>1</v>
      </c>
      <c r="V15" s="36">
        <v>1</v>
      </c>
      <c r="W15" s="72">
        <f>ROUND(SUM($M15)*$U15,0)</f>
        <v>0</v>
      </c>
      <c r="X15" s="72">
        <f>ROUND(SUM($T15)*$V15,0)</f>
        <v>0</v>
      </c>
      <c r="Y15" s="161">
        <v>0.9</v>
      </c>
      <c r="Z15" s="72">
        <f>ROUND(SUM($W15)*$Y15,0)</f>
        <v>0</v>
      </c>
      <c r="AA15" s="72">
        <f>ROUND(SUM($X15)*$Y15,0)</f>
        <v>0</v>
      </c>
      <c r="AB15" s="36" t="str">
        <f>IF(SUM($Q15)=0,"",(SUM($Z15)-$Q15)/$Q15)</f>
        <v/>
      </c>
      <c r="AC15" s="36" t="str">
        <f>IF(SUM($R15)=0,"",(SUM($AA15)-$R15)/$R15)</f>
        <v/>
      </c>
    </row>
  </sheetData>
  <conditionalFormatting sqref="V1:V1048576 Y1:Y1048576">
    <cfRule type="expression" dxfId="62" priority="7">
      <formula>AND(ISNUMBER(V1),ROUND(SUM(V1),2)&lt;90%)</formula>
    </cfRule>
  </conditionalFormatting>
  <conditionalFormatting sqref="H1:K1048576 U1:V1048576 Y1:Y1048576">
    <cfRule type="expression" dxfId="61" priority="3">
      <formula>AND(ISNUMBER(H1),OR(ROUND(SUM(H1),2)&gt;1,ROUND(SUM(H1),2)&lt;0))</formula>
    </cfRule>
  </conditionalFormatting>
  <conditionalFormatting sqref="H1:H1048576 J1:J1048576">
    <cfRule type="expression" dxfId="60" priority="2164">
      <formula>AND(SUM($F1)&lt;&gt;0,H1="",ROW(H1)&gt;14)</formula>
    </cfRule>
  </conditionalFormatting>
  <conditionalFormatting sqref="I1:I1048576 K1:K1048576">
    <cfRule type="expression" dxfId="59" priority="2166">
      <formula>AND(SUM($G1)&gt;0,I1="",ROW(I1)&gt;14)</formula>
    </cfRule>
  </conditionalFormatting>
  <conditionalFormatting sqref="H1:I1048576 U1:U1048576">
    <cfRule type="expression" dxfId="58" priority="4">
      <formula>AND(ISNUMBER(H1),ROUND(SUM(H1),2)&lt;100%)</formula>
    </cfRule>
  </conditionalFormatting>
  <conditionalFormatting sqref="F1:G1048576 L1:P1048576">
    <cfRule type="expression" dxfId="57" priority="1">
      <formula>AND(ISNUMBER(XER1),ROUND(SUM(XER1),2)&lt;0)</formula>
    </cfRule>
  </conditionalFormatting>
  <conditionalFormatting sqref="W1:X1048576 Z1:AA1048576">
    <cfRule type="expression" dxfId="56" priority="3284">
      <formula>AND(ISNUMBER(C1),ROUND(SUM(C1),2)&lt;0)</formula>
    </cfRule>
  </conditionalFormatting>
  <conditionalFormatting sqref="R1:S1048576">
    <cfRule type="expression" dxfId="55" priority="3286">
      <formula>AND(ISNUMBER(A1),ROUND(SUM(A1),2)&lt;0)</formula>
    </cfRule>
  </conditionalFormatting>
  <conditionalFormatting sqref="Q1:Q1048576 T1:T1048576">
    <cfRule type="expression" dxfId="54" priority="3287">
      <formula>AND(ISNUMBER(A1),ROUND(SUM(A1),2)&lt;0)</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63BE7B"/>
  </sheetPr>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07" t="s">
        <v>47</v>
      </c>
      <c r="G1" s="45"/>
      <c r="H1" s="67"/>
    </row>
    <row r="2" spans="1:8" s="56" customFormat="1" ht="19" x14ac:dyDescent="0.25">
      <c r="A2" s="2"/>
      <c r="B2" s="2"/>
      <c r="C2" s="2"/>
      <c r="D2" s="2"/>
      <c r="E2" s="2"/>
      <c r="F2" s="108" t="s">
        <v>74</v>
      </c>
      <c r="G2" s="34" t="s">
        <v>2</v>
      </c>
      <c r="H2" s="68" t="s">
        <v>3</v>
      </c>
    </row>
    <row r="3" spans="1:8" ht="117" customHeight="1" x14ac:dyDescent="0.2">
      <c r="A3" s="47"/>
      <c r="B3" s="47"/>
      <c r="C3" s="47"/>
      <c r="D3" s="47"/>
      <c r="E3" s="47"/>
      <c r="F3" s="144" t="s">
        <v>865</v>
      </c>
      <c r="G3" s="48" t="s">
        <v>259</v>
      </c>
      <c r="H3" s="69" t="s">
        <v>866</v>
      </c>
    </row>
    <row r="4" spans="1:8" x14ac:dyDescent="0.2">
      <c r="A4" s="49"/>
      <c r="B4" s="49"/>
      <c r="C4" s="49"/>
      <c r="D4" s="49" t="s">
        <v>4</v>
      </c>
      <c r="E4" s="49"/>
      <c r="F4" s="109">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8" t="s">
        <v>110</v>
      </c>
      <c r="G5" s="36" t="s">
        <v>99</v>
      </c>
      <c r="H5" s="72" t="s">
        <v>110</v>
      </c>
    </row>
    <row r="6" spans="1:8" x14ac:dyDescent="0.2">
      <c r="A6" s="42" t="s">
        <v>201</v>
      </c>
      <c r="B6" s="42" t="s">
        <v>201</v>
      </c>
      <c r="C6" s="42" t="s">
        <v>201</v>
      </c>
      <c r="D6" s="42" t="s">
        <v>201</v>
      </c>
      <c r="E6" s="42" t="s">
        <v>201</v>
      </c>
      <c r="F6" s="98" t="s">
        <v>111</v>
      </c>
      <c r="G6" s="36" t="s">
        <v>113</v>
      </c>
      <c r="H6" s="72" t="s">
        <v>93</v>
      </c>
    </row>
    <row r="7" spans="1:8" x14ac:dyDescent="0.2">
      <c r="A7" s="42" t="s">
        <v>109</v>
      </c>
      <c r="B7" s="42" t="s">
        <v>109</v>
      </c>
      <c r="C7" s="42" t="s">
        <v>109</v>
      </c>
      <c r="D7" s="42" t="s">
        <v>109</v>
      </c>
      <c r="E7" s="42" t="s">
        <v>109</v>
      </c>
      <c r="F7" s="98" t="s">
        <v>95</v>
      </c>
      <c r="G7" s="36" t="s">
        <v>96</v>
      </c>
      <c r="H7" s="72" t="s">
        <v>95</v>
      </c>
    </row>
    <row r="8" spans="1:8" x14ac:dyDescent="0.2">
      <c r="F8" s="314" t="s">
        <v>191</v>
      </c>
      <c r="H8" s="309" t="s">
        <v>191</v>
      </c>
    </row>
    <row r="9" spans="1:8" x14ac:dyDescent="0.2">
      <c r="F9" s="314" t="s">
        <v>192</v>
      </c>
      <c r="H9" s="309" t="s">
        <v>192</v>
      </c>
    </row>
    <row r="10" spans="1:8" x14ac:dyDescent="0.2">
      <c r="F10" s="314"/>
      <c r="H10" s="309"/>
    </row>
    <row r="11" spans="1:8" x14ac:dyDescent="0.2">
      <c r="F11" s="98" t="s">
        <v>1037</v>
      </c>
      <c r="G11" s="51" t="s">
        <v>1037</v>
      </c>
      <c r="H11" s="72" t="s">
        <v>1037</v>
      </c>
    </row>
    <row r="12" spans="1:8" x14ac:dyDescent="0.2">
      <c r="F12" s="98" t="s">
        <v>202</v>
      </c>
      <c r="G12" s="36" t="s">
        <v>202</v>
      </c>
      <c r="H12" s="72" t="s">
        <v>202</v>
      </c>
    </row>
    <row r="14" spans="1:8" x14ac:dyDescent="0.2">
      <c r="A14" s="54" t="s">
        <v>587</v>
      </c>
      <c r="B14" s="54" t="s">
        <v>5</v>
      </c>
      <c r="C14" s="54" t="s">
        <v>35</v>
      </c>
      <c r="D14" s="54" t="s">
        <v>6</v>
      </c>
      <c r="E14" s="54" t="s">
        <v>76</v>
      </c>
      <c r="F14" s="174" t="s">
        <v>466</v>
      </c>
      <c r="G14" s="209" t="s">
        <v>551</v>
      </c>
      <c r="H14" s="172" t="s">
        <v>467</v>
      </c>
    </row>
    <row r="15" spans="1:8" x14ac:dyDescent="0.2">
      <c r="E15" s="42" t="str">
        <f>B15&amp;"|"&amp;C15&amp;"|"&amp;D15</f>
        <v>||</v>
      </c>
      <c r="G15" s="36" t="str">
        <f>IF(SUM($F15)=0,"",0%)</f>
        <v/>
      </c>
      <c r="H15" s="72" t="str">
        <f>IF(SUM($F15)=0,"",ROUND($F15*(1+$G15),0))</f>
        <v/>
      </c>
    </row>
  </sheetData>
  <conditionalFormatting sqref="F1:F1048576 H1:H1048576">
    <cfRule type="expression" dxfId="53"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63BE7B"/>
  </sheetPr>
  <dimension ref="A1:U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2" t="s">
        <v>46</v>
      </c>
      <c r="G1" s="142"/>
      <c r="H1" s="142"/>
      <c r="I1" s="67"/>
      <c r="J1" s="45"/>
      <c r="K1" s="45"/>
      <c r="L1" s="45"/>
      <c r="M1" s="45"/>
      <c r="N1" s="45"/>
      <c r="O1" s="67"/>
      <c r="P1" s="67"/>
      <c r="Q1" s="67"/>
      <c r="R1" s="67"/>
      <c r="S1" s="67"/>
      <c r="T1" s="242" t="s">
        <v>48</v>
      </c>
      <c r="U1" s="67"/>
    </row>
    <row r="2" spans="1:21" s="56" customFormat="1" ht="19" x14ac:dyDescent="0.25">
      <c r="A2" s="2"/>
      <c r="B2" s="2"/>
      <c r="C2" s="2"/>
      <c r="D2" s="2"/>
      <c r="E2" s="2"/>
      <c r="F2" s="183" t="s">
        <v>74</v>
      </c>
      <c r="G2" s="183"/>
      <c r="H2" s="183"/>
      <c r="I2" s="73"/>
      <c r="J2" s="34" t="s">
        <v>2</v>
      </c>
      <c r="K2" s="34"/>
      <c r="L2" s="34"/>
      <c r="M2" s="34"/>
      <c r="N2" s="34"/>
      <c r="O2" s="68" t="s">
        <v>3</v>
      </c>
      <c r="P2" s="68"/>
      <c r="Q2" s="68"/>
      <c r="R2" s="68"/>
      <c r="S2" s="68"/>
      <c r="T2" s="243" t="s">
        <v>2</v>
      </c>
      <c r="U2" s="68" t="s">
        <v>3</v>
      </c>
    </row>
    <row r="3" spans="1:21" s="40" customFormat="1" ht="117" customHeight="1" x14ac:dyDescent="0.2">
      <c r="A3" s="47"/>
      <c r="B3" s="47"/>
      <c r="C3" s="47"/>
      <c r="D3" s="47"/>
      <c r="E3" s="47"/>
      <c r="F3" s="256" t="s">
        <v>606</v>
      </c>
      <c r="G3" s="137" t="s">
        <v>498</v>
      </c>
      <c r="H3" s="137" t="s">
        <v>867</v>
      </c>
      <c r="I3" s="137" t="s">
        <v>865</v>
      </c>
      <c r="J3" s="48" t="s">
        <v>258</v>
      </c>
      <c r="K3" s="48" t="s">
        <v>1081</v>
      </c>
      <c r="L3" s="48" t="s">
        <v>1082</v>
      </c>
      <c r="M3" s="373" t="s">
        <v>1083</v>
      </c>
      <c r="N3" s="48" t="s">
        <v>1084</v>
      </c>
      <c r="O3" s="69" t="s">
        <v>276</v>
      </c>
      <c r="P3" s="69" t="s">
        <v>495</v>
      </c>
      <c r="Q3" s="69" t="s">
        <v>496</v>
      </c>
      <c r="R3" s="69" t="s">
        <v>584</v>
      </c>
      <c r="S3" s="69" t="s">
        <v>585</v>
      </c>
      <c r="T3" s="376" t="s">
        <v>1177</v>
      </c>
      <c r="U3" s="69" t="s">
        <v>1085</v>
      </c>
    </row>
    <row r="4" spans="1:21" s="40" customFormat="1" x14ac:dyDescent="0.2">
      <c r="A4" s="49"/>
      <c r="B4" s="49"/>
      <c r="C4" s="49"/>
      <c r="D4" s="49" t="s">
        <v>4</v>
      </c>
      <c r="E4" s="49"/>
      <c r="F4" s="89">
        <f>SUBTOTAL(109,F$15:INDEX(F:F,COUNTA($B:$B)+14-COUNTA($B$1:$B$14)))</f>
        <v>0</v>
      </c>
      <c r="G4" s="181"/>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0" t="str">
        <f>IF(SUM($R$4,$S$4)=0,"",$U$4/SUM($R$4,$S$4))</f>
        <v/>
      </c>
      <c r="U4" s="71">
        <f>SUBTOTAL(109,U$15:INDEX(U:U,COUNTA($B:$B)+14-COUNTA($B$1:$B$14)))</f>
        <v>0</v>
      </c>
    </row>
    <row r="5" spans="1:21" s="40" customFormat="1" x14ac:dyDescent="0.2">
      <c r="A5" s="42" t="s">
        <v>99</v>
      </c>
      <c r="B5" s="42" t="s">
        <v>99</v>
      </c>
      <c r="C5" s="42" t="s">
        <v>99</v>
      </c>
      <c r="D5" s="42" t="s">
        <v>99</v>
      </c>
      <c r="E5" s="42" t="s">
        <v>99</v>
      </c>
      <c r="F5" s="210" t="s">
        <v>99</v>
      </c>
      <c r="G5" s="210" t="s">
        <v>99</v>
      </c>
      <c r="H5" s="210" t="s">
        <v>99</v>
      </c>
      <c r="I5" s="210" t="s">
        <v>99</v>
      </c>
      <c r="J5" s="36" t="s">
        <v>99</v>
      </c>
      <c r="K5" s="36" t="s">
        <v>99</v>
      </c>
      <c r="L5" s="36" t="s">
        <v>99</v>
      </c>
      <c r="M5" s="36" t="s">
        <v>99</v>
      </c>
      <c r="N5" s="36" t="s">
        <v>99</v>
      </c>
      <c r="O5" s="72" t="s">
        <v>99</v>
      </c>
      <c r="P5" s="72" t="s">
        <v>110</v>
      </c>
      <c r="Q5" s="72" t="s">
        <v>110</v>
      </c>
      <c r="R5" s="72" t="s">
        <v>110</v>
      </c>
      <c r="S5" s="72" t="s">
        <v>110</v>
      </c>
      <c r="T5" s="161" t="s">
        <v>99</v>
      </c>
      <c r="U5" s="72" t="s">
        <v>110</v>
      </c>
    </row>
    <row r="6" spans="1:21" s="40" customFormat="1" x14ac:dyDescent="0.2">
      <c r="A6" s="42" t="s">
        <v>201</v>
      </c>
      <c r="B6" s="42" t="s">
        <v>201</v>
      </c>
      <c r="C6" s="42" t="s">
        <v>201</v>
      </c>
      <c r="D6" s="42" t="s">
        <v>201</v>
      </c>
      <c r="E6" s="42" t="s">
        <v>201</v>
      </c>
      <c r="F6" s="210" t="s">
        <v>94</v>
      </c>
      <c r="G6" s="210" t="s">
        <v>112</v>
      </c>
      <c r="H6" s="210" t="s">
        <v>112</v>
      </c>
      <c r="I6" s="210" t="s">
        <v>112</v>
      </c>
      <c r="J6" s="36" t="s">
        <v>113</v>
      </c>
      <c r="K6" s="36" t="s">
        <v>113</v>
      </c>
      <c r="L6" s="36" t="s">
        <v>113</v>
      </c>
      <c r="M6" s="36" t="s">
        <v>113</v>
      </c>
      <c r="N6" s="36" t="s">
        <v>113</v>
      </c>
      <c r="O6" s="72" t="s">
        <v>94</v>
      </c>
      <c r="P6" s="72" t="s">
        <v>93</v>
      </c>
      <c r="Q6" s="72" t="s">
        <v>93</v>
      </c>
      <c r="R6" s="72" t="s">
        <v>93</v>
      </c>
      <c r="S6" s="72" t="s">
        <v>93</v>
      </c>
      <c r="T6" s="161" t="s">
        <v>113</v>
      </c>
      <c r="U6" s="72" t="s">
        <v>93</v>
      </c>
    </row>
    <row r="7" spans="1:21" s="40" customFormat="1" x14ac:dyDescent="0.2">
      <c r="A7" s="42" t="s">
        <v>109</v>
      </c>
      <c r="B7" s="42" t="s">
        <v>109</v>
      </c>
      <c r="C7" s="42" t="s">
        <v>109</v>
      </c>
      <c r="D7" s="42" t="s">
        <v>109</v>
      </c>
      <c r="E7" s="42" t="s">
        <v>109</v>
      </c>
      <c r="F7" s="210" t="s">
        <v>95</v>
      </c>
      <c r="G7" s="210" t="s">
        <v>109</v>
      </c>
      <c r="H7" s="210" t="s">
        <v>95</v>
      </c>
      <c r="I7" s="75" t="s">
        <v>95</v>
      </c>
      <c r="J7" s="36" t="s">
        <v>96</v>
      </c>
      <c r="K7" s="36" t="s">
        <v>96</v>
      </c>
      <c r="L7" s="36" t="s">
        <v>96</v>
      </c>
      <c r="M7" s="36" t="s">
        <v>96</v>
      </c>
      <c r="N7" s="36" t="s">
        <v>96</v>
      </c>
      <c r="O7" s="72" t="s">
        <v>95</v>
      </c>
      <c r="P7" s="72" t="s">
        <v>95</v>
      </c>
      <c r="Q7" s="72" t="s">
        <v>95</v>
      </c>
      <c r="R7" s="72" t="s">
        <v>95</v>
      </c>
      <c r="S7" s="72" t="s">
        <v>95</v>
      </c>
      <c r="T7" s="161" t="s">
        <v>96</v>
      </c>
      <c r="U7" s="72" t="s">
        <v>95</v>
      </c>
    </row>
    <row r="8" spans="1:21" s="40" customFormat="1" x14ac:dyDescent="0.2">
      <c r="A8" s="42"/>
      <c r="B8" s="42"/>
      <c r="C8" s="42"/>
      <c r="D8" s="42"/>
      <c r="E8" s="42"/>
      <c r="F8" s="210"/>
      <c r="G8" s="181"/>
      <c r="H8" s="325" t="s">
        <v>1045</v>
      </c>
      <c r="I8" s="317" t="s">
        <v>1046</v>
      </c>
      <c r="J8" s="36"/>
      <c r="K8" s="36"/>
      <c r="L8" s="36"/>
      <c r="M8" s="36"/>
      <c r="N8" s="36"/>
      <c r="O8" s="72"/>
      <c r="P8" s="327" t="s">
        <v>703</v>
      </c>
      <c r="Q8" s="327" t="s">
        <v>701</v>
      </c>
      <c r="R8" s="309" t="s">
        <v>705</v>
      </c>
      <c r="S8" s="309" t="s">
        <v>705</v>
      </c>
      <c r="T8" s="331"/>
      <c r="U8" s="309" t="s">
        <v>175</v>
      </c>
    </row>
    <row r="9" spans="1:21" s="40" customFormat="1" x14ac:dyDescent="0.2">
      <c r="A9" s="42"/>
      <c r="B9" s="42"/>
      <c r="C9" s="42"/>
      <c r="D9" s="42"/>
      <c r="E9" s="42"/>
      <c r="F9" s="210"/>
      <c r="G9" s="181"/>
      <c r="H9" s="325" t="s">
        <v>1047</v>
      </c>
      <c r="I9" s="317" t="s">
        <v>1048</v>
      </c>
      <c r="J9" s="36"/>
      <c r="K9" s="36"/>
      <c r="L9" s="36"/>
      <c r="M9" s="36"/>
      <c r="N9" s="36"/>
      <c r="O9" s="72"/>
      <c r="P9" s="327" t="s">
        <v>704</v>
      </c>
      <c r="Q9" s="327" t="s">
        <v>702</v>
      </c>
      <c r="R9" s="309" t="s">
        <v>706</v>
      </c>
      <c r="S9" s="309" t="s">
        <v>706</v>
      </c>
      <c r="T9" s="331"/>
      <c r="U9" s="309" t="s">
        <v>176</v>
      </c>
    </row>
    <row r="10" spans="1:21" s="40" customFormat="1" x14ac:dyDescent="0.2">
      <c r="A10" s="42"/>
      <c r="B10" s="42"/>
      <c r="C10" s="42"/>
      <c r="D10" s="42"/>
      <c r="E10" s="42"/>
      <c r="F10" s="210"/>
      <c r="G10" s="181"/>
      <c r="H10" s="326"/>
      <c r="I10" s="312"/>
      <c r="J10" s="36"/>
      <c r="K10" s="36"/>
      <c r="L10" s="36"/>
      <c r="M10" s="36"/>
      <c r="N10" s="36"/>
      <c r="O10" s="72"/>
      <c r="P10" s="309"/>
      <c r="Q10" s="309"/>
      <c r="R10" s="309" t="s">
        <v>174</v>
      </c>
      <c r="S10" s="309" t="s">
        <v>173</v>
      </c>
      <c r="T10" s="331"/>
      <c r="U10" s="309"/>
    </row>
    <row r="11" spans="1:21" s="40" customFormat="1" x14ac:dyDescent="0.2">
      <c r="A11" s="42"/>
      <c r="B11" s="42"/>
      <c r="C11" s="42"/>
      <c r="D11" s="42"/>
      <c r="E11" s="42"/>
      <c r="F11" s="210" t="s">
        <v>693</v>
      </c>
      <c r="G11" s="181"/>
      <c r="H11" s="210" t="s">
        <v>693</v>
      </c>
      <c r="I11" s="75" t="s">
        <v>693</v>
      </c>
      <c r="J11" s="51" t="s">
        <v>693</v>
      </c>
      <c r="K11" s="51" t="s">
        <v>694</v>
      </c>
      <c r="L11" s="51" t="s">
        <v>695</v>
      </c>
      <c r="M11" s="51" t="s">
        <v>693</v>
      </c>
      <c r="N11" s="36" t="s">
        <v>693</v>
      </c>
      <c r="O11" s="72" t="s">
        <v>693</v>
      </c>
      <c r="P11" s="72" t="s">
        <v>694</v>
      </c>
      <c r="Q11" s="72" t="s">
        <v>695</v>
      </c>
      <c r="R11" s="72" t="s">
        <v>693</v>
      </c>
      <c r="S11" s="72" t="s">
        <v>693</v>
      </c>
      <c r="T11" s="161" t="s">
        <v>696</v>
      </c>
      <c r="U11" s="72" t="s">
        <v>696</v>
      </c>
    </row>
    <row r="12" spans="1:21" s="40" customFormat="1" x14ac:dyDescent="0.2">
      <c r="A12" s="42"/>
      <c r="B12" s="42"/>
      <c r="C12" s="42"/>
      <c r="D12" s="42"/>
      <c r="E12" s="42"/>
      <c r="F12" s="210" t="s">
        <v>202</v>
      </c>
      <c r="G12" s="181"/>
      <c r="H12" s="210" t="s">
        <v>202</v>
      </c>
      <c r="I12" s="75" t="s">
        <v>202</v>
      </c>
      <c r="J12" s="51" t="s">
        <v>202</v>
      </c>
      <c r="K12" s="51" t="s">
        <v>689</v>
      </c>
      <c r="L12" s="51" t="s">
        <v>202</v>
      </c>
      <c r="M12" s="51" t="s">
        <v>202</v>
      </c>
      <c r="N12" s="36" t="s">
        <v>202</v>
      </c>
      <c r="O12" s="72" t="s">
        <v>202</v>
      </c>
      <c r="P12" s="72" t="s">
        <v>689</v>
      </c>
      <c r="Q12" s="72" t="s">
        <v>202</v>
      </c>
      <c r="R12" s="72" t="s">
        <v>202</v>
      </c>
      <c r="S12" s="72" t="s">
        <v>202</v>
      </c>
      <c r="T12" s="161" t="s">
        <v>202</v>
      </c>
      <c r="U12" s="72" t="s">
        <v>202</v>
      </c>
    </row>
    <row r="13" spans="1:21" s="40" customFormat="1" x14ac:dyDescent="0.2">
      <c r="A13" s="42"/>
      <c r="B13" s="42"/>
      <c r="C13" s="42"/>
      <c r="D13" s="42"/>
      <c r="E13" s="42"/>
      <c r="F13" s="210"/>
      <c r="G13" s="181"/>
      <c r="H13" s="210"/>
      <c r="I13" s="75"/>
      <c r="J13" s="36"/>
      <c r="K13" s="36"/>
      <c r="L13" s="36"/>
      <c r="M13" s="36"/>
      <c r="N13" s="36"/>
      <c r="O13" s="72"/>
      <c r="P13" s="72"/>
      <c r="Q13" s="72"/>
      <c r="R13" s="72"/>
      <c r="S13" s="72"/>
      <c r="T13" s="161"/>
      <c r="U13" s="72"/>
    </row>
    <row r="14" spans="1:21" s="40" customFormat="1" x14ac:dyDescent="0.2">
      <c r="A14" s="52" t="s">
        <v>587</v>
      </c>
      <c r="B14" s="52" t="s">
        <v>5</v>
      </c>
      <c r="C14" s="52" t="s">
        <v>35</v>
      </c>
      <c r="D14" s="52" t="s">
        <v>6</v>
      </c>
      <c r="E14" s="52" t="s">
        <v>76</v>
      </c>
      <c r="F14" s="179" t="s">
        <v>303</v>
      </c>
      <c r="G14" s="182" t="s">
        <v>555</v>
      </c>
      <c r="H14" s="179" t="s">
        <v>583</v>
      </c>
      <c r="I14" s="92" t="s">
        <v>468</v>
      </c>
      <c r="J14" s="209" t="s">
        <v>558</v>
      </c>
      <c r="K14" s="209" t="s">
        <v>559</v>
      </c>
      <c r="L14" s="209" t="s">
        <v>561</v>
      </c>
      <c r="M14" s="209" t="s">
        <v>560</v>
      </c>
      <c r="N14" s="209" t="s">
        <v>562</v>
      </c>
      <c r="O14" s="172" t="s">
        <v>564</v>
      </c>
      <c r="P14" s="172" t="s">
        <v>497</v>
      </c>
      <c r="Q14" s="172" t="s">
        <v>565</v>
      </c>
      <c r="R14" s="172" t="s">
        <v>563</v>
      </c>
      <c r="S14" s="172" t="s">
        <v>469</v>
      </c>
      <c r="T14" s="355" t="s">
        <v>566</v>
      </c>
      <c r="U14" s="172" t="s">
        <v>470</v>
      </c>
    </row>
    <row r="15" spans="1:21" s="40" customFormat="1" x14ac:dyDescent="0.2">
      <c r="A15" s="42"/>
      <c r="B15" s="42"/>
      <c r="C15" s="42"/>
      <c r="D15" s="42"/>
      <c r="E15" s="42" t="str">
        <f>B15&amp;"|"&amp;C15&amp;"|"&amp;D15</f>
        <v>||</v>
      </c>
      <c r="F15" s="75" t="str" cm="1">
        <f t="array" ref="F15">IFERROR(1/(1/IF(OR($C15="15-17",$C15="18-20"),INDEX(Cascade!$F:$F,MATCH($B15&amp;"|"&amp;"15-19"&amp;"|"&amp;$D15,Cascade!$E:$E,0))/2,IF($C15="18+",SUM(SUMIFS(Cascade!$F:$F,Cascade!$B:$B,$B15,Cascade!$C:$C,{"20-24","25-29","30-34","35-39","40-44","45-49","50-54","55-59","60-64","65+"},Cascade!$D:$D,$D15)),INDEX(Cascade!$F:$F,MATCH($E15,Cascade!$E:$E,0))))),"")</f>
        <v/>
      </c>
      <c r="G15" s="181"/>
      <c r="H15" s="181"/>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1" t="str">
        <f>IF(OR($C15="18+",$C15="18-20",SUM($O15)=0),"",100%)</f>
        <v/>
      </c>
      <c r="U15" s="84" t="str">
        <f>IF(OR($C15="18+",$C15="18-20",(SUM($R15,$S15)=0)),"",ROUND(SUM($R15,$S15)*$T15,0))</f>
        <v/>
      </c>
    </row>
  </sheetData>
  <conditionalFormatting sqref="T1:U1048576">
    <cfRule type="expression" dxfId="52" priority="26">
      <formula>OR($C1="18-20",$C1="18+")</formula>
    </cfRule>
  </conditionalFormatting>
  <conditionalFormatting sqref="N1:N1048576">
    <cfRule type="expression" dxfId="51" priority="24">
      <formula>AND(ISNUMBER($N1),ROUND(SUM($N1),2)&lt;20%)</formula>
    </cfRule>
  </conditionalFormatting>
  <conditionalFormatting sqref="K1:K1048576 P1:P1048576">
    <cfRule type="expression" dxfId="50" priority="18">
      <formula>AND($B1&lt;&gt;"",ROW(K1)&gt;14,NOT(AND($D1="Female",$G1="Y",OR($C1="10-14",$C1="15-17"))))</formula>
    </cfRule>
  </conditionalFormatting>
  <conditionalFormatting sqref="Q1:Q1048576 L1:L1048576">
    <cfRule type="expression" dxfId="49" priority="17">
      <formula>AND($E1&lt;&gt;"",ROW(L1)&gt;14,NOT(OR($C1="05-09",$C1="10-14")))</formula>
    </cfRule>
  </conditionalFormatting>
  <conditionalFormatting sqref="F1:F1048576">
    <cfRule type="expression" dxfId="48" priority="4">
      <formula>AND(ROW(F1)&gt;14,LEFT(B1,4)="_Mil")</formula>
    </cfRule>
  </conditionalFormatting>
  <conditionalFormatting sqref="F1:F1048576 H1:I1048576 O1:S1048576 U1:U1048576">
    <cfRule type="expression" dxfId="47" priority="2">
      <formula>AND(ISNUMBER(F1),ROUND(SUM(F1),0)&lt;0)</formula>
    </cfRule>
  </conditionalFormatting>
  <conditionalFormatting sqref="K1:N1048576 T1:T1048576">
    <cfRule type="expression" dxfId="46" priority="1">
      <formula>AND(ISNUMBER(K1),OR(ROUND(SUM(K1),2)&lt;0,ROUND(SUM(K1),2)&gt;1))</formula>
    </cfRule>
  </conditionalFormatting>
  <conditionalFormatting sqref="T1:T1048576">
    <cfRule type="expression" dxfId="4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63BE7B"/>
  </sheetPr>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52.33203125" style="42" customWidth="1"/>
    <col min="3" max="3" width="11.83203125" style="98"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27" t="s">
        <v>25</v>
      </c>
      <c r="D1" s="142"/>
      <c r="E1" s="426"/>
      <c r="F1" s="426"/>
      <c r="G1" s="142"/>
      <c r="H1" s="142"/>
    </row>
    <row r="2" spans="1:8" s="38" customFormat="1" ht="19" x14ac:dyDescent="0.25">
      <c r="A2" s="9"/>
      <c r="B2" s="9"/>
      <c r="C2" s="108" t="s">
        <v>74</v>
      </c>
      <c r="D2" s="73"/>
      <c r="E2" s="34" t="s">
        <v>2</v>
      </c>
      <c r="F2" s="34"/>
      <c r="G2" s="68" t="s">
        <v>3</v>
      </c>
      <c r="H2" s="68"/>
    </row>
    <row r="3" spans="1:8" ht="117" customHeight="1" x14ac:dyDescent="0.2">
      <c r="C3" s="144" t="s">
        <v>870</v>
      </c>
      <c r="D3" s="137" t="s">
        <v>871</v>
      </c>
      <c r="E3" s="48" t="s">
        <v>1024</v>
      </c>
      <c r="F3" s="48" t="s">
        <v>1025</v>
      </c>
      <c r="G3" s="69" t="s">
        <v>868</v>
      </c>
      <c r="H3" s="69" t="s">
        <v>869</v>
      </c>
    </row>
    <row r="4" spans="1:8" x14ac:dyDescent="0.2">
      <c r="A4" s="49"/>
      <c r="B4" s="49" t="s">
        <v>4</v>
      </c>
      <c r="C4" s="98">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8" t="s">
        <v>110</v>
      </c>
      <c r="D5" s="75" t="s">
        <v>110</v>
      </c>
      <c r="E5" s="36" t="s">
        <v>99</v>
      </c>
      <c r="F5" s="36" t="s">
        <v>99</v>
      </c>
      <c r="G5" s="72" t="s">
        <v>110</v>
      </c>
      <c r="H5" s="72" t="s">
        <v>110</v>
      </c>
    </row>
    <row r="6" spans="1:8" x14ac:dyDescent="0.2">
      <c r="A6" s="49" t="s">
        <v>201</v>
      </c>
      <c r="B6" s="49" t="s">
        <v>201</v>
      </c>
      <c r="C6" s="98" t="s">
        <v>111</v>
      </c>
      <c r="D6" s="75" t="s">
        <v>111</v>
      </c>
      <c r="E6" s="36" t="s">
        <v>113</v>
      </c>
      <c r="F6" s="36" t="s">
        <v>113</v>
      </c>
      <c r="G6" s="72" t="s">
        <v>93</v>
      </c>
      <c r="H6" s="72" t="s">
        <v>93</v>
      </c>
    </row>
    <row r="7" spans="1:8" x14ac:dyDescent="0.2">
      <c r="A7" s="49" t="s">
        <v>109</v>
      </c>
      <c r="B7" s="49" t="s">
        <v>109</v>
      </c>
      <c r="C7" s="98" t="s">
        <v>95</v>
      </c>
      <c r="D7" s="75" t="s">
        <v>95</v>
      </c>
      <c r="E7" s="36" t="s">
        <v>96</v>
      </c>
      <c r="F7" s="36" t="s">
        <v>96</v>
      </c>
      <c r="G7" s="72" t="s">
        <v>95</v>
      </c>
      <c r="H7" s="72" t="s">
        <v>95</v>
      </c>
    </row>
    <row r="8" spans="1:8" x14ac:dyDescent="0.2">
      <c r="A8" s="49"/>
      <c r="B8" s="49"/>
      <c r="C8" s="314" t="s">
        <v>197</v>
      </c>
      <c r="D8" s="312" t="s">
        <v>197</v>
      </c>
      <c r="G8" s="309" t="s">
        <v>197</v>
      </c>
      <c r="H8" s="309" t="s">
        <v>197</v>
      </c>
    </row>
    <row r="9" spans="1:8" x14ac:dyDescent="0.2">
      <c r="A9" s="49"/>
      <c r="B9" s="49"/>
      <c r="C9" s="314" t="s">
        <v>198</v>
      </c>
      <c r="D9" s="312" t="s">
        <v>198</v>
      </c>
      <c r="G9" s="309" t="s">
        <v>198</v>
      </c>
      <c r="H9" s="309" t="s">
        <v>198</v>
      </c>
    </row>
    <row r="10" spans="1:8" x14ac:dyDescent="0.2">
      <c r="A10" s="49"/>
      <c r="B10" s="49"/>
      <c r="C10" s="314" t="s">
        <v>199</v>
      </c>
      <c r="D10" s="312" t="s">
        <v>200</v>
      </c>
      <c r="G10" s="309" t="s">
        <v>199</v>
      </c>
      <c r="H10" s="309" t="s">
        <v>200</v>
      </c>
    </row>
    <row r="11" spans="1:8" x14ac:dyDescent="0.2">
      <c r="A11" s="49"/>
      <c r="B11" s="49"/>
    </row>
    <row r="12" spans="1:8" x14ac:dyDescent="0.2">
      <c r="A12" s="49"/>
      <c r="B12" s="49"/>
    </row>
    <row r="13" spans="1:8" x14ac:dyDescent="0.2">
      <c r="A13" s="49"/>
      <c r="B13" s="49"/>
    </row>
    <row r="14" spans="1:8" x14ac:dyDescent="0.2">
      <c r="A14" s="52" t="s">
        <v>587</v>
      </c>
      <c r="B14" s="52" t="s">
        <v>5</v>
      </c>
      <c r="C14" s="174" t="s">
        <v>474</v>
      </c>
      <c r="D14" s="397" t="s">
        <v>475</v>
      </c>
      <c r="E14" s="399" t="s">
        <v>553</v>
      </c>
      <c r="F14" s="399" t="s">
        <v>554</v>
      </c>
      <c r="G14" s="385" t="s">
        <v>476</v>
      </c>
      <c r="H14" s="385"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44"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63BE7B"/>
  </sheetPr>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8" customWidth="1"/>
    <col min="7" max="17" width="11.83203125" style="75" customWidth="1"/>
    <col min="18" max="20" width="11.83203125" style="208" customWidth="1"/>
    <col min="21" max="22" width="12.6640625" style="72" customWidth="1"/>
    <col min="23" max="16384" width="10.83203125" style="40"/>
  </cols>
  <sheetData>
    <row r="1" spans="1:22" s="57" customFormat="1" ht="31" customHeight="1" thickBot="1" x14ac:dyDescent="0.35">
      <c r="A1" s="5" t="s">
        <v>484</v>
      </c>
      <c r="B1" s="5"/>
      <c r="C1" s="1"/>
      <c r="D1" s="1"/>
      <c r="E1" s="1"/>
      <c r="F1" s="107" t="s">
        <v>485</v>
      </c>
      <c r="G1" s="77"/>
      <c r="H1" s="407"/>
      <c r="I1" s="407"/>
      <c r="J1" s="407"/>
      <c r="K1" s="407"/>
      <c r="L1" s="407"/>
      <c r="M1" s="77"/>
      <c r="N1" s="77"/>
      <c r="O1" s="77"/>
      <c r="P1" s="77"/>
      <c r="Q1" s="77"/>
      <c r="R1" s="35"/>
      <c r="S1" s="35"/>
      <c r="T1" s="35"/>
      <c r="U1" s="67"/>
      <c r="V1" s="67"/>
    </row>
    <row r="2" spans="1:22" s="56" customFormat="1" ht="19" x14ac:dyDescent="0.25">
      <c r="A2" s="479" t="s">
        <v>1027</v>
      </c>
      <c r="B2" s="476"/>
      <c r="C2" s="2"/>
      <c r="D2" s="2"/>
      <c r="E2" s="2"/>
      <c r="F2" s="108" t="s">
        <v>74</v>
      </c>
      <c r="G2" s="73"/>
      <c r="H2" s="155"/>
      <c r="I2" s="155"/>
      <c r="J2" s="155"/>
      <c r="K2" s="155"/>
      <c r="L2" s="155"/>
      <c r="M2" s="73"/>
      <c r="N2" s="73"/>
      <c r="O2" s="73"/>
      <c r="P2" s="73"/>
      <c r="Q2" s="73"/>
      <c r="R2" s="34"/>
      <c r="S2" s="34" t="s">
        <v>2</v>
      </c>
      <c r="T2" s="34"/>
      <c r="U2" s="68" t="s">
        <v>3</v>
      </c>
      <c r="V2" s="68"/>
    </row>
    <row r="3" spans="1:22" ht="117" customHeight="1" thickBot="1" x14ac:dyDescent="0.25">
      <c r="A3" s="477"/>
      <c r="B3" s="478"/>
      <c r="C3" s="47"/>
      <c r="D3" s="47"/>
      <c r="E3" s="47"/>
      <c r="F3" s="430" t="s">
        <v>809</v>
      </c>
      <c r="G3" s="76" t="s">
        <v>1026</v>
      </c>
      <c r="H3" s="342" t="s">
        <v>872</v>
      </c>
      <c r="I3" s="342" t="s">
        <v>1028</v>
      </c>
      <c r="J3" s="342" t="s">
        <v>873</v>
      </c>
      <c r="K3" s="342" t="s">
        <v>1029</v>
      </c>
      <c r="L3" s="342" t="s">
        <v>1030</v>
      </c>
      <c r="M3" s="137" t="s">
        <v>874</v>
      </c>
      <c r="N3" s="137" t="s">
        <v>875</v>
      </c>
      <c r="O3" s="137" t="s">
        <v>876</v>
      </c>
      <c r="P3" s="137" t="s">
        <v>877</v>
      </c>
      <c r="Q3" s="137" t="s">
        <v>878</v>
      </c>
      <c r="R3" s="336" t="s">
        <v>879</v>
      </c>
      <c r="S3" s="204" t="s">
        <v>1088</v>
      </c>
      <c r="T3" s="204" t="s">
        <v>880</v>
      </c>
      <c r="U3" s="69" t="s">
        <v>1086</v>
      </c>
      <c r="V3" s="69" t="s">
        <v>1087</v>
      </c>
    </row>
    <row r="4" spans="1:22"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06" t="str">
        <f>IF($Q$4=0,"",SUM($O$4,$P$4)/$Q$4)</f>
        <v/>
      </c>
      <c r="S4" s="206" t="str">
        <f>IF($U$4=0,"",$V$4/$U$4)</f>
        <v/>
      </c>
      <c r="T4" s="206"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8" t="s">
        <v>99</v>
      </c>
      <c r="G5" s="75" t="s">
        <v>99</v>
      </c>
      <c r="H5" s="75" t="s">
        <v>99</v>
      </c>
      <c r="I5" s="75" t="s">
        <v>99</v>
      </c>
      <c r="J5" s="75" t="s">
        <v>99</v>
      </c>
      <c r="K5" s="75" t="s">
        <v>99</v>
      </c>
      <c r="L5" s="75" t="s">
        <v>99</v>
      </c>
      <c r="M5" s="75" t="s">
        <v>110</v>
      </c>
      <c r="N5" s="75" t="s">
        <v>110</v>
      </c>
      <c r="O5" s="75" t="s">
        <v>110</v>
      </c>
      <c r="P5" s="75" t="s">
        <v>110</v>
      </c>
      <c r="Q5" s="75" t="s">
        <v>99</v>
      </c>
      <c r="R5" s="208" t="s">
        <v>99</v>
      </c>
      <c r="S5" s="208" t="s">
        <v>99</v>
      </c>
      <c r="T5" s="208" t="s">
        <v>99</v>
      </c>
      <c r="U5" s="72" t="s">
        <v>110</v>
      </c>
      <c r="V5" s="72" t="s">
        <v>110</v>
      </c>
    </row>
    <row r="6" spans="1:22" x14ac:dyDescent="0.2">
      <c r="A6" s="42" t="s">
        <v>201</v>
      </c>
      <c r="B6" s="42" t="s">
        <v>201</v>
      </c>
      <c r="C6" s="42" t="s">
        <v>201</v>
      </c>
      <c r="D6" s="42" t="s">
        <v>201</v>
      </c>
      <c r="E6" s="42" t="s">
        <v>201</v>
      </c>
      <c r="F6" s="98" t="s">
        <v>94</v>
      </c>
      <c r="G6" s="75" t="s">
        <v>113</v>
      </c>
      <c r="H6" s="75" t="s">
        <v>94</v>
      </c>
      <c r="I6" s="75" t="s">
        <v>94</v>
      </c>
      <c r="J6" s="75" t="s">
        <v>94</v>
      </c>
      <c r="K6" s="75" t="s">
        <v>94</v>
      </c>
      <c r="L6" s="75" t="s">
        <v>94</v>
      </c>
      <c r="M6" s="75" t="s">
        <v>111</v>
      </c>
      <c r="N6" s="75" t="s">
        <v>111</v>
      </c>
      <c r="O6" s="75" t="s">
        <v>111</v>
      </c>
      <c r="P6" s="75" t="s">
        <v>111</v>
      </c>
      <c r="Q6" s="75" t="s">
        <v>94</v>
      </c>
      <c r="R6" s="208" t="s">
        <v>94</v>
      </c>
      <c r="S6" s="208" t="s">
        <v>113</v>
      </c>
      <c r="T6" s="208" t="s">
        <v>113</v>
      </c>
      <c r="U6" s="72" t="s">
        <v>93</v>
      </c>
      <c r="V6" s="72" t="s">
        <v>93</v>
      </c>
    </row>
    <row r="7" spans="1:22" x14ac:dyDescent="0.2">
      <c r="A7" s="42" t="s">
        <v>109</v>
      </c>
      <c r="B7" s="42" t="s">
        <v>109</v>
      </c>
      <c r="C7" s="42" t="s">
        <v>109</v>
      </c>
      <c r="D7" s="42" t="s">
        <v>109</v>
      </c>
      <c r="E7" s="42" t="s">
        <v>109</v>
      </c>
      <c r="F7" s="98" t="s">
        <v>95</v>
      </c>
      <c r="G7" s="75" t="s">
        <v>95</v>
      </c>
      <c r="H7" s="75" t="s">
        <v>95</v>
      </c>
      <c r="I7" s="75" t="s">
        <v>95</v>
      </c>
      <c r="J7" s="75" t="s">
        <v>95</v>
      </c>
      <c r="K7" s="75" t="s">
        <v>95</v>
      </c>
      <c r="L7" s="75" t="s">
        <v>95</v>
      </c>
      <c r="M7" s="75" t="s">
        <v>95</v>
      </c>
      <c r="N7" s="75" t="s">
        <v>95</v>
      </c>
      <c r="O7" s="75" t="s">
        <v>95</v>
      </c>
      <c r="P7" s="75" t="s">
        <v>95</v>
      </c>
      <c r="Q7" s="75" t="s">
        <v>95</v>
      </c>
      <c r="R7" s="208" t="s">
        <v>96</v>
      </c>
      <c r="S7" s="208" t="s">
        <v>96</v>
      </c>
      <c r="T7" s="208" t="s">
        <v>96</v>
      </c>
      <c r="U7" s="72" t="s">
        <v>95</v>
      </c>
      <c r="V7" s="72" t="s">
        <v>95</v>
      </c>
    </row>
    <row r="8" spans="1:22" x14ac:dyDescent="0.2">
      <c r="M8" s="312" t="s">
        <v>490</v>
      </c>
      <c r="N8" s="312" t="s">
        <v>489</v>
      </c>
      <c r="O8" s="312" t="s">
        <v>488</v>
      </c>
      <c r="P8" s="312" t="s">
        <v>487</v>
      </c>
      <c r="Q8" s="173"/>
      <c r="R8" s="429"/>
      <c r="U8" s="309" t="s">
        <v>707</v>
      </c>
      <c r="V8" s="309" t="s">
        <v>708</v>
      </c>
    </row>
    <row r="9" spans="1:22" x14ac:dyDescent="0.2">
      <c r="F9" s="213"/>
      <c r="G9" s="173"/>
      <c r="H9" s="173"/>
      <c r="I9" s="173"/>
      <c r="J9" s="173"/>
      <c r="K9" s="173"/>
      <c r="L9" s="173"/>
      <c r="M9" s="317"/>
      <c r="N9" s="317"/>
      <c r="O9" s="317"/>
      <c r="P9" s="317"/>
      <c r="Q9" s="215"/>
      <c r="R9" s="428"/>
      <c r="U9" s="309"/>
      <c r="V9" s="309"/>
    </row>
    <row r="10" spans="1:22" x14ac:dyDescent="0.2">
      <c r="F10" s="213"/>
      <c r="G10" s="173"/>
      <c r="H10" s="173"/>
      <c r="I10" s="173"/>
      <c r="J10" s="173"/>
      <c r="K10" s="173"/>
      <c r="L10" s="173"/>
      <c r="M10" s="312" t="s">
        <v>1034</v>
      </c>
      <c r="N10" s="312" t="s">
        <v>1032</v>
      </c>
      <c r="O10" s="312" t="s">
        <v>1035</v>
      </c>
      <c r="P10" s="312" t="s">
        <v>1033</v>
      </c>
      <c r="Q10" s="173"/>
      <c r="R10" s="429"/>
      <c r="S10" s="429"/>
      <c r="T10" s="429"/>
      <c r="U10" s="309" t="s">
        <v>718</v>
      </c>
      <c r="V10" s="309" t="s">
        <v>719</v>
      </c>
    </row>
    <row r="11" spans="1:22" x14ac:dyDescent="0.2">
      <c r="F11" s="98" t="s">
        <v>486</v>
      </c>
      <c r="G11" s="75" t="s">
        <v>486</v>
      </c>
      <c r="H11" s="75" t="s">
        <v>611</v>
      </c>
      <c r="I11" s="75" t="s">
        <v>611</v>
      </c>
      <c r="J11" s="75" t="s">
        <v>486</v>
      </c>
      <c r="K11" s="75" t="s">
        <v>486</v>
      </c>
      <c r="L11" s="75" t="s">
        <v>486</v>
      </c>
      <c r="M11" s="75" t="s">
        <v>486</v>
      </c>
      <c r="N11" s="75" t="s">
        <v>486</v>
      </c>
      <c r="O11" s="75" t="s">
        <v>486</v>
      </c>
      <c r="P11" s="75" t="s">
        <v>486</v>
      </c>
      <c r="Q11" s="75" t="s">
        <v>486</v>
      </c>
      <c r="R11" s="208" t="s">
        <v>486</v>
      </c>
      <c r="S11" s="51" t="s">
        <v>486</v>
      </c>
      <c r="T11" s="51" t="s">
        <v>486</v>
      </c>
      <c r="U11" s="72" t="s">
        <v>486</v>
      </c>
      <c r="V11" s="72" t="s">
        <v>486</v>
      </c>
    </row>
    <row r="12" spans="1:22" x14ac:dyDescent="0.2">
      <c r="F12" s="98" t="s">
        <v>689</v>
      </c>
      <c r="G12" s="75" t="s">
        <v>689</v>
      </c>
      <c r="H12" s="75" t="s">
        <v>689</v>
      </c>
      <c r="I12" s="75" t="s">
        <v>689</v>
      </c>
      <c r="J12" s="75" t="s">
        <v>689</v>
      </c>
      <c r="K12" s="75" t="s">
        <v>689</v>
      </c>
      <c r="L12" s="75" t="s">
        <v>689</v>
      </c>
      <c r="M12" s="75" t="s">
        <v>689</v>
      </c>
      <c r="N12" s="75" t="s">
        <v>689</v>
      </c>
      <c r="O12" s="75" t="s">
        <v>689</v>
      </c>
      <c r="P12" s="75" t="s">
        <v>689</v>
      </c>
      <c r="Q12" s="75" t="s">
        <v>689</v>
      </c>
      <c r="R12" s="208" t="s">
        <v>689</v>
      </c>
      <c r="S12" s="51" t="s">
        <v>689</v>
      </c>
      <c r="T12" s="51" t="s">
        <v>689</v>
      </c>
      <c r="U12" s="72" t="s">
        <v>689</v>
      </c>
      <c r="V12" s="72" t="s">
        <v>689</v>
      </c>
    </row>
    <row r="14" spans="1:22" x14ac:dyDescent="0.2">
      <c r="A14" s="54" t="s">
        <v>587</v>
      </c>
      <c r="B14" s="54" t="s">
        <v>5</v>
      </c>
      <c r="C14" s="54" t="s">
        <v>35</v>
      </c>
      <c r="D14" s="54" t="s">
        <v>6</v>
      </c>
      <c r="E14" s="54" t="s">
        <v>76</v>
      </c>
      <c r="F14" s="174" t="s">
        <v>302</v>
      </c>
      <c r="G14" s="92" t="s">
        <v>556</v>
      </c>
      <c r="H14" s="92" t="s">
        <v>472</v>
      </c>
      <c r="I14" s="92" t="s">
        <v>898</v>
      </c>
      <c r="J14" s="92" t="s">
        <v>467</v>
      </c>
      <c r="K14" s="92" t="s">
        <v>373</v>
      </c>
      <c r="L14" s="92" t="s">
        <v>374</v>
      </c>
      <c r="M14" s="92" t="s">
        <v>491</v>
      </c>
      <c r="N14" s="92" t="s">
        <v>492</v>
      </c>
      <c r="O14" s="92" t="s">
        <v>493</v>
      </c>
      <c r="P14" s="92" t="s">
        <v>494</v>
      </c>
      <c r="Q14" s="92" t="s">
        <v>724</v>
      </c>
      <c r="R14" s="209" t="s">
        <v>723</v>
      </c>
      <c r="S14" s="209" t="s">
        <v>557</v>
      </c>
      <c r="T14" s="209" t="s">
        <v>725</v>
      </c>
      <c r="U14" s="172" t="s">
        <v>499</v>
      </c>
      <c r="V14" s="172" t="s">
        <v>500</v>
      </c>
    </row>
    <row r="15" spans="1:22" x14ac:dyDescent="0.2">
      <c r="E15" s="42" t="str">
        <f>B15&amp;"|"&amp;C15&amp;"|"&amp;D15</f>
        <v>||</v>
      </c>
      <c r="F15" s="98"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08" t="str">
        <f>IF(SUM($Q15)=0,"",SUM($O15,$P15)/SUM($Q15))</f>
        <v/>
      </c>
      <c r="S15" s="208" t="str">
        <f>IF(SUM($Q15)=0,"",MAX(60%,SUM($R15)))</f>
        <v/>
      </c>
      <c r="T15" s="208" t="str">
        <f>IF(SUM($Q15)=0,"",0%)</f>
        <v/>
      </c>
      <c r="U15" s="72" t="str">
        <f>IF(SUM($Q15)=0,"",SUM($Q15)*(1+$T15))</f>
        <v/>
      </c>
      <c r="V15" s="72" t="str">
        <f>IF(SUM($U15)=0,"",ROUND(SUM($U15)*S15,0))</f>
        <v/>
      </c>
    </row>
  </sheetData>
  <mergeCells count="1">
    <mergeCell ref="A2:B3"/>
  </mergeCells>
  <phoneticPr fontId="27" type="noConversion"/>
  <conditionalFormatting sqref="V1:V1048576">
    <cfRule type="expression" dxfId="43" priority="14">
      <formula>AND(ISNUMBER(V1),SUM($V1)&gt;SUM($U1))</formula>
    </cfRule>
  </conditionalFormatting>
  <conditionalFormatting sqref="H1:I1048576">
    <cfRule type="expression" dxfId="42" priority="6">
      <formula>AND(ROW(H1)&gt;14,$C1="10-14")</formula>
    </cfRule>
  </conditionalFormatting>
  <conditionalFormatting sqref="F1:G1048576">
    <cfRule type="expression" dxfId="41" priority="3">
      <formula>AND(ROW(F1)&gt;14,LEFT(B1,4)="_Mil")</formula>
    </cfRule>
  </conditionalFormatting>
  <conditionalFormatting sqref="U1:V1048576 F1:N1048576">
    <cfRule type="expression" dxfId="40" priority="2">
      <formula>AND(ISNUMBER(F1),ROUND(SUM(F1),0)&lt;0)</formula>
    </cfRule>
  </conditionalFormatting>
  <conditionalFormatting sqref="R1:S1048576">
    <cfRule type="expression" dxfId="39" priority="1">
      <formula>AND(ISNUMBER(R1),OR(ROUND(SUM(R1),2)&lt;0,ROUND(SUM(R1),2)&gt;1))</formula>
    </cfRule>
  </conditionalFormatting>
  <conditionalFormatting sqref="S1:S1048576">
    <cfRule type="expression" dxfId="3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63BE7B"/>
  </sheetPr>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O15" sqref="O15"/>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11" width="11.83203125" style="75" customWidth="1"/>
    <col min="12" max="12" width="11.83203125" style="72" customWidth="1"/>
    <col min="13" max="13" width="11.83203125" style="98"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07" t="s">
        <v>24</v>
      </c>
      <c r="G1" s="67"/>
      <c r="H1" s="67"/>
      <c r="I1" s="67"/>
      <c r="J1" s="67"/>
      <c r="K1" s="67"/>
      <c r="L1" s="67"/>
      <c r="M1" s="107" t="s">
        <v>897</v>
      </c>
      <c r="N1" s="67"/>
      <c r="O1" s="67"/>
    </row>
    <row r="2" spans="1:15" s="56" customFormat="1" ht="19" x14ac:dyDescent="0.25">
      <c r="A2" s="2"/>
      <c r="B2" s="2"/>
      <c r="C2" s="2"/>
      <c r="D2" s="2"/>
      <c r="E2" s="2"/>
      <c r="F2" s="108" t="s">
        <v>74</v>
      </c>
      <c r="G2" s="73"/>
      <c r="H2" s="73"/>
      <c r="I2" s="73"/>
      <c r="J2" s="73"/>
      <c r="K2" s="73"/>
      <c r="L2" s="68" t="s">
        <v>3</v>
      </c>
      <c r="M2" s="108" t="s">
        <v>74</v>
      </c>
      <c r="N2" s="73"/>
      <c r="O2" s="68" t="s">
        <v>3</v>
      </c>
    </row>
    <row r="3" spans="1:15" ht="117" customHeight="1" x14ac:dyDescent="0.2">
      <c r="A3" s="47"/>
      <c r="B3" s="47"/>
      <c r="C3" s="47"/>
      <c r="D3" s="47"/>
      <c r="E3" s="47"/>
      <c r="F3" s="255" t="s">
        <v>881</v>
      </c>
      <c r="G3" s="256" t="s">
        <v>882</v>
      </c>
      <c r="H3" s="256" t="s">
        <v>883</v>
      </c>
      <c r="I3" s="256" t="s">
        <v>884</v>
      </c>
      <c r="J3" s="137" t="s">
        <v>887</v>
      </c>
      <c r="K3" s="137" t="s">
        <v>885</v>
      </c>
      <c r="L3" s="138" t="s">
        <v>872</v>
      </c>
      <c r="M3" s="144" t="s">
        <v>888</v>
      </c>
      <c r="N3" s="137" t="s">
        <v>886</v>
      </c>
      <c r="O3" s="138" t="s">
        <v>1104</v>
      </c>
    </row>
    <row r="4" spans="1:15"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09">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8" t="s">
        <v>99</v>
      </c>
      <c r="G5" s="75" t="s">
        <v>99</v>
      </c>
      <c r="H5" s="75" t="s">
        <v>99</v>
      </c>
      <c r="I5" s="75" t="s">
        <v>99</v>
      </c>
      <c r="J5" s="75" t="s">
        <v>110</v>
      </c>
      <c r="K5" s="75" t="s">
        <v>110</v>
      </c>
      <c r="L5" s="72" t="s">
        <v>110</v>
      </c>
      <c r="M5" s="98" t="s">
        <v>110</v>
      </c>
      <c r="N5" s="75" t="s">
        <v>110</v>
      </c>
      <c r="O5" s="72" t="s">
        <v>110</v>
      </c>
    </row>
    <row r="6" spans="1:15" x14ac:dyDescent="0.2">
      <c r="A6" s="42" t="s">
        <v>201</v>
      </c>
      <c r="B6" s="42" t="s">
        <v>201</v>
      </c>
      <c r="C6" s="42" t="s">
        <v>201</v>
      </c>
      <c r="D6" s="42" t="s">
        <v>201</v>
      </c>
      <c r="E6" s="42" t="s">
        <v>201</v>
      </c>
      <c r="F6" s="98" t="s">
        <v>94</v>
      </c>
      <c r="G6" s="75" t="s">
        <v>94</v>
      </c>
      <c r="H6" s="75" t="s">
        <v>94</v>
      </c>
      <c r="I6" s="75" t="s">
        <v>94</v>
      </c>
      <c r="J6" s="75" t="s">
        <v>111</v>
      </c>
      <c r="K6" s="75" t="s">
        <v>111</v>
      </c>
      <c r="L6" s="72" t="s">
        <v>93</v>
      </c>
      <c r="M6" s="98" t="s">
        <v>111</v>
      </c>
      <c r="N6" s="75" t="s">
        <v>111</v>
      </c>
      <c r="O6" s="72" t="s">
        <v>93</v>
      </c>
    </row>
    <row r="7" spans="1:15" x14ac:dyDescent="0.2">
      <c r="A7" s="42" t="s">
        <v>109</v>
      </c>
      <c r="B7" s="42" t="s">
        <v>109</v>
      </c>
      <c r="C7" s="42" t="s">
        <v>109</v>
      </c>
      <c r="D7" s="42" t="s">
        <v>109</v>
      </c>
      <c r="E7" s="42" t="s">
        <v>109</v>
      </c>
      <c r="F7" s="98" t="s">
        <v>95</v>
      </c>
      <c r="G7" s="75" t="s">
        <v>95</v>
      </c>
      <c r="H7" s="75" t="s">
        <v>95</v>
      </c>
      <c r="I7" s="75" t="s">
        <v>95</v>
      </c>
      <c r="J7" s="75" t="s">
        <v>95</v>
      </c>
      <c r="K7" s="75" t="s">
        <v>95</v>
      </c>
      <c r="L7" s="72" t="s">
        <v>95</v>
      </c>
      <c r="M7" s="98" t="s">
        <v>95</v>
      </c>
      <c r="N7" s="75" t="s">
        <v>95</v>
      </c>
      <c r="O7" s="72" t="s">
        <v>95</v>
      </c>
    </row>
    <row r="8" spans="1:15" x14ac:dyDescent="0.2">
      <c r="J8" s="317" t="s">
        <v>597</v>
      </c>
      <c r="K8" s="312" t="s">
        <v>193</v>
      </c>
      <c r="L8" s="309" t="s">
        <v>193</v>
      </c>
      <c r="M8" s="318" t="s">
        <v>599</v>
      </c>
      <c r="N8" s="312" t="s">
        <v>195</v>
      </c>
      <c r="O8" s="309" t="s">
        <v>1051</v>
      </c>
    </row>
    <row r="9" spans="1:15" x14ac:dyDescent="0.2">
      <c r="J9" s="317" t="s">
        <v>598</v>
      </c>
      <c r="K9" s="312" t="s">
        <v>194</v>
      </c>
      <c r="L9" s="309" t="s">
        <v>194</v>
      </c>
      <c r="M9" s="318" t="s">
        <v>600</v>
      </c>
      <c r="N9" s="312" t="s">
        <v>196</v>
      </c>
      <c r="O9" s="309" t="s">
        <v>1052</v>
      </c>
    </row>
    <row r="10" spans="1:15" x14ac:dyDescent="0.2">
      <c r="J10" s="312"/>
      <c r="K10" s="312"/>
      <c r="L10" s="309"/>
      <c r="M10" s="314"/>
      <c r="N10" s="312"/>
      <c r="O10" s="309"/>
    </row>
    <row r="11" spans="1:15" x14ac:dyDescent="0.2">
      <c r="F11" s="98" t="s">
        <v>1038</v>
      </c>
      <c r="G11" s="75" t="s">
        <v>1038</v>
      </c>
      <c r="H11" s="75" t="s">
        <v>611</v>
      </c>
      <c r="I11" s="75" t="s">
        <v>611</v>
      </c>
      <c r="J11" s="75" t="s">
        <v>1038</v>
      </c>
      <c r="K11" s="75" t="s">
        <v>1038</v>
      </c>
      <c r="L11" s="72" t="s">
        <v>1038</v>
      </c>
      <c r="M11" s="98" t="s">
        <v>1038</v>
      </c>
      <c r="N11" s="75" t="s">
        <v>1038</v>
      </c>
      <c r="O11" s="72" t="s">
        <v>1038</v>
      </c>
    </row>
    <row r="12" spans="1:15" x14ac:dyDescent="0.2">
      <c r="F12" s="98" t="s">
        <v>202</v>
      </c>
      <c r="G12" s="75" t="s">
        <v>202</v>
      </c>
      <c r="H12" s="75" t="s">
        <v>689</v>
      </c>
      <c r="I12" s="75" t="s">
        <v>689</v>
      </c>
      <c r="J12" s="75" t="s">
        <v>202</v>
      </c>
      <c r="K12" s="75" t="s">
        <v>202</v>
      </c>
      <c r="L12" s="72" t="s">
        <v>202</v>
      </c>
      <c r="M12" s="98" t="s">
        <v>202</v>
      </c>
      <c r="N12" s="75" t="s">
        <v>202</v>
      </c>
      <c r="O12" s="72" t="s">
        <v>202</v>
      </c>
    </row>
    <row r="14" spans="1:15" x14ac:dyDescent="0.2">
      <c r="A14" s="54" t="s">
        <v>587</v>
      </c>
      <c r="B14" s="54" t="s">
        <v>5</v>
      </c>
      <c r="C14" s="54" t="s">
        <v>35</v>
      </c>
      <c r="D14" s="54" t="s">
        <v>6</v>
      </c>
      <c r="E14" s="54" t="s">
        <v>76</v>
      </c>
      <c r="F14" s="174" t="s">
        <v>303</v>
      </c>
      <c r="G14" s="92" t="s">
        <v>552</v>
      </c>
      <c r="H14" s="92" t="s">
        <v>499</v>
      </c>
      <c r="I14" s="92" t="s">
        <v>500</v>
      </c>
      <c r="J14" s="92" t="s">
        <v>590</v>
      </c>
      <c r="K14" s="92" t="s">
        <v>471</v>
      </c>
      <c r="L14" s="172" t="s">
        <v>472</v>
      </c>
      <c r="M14" s="174" t="s">
        <v>591</v>
      </c>
      <c r="N14" s="92" t="s">
        <v>473</v>
      </c>
      <c r="O14" s="172" t="s">
        <v>898</v>
      </c>
    </row>
    <row r="15" spans="1:15" x14ac:dyDescent="0.2">
      <c r="E15" s="42" t="str">
        <f>B15&amp;"|"&amp;C15&amp;"|"&amp;D15</f>
        <v>||</v>
      </c>
      <c r="F15" s="98" t="str" cm="1">
        <f t="array" ref="F15">IFERROR(1/(1/IF($C15="50+",SUM(SUMIFS(Cascade!$F:$F,Cascade!$B:$B,$B15,Cascade!$C:$C,{"50-54","55-59","60-64","65+"},Cascade!$D:$D,$D15)),INDEX(Cascade!$F:$F,MATCH($E15,Cascade!$E:$E,0)))),"")</f>
        <v/>
      </c>
      <c r="G15" s="75" t="str">
        <f>_xlfn.IFNA(INDEX(HTS!$BX:$BX,MATCH($E15,HTS!$E:$E,0)),"")</f>
        <v/>
      </c>
      <c r="H15" s="75" t="str">
        <f>_xlfn.IFNA(INDEX(AGYW!$U:$U,MATCH($E15,AGYW!$E:$E,0)),"")</f>
        <v/>
      </c>
      <c r="I15" s="75" t="str">
        <f>_xlfn.IFNA(INDEX(AGYW!$V:$V,MATCH($E15,AGYW!$E:$E,0)),"")</f>
        <v/>
      </c>
    </row>
  </sheetData>
  <conditionalFormatting sqref="H1:I1048576">
    <cfRule type="expression" dxfId="37" priority="3">
      <formula>AND(ROW(H1)&gt;14,$E1&lt;&gt;"",NOT(OR($C1="15-19",$C1="20-24",$C1="25-29")))</formula>
    </cfRule>
    <cfRule type="expression" dxfId="36" priority="4">
      <formula>AND(ROW(H1)&gt;14,$E1&lt;&gt;"",$D1&lt;&gt;"Females")</formula>
    </cfRule>
  </conditionalFormatting>
  <conditionalFormatting sqref="F1:F1048576">
    <cfRule type="expression" dxfId="35" priority="2">
      <formula>AND(ROW(F1)&gt;14,LEFT(B1,4)="_Mil")</formula>
    </cfRule>
  </conditionalFormatting>
  <conditionalFormatting sqref="F1:O1048576">
    <cfRule type="expression" dxfId="34"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63BE7B"/>
  </sheetPr>
  <dimension ref="A1:K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17" customWidth="1"/>
    <col min="6" max="6" width="11.83203125" style="295" customWidth="1"/>
    <col min="7" max="9" width="11.83203125" style="294" customWidth="1"/>
    <col min="10" max="11" width="11.83203125" style="72" customWidth="1"/>
  </cols>
  <sheetData>
    <row r="1" spans="1:11" ht="31" customHeight="1" x14ac:dyDescent="0.2">
      <c r="A1" s="5" t="s">
        <v>23</v>
      </c>
      <c r="B1" s="5"/>
      <c r="C1" s="1"/>
      <c r="D1" s="1"/>
      <c r="E1" s="107" t="s">
        <v>23</v>
      </c>
      <c r="F1" s="67"/>
      <c r="G1" s="43"/>
      <c r="H1" s="45"/>
      <c r="I1" s="45"/>
      <c r="J1" s="67"/>
      <c r="K1" s="67"/>
    </row>
    <row r="2" spans="1:11" ht="19" x14ac:dyDescent="0.25">
      <c r="A2" s="2"/>
      <c r="B2" s="2"/>
      <c r="C2" s="2"/>
      <c r="D2" s="2"/>
      <c r="E2" s="111" t="s">
        <v>74</v>
      </c>
      <c r="F2" s="94"/>
      <c r="G2" s="34"/>
      <c r="H2" s="34" t="s">
        <v>2</v>
      </c>
      <c r="I2" s="34"/>
      <c r="J2" s="68" t="s">
        <v>3</v>
      </c>
      <c r="K2" s="68"/>
    </row>
    <row r="3" spans="1:11" ht="117" customHeight="1" x14ac:dyDescent="0.2">
      <c r="D3" s="63"/>
      <c r="E3" s="431" t="s">
        <v>892</v>
      </c>
      <c r="F3" s="147" t="s">
        <v>893</v>
      </c>
      <c r="G3" s="203" t="s">
        <v>894</v>
      </c>
      <c r="H3" s="204" t="s">
        <v>889</v>
      </c>
      <c r="I3" s="204" t="s">
        <v>1031</v>
      </c>
      <c r="J3" s="69" t="s">
        <v>890</v>
      </c>
      <c r="K3" s="69" t="s">
        <v>891</v>
      </c>
    </row>
    <row r="4" spans="1:11" x14ac:dyDescent="0.2">
      <c r="A4" s="65"/>
      <c r="B4" s="65"/>
      <c r="C4" s="65" t="s">
        <v>4</v>
      </c>
      <c r="D4" s="65"/>
      <c r="E4" s="109">
        <f>SUBTOTAL(109,E$15:INDEX(E:E,COUNTA($B:$B)+14-COUNTA($B$1:$B$14)))</f>
        <v>0</v>
      </c>
      <c r="F4" s="140">
        <f>SUBTOTAL(109,F$15:INDEX(F:F,COUNTA($B:$B)+14-COUNTA($B$1:$B$14)))</f>
        <v>0</v>
      </c>
      <c r="G4" s="205" t="str">
        <f>IF($E$4=0,"",$F$4/$E$4)</f>
        <v/>
      </c>
      <c r="H4" s="206" t="str">
        <f>IF($K$4=0,"",$J$4/$K$4)</f>
        <v/>
      </c>
      <c r="I4" s="206" t="str">
        <f>IF($F$4=0,"",$J$4/$F$4-1)</f>
        <v/>
      </c>
      <c r="J4" s="71">
        <f>SUBTOTAL(109,J$15:INDEX(J:J,COUNTA($B:$B)+14-COUNTA($B$1:$B$14)))</f>
        <v>0</v>
      </c>
      <c r="K4" s="71">
        <f>SUBTOTAL(109,K$15:INDEX(K:K,COUNTA($B:$B)+14-COUNTA($B$1:$B$14)))</f>
        <v>0</v>
      </c>
    </row>
    <row r="5" spans="1:11" x14ac:dyDescent="0.2">
      <c r="A5" s="66" t="s">
        <v>99</v>
      </c>
      <c r="B5" s="66" t="s">
        <v>99</v>
      </c>
      <c r="C5" s="66" t="s">
        <v>99</v>
      </c>
      <c r="D5" s="66" t="s">
        <v>99</v>
      </c>
      <c r="E5" s="98" t="s">
        <v>108</v>
      </c>
      <c r="F5" s="141" t="s">
        <v>110</v>
      </c>
      <c r="G5" s="207" t="s">
        <v>99</v>
      </c>
      <c r="H5" s="208" t="s">
        <v>99</v>
      </c>
      <c r="I5" s="208" t="s">
        <v>99</v>
      </c>
      <c r="J5" s="72" t="s">
        <v>110</v>
      </c>
      <c r="K5" s="72" t="s">
        <v>108</v>
      </c>
    </row>
    <row r="6" spans="1:11" x14ac:dyDescent="0.2">
      <c r="A6" s="66" t="s">
        <v>201</v>
      </c>
      <c r="B6" s="66" t="s">
        <v>201</v>
      </c>
      <c r="C6" s="66" t="s">
        <v>201</v>
      </c>
      <c r="D6" s="66" t="s">
        <v>201</v>
      </c>
      <c r="E6" s="98" t="s">
        <v>93</v>
      </c>
      <c r="F6" s="141" t="s">
        <v>111</v>
      </c>
      <c r="G6" s="207" t="s">
        <v>94</v>
      </c>
      <c r="H6" s="208" t="s">
        <v>113</v>
      </c>
      <c r="I6" s="208" t="s">
        <v>113</v>
      </c>
      <c r="J6" s="72" t="s">
        <v>93</v>
      </c>
      <c r="K6" s="72" t="s">
        <v>93</v>
      </c>
    </row>
    <row r="7" spans="1:11" x14ac:dyDescent="0.2">
      <c r="A7" s="66" t="s">
        <v>109</v>
      </c>
      <c r="B7" s="66" t="s">
        <v>109</v>
      </c>
      <c r="C7" s="66" t="s">
        <v>109</v>
      </c>
      <c r="D7" s="66" t="s">
        <v>109</v>
      </c>
      <c r="E7" s="98" t="s">
        <v>95</v>
      </c>
      <c r="F7" s="141" t="s">
        <v>95</v>
      </c>
      <c r="G7" s="207" t="s">
        <v>96</v>
      </c>
      <c r="H7" s="208" t="s">
        <v>96</v>
      </c>
      <c r="I7" s="208" t="s">
        <v>96</v>
      </c>
      <c r="J7" s="72" t="s">
        <v>95</v>
      </c>
      <c r="K7" s="72" t="s">
        <v>95</v>
      </c>
    </row>
    <row r="8" spans="1:11" x14ac:dyDescent="0.2">
      <c r="A8" s="66"/>
      <c r="B8" s="66"/>
      <c r="C8" s="66"/>
      <c r="D8" s="66"/>
      <c r="E8" s="314" t="s">
        <v>180</v>
      </c>
      <c r="F8" s="322" t="s">
        <v>181</v>
      </c>
      <c r="G8" s="207"/>
      <c r="H8" s="208"/>
      <c r="I8" s="208"/>
      <c r="J8" s="309" t="s">
        <v>181</v>
      </c>
      <c r="K8" s="309" t="s">
        <v>180</v>
      </c>
    </row>
    <row r="9" spans="1:11" x14ac:dyDescent="0.2">
      <c r="A9" s="66"/>
      <c r="B9" s="66"/>
      <c r="C9" s="66"/>
      <c r="D9" s="66"/>
      <c r="E9" s="314"/>
      <c r="F9" s="322" t="s">
        <v>182</v>
      </c>
      <c r="G9" s="207"/>
      <c r="H9" s="208"/>
      <c r="I9" s="208"/>
      <c r="J9" s="309" t="s">
        <v>182</v>
      </c>
      <c r="K9" s="309"/>
    </row>
    <row r="10" spans="1:11" x14ac:dyDescent="0.2">
      <c r="A10" s="66"/>
      <c r="B10" s="66"/>
      <c r="C10" s="66"/>
      <c r="D10" s="66"/>
      <c r="E10" s="314"/>
      <c r="F10" s="322"/>
      <c r="G10" s="207"/>
      <c r="H10" s="208"/>
      <c r="I10" s="208"/>
      <c r="J10" s="309"/>
      <c r="K10" s="309"/>
    </row>
    <row r="11" spans="1:11" x14ac:dyDescent="0.2">
      <c r="A11" s="66"/>
      <c r="B11" s="66"/>
      <c r="C11" s="66"/>
      <c r="D11" s="66"/>
      <c r="E11" s="98"/>
      <c r="F11" s="141"/>
      <c r="G11" s="207"/>
      <c r="H11" s="208"/>
      <c r="I11" s="208"/>
    </row>
    <row r="12" spans="1:11" x14ac:dyDescent="0.2">
      <c r="A12" s="66"/>
      <c r="B12" s="66"/>
      <c r="C12" s="66"/>
      <c r="D12" s="66"/>
      <c r="E12" s="98" t="s">
        <v>202</v>
      </c>
      <c r="F12" s="141" t="s">
        <v>202</v>
      </c>
      <c r="G12" s="207" t="s">
        <v>202</v>
      </c>
      <c r="H12" s="208" t="s">
        <v>202</v>
      </c>
      <c r="I12" s="208" t="s">
        <v>202</v>
      </c>
      <c r="J12" s="72" t="s">
        <v>202</v>
      </c>
      <c r="K12" s="72" t="s">
        <v>202</v>
      </c>
    </row>
    <row r="13" spans="1:11" x14ac:dyDescent="0.2">
      <c r="A13" s="66"/>
      <c r="B13" s="66"/>
      <c r="C13" s="66"/>
      <c r="D13" s="66"/>
      <c r="E13" s="98"/>
      <c r="F13" s="141"/>
      <c r="G13" s="207"/>
      <c r="H13" s="208"/>
      <c r="I13" s="208"/>
    </row>
    <row r="14" spans="1:11" x14ac:dyDescent="0.2">
      <c r="A14" s="52" t="s">
        <v>587</v>
      </c>
      <c r="B14" s="52" t="s">
        <v>5</v>
      </c>
      <c r="C14" s="52" t="s">
        <v>6</v>
      </c>
      <c r="D14" s="52" t="s">
        <v>76</v>
      </c>
      <c r="E14" s="174" t="s">
        <v>550</v>
      </c>
      <c r="F14" s="92" t="s">
        <v>448</v>
      </c>
      <c r="G14" s="209" t="s">
        <v>569</v>
      </c>
      <c r="H14" s="209" t="s">
        <v>580</v>
      </c>
      <c r="I14" s="209" t="s">
        <v>581</v>
      </c>
      <c r="J14" s="172" t="s">
        <v>449</v>
      </c>
      <c r="K14" s="172" t="s">
        <v>570</v>
      </c>
    </row>
    <row r="15" spans="1:11" s="40" customFormat="1" x14ac:dyDescent="0.2">
      <c r="A15" s="53"/>
      <c r="B15" s="53"/>
      <c r="C15" s="53"/>
      <c r="D15" s="53" t="str">
        <f>B15&amp;"|"&amp;C15</f>
        <v>|</v>
      </c>
      <c r="E15" s="112"/>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33" priority="7">
      <formula>LEFT($B1,4)="_Mil"</formula>
    </cfRule>
  </conditionalFormatting>
  <conditionalFormatting sqref="H1:H1048576">
    <cfRule type="expression" dxfId="32" priority="3">
      <formula>AND(ISNUMBER(H1),H1&lt;&gt;G1)</formula>
    </cfRule>
  </conditionalFormatting>
  <conditionalFormatting sqref="J1:K1048576 E1:F1048576">
    <cfRule type="expression" dxfId="31" priority="2">
      <formula>AND(ISNUMBER(E1),ROUND(SUM(E1),0)&lt;0)</formula>
    </cfRule>
  </conditionalFormatting>
  <conditionalFormatting sqref="G1:H1048576">
    <cfRule type="expression" dxfId="30"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sheetPr>
    <tabColor rgb="FF63BE7B"/>
  </sheetPr>
  <dimension ref="A1:BV63"/>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66" customWidth="1"/>
    <col min="2" max="2" width="30.83203125" style="66" customWidth="1"/>
    <col min="3" max="3" width="11.83203125" style="224" customWidth="1"/>
    <col min="4" max="4" width="11.83203125" style="267" customWidth="1"/>
    <col min="5" max="5" width="11.83203125" style="239" customWidth="1"/>
    <col min="6" max="6" width="11.83203125" style="229" customWidth="1"/>
    <col min="7" max="8" width="11.83203125" style="104" customWidth="1"/>
    <col min="9" max="10" width="11.83203125" style="72" customWidth="1"/>
    <col min="11" max="11" width="11.83203125" style="224" customWidth="1"/>
    <col min="12" max="12" width="11.83203125" style="267" customWidth="1"/>
    <col min="13" max="13" width="11.83203125" style="239" customWidth="1"/>
    <col min="14" max="14" width="11.83203125" style="229" customWidth="1"/>
    <col min="15" max="16" width="11.83203125" style="104" customWidth="1"/>
    <col min="17" max="18" width="11.83203125" style="72" customWidth="1"/>
    <col min="19" max="19" width="11.83203125" style="224" customWidth="1"/>
    <col min="20" max="20" width="11.83203125" style="239" customWidth="1"/>
    <col min="21" max="21" width="11.83203125" style="229" customWidth="1"/>
    <col min="22" max="23" width="11.83203125" style="104" customWidth="1"/>
    <col min="24" max="25" width="11.83203125" style="72" customWidth="1"/>
    <col min="26" max="26" width="11.83203125" style="224" customWidth="1"/>
    <col min="27" max="27" width="11.83203125" style="239" customWidth="1"/>
    <col min="28" max="28" width="11.83203125" style="229" customWidth="1"/>
    <col min="29" max="30" width="11.83203125" style="104" customWidth="1"/>
    <col min="31" max="32" width="11.83203125" style="72" customWidth="1"/>
    <col min="33" max="33" width="11.83203125" style="224" customWidth="1"/>
    <col min="34" max="34" width="11.83203125" style="239" customWidth="1"/>
    <col min="35" max="35" width="11.83203125" style="229" customWidth="1"/>
    <col min="36" max="37" width="11.83203125" style="104" customWidth="1"/>
    <col min="38" max="39" width="11.83203125" style="72" customWidth="1"/>
    <col min="40" max="40" width="11.83203125" style="224" customWidth="1"/>
    <col min="41" max="41" width="11.83203125" style="239" customWidth="1"/>
    <col min="42" max="42" width="11.83203125" style="229" customWidth="1"/>
    <col min="43" max="44" width="11.83203125" style="104" customWidth="1"/>
    <col min="45" max="46" width="11.83203125" style="72" customWidth="1"/>
    <col min="47" max="47" width="11.83203125" style="224" customWidth="1"/>
    <col min="48" max="48" width="11.83203125" style="239" customWidth="1"/>
    <col min="49" max="49" width="11.83203125" style="229" customWidth="1"/>
    <col min="50" max="51" width="11.83203125" style="104" customWidth="1"/>
    <col min="52" max="53" width="11.83203125" style="72" customWidth="1"/>
    <col min="54" max="54" width="11.83203125" style="224" customWidth="1"/>
    <col min="55" max="55" width="11.83203125" style="239" customWidth="1"/>
    <col min="56" max="56" width="11.83203125" style="229" customWidth="1"/>
    <col min="57" max="58" width="11.83203125" style="104" customWidth="1"/>
    <col min="59" max="60" width="11.83203125" style="72" customWidth="1"/>
    <col min="61" max="61" width="11.83203125" style="224" customWidth="1"/>
    <col min="62" max="62" width="11.83203125" style="239" customWidth="1"/>
    <col min="63" max="63" width="11.83203125" style="229" customWidth="1"/>
    <col min="64" max="65" width="11.83203125" style="104" customWidth="1"/>
    <col min="66" max="67" width="11.83203125" style="72" customWidth="1"/>
    <col min="68" max="68" width="11.83203125" style="224" customWidth="1"/>
    <col min="69" max="69" width="11.83203125" style="239" customWidth="1"/>
    <col min="70" max="70" width="11.83203125" style="229" customWidth="1"/>
    <col min="71" max="72" width="11.83203125" style="104" customWidth="1"/>
    <col min="73" max="74" width="11.83203125" style="72" customWidth="1"/>
    <col min="75" max="16384" width="10.83203125" style="62"/>
  </cols>
  <sheetData>
    <row r="1" spans="1:74" s="57" customFormat="1" ht="31" customHeight="1" thickBot="1" x14ac:dyDescent="0.35">
      <c r="A1" s="5" t="s">
        <v>781</v>
      </c>
      <c r="B1" s="5"/>
      <c r="C1" s="107" t="s">
        <v>897</v>
      </c>
      <c r="D1" s="130"/>
      <c r="E1" s="236"/>
      <c r="F1" s="226"/>
      <c r="G1" s="130"/>
      <c r="H1" s="130"/>
      <c r="I1" s="67"/>
      <c r="J1" s="67"/>
      <c r="K1" s="107" t="s">
        <v>24</v>
      </c>
      <c r="L1" s="130"/>
      <c r="M1" s="236"/>
      <c r="N1" s="226"/>
      <c r="O1" s="130"/>
      <c r="P1" s="130"/>
      <c r="Q1" s="67"/>
      <c r="R1" s="67"/>
      <c r="S1" s="107" t="s">
        <v>0</v>
      </c>
      <c r="T1" s="236"/>
      <c r="U1" s="226"/>
      <c r="V1" s="130"/>
      <c r="W1" s="130"/>
      <c r="X1" s="67"/>
      <c r="Y1" s="67"/>
      <c r="Z1" s="107" t="s">
        <v>1</v>
      </c>
      <c r="AA1" s="236"/>
      <c r="AB1" s="226"/>
      <c r="AC1" s="130"/>
      <c r="AD1" s="130"/>
      <c r="AE1" s="67"/>
      <c r="AF1" s="67"/>
      <c r="AG1" s="107" t="s">
        <v>52</v>
      </c>
      <c r="AH1" s="236"/>
      <c r="AI1" s="226"/>
      <c r="AJ1" s="130"/>
      <c r="AK1" s="130"/>
      <c r="AL1" s="67"/>
      <c r="AM1" s="67"/>
      <c r="AN1" s="107" t="s">
        <v>51</v>
      </c>
      <c r="AO1" s="236"/>
      <c r="AP1" s="226"/>
      <c r="AQ1" s="130"/>
      <c r="AR1" s="130"/>
      <c r="AS1" s="67"/>
      <c r="AT1" s="67"/>
      <c r="AU1" s="107" t="s">
        <v>608</v>
      </c>
      <c r="AV1" s="236"/>
      <c r="AW1" s="226"/>
      <c r="AX1" s="130"/>
      <c r="AY1" s="130"/>
      <c r="AZ1" s="67"/>
      <c r="BA1" s="67"/>
      <c r="BB1" s="107" t="s">
        <v>609</v>
      </c>
      <c r="BC1" s="236"/>
      <c r="BD1" s="226"/>
      <c r="BE1" s="130"/>
      <c r="BF1" s="130"/>
      <c r="BG1" s="67"/>
      <c r="BH1" s="67"/>
      <c r="BI1" s="107" t="s">
        <v>207</v>
      </c>
      <c r="BJ1" s="236"/>
      <c r="BK1" s="226"/>
      <c r="BL1" s="130"/>
      <c r="BM1" s="130"/>
      <c r="BN1" s="67"/>
      <c r="BO1" s="67"/>
      <c r="BP1" s="107" t="s">
        <v>247</v>
      </c>
      <c r="BQ1" s="236"/>
      <c r="BR1" s="226"/>
      <c r="BS1" s="130"/>
      <c r="BT1" s="130"/>
      <c r="BU1" s="67"/>
      <c r="BV1" s="67"/>
    </row>
    <row r="2" spans="1:74" s="56" customFormat="1" ht="19" x14ac:dyDescent="0.25">
      <c r="A2" s="479" t="s">
        <v>1179</v>
      </c>
      <c r="B2" s="476"/>
      <c r="C2" s="111" t="s">
        <v>720</v>
      </c>
      <c r="D2" s="115"/>
      <c r="E2" s="237"/>
      <c r="F2" s="227" t="s">
        <v>607</v>
      </c>
      <c r="G2" s="131"/>
      <c r="H2" s="131"/>
      <c r="I2" s="251"/>
      <c r="J2" s="68"/>
      <c r="K2" s="111" t="s">
        <v>720</v>
      </c>
      <c r="L2" s="115"/>
      <c r="M2" s="237"/>
      <c r="N2" s="227" t="s">
        <v>607</v>
      </c>
      <c r="O2" s="131"/>
      <c r="P2" s="131"/>
      <c r="Q2" s="251"/>
      <c r="R2" s="68"/>
      <c r="S2" s="111" t="s">
        <v>720</v>
      </c>
      <c r="T2" s="237"/>
      <c r="U2" s="227" t="s">
        <v>607</v>
      </c>
      <c r="V2" s="131"/>
      <c r="W2" s="131"/>
      <c r="X2" s="251"/>
      <c r="Y2" s="68"/>
      <c r="Z2" s="111" t="s">
        <v>720</v>
      </c>
      <c r="AA2" s="237"/>
      <c r="AB2" s="227" t="s">
        <v>607</v>
      </c>
      <c r="AC2" s="131"/>
      <c r="AD2" s="131"/>
      <c r="AE2" s="251"/>
      <c r="AF2" s="68"/>
      <c r="AG2" s="111" t="s">
        <v>720</v>
      </c>
      <c r="AH2" s="237"/>
      <c r="AI2" s="227" t="s">
        <v>607</v>
      </c>
      <c r="AJ2" s="131"/>
      <c r="AK2" s="131"/>
      <c r="AL2" s="251"/>
      <c r="AM2" s="68"/>
      <c r="AN2" s="111" t="s">
        <v>720</v>
      </c>
      <c r="AO2" s="237"/>
      <c r="AP2" s="227" t="s">
        <v>607</v>
      </c>
      <c r="AQ2" s="131"/>
      <c r="AR2" s="131"/>
      <c r="AS2" s="251"/>
      <c r="AT2" s="68"/>
      <c r="AU2" s="111" t="s">
        <v>720</v>
      </c>
      <c r="AV2" s="237"/>
      <c r="AW2" s="227" t="s">
        <v>607</v>
      </c>
      <c r="AX2" s="131"/>
      <c r="AY2" s="131"/>
      <c r="AZ2" s="251"/>
      <c r="BA2" s="68"/>
      <c r="BB2" s="111" t="s">
        <v>720</v>
      </c>
      <c r="BC2" s="237"/>
      <c r="BD2" s="227" t="s">
        <v>607</v>
      </c>
      <c r="BE2" s="131"/>
      <c r="BF2" s="131"/>
      <c r="BG2" s="251"/>
      <c r="BH2" s="68"/>
      <c r="BI2" s="111" t="s">
        <v>720</v>
      </c>
      <c r="BJ2" s="237"/>
      <c r="BK2" s="227" t="s">
        <v>607</v>
      </c>
      <c r="BL2" s="131"/>
      <c r="BM2" s="131"/>
      <c r="BN2" s="251"/>
      <c r="BO2" s="68"/>
      <c r="BP2" s="111" t="s">
        <v>720</v>
      </c>
      <c r="BQ2" s="237"/>
      <c r="BR2" s="227" t="s">
        <v>607</v>
      </c>
      <c r="BS2" s="131"/>
      <c r="BT2" s="131"/>
      <c r="BU2" s="251"/>
      <c r="BV2" s="68"/>
    </row>
    <row r="3" spans="1:74" ht="117" customHeight="1" thickBot="1" x14ac:dyDescent="0.25">
      <c r="A3" s="477"/>
      <c r="B3" s="478"/>
      <c r="C3" s="255" t="s">
        <v>861</v>
      </c>
      <c r="D3" s="259" t="s">
        <v>1178</v>
      </c>
      <c r="E3" s="265" t="s">
        <v>862</v>
      </c>
      <c r="F3" s="437" t="s">
        <v>592</v>
      </c>
      <c r="G3" s="409" t="s">
        <v>593</v>
      </c>
      <c r="H3" s="409" t="s">
        <v>596</v>
      </c>
      <c r="I3" s="70" t="s">
        <v>594</v>
      </c>
      <c r="J3" s="70" t="s">
        <v>595</v>
      </c>
      <c r="K3" s="255" t="s">
        <v>861</v>
      </c>
      <c r="L3" s="259" t="s">
        <v>1178</v>
      </c>
      <c r="M3" s="265" t="s">
        <v>862</v>
      </c>
      <c r="N3" s="437" t="s">
        <v>592</v>
      </c>
      <c r="O3" s="409" t="s">
        <v>593</v>
      </c>
      <c r="P3" s="409" t="s">
        <v>596</v>
      </c>
      <c r="Q3" s="70" t="s">
        <v>594</v>
      </c>
      <c r="R3" s="70" t="s">
        <v>595</v>
      </c>
      <c r="S3" s="255" t="s">
        <v>861</v>
      </c>
      <c r="T3" s="265" t="s">
        <v>862</v>
      </c>
      <c r="U3" s="437" t="s">
        <v>592</v>
      </c>
      <c r="V3" s="409" t="s">
        <v>593</v>
      </c>
      <c r="W3" s="409" t="s">
        <v>596</v>
      </c>
      <c r="X3" s="70" t="s">
        <v>594</v>
      </c>
      <c r="Y3" s="70" t="s">
        <v>595</v>
      </c>
      <c r="Z3" s="255" t="s">
        <v>861</v>
      </c>
      <c r="AA3" s="265" t="s">
        <v>862</v>
      </c>
      <c r="AB3" s="437" t="s">
        <v>592</v>
      </c>
      <c r="AC3" s="409" t="s">
        <v>593</v>
      </c>
      <c r="AD3" s="409" t="s">
        <v>596</v>
      </c>
      <c r="AE3" s="70" t="s">
        <v>594</v>
      </c>
      <c r="AF3" s="70" t="s">
        <v>595</v>
      </c>
      <c r="AG3" s="255" t="s">
        <v>861</v>
      </c>
      <c r="AH3" s="265" t="s">
        <v>862</v>
      </c>
      <c r="AI3" s="437" t="s">
        <v>592</v>
      </c>
      <c r="AJ3" s="409" t="s">
        <v>593</v>
      </c>
      <c r="AK3" s="409" t="s">
        <v>596</v>
      </c>
      <c r="AL3" s="70" t="s">
        <v>594</v>
      </c>
      <c r="AM3" s="70" t="s">
        <v>595</v>
      </c>
      <c r="AN3" s="255" t="s">
        <v>861</v>
      </c>
      <c r="AO3" s="265" t="s">
        <v>862</v>
      </c>
      <c r="AP3" s="437" t="s">
        <v>592</v>
      </c>
      <c r="AQ3" s="409" t="s">
        <v>593</v>
      </c>
      <c r="AR3" s="409" t="s">
        <v>596</v>
      </c>
      <c r="AS3" s="70" t="s">
        <v>594</v>
      </c>
      <c r="AT3" s="70" t="s">
        <v>595</v>
      </c>
      <c r="AU3" s="255" t="s">
        <v>861</v>
      </c>
      <c r="AV3" s="265" t="s">
        <v>862</v>
      </c>
      <c r="AW3" s="437" t="s">
        <v>592</v>
      </c>
      <c r="AX3" s="409" t="s">
        <v>593</v>
      </c>
      <c r="AY3" s="409" t="s">
        <v>596</v>
      </c>
      <c r="AZ3" s="70" t="s">
        <v>594</v>
      </c>
      <c r="BA3" s="70" t="s">
        <v>595</v>
      </c>
      <c r="BB3" s="255" t="s">
        <v>861</v>
      </c>
      <c r="BC3" s="265" t="s">
        <v>862</v>
      </c>
      <c r="BD3" s="437" t="s">
        <v>592</v>
      </c>
      <c r="BE3" s="409" t="s">
        <v>593</v>
      </c>
      <c r="BF3" s="409" t="s">
        <v>596</v>
      </c>
      <c r="BG3" s="70" t="s">
        <v>594</v>
      </c>
      <c r="BH3" s="70" t="s">
        <v>595</v>
      </c>
      <c r="BI3" s="255" t="s">
        <v>861</v>
      </c>
      <c r="BJ3" s="265" t="s">
        <v>862</v>
      </c>
      <c r="BK3" s="437" t="s">
        <v>592</v>
      </c>
      <c r="BL3" s="409" t="s">
        <v>593</v>
      </c>
      <c r="BM3" s="409" t="s">
        <v>596</v>
      </c>
      <c r="BN3" s="70" t="s">
        <v>594</v>
      </c>
      <c r="BO3" s="70" t="s">
        <v>595</v>
      </c>
      <c r="BP3" s="255" t="s">
        <v>861</v>
      </c>
      <c r="BQ3" s="265" t="s">
        <v>862</v>
      </c>
      <c r="BR3" s="437" t="s">
        <v>592</v>
      </c>
      <c r="BS3" s="409" t="s">
        <v>593</v>
      </c>
      <c r="BT3" s="409" t="s">
        <v>596</v>
      </c>
      <c r="BU3" s="70" t="s">
        <v>594</v>
      </c>
      <c r="BV3" s="70" t="s">
        <v>595</v>
      </c>
    </row>
    <row r="4" spans="1:74" x14ac:dyDescent="0.2">
      <c r="A4" s="65"/>
      <c r="B4" s="65" t="s">
        <v>4</v>
      </c>
      <c r="C4" s="223">
        <f>SUBTOTAL(109,C$15:INDEX(C:C,COUNTA($B:$B)+14-COUNTA($B$1:$B$14)))</f>
        <v>0</v>
      </c>
      <c r="D4" s="266">
        <f>SUBTOTAL(109,D$15:INDEX(D:D,COUNTA($B:$B)+14-COUNTA($B$1:$B$14)))</f>
        <v>0</v>
      </c>
      <c r="E4" s="238">
        <f>SUBTOTAL(109,E$15:INDEX(E:E,COUNTA($B:$B)+14-COUNTA($B$1:$B$14)))</f>
        <v>0</v>
      </c>
      <c r="F4" s="228">
        <f>SUBTOTAL(109,F$15:INDEX(F:F,COUNTA($B:$B)+14-COUNTA($B$1:$B$14)))</f>
        <v>0</v>
      </c>
      <c r="G4" s="175">
        <f>SUBTOTAL(109,G$15:INDEX(G:G,COUNTA($B:$B)+14-COUNTA($B$1:$B$14)))</f>
        <v>0</v>
      </c>
      <c r="H4" s="175">
        <f>SUBTOTAL(109,H$15:INDEX(H:H,COUNTA($B:$B)+14-COUNTA($B$1:$B$14)))</f>
        <v>0</v>
      </c>
      <c r="I4" s="71">
        <f>SUBTOTAL(109,I$15:INDEX(I:I,COUNTA($B:$B)+14-COUNTA($B$1:$B$14)))</f>
        <v>0</v>
      </c>
      <c r="J4" s="71">
        <f>SUBTOTAL(109,J$15:INDEX(J:J,COUNTA($B:$B)+14-COUNTA($B$1:$B$14)))</f>
        <v>0</v>
      </c>
      <c r="K4" s="223">
        <f>SUBTOTAL(109,K$15:INDEX(K:K,COUNTA($B:$B)+14-COUNTA($B$1:$B$14)))</f>
        <v>0</v>
      </c>
      <c r="L4" s="266">
        <f>SUBTOTAL(109,L$15:INDEX(L:L,COUNTA($B:$B)+14-COUNTA($B$1:$B$14)))</f>
        <v>0</v>
      </c>
      <c r="M4" s="238">
        <f>SUBTOTAL(109,M$15:INDEX(M:M,COUNTA($B:$B)+14-COUNTA($B$1:$B$14)))</f>
        <v>0</v>
      </c>
      <c r="N4" s="228">
        <f>SUBTOTAL(109,N$15:INDEX(N:N,COUNTA($B:$B)+14-COUNTA($B$1:$B$14)))</f>
        <v>0</v>
      </c>
      <c r="O4" s="175">
        <f>SUBTOTAL(109,O$15:INDEX(O:O,COUNTA($B:$B)+14-COUNTA($B$1:$B$14)))</f>
        <v>0</v>
      </c>
      <c r="P4" s="175">
        <f>SUBTOTAL(109,P$15:INDEX(P:P,COUNTA($B:$B)+14-COUNTA($B$1:$B$14)))</f>
        <v>0</v>
      </c>
      <c r="Q4" s="71">
        <f>SUBTOTAL(109,Q$15:INDEX(Q:Q,COUNTA($B:$B)+14-COUNTA($B$1:$B$14)))</f>
        <v>0</v>
      </c>
      <c r="R4" s="71">
        <f>SUBTOTAL(109,R$15:INDEX(R:R,COUNTA($B:$B)+14-COUNTA($B$1:$B$14)))</f>
        <v>0</v>
      </c>
      <c r="S4" s="223">
        <f>SUBTOTAL(109,S$15:INDEX(S:S,COUNTA($B:$B)+14-COUNTA($B$1:$B$14)))</f>
        <v>0</v>
      </c>
      <c r="T4" s="238">
        <f>SUBTOTAL(109,T$15:INDEX(T:T,COUNTA($B:$B)+14-COUNTA($B$1:$B$14)))</f>
        <v>0</v>
      </c>
      <c r="U4" s="228">
        <f>SUBTOTAL(109,U$15:INDEX(U:U,COUNTA($B:$B)+14-COUNTA($B$1:$B$14)))</f>
        <v>0</v>
      </c>
      <c r="V4" s="175">
        <f>SUBTOTAL(109,V$15:INDEX(V:V,COUNTA($B:$B)+14-COUNTA($B$1:$B$14)))</f>
        <v>0</v>
      </c>
      <c r="W4" s="175">
        <f>SUBTOTAL(109,W$15:INDEX(W:W,COUNTA($B:$B)+14-COUNTA($B$1:$B$14)))</f>
        <v>0</v>
      </c>
      <c r="X4" s="71">
        <f>SUBTOTAL(109,X$15:INDEX(X:X,COUNTA($B:$B)+14-COUNTA($B$1:$B$14)))</f>
        <v>0</v>
      </c>
      <c r="Y4" s="71">
        <f>SUBTOTAL(109,Y$15:INDEX(Y:Y,COUNTA($B:$B)+14-COUNTA($B$1:$B$14)))</f>
        <v>0</v>
      </c>
      <c r="Z4" s="223">
        <f>SUBTOTAL(109,Z$15:INDEX(Z:Z,COUNTA($B:$B)+14-COUNTA($B$1:$B$14)))</f>
        <v>0</v>
      </c>
      <c r="AA4" s="238">
        <f>SUBTOTAL(109,AA$15:INDEX(AA:AA,COUNTA($B:$B)+14-COUNTA($B$1:$B$14)))</f>
        <v>0</v>
      </c>
      <c r="AB4" s="228">
        <f>SUBTOTAL(109,AB$15:INDEX(AB:AB,COUNTA($B:$B)+14-COUNTA($B$1:$B$14)))</f>
        <v>0</v>
      </c>
      <c r="AC4" s="175">
        <f>SUBTOTAL(109,AC$15:INDEX(AC:AC,COUNTA($B:$B)+14-COUNTA($B$1:$B$14)))</f>
        <v>0</v>
      </c>
      <c r="AD4" s="175">
        <f>SUBTOTAL(109,AD$15:INDEX(AD:AD,COUNTA($B:$B)+14-COUNTA($B$1:$B$14)))</f>
        <v>0</v>
      </c>
      <c r="AE4" s="71">
        <f>SUBTOTAL(109,AE$15:INDEX(AE:AE,COUNTA($B:$B)+14-COUNTA($B$1:$B$14)))</f>
        <v>0</v>
      </c>
      <c r="AF4" s="71">
        <f>SUBTOTAL(109,AF$15:INDEX(AF:AF,COUNTA($B:$B)+14-COUNTA($B$1:$B$14)))</f>
        <v>0</v>
      </c>
      <c r="AG4" s="223">
        <f>SUBTOTAL(109,AG$15:INDEX(AG:AG,COUNTA($B:$B)+14-COUNTA($B$1:$B$14)))</f>
        <v>0</v>
      </c>
      <c r="AH4" s="238">
        <f>SUBTOTAL(109,AH$15:INDEX(AH:AH,COUNTA($B:$B)+14-COUNTA($B$1:$B$14)))</f>
        <v>0</v>
      </c>
      <c r="AI4" s="228">
        <f>SUBTOTAL(109,AI$15:INDEX(AI:AI,COUNTA($B:$B)+14-COUNTA($B$1:$B$14)))</f>
        <v>0</v>
      </c>
      <c r="AJ4" s="175">
        <f>SUBTOTAL(109,AJ$15:INDEX(AJ:AJ,COUNTA($B:$B)+14-COUNTA($B$1:$B$14)))</f>
        <v>0</v>
      </c>
      <c r="AK4" s="175">
        <f>SUBTOTAL(109,AK$15:INDEX(AK:AK,COUNTA($B:$B)+14-COUNTA($B$1:$B$14)))</f>
        <v>0</v>
      </c>
      <c r="AL4" s="71">
        <f>SUBTOTAL(109,AL$15:INDEX(AL:AL,COUNTA($B:$B)+14-COUNTA($B$1:$B$14)))</f>
        <v>0</v>
      </c>
      <c r="AM4" s="71">
        <f>SUBTOTAL(109,AM$15:INDEX(AM:AM,COUNTA($B:$B)+14-COUNTA($B$1:$B$14)))</f>
        <v>0</v>
      </c>
      <c r="AN4" s="223">
        <f>SUBTOTAL(109,AN$15:INDEX(AN:AN,COUNTA($B:$B)+14-COUNTA($B$1:$B$14)))</f>
        <v>0</v>
      </c>
      <c r="AO4" s="238">
        <f>SUBTOTAL(109,AO$15:INDEX(AO:AO,COUNTA($B:$B)+14-COUNTA($B$1:$B$14)))</f>
        <v>0</v>
      </c>
      <c r="AP4" s="228">
        <f>SUBTOTAL(109,AP$15:INDEX(AP:AP,COUNTA($B:$B)+14-COUNTA($B$1:$B$14)))</f>
        <v>0</v>
      </c>
      <c r="AQ4" s="175">
        <f>SUBTOTAL(109,AQ$15:INDEX(AQ:AQ,COUNTA($B:$B)+14-COUNTA($B$1:$B$14)))</f>
        <v>0</v>
      </c>
      <c r="AR4" s="175">
        <f>SUBTOTAL(109,AR$15:INDEX(AR:AR,COUNTA($B:$B)+14-COUNTA($B$1:$B$14)))</f>
        <v>0</v>
      </c>
      <c r="AS4" s="71">
        <f>SUBTOTAL(109,AS$15:INDEX(AS:AS,COUNTA($B:$B)+14-COUNTA($B$1:$B$14)))</f>
        <v>0</v>
      </c>
      <c r="AT4" s="71">
        <f>SUBTOTAL(109,AT$15:INDEX(AT:AT,COUNTA($B:$B)+14-COUNTA($B$1:$B$14)))</f>
        <v>0</v>
      </c>
      <c r="AU4" s="223">
        <f>SUBTOTAL(109,AU$15:INDEX(AU:AU,COUNTA($B:$B)+14-COUNTA($B$1:$B$14)))</f>
        <v>0</v>
      </c>
      <c r="AV4" s="238">
        <f>SUBTOTAL(109,AV$15:INDEX(AV:AV,COUNTA($B:$B)+14-COUNTA($B$1:$B$14)))</f>
        <v>0</v>
      </c>
      <c r="AW4" s="228">
        <f>SUBTOTAL(109,AW$15:INDEX(AW:AW,COUNTA($B:$B)+14-COUNTA($B$1:$B$14)))</f>
        <v>0</v>
      </c>
      <c r="AX4" s="175">
        <f>SUBTOTAL(109,AX$15:INDEX(AX:AX,COUNTA($B:$B)+14-COUNTA($B$1:$B$14)))</f>
        <v>0</v>
      </c>
      <c r="AY4" s="175">
        <f>SUBTOTAL(109,AY$15:INDEX(AY:AY,COUNTA($B:$B)+14-COUNTA($B$1:$B$14)))</f>
        <v>0</v>
      </c>
      <c r="AZ4" s="71">
        <f>SUBTOTAL(109,AZ$15:INDEX(AZ:AZ,COUNTA($B:$B)+14-COUNTA($B$1:$B$14)))</f>
        <v>0</v>
      </c>
      <c r="BA4" s="71">
        <f>SUBTOTAL(109,BA$15:INDEX(BA:BA,COUNTA($B:$B)+14-COUNTA($B$1:$B$14)))</f>
        <v>0</v>
      </c>
      <c r="BB4" s="223">
        <f>SUBTOTAL(109,BB$15:INDEX(BB:BB,COUNTA($B:$B)+14-COUNTA($B$1:$B$14)))</f>
        <v>0</v>
      </c>
      <c r="BC4" s="238">
        <f>SUBTOTAL(109,BC$15:INDEX(BC:BC,COUNTA($B:$B)+14-COUNTA($B$1:$B$14)))</f>
        <v>0</v>
      </c>
      <c r="BD4" s="228">
        <f>SUBTOTAL(109,BD$15:INDEX(BD:BD,COUNTA($B:$B)+14-COUNTA($B$1:$B$14)))</f>
        <v>0</v>
      </c>
      <c r="BE4" s="175">
        <f>SUBTOTAL(109,BE$15:INDEX(BE:BE,COUNTA($B:$B)+14-COUNTA($B$1:$B$14)))</f>
        <v>0</v>
      </c>
      <c r="BF4" s="175">
        <f>SUBTOTAL(109,BF$15:INDEX(BF:BF,COUNTA($B:$B)+14-COUNTA($B$1:$B$14)))</f>
        <v>0</v>
      </c>
      <c r="BG4" s="71">
        <f>SUBTOTAL(109,BG$15:INDEX(BG:BG,COUNTA($B:$B)+14-COUNTA($B$1:$B$14)))</f>
        <v>0</v>
      </c>
      <c r="BH4" s="71">
        <f>SUBTOTAL(109,BH$15:INDEX(BH:BH,COUNTA($B:$B)+14-COUNTA($B$1:$B$14)))</f>
        <v>0</v>
      </c>
      <c r="BI4" s="223">
        <f>SUBTOTAL(109,BI$15:INDEX(BI:BI,COUNTA($B:$B)+14-COUNTA($B$1:$B$14)))</f>
        <v>0</v>
      </c>
      <c r="BJ4" s="238">
        <f>SUBTOTAL(109,BJ$15:INDEX(BJ:BJ,COUNTA($B:$B)+14-COUNTA($B$1:$B$14)))</f>
        <v>0</v>
      </c>
      <c r="BK4" s="228">
        <f>SUBTOTAL(109,BK$15:INDEX(BK:BK,COUNTA($B:$B)+14-COUNTA($B$1:$B$14)))</f>
        <v>0</v>
      </c>
      <c r="BL4" s="175">
        <f>SUBTOTAL(109,BL$15:INDEX(BL:BL,COUNTA($B:$B)+14-COUNTA($B$1:$B$14)))</f>
        <v>0</v>
      </c>
      <c r="BM4" s="175">
        <f>SUBTOTAL(109,BM$15:INDEX(BM:BM,COUNTA($B:$B)+14-COUNTA($B$1:$B$14)))</f>
        <v>0</v>
      </c>
      <c r="BN4" s="71">
        <f>SUBTOTAL(109,BN$15:INDEX(BN:BN,COUNTA($B:$B)+14-COUNTA($B$1:$B$14)))</f>
        <v>0</v>
      </c>
      <c r="BO4" s="71">
        <f>SUBTOTAL(109,BO$15:INDEX(BO:BO,COUNTA($B:$B)+14-COUNTA($B$1:$B$14)))</f>
        <v>0</v>
      </c>
      <c r="BP4" s="223">
        <f>SUBTOTAL(109,BP$15:INDEX(BP:BP,COUNTA($B:$B)+14-COUNTA($B$1:$B$14)))</f>
        <v>0</v>
      </c>
      <c r="BQ4" s="238">
        <f>SUBTOTAL(109,BQ$15:INDEX(BQ:BQ,COUNTA($B:$B)+14-COUNTA($B$1:$B$14)))</f>
        <v>0</v>
      </c>
      <c r="BR4" s="228">
        <f>SUBTOTAL(109,BR$15:INDEX(BR:BR,COUNTA($B:$B)+14-COUNTA($B$1:$B$14)))</f>
        <v>0</v>
      </c>
      <c r="BS4" s="175">
        <f>SUBTOTAL(109,BS$15:INDEX(BS:BS,COUNTA($B:$B)+14-COUNTA($B$1:$B$14)))</f>
        <v>0</v>
      </c>
      <c r="BT4" s="175">
        <f>SUBTOTAL(109,BT$15:INDEX(BT:BT,COUNTA($B:$B)+14-COUNTA($B$1:$B$14)))</f>
        <v>0</v>
      </c>
      <c r="BU4" s="71">
        <f>SUBTOTAL(109,BU$15:INDEX(BU:BU,COUNTA($B:$B)+14-COUNTA($B$1:$B$14)))</f>
        <v>0</v>
      </c>
      <c r="BV4" s="71">
        <f>SUBTOTAL(109,BV$15:INDEX(BV:BV,COUNTA($B:$B)+14-COUNTA($B$1:$B$14)))</f>
        <v>0</v>
      </c>
    </row>
    <row r="5" spans="1:74" x14ac:dyDescent="0.2">
      <c r="A5" s="66" t="s">
        <v>99</v>
      </c>
      <c r="B5" s="66" t="s">
        <v>99</v>
      </c>
      <c r="C5" s="224" t="s">
        <v>99</v>
      </c>
      <c r="D5" s="267" t="s">
        <v>99</v>
      </c>
      <c r="E5" s="239" t="s">
        <v>99</v>
      </c>
      <c r="F5" s="229" t="s">
        <v>99</v>
      </c>
      <c r="G5" s="104" t="s">
        <v>99</v>
      </c>
      <c r="H5" s="104" t="s">
        <v>99</v>
      </c>
      <c r="I5" s="72" t="s">
        <v>99</v>
      </c>
      <c r="J5" s="72" t="s">
        <v>99</v>
      </c>
      <c r="K5" s="224" t="s">
        <v>99</v>
      </c>
      <c r="L5" s="267" t="s">
        <v>99</v>
      </c>
      <c r="M5" s="239" t="s">
        <v>99</v>
      </c>
      <c r="N5" s="229" t="s">
        <v>99</v>
      </c>
      <c r="O5" s="104" t="s">
        <v>99</v>
      </c>
      <c r="P5" s="104" t="s">
        <v>99</v>
      </c>
      <c r="Q5" s="72" t="s">
        <v>99</v>
      </c>
      <c r="R5" s="72" t="s">
        <v>99</v>
      </c>
      <c r="S5" s="224" t="s">
        <v>99</v>
      </c>
      <c r="T5" s="239" t="s">
        <v>99</v>
      </c>
      <c r="U5" s="229" t="s">
        <v>99</v>
      </c>
      <c r="V5" s="104" t="s">
        <v>99</v>
      </c>
      <c r="W5" s="104" t="s">
        <v>99</v>
      </c>
      <c r="X5" s="72" t="s">
        <v>99</v>
      </c>
      <c r="Y5" s="72" t="s">
        <v>99</v>
      </c>
      <c r="Z5" s="224" t="s">
        <v>99</v>
      </c>
      <c r="AA5" s="239" t="s">
        <v>99</v>
      </c>
      <c r="AB5" s="229" t="s">
        <v>99</v>
      </c>
      <c r="AC5" s="104" t="s">
        <v>99</v>
      </c>
      <c r="AD5" s="104" t="s">
        <v>99</v>
      </c>
      <c r="AE5" s="72" t="s">
        <v>99</v>
      </c>
      <c r="AF5" s="72" t="s">
        <v>99</v>
      </c>
      <c r="AG5" s="224" t="s">
        <v>99</v>
      </c>
      <c r="AH5" s="239" t="s">
        <v>99</v>
      </c>
      <c r="AI5" s="229" t="s">
        <v>99</v>
      </c>
      <c r="AJ5" s="104" t="s">
        <v>99</v>
      </c>
      <c r="AK5" s="104" t="s">
        <v>99</v>
      </c>
      <c r="AL5" s="72" t="s">
        <v>99</v>
      </c>
      <c r="AM5" s="72" t="s">
        <v>99</v>
      </c>
      <c r="AN5" s="224" t="s">
        <v>99</v>
      </c>
      <c r="AO5" s="239" t="s">
        <v>99</v>
      </c>
      <c r="AP5" s="229" t="s">
        <v>99</v>
      </c>
      <c r="AQ5" s="104" t="s">
        <v>99</v>
      </c>
      <c r="AR5" s="104" t="s">
        <v>99</v>
      </c>
      <c r="AS5" s="72" t="s">
        <v>99</v>
      </c>
      <c r="AT5" s="72" t="s">
        <v>99</v>
      </c>
      <c r="AU5" s="224" t="s">
        <v>99</v>
      </c>
      <c r="AV5" s="239" t="s">
        <v>99</v>
      </c>
      <c r="AW5" s="229" t="s">
        <v>99</v>
      </c>
      <c r="AX5" s="104" t="s">
        <v>99</v>
      </c>
      <c r="AY5" s="104" t="s">
        <v>99</v>
      </c>
      <c r="AZ5" s="72" t="s">
        <v>99</v>
      </c>
      <c r="BA5" s="72" t="s">
        <v>99</v>
      </c>
      <c r="BB5" s="224" t="s">
        <v>99</v>
      </c>
      <c r="BC5" s="239" t="s">
        <v>99</v>
      </c>
      <c r="BD5" s="229" t="s">
        <v>99</v>
      </c>
      <c r="BE5" s="104" t="s">
        <v>99</v>
      </c>
      <c r="BF5" s="104" t="s">
        <v>99</v>
      </c>
      <c r="BG5" s="72" t="s">
        <v>99</v>
      </c>
      <c r="BH5" s="72" t="s">
        <v>99</v>
      </c>
      <c r="BI5" s="224" t="s">
        <v>99</v>
      </c>
      <c r="BJ5" s="239" t="s">
        <v>99</v>
      </c>
      <c r="BK5" s="229" t="s">
        <v>99</v>
      </c>
      <c r="BL5" s="104" t="s">
        <v>99</v>
      </c>
      <c r="BM5" s="104" t="s">
        <v>99</v>
      </c>
      <c r="BN5" s="72" t="s">
        <v>99</v>
      </c>
      <c r="BO5" s="72" t="s">
        <v>99</v>
      </c>
      <c r="BP5" s="224" t="s">
        <v>99</v>
      </c>
      <c r="BQ5" s="239" t="s">
        <v>99</v>
      </c>
      <c r="BR5" s="229" t="s">
        <v>99</v>
      </c>
      <c r="BS5" s="104" t="s">
        <v>99</v>
      </c>
      <c r="BT5" s="104" t="s">
        <v>99</v>
      </c>
      <c r="BU5" s="72" t="s">
        <v>99</v>
      </c>
      <c r="BV5" s="72" t="s">
        <v>99</v>
      </c>
    </row>
    <row r="6" spans="1:74" x14ac:dyDescent="0.2">
      <c r="A6" s="66" t="s">
        <v>201</v>
      </c>
      <c r="B6" s="66" t="s">
        <v>201</v>
      </c>
      <c r="C6" s="224" t="s">
        <v>94</v>
      </c>
      <c r="D6" s="267" t="s">
        <v>94</v>
      </c>
      <c r="E6" s="239" t="s">
        <v>94</v>
      </c>
      <c r="F6" s="229" t="s">
        <v>94</v>
      </c>
      <c r="G6" s="104" t="s">
        <v>94</v>
      </c>
      <c r="H6" s="104" t="s">
        <v>94</v>
      </c>
      <c r="I6" s="72" t="s">
        <v>94</v>
      </c>
      <c r="J6" s="72" t="s">
        <v>94</v>
      </c>
      <c r="K6" s="224" t="s">
        <v>94</v>
      </c>
      <c r="L6" s="267" t="s">
        <v>94</v>
      </c>
      <c r="M6" s="239" t="s">
        <v>94</v>
      </c>
      <c r="N6" s="229" t="s">
        <v>94</v>
      </c>
      <c r="O6" s="104" t="s">
        <v>94</v>
      </c>
      <c r="P6" s="104" t="s">
        <v>94</v>
      </c>
      <c r="Q6" s="72" t="s">
        <v>94</v>
      </c>
      <c r="R6" s="72" t="s">
        <v>94</v>
      </c>
      <c r="S6" s="224" t="s">
        <v>94</v>
      </c>
      <c r="T6" s="239" t="s">
        <v>94</v>
      </c>
      <c r="U6" s="229" t="s">
        <v>94</v>
      </c>
      <c r="V6" s="104" t="s">
        <v>94</v>
      </c>
      <c r="W6" s="104" t="s">
        <v>94</v>
      </c>
      <c r="X6" s="72" t="s">
        <v>94</v>
      </c>
      <c r="Y6" s="72" t="s">
        <v>94</v>
      </c>
      <c r="Z6" s="224" t="s">
        <v>94</v>
      </c>
      <c r="AA6" s="239" t="s">
        <v>94</v>
      </c>
      <c r="AB6" s="229" t="s">
        <v>94</v>
      </c>
      <c r="AC6" s="104" t="s">
        <v>94</v>
      </c>
      <c r="AD6" s="104" t="s">
        <v>94</v>
      </c>
      <c r="AE6" s="72" t="s">
        <v>94</v>
      </c>
      <c r="AF6" s="72" t="s">
        <v>94</v>
      </c>
      <c r="AG6" s="224" t="s">
        <v>94</v>
      </c>
      <c r="AH6" s="239" t="s">
        <v>94</v>
      </c>
      <c r="AI6" s="229" t="s">
        <v>94</v>
      </c>
      <c r="AJ6" s="104" t="s">
        <v>94</v>
      </c>
      <c r="AK6" s="104" t="s">
        <v>94</v>
      </c>
      <c r="AL6" s="72" t="s">
        <v>94</v>
      </c>
      <c r="AM6" s="72" t="s">
        <v>94</v>
      </c>
      <c r="AN6" s="224" t="s">
        <v>94</v>
      </c>
      <c r="AO6" s="239" t="s">
        <v>94</v>
      </c>
      <c r="AP6" s="229" t="s">
        <v>94</v>
      </c>
      <c r="AQ6" s="104" t="s">
        <v>94</v>
      </c>
      <c r="AR6" s="104" t="s">
        <v>94</v>
      </c>
      <c r="AS6" s="72" t="s">
        <v>94</v>
      </c>
      <c r="AT6" s="72" t="s">
        <v>94</v>
      </c>
      <c r="AU6" s="224" t="s">
        <v>94</v>
      </c>
      <c r="AV6" s="239" t="s">
        <v>94</v>
      </c>
      <c r="AW6" s="229" t="s">
        <v>94</v>
      </c>
      <c r="AX6" s="104" t="s">
        <v>94</v>
      </c>
      <c r="AY6" s="104" t="s">
        <v>94</v>
      </c>
      <c r="AZ6" s="72" t="s">
        <v>94</v>
      </c>
      <c r="BA6" s="72" t="s">
        <v>94</v>
      </c>
      <c r="BB6" s="224" t="s">
        <v>94</v>
      </c>
      <c r="BC6" s="239" t="s">
        <v>94</v>
      </c>
      <c r="BD6" s="229" t="s">
        <v>94</v>
      </c>
      <c r="BE6" s="104" t="s">
        <v>94</v>
      </c>
      <c r="BF6" s="104" t="s">
        <v>94</v>
      </c>
      <c r="BG6" s="72" t="s">
        <v>94</v>
      </c>
      <c r="BH6" s="72" t="s">
        <v>94</v>
      </c>
      <c r="BI6" s="224" t="s">
        <v>94</v>
      </c>
      <c r="BJ6" s="239" t="s">
        <v>94</v>
      </c>
      <c r="BK6" s="229" t="s">
        <v>94</v>
      </c>
      <c r="BL6" s="104" t="s">
        <v>94</v>
      </c>
      <c r="BM6" s="104" t="s">
        <v>94</v>
      </c>
      <c r="BN6" s="72" t="s">
        <v>94</v>
      </c>
      <c r="BO6" s="72" t="s">
        <v>94</v>
      </c>
      <c r="BP6" s="224" t="s">
        <v>94</v>
      </c>
      <c r="BQ6" s="239" t="s">
        <v>94</v>
      </c>
      <c r="BR6" s="229" t="s">
        <v>94</v>
      </c>
      <c r="BS6" s="104" t="s">
        <v>94</v>
      </c>
      <c r="BT6" s="104" t="s">
        <v>94</v>
      </c>
      <c r="BU6" s="72" t="s">
        <v>94</v>
      </c>
      <c r="BV6" s="72" t="s">
        <v>94</v>
      </c>
    </row>
    <row r="7" spans="1:74" x14ac:dyDescent="0.2">
      <c r="A7" s="66" t="s">
        <v>109</v>
      </c>
      <c r="B7" s="66" t="s">
        <v>109</v>
      </c>
      <c r="C7" s="225" t="s">
        <v>95</v>
      </c>
      <c r="D7" s="268" t="s">
        <v>95</v>
      </c>
      <c r="E7" s="240" t="s">
        <v>95</v>
      </c>
      <c r="F7" s="229" t="s">
        <v>95</v>
      </c>
      <c r="G7" s="104" t="s">
        <v>95</v>
      </c>
      <c r="H7" s="104" t="s">
        <v>95</v>
      </c>
      <c r="I7" s="72" t="s">
        <v>95</v>
      </c>
      <c r="J7" s="72" t="s">
        <v>95</v>
      </c>
      <c r="K7" s="225" t="s">
        <v>95</v>
      </c>
      <c r="L7" s="268" t="s">
        <v>95</v>
      </c>
      <c r="M7" s="240" t="s">
        <v>95</v>
      </c>
      <c r="N7" s="229" t="s">
        <v>95</v>
      </c>
      <c r="O7" s="104" t="s">
        <v>95</v>
      </c>
      <c r="P7" s="104" t="s">
        <v>95</v>
      </c>
      <c r="Q7" s="72" t="s">
        <v>95</v>
      </c>
      <c r="R7" s="72" t="s">
        <v>95</v>
      </c>
      <c r="S7" s="225" t="s">
        <v>95</v>
      </c>
      <c r="T7" s="240" t="s">
        <v>95</v>
      </c>
      <c r="U7" s="229" t="s">
        <v>95</v>
      </c>
      <c r="V7" s="104" t="s">
        <v>95</v>
      </c>
      <c r="W7" s="104" t="s">
        <v>95</v>
      </c>
      <c r="X7" s="72" t="s">
        <v>95</v>
      </c>
      <c r="Y7" s="72" t="s">
        <v>95</v>
      </c>
      <c r="Z7" s="225" t="s">
        <v>95</v>
      </c>
      <c r="AA7" s="240" t="s">
        <v>95</v>
      </c>
      <c r="AB7" s="229" t="s">
        <v>95</v>
      </c>
      <c r="AC7" s="104" t="s">
        <v>95</v>
      </c>
      <c r="AD7" s="104" t="s">
        <v>95</v>
      </c>
      <c r="AE7" s="72" t="s">
        <v>95</v>
      </c>
      <c r="AF7" s="72" t="s">
        <v>95</v>
      </c>
      <c r="AG7" s="225" t="s">
        <v>95</v>
      </c>
      <c r="AH7" s="240" t="s">
        <v>95</v>
      </c>
      <c r="AI7" s="229" t="s">
        <v>95</v>
      </c>
      <c r="AJ7" s="104" t="s">
        <v>95</v>
      </c>
      <c r="AK7" s="104" t="s">
        <v>95</v>
      </c>
      <c r="AL7" s="72" t="s">
        <v>95</v>
      </c>
      <c r="AM7" s="72" t="s">
        <v>95</v>
      </c>
      <c r="AN7" s="225" t="s">
        <v>95</v>
      </c>
      <c r="AO7" s="240" t="s">
        <v>95</v>
      </c>
      <c r="AP7" s="229" t="s">
        <v>95</v>
      </c>
      <c r="AQ7" s="104" t="s">
        <v>95</v>
      </c>
      <c r="AR7" s="104" t="s">
        <v>95</v>
      </c>
      <c r="AS7" s="72" t="s">
        <v>95</v>
      </c>
      <c r="AT7" s="72" t="s">
        <v>95</v>
      </c>
      <c r="AU7" s="225" t="s">
        <v>95</v>
      </c>
      <c r="AV7" s="240" t="s">
        <v>95</v>
      </c>
      <c r="AW7" s="229" t="s">
        <v>95</v>
      </c>
      <c r="AX7" s="104" t="s">
        <v>95</v>
      </c>
      <c r="AY7" s="104" t="s">
        <v>95</v>
      </c>
      <c r="AZ7" s="72" t="s">
        <v>95</v>
      </c>
      <c r="BA7" s="72" t="s">
        <v>95</v>
      </c>
      <c r="BB7" s="225" t="s">
        <v>95</v>
      </c>
      <c r="BC7" s="240" t="s">
        <v>95</v>
      </c>
      <c r="BD7" s="229" t="s">
        <v>95</v>
      </c>
      <c r="BE7" s="104" t="s">
        <v>95</v>
      </c>
      <c r="BF7" s="104" t="s">
        <v>95</v>
      </c>
      <c r="BG7" s="72" t="s">
        <v>95</v>
      </c>
      <c r="BH7" s="72" t="s">
        <v>95</v>
      </c>
      <c r="BI7" s="225" t="s">
        <v>95</v>
      </c>
      <c r="BJ7" s="240" t="s">
        <v>95</v>
      </c>
      <c r="BK7" s="229" t="s">
        <v>95</v>
      </c>
      <c r="BL7" s="104" t="s">
        <v>95</v>
      </c>
      <c r="BM7" s="104" t="s">
        <v>95</v>
      </c>
      <c r="BN7" s="72" t="s">
        <v>95</v>
      </c>
      <c r="BO7" s="72" t="s">
        <v>95</v>
      </c>
      <c r="BP7" s="225" t="s">
        <v>95</v>
      </c>
      <c r="BQ7" s="240" t="s">
        <v>95</v>
      </c>
      <c r="BR7" s="229" t="s">
        <v>95</v>
      </c>
      <c r="BS7" s="104" t="s">
        <v>95</v>
      </c>
      <c r="BT7" s="104" t="s">
        <v>95</v>
      </c>
      <c r="BU7" s="72" t="s">
        <v>95</v>
      </c>
      <c r="BV7" s="72" t="s">
        <v>95</v>
      </c>
    </row>
    <row r="8" spans="1:74" x14ac:dyDescent="0.2">
      <c r="C8" s="225"/>
      <c r="D8" s="268"/>
      <c r="E8" s="240"/>
      <c r="K8" s="225"/>
      <c r="L8" s="268"/>
      <c r="M8" s="240"/>
      <c r="S8" s="225"/>
      <c r="T8" s="240"/>
      <c r="Z8" s="225"/>
      <c r="AA8" s="240"/>
      <c r="AG8" s="225"/>
      <c r="AH8" s="240"/>
      <c r="AN8" s="225"/>
      <c r="AO8" s="240"/>
      <c r="AU8" s="225"/>
      <c r="AV8" s="240"/>
      <c r="BB8" s="225"/>
      <c r="BC8" s="240"/>
      <c r="BI8" s="225"/>
      <c r="BJ8" s="240"/>
      <c r="BP8" s="225"/>
      <c r="BQ8" s="240"/>
    </row>
    <row r="9" spans="1:74" x14ac:dyDescent="0.2">
      <c r="C9" s="225"/>
      <c r="D9" s="268"/>
      <c r="E9" s="240"/>
      <c r="K9" s="225"/>
      <c r="L9" s="268"/>
      <c r="M9" s="240"/>
      <c r="S9" s="225"/>
      <c r="T9" s="240"/>
      <c r="Z9" s="225"/>
      <c r="AA9" s="240"/>
      <c r="AG9" s="225"/>
      <c r="AH9" s="240"/>
      <c r="AN9" s="225"/>
      <c r="AO9" s="240"/>
      <c r="AU9" s="225"/>
      <c r="AV9" s="240"/>
      <c r="BB9" s="225"/>
      <c r="BC9" s="240"/>
      <c r="BI9" s="225"/>
      <c r="BJ9" s="240"/>
      <c r="BP9" s="225"/>
      <c r="BQ9" s="240"/>
    </row>
    <row r="10" spans="1:74" x14ac:dyDescent="0.2">
      <c r="C10" s="225"/>
      <c r="D10" s="268"/>
      <c r="E10" s="240"/>
      <c r="K10" s="225"/>
      <c r="L10" s="268"/>
      <c r="M10" s="240"/>
      <c r="S10" s="225"/>
      <c r="T10" s="240"/>
      <c r="Z10" s="225"/>
      <c r="AA10" s="240"/>
      <c r="AG10" s="225"/>
      <c r="AH10" s="240"/>
      <c r="AN10" s="225"/>
      <c r="AO10" s="240"/>
      <c r="AU10" s="225"/>
      <c r="AV10" s="240"/>
      <c r="BB10" s="225"/>
      <c r="BC10" s="240"/>
      <c r="BI10" s="225"/>
      <c r="BJ10" s="240"/>
      <c r="BP10" s="225"/>
      <c r="BQ10" s="240"/>
    </row>
    <row r="11" spans="1:74" x14ac:dyDescent="0.2">
      <c r="C11" s="225"/>
      <c r="D11" s="268"/>
      <c r="E11" s="240"/>
      <c r="K11" s="225"/>
      <c r="L11" s="268"/>
      <c r="M11" s="240"/>
      <c r="S11" s="225"/>
      <c r="T11" s="240"/>
      <c r="Z11" s="225"/>
      <c r="AA11" s="240"/>
      <c r="AG11" s="225"/>
      <c r="AH11" s="240"/>
      <c r="AN11" s="225"/>
      <c r="AO11" s="240"/>
      <c r="AU11" s="225"/>
      <c r="AV11" s="240"/>
      <c r="BB11" s="225"/>
      <c r="BC11" s="240"/>
      <c r="BI11" s="225"/>
      <c r="BJ11" s="240"/>
      <c r="BP11" s="225"/>
      <c r="BQ11" s="240"/>
    </row>
    <row r="14" spans="1:74" x14ac:dyDescent="0.2">
      <c r="A14" s="52" t="s">
        <v>587</v>
      </c>
      <c r="B14" s="52" t="s">
        <v>5</v>
      </c>
      <c r="C14" s="174" t="s">
        <v>908</v>
      </c>
      <c r="D14" s="176" t="s">
        <v>909</v>
      </c>
      <c r="E14" s="241" t="s">
        <v>910</v>
      </c>
      <c r="F14" s="252" t="s">
        <v>911</v>
      </c>
      <c r="G14" s="212" t="s">
        <v>912</v>
      </c>
      <c r="H14" s="212" t="s">
        <v>913</v>
      </c>
      <c r="I14" s="172" t="s">
        <v>914</v>
      </c>
      <c r="J14" s="172" t="s">
        <v>915</v>
      </c>
      <c r="K14" s="174" t="s">
        <v>630</v>
      </c>
      <c r="L14" s="176" t="s">
        <v>732</v>
      </c>
      <c r="M14" s="241" t="s">
        <v>631</v>
      </c>
      <c r="N14" s="252" t="s">
        <v>632</v>
      </c>
      <c r="O14" s="212" t="s">
        <v>633</v>
      </c>
      <c r="P14" s="212" t="s">
        <v>634</v>
      </c>
      <c r="Q14" s="172" t="s">
        <v>635</v>
      </c>
      <c r="R14" s="172" t="s">
        <v>636</v>
      </c>
      <c r="S14" s="174" t="s">
        <v>637</v>
      </c>
      <c r="T14" s="241" t="s">
        <v>638</v>
      </c>
      <c r="U14" s="252" t="s">
        <v>625</v>
      </c>
      <c r="V14" s="212" t="s">
        <v>626</v>
      </c>
      <c r="W14" s="212" t="s">
        <v>627</v>
      </c>
      <c r="X14" s="172" t="s">
        <v>628</v>
      </c>
      <c r="Y14" s="172" t="s">
        <v>629</v>
      </c>
      <c r="Z14" s="174" t="s">
        <v>639</v>
      </c>
      <c r="AA14" s="241" t="s">
        <v>640</v>
      </c>
      <c r="AB14" s="252" t="s">
        <v>641</v>
      </c>
      <c r="AC14" s="212" t="s">
        <v>642</v>
      </c>
      <c r="AD14" s="212" t="s">
        <v>643</v>
      </c>
      <c r="AE14" s="172" t="s">
        <v>644</v>
      </c>
      <c r="AF14" s="172" t="s">
        <v>645</v>
      </c>
      <c r="AG14" s="174" t="s">
        <v>646</v>
      </c>
      <c r="AH14" s="241" t="s">
        <v>647</v>
      </c>
      <c r="AI14" s="252" t="s">
        <v>648</v>
      </c>
      <c r="AJ14" s="212" t="s">
        <v>649</v>
      </c>
      <c r="AK14" s="212" t="s">
        <v>650</v>
      </c>
      <c r="AL14" s="172" t="s">
        <v>651</v>
      </c>
      <c r="AM14" s="172" t="s">
        <v>652</v>
      </c>
      <c r="AN14" s="174" t="s">
        <v>653</v>
      </c>
      <c r="AO14" s="241" t="s">
        <v>654</v>
      </c>
      <c r="AP14" s="252" t="s">
        <v>655</v>
      </c>
      <c r="AQ14" s="212" t="s">
        <v>656</v>
      </c>
      <c r="AR14" s="212" t="s">
        <v>657</v>
      </c>
      <c r="AS14" s="172" t="s">
        <v>658</v>
      </c>
      <c r="AT14" s="172" t="s">
        <v>659</v>
      </c>
      <c r="AU14" s="174" t="s">
        <v>660</v>
      </c>
      <c r="AV14" s="241" t="s">
        <v>661</v>
      </c>
      <c r="AW14" s="252" t="s">
        <v>662</v>
      </c>
      <c r="AX14" s="212" t="s">
        <v>663</v>
      </c>
      <c r="AY14" s="212" t="s">
        <v>664</v>
      </c>
      <c r="AZ14" s="172" t="s">
        <v>665</v>
      </c>
      <c r="BA14" s="172" t="s">
        <v>666</v>
      </c>
      <c r="BB14" s="174" t="s">
        <v>667</v>
      </c>
      <c r="BC14" s="241" t="s">
        <v>668</v>
      </c>
      <c r="BD14" s="252" t="s">
        <v>669</v>
      </c>
      <c r="BE14" s="212" t="s">
        <v>670</v>
      </c>
      <c r="BF14" s="212" t="s">
        <v>671</v>
      </c>
      <c r="BG14" s="172" t="s">
        <v>672</v>
      </c>
      <c r="BH14" s="172" t="s">
        <v>673</v>
      </c>
      <c r="BI14" s="174" t="s">
        <v>674</v>
      </c>
      <c r="BJ14" s="241" t="s">
        <v>675</v>
      </c>
      <c r="BK14" s="252" t="s">
        <v>676</v>
      </c>
      <c r="BL14" s="212" t="s">
        <v>677</v>
      </c>
      <c r="BM14" s="212" t="s">
        <v>678</v>
      </c>
      <c r="BN14" s="172" t="s">
        <v>679</v>
      </c>
      <c r="BO14" s="172" t="s">
        <v>680</v>
      </c>
      <c r="BP14" s="174" t="s">
        <v>681</v>
      </c>
      <c r="BQ14" s="241" t="s">
        <v>682</v>
      </c>
      <c r="BR14" s="252" t="s">
        <v>683</v>
      </c>
      <c r="BS14" s="212" t="s">
        <v>684</v>
      </c>
      <c r="BT14" s="212" t="s">
        <v>685</v>
      </c>
      <c r="BU14" s="172" t="s">
        <v>686</v>
      </c>
      <c r="BV14" s="172" t="s">
        <v>687</v>
      </c>
    </row>
    <row r="15" spans="1:74" s="40" customFormat="1" x14ac:dyDescent="0.2">
      <c r="A15" s="53"/>
      <c r="B15" s="53"/>
      <c r="C15" s="112" cm="1">
        <f t="array" ref="C15">SUM(SUMIFS(PrEP!$O:$O,PrEP!$B:$B,$B15,PrEP!$C:$C,{"15-19","20-24","25-29","30-34","35-39","40-44","45-49","50+"},PrEP!$D:$D,"Female"))</f>
        <v>0</v>
      </c>
      <c r="D15" s="118" cm="1">
        <f t="array" ref="D15">SUM(SUMIFS(PrEP!$O:$O,PrEP!$B:$B,$B15,PrEP!$C:$C,{"15-19","20-24","25-29"},PrEP!$D:$D,"Female"))</f>
        <v>0</v>
      </c>
      <c r="E15" s="411" cm="1">
        <f t="array" ref="E15">SUM(SUMIFS(PrEP!$O:$O,PrEP!$B:$B,$B15,PrEP!$C:$C,{"15-19","20-24","25-29","30-34","35-39","40-44","45-49","50+"},PrEP!$D:$D,"Male"))</f>
        <v>0</v>
      </c>
      <c r="F15" s="229" t="str">
        <f>_xlfn.IFNA(INDEX(KP!$I:$I,MATCH(($B15&amp;"|"&amp;F$3),KP!$D:$D,0)),"")</f>
        <v/>
      </c>
      <c r="G15" s="104" t="str">
        <f>_xlfn.IFNA(INDEX(KP!$I:$I,MATCH(($B15&amp;"|"&amp;G$3),KP!$D:$D,0)),"")</f>
        <v/>
      </c>
      <c r="H15" s="104" t="str">
        <f>_xlfn.IFNA(INDEX(KP!$I:$I,MATCH(($B15&amp;"|"&amp;H$3),KP!$D:$D,0)),"")</f>
        <v/>
      </c>
      <c r="I15" s="104" t="str">
        <f>_xlfn.IFNA(INDEX(KP!$I:$I,MATCH(($B15&amp;"|"&amp;I$3),KP!$D:$D,0)),"")</f>
        <v/>
      </c>
      <c r="J15" s="104" t="str">
        <f>_xlfn.IFNA(INDEX(KP!$I:$I,MATCH(($B15&amp;"|"&amp;J$3),KP!$D:$D,0)),"")</f>
        <v/>
      </c>
      <c r="K15" s="112" cm="1">
        <f t="array" ref="K15">SUM(SUMIFS(PrEP!$L:$L,PrEP!$B:$B,$B15,PrEP!$C:$C,{"15-19","20-24","25-29","30-34","35-39","40-44","45-49","50+"},PrEP!$D:$D,"Female"))</f>
        <v>0</v>
      </c>
      <c r="L15" s="118" cm="1">
        <f t="array" ref="L15">SUM(SUMIFS(PrEP!$L:$L,PrEP!$B:$B,$B15,PrEP!$C:$C,{"15-19","20-24","25-29"},PrEP!$D:$D,"Female"))</f>
        <v>0</v>
      </c>
      <c r="M15" s="411" cm="1">
        <f t="array" ref="M15">SUM(SUMIFS(PrEP!$L:$L,PrEP!$B:$B,$B15,PrEP!$C:$C,{"15-19","20-24","25-29","30-34","35-39","40-44","45-49","50+"},PrEP!$D:$D,"Male"))</f>
        <v>0</v>
      </c>
      <c r="N15" s="229" t="str">
        <f>_xlfn.IFNA(INDEX(KP!$K:$K,MATCH(($B15&amp;"|"&amp;N$3),KP!$D:$D,0)),"")</f>
        <v/>
      </c>
      <c r="O15" s="104" t="str">
        <f>_xlfn.IFNA(INDEX(KP!$K:$K,MATCH(($B15&amp;"|"&amp;O$3),KP!$D:$D,0)),"")</f>
        <v/>
      </c>
      <c r="P15" s="104" t="str">
        <f>_xlfn.IFNA(INDEX(KP!$K:$K,MATCH(($B15&amp;"|"&amp;P$3),KP!$D:$D,0)),"")</f>
        <v/>
      </c>
      <c r="Q15" s="104" t="str">
        <f>_xlfn.IFNA(INDEX(KP!$K:$K,MATCH(($B15&amp;"|"&amp;Q$3),KP!$D:$D,0)),"")</f>
        <v/>
      </c>
      <c r="R15" s="104" t="str">
        <f>_xlfn.IFNA(INDEX(KP!$K:$K,MATCH(($B15&amp;"|"&amp;R$3),KP!$D:$D,0)),"")</f>
        <v/>
      </c>
      <c r="S15" s="112" cm="1">
        <f t="array" ref="S15">SUM(SUMIFS(Cascade!$BQ:$BQ,Cascade!$B:$B,$B15,Cascade!$C:$C,{"15-19","20-24","25-29","30-34","35-39","40-44","45-49","50-54","55-59","60-64","65+"},Cascade!$D:$D,"Female"))</f>
        <v>0</v>
      </c>
      <c r="T15" s="411" cm="1">
        <f t="array" ref="T15">SUM(SUMIFS(Cascade!$BQ:$BQ,Cascade!$B:$B,$B15,Cascade!$C:$C,{"15-19","20-24","25-29","30-34","35-39","40-44","45-49","50-54","55-59","60-64","65+"},Cascade!$D:$D,"Male"))</f>
        <v>0</v>
      </c>
      <c r="U15" s="229" t="str">
        <f>_xlfn.IFNA(INDEX(KP!$P:$P,MATCH(($B15&amp;"|"&amp;U$3),KP!$D:$D,0)),"")</f>
        <v/>
      </c>
      <c r="V15" s="104" t="str">
        <f>_xlfn.IFNA(INDEX(KP!$P:$P,MATCH(($B15&amp;"|"&amp;V$3),KP!$D:$D,0)),"")</f>
        <v/>
      </c>
      <c r="W15" s="104" t="str">
        <f>_xlfn.IFNA(INDEX(KP!$P:$P,MATCH(($B15&amp;"|"&amp;W$3),KP!$D:$D,0)),"")</f>
        <v/>
      </c>
      <c r="X15" s="104" t="str">
        <f>_xlfn.IFNA(INDEX(KP!$P:$P,MATCH(($B15&amp;"|"&amp;X$3),KP!$D:$D,0)),"")</f>
        <v/>
      </c>
      <c r="Y15" s="104" t="str">
        <f>_xlfn.IFNA(INDEX(KP!$P:$P,MATCH(($B15&amp;"|"&amp;Y$3),KP!$D:$D,0)),"")</f>
        <v/>
      </c>
      <c r="Z15" s="112" cm="1">
        <f t="array" ref="Z15">SUM(SUMIFS(Cascade!$BN:$BN,Cascade!$B:$B,$B15,Cascade!$C:$C,{"15-19","20-24","25-29","30-34","35-39","40-44","45-49","50-54","55-59","60-64","65+"},Cascade!$D:$D,"Female"))</f>
        <v>0</v>
      </c>
      <c r="AA15" s="411" cm="1">
        <f t="array" ref="AA15">SUM(SUMIFS(Cascade!$BN:$BN,Cascade!$B:$B,$B15,Cascade!$C:$C,{"15-19","20-24","25-29","30-34","35-39","40-44","45-49","50-54","55-59","60-64","65+"},Cascade!$D:$D,"Male"))</f>
        <v>0</v>
      </c>
      <c r="AB15" s="229" t="str">
        <f>_xlfn.IFNA(INDEX(KP!$V:$V,MATCH(($B15&amp;"|"&amp;AB$3),KP!$D:$D,0)),"")</f>
        <v/>
      </c>
      <c r="AC15" s="104" t="str">
        <f>_xlfn.IFNA(INDEX(KP!$V:$V,MATCH(($B15&amp;"|"&amp;AC$3),KP!$D:$D,0)),"")</f>
        <v/>
      </c>
      <c r="AD15" s="104" t="str">
        <f>_xlfn.IFNA(INDEX(KP!$V:$V,MATCH(($B15&amp;"|"&amp;AD$3),KP!$D:$D,0)),"")</f>
        <v/>
      </c>
      <c r="AE15" s="104" t="str">
        <f>_xlfn.IFNA(INDEX(KP!$V:$V,MATCH(($B15&amp;"|"&amp;AE$3),KP!$D:$D,0)),"")</f>
        <v/>
      </c>
      <c r="AF15" s="104" t="str">
        <f>_xlfn.IFNA(INDEX(KP!$V:$V,MATCH(($B15&amp;"|"&amp;AF$3),KP!$D:$D,0)),"")</f>
        <v/>
      </c>
      <c r="AG15" s="112" cm="1">
        <f t="array" ref="AG15">SUM(SUMIFS(Cascade!$AU:$AU,Cascade!$B:$B,$B15,Cascade!$C:$C,{"15-19","20-24","25-29","30-34","35-39","40-44","45-49","50-54","55-59","60-64","65+"},Cascade!$D:$D,"Female"))</f>
        <v>0</v>
      </c>
      <c r="AH15" s="411" cm="1">
        <f t="array" ref="AH15">SUM(SUMIFS(Cascade!$AU:$AU,Cascade!$B:$B,$B15,Cascade!$C:$C,{"15-19","20-24","25-29","30-34","35-39","40-44","45-49","50-54","55-59","60-64","65+"},Cascade!$D:$D,"Male"))</f>
        <v>0</v>
      </c>
      <c r="AI15" s="229" t="str">
        <f>_xlfn.IFNA(INDEX(KP!$Y:$Y,MATCH(($B15&amp;"|"&amp;AI$3),KP!$D:$D,0)),"")</f>
        <v/>
      </c>
      <c r="AJ15" s="104" t="str">
        <f>_xlfn.IFNA(INDEX(KP!$Y:$Y,MATCH(($B15&amp;"|"&amp;AJ$3),KP!$D:$D,0)),"")</f>
        <v/>
      </c>
      <c r="AK15" s="104" t="str">
        <f>_xlfn.IFNA(INDEX(KP!$Y:$Y,MATCH(($B15&amp;"|"&amp;AK$3),KP!$D:$D,0)),"")</f>
        <v/>
      </c>
      <c r="AL15" s="104" t="str">
        <f>_xlfn.IFNA(INDEX(KP!$Y:$Y,MATCH(($B15&amp;"|"&amp;AL$3),KP!$D:$D,0)),"")</f>
        <v/>
      </c>
      <c r="AM15" s="104" t="str">
        <f>_xlfn.IFNA(INDEX(KP!$Y:$Y,MATCH(($B15&amp;"|"&amp;AM$3),KP!$D:$D,0)),"")</f>
        <v/>
      </c>
      <c r="AN15" s="112" cm="1">
        <f t="array" ref="AN15">SUM(SUMIFS(Cascade!$AP:$AP,Cascade!$B:$B,$B15,Cascade!$C:$C,{"15-19","20-24","25-29","30-34","35-39","40-44","45-49","50-54","55-59","60-64","65+"},Cascade!$D:$D,"Female"))</f>
        <v>0</v>
      </c>
      <c r="AO15" s="411" cm="1">
        <f t="array" ref="AO15">SUM(SUMIFS(Cascade!$AP:$AP,Cascade!$B:$B,$B15,Cascade!$C:$C,{"15-19","20-24","25-29","30-34","35-39","40-44","45-49","50-54","55-59","60-64","65+"},Cascade!$D:$D,"Male"))</f>
        <v>0</v>
      </c>
      <c r="AP15" s="229" t="str">
        <f>_xlfn.IFNA(INDEX(KP!$AA:$AA,MATCH(($B15&amp;"|"&amp;AP$3),KP!$D:$D,0)),"")</f>
        <v/>
      </c>
      <c r="AQ15" s="104" t="str">
        <f>_xlfn.IFNA(INDEX(KP!$AA:$AA,MATCH(($B15&amp;"|"&amp;AQ$3),KP!$D:$D,0)),"")</f>
        <v/>
      </c>
      <c r="AR15" s="104" t="str">
        <f>_xlfn.IFNA(INDEX(KP!$AA:$AA,MATCH(($B15&amp;"|"&amp;AR$3),KP!$D:$D,0)),"")</f>
        <v/>
      </c>
      <c r="AS15" s="104" t="str">
        <f>_xlfn.IFNA(INDEX(KP!$AA:$AA,MATCH(($B15&amp;"|"&amp;AS$3),KP!$D:$D,0)),"")</f>
        <v/>
      </c>
      <c r="AT15" s="104" t="str">
        <f>_xlfn.IFNA(INDEX(KP!$AA:$AA,MATCH(($B15&amp;"|"&amp;AT$3),KP!$D:$D,0)),"")</f>
        <v/>
      </c>
      <c r="AU15" s="112" cm="1">
        <f t="array" ref="AU15">SUM(SUMIFS(HTS!$BP:$BP,HTS!$B:$B,$B15,HTS!$C:$C,{"15-19","20-24","25-29","30-34","35-39","40-44","45-49","50+"},HTS!$D:$D,"Female"))</f>
        <v>0</v>
      </c>
      <c r="AV15" s="411" cm="1">
        <f t="array" ref="AV15">SUM(SUMIFS(HTS!$BP:$BP,HTS!$B:$B,$B15,HTS!$C:$C,{"15-19","20-24","25-29","30-34","35-39","40-44","45-49","50+"},HTS!$D:$D,"Male"))</f>
        <v>0</v>
      </c>
      <c r="AW15" s="229" t="str">
        <f>_xlfn.IFNA(INDEX(KP!$AI:$AI,MATCH(($B15&amp;"|"&amp;AW$3),KP!$D:$D,0)),"")</f>
        <v/>
      </c>
      <c r="AX15" s="104" t="str">
        <f>_xlfn.IFNA(INDEX(KP!$AI:$AI,MATCH(($B15&amp;"|"&amp;AX$3),KP!$D:$D,0)),"")</f>
        <v/>
      </c>
      <c r="AY15" s="104" t="str">
        <f>_xlfn.IFNA(INDEX(KP!$AI:$AI,MATCH(($B15&amp;"|"&amp;AY$3),KP!$D:$D,0)),"")</f>
        <v/>
      </c>
      <c r="AZ15" s="104" t="str">
        <f>_xlfn.IFNA(INDEX(KP!$AI:$AI,MATCH(($B15&amp;"|"&amp;AZ$3),KP!$D:$D,0)),"")</f>
        <v/>
      </c>
      <c r="BA15" s="104" t="str">
        <f>_xlfn.IFNA(INDEX(KP!$AI:$AI,MATCH(($B15&amp;"|"&amp;BA$3),KP!$D:$D,0)),"")</f>
        <v/>
      </c>
      <c r="BB15" s="112" cm="1">
        <f t="array" ref="BB15">SUM(SUMIFS(HTS!$BX:$BX,HTS!$B:$B,$B15,HTS!$C:$C,{"15-19","20-24","25-29","30-34","35-39","40-44","45-49","50+"},HTS!$D:$D,"Female"))</f>
        <v>0</v>
      </c>
      <c r="BC15" s="411" cm="1">
        <f t="array" ref="BC15">SUM(SUMIFS(HTS!$BX:$BX,HTS!$B:$B,$B15,HTS!$C:$C,{"15-19","20-24","25-29","30-34","35-39","40-44","45-49","50+"},HTS!$D:$D,"Male"))</f>
        <v>0</v>
      </c>
      <c r="BD15" s="229" t="str">
        <f>_xlfn.IFNA(INDEX(KP!$AJ:$AJ,MATCH(($B15&amp;"|"&amp;BD$3),KP!$D:$D,0)),"")</f>
        <v/>
      </c>
      <c r="BE15" s="104" t="str">
        <f>_xlfn.IFNA(INDEX(KP!$AJ:$AJ,MATCH(($B15&amp;"|"&amp;BE$3),KP!$D:$D,0)),"")</f>
        <v/>
      </c>
      <c r="BF15" s="104" t="str">
        <f>_xlfn.IFNA(INDEX(KP!$AJ:$AJ,MATCH(($B15&amp;"|"&amp;BF$3),KP!$D:$D,0)),"")</f>
        <v/>
      </c>
      <c r="BG15" s="104" t="str">
        <f>_xlfn.IFNA(INDEX(KP!$AJ:$AJ,MATCH(($B15&amp;"|"&amp;BG$3),KP!$D:$D,0)),"")</f>
        <v/>
      </c>
      <c r="BH15" s="104" t="str">
        <f>_xlfn.IFNA(INDEX(KP!$AJ:$AJ,MATCH(($B15&amp;"|"&amp;BH$3),KP!$D:$D,0)),"")</f>
        <v/>
      </c>
      <c r="BI15" s="112" cm="1">
        <f t="array" ref="BI15">SUM(SUMIFS(HTS_RECENT!$AJ:$AJ,HTS_RECENT!$B:$B,$B15,HTS_RECENT!$C:$C,{"15-19","20-24","25-29","30-34","35-39","40-44","45-49","50+"},HTS_RECENT!$D:$D,"Female"))</f>
        <v>0</v>
      </c>
      <c r="BJ15" s="411" cm="1">
        <f t="array" ref="BJ15">SUM(SUMIFS(HTS_RECENT!$AJ:$AJ,HTS_RECENT!$B:$B,$B15,HTS_RECENT!$C:$C,{"15-19","20-24","25-29","30-34","35-39","40-44","45-49","50+"},HTS_RECENT!$D:$D,"Male"))</f>
        <v>0</v>
      </c>
      <c r="BK15" s="229" t="str">
        <f>_xlfn.IFNA(INDEX(KP!$AL:$AL,MATCH(($B15&amp;"|"&amp;BK$3),KP!$D:$D,0)),"")</f>
        <v/>
      </c>
      <c r="BL15" s="104" t="str">
        <f>_xlfn.IFNA(INDEX(KP!$AL:$AL,MATCH(($B15&amp;"|"&amp;BL$3),KP!$D:$D,0)),"")</f>
        <v/>
      </c>
      <c r="BM15" s="104" t="str">
        <f>_xlfn.IFNA(INDEX(KP!$AL:$AL,MATCH(($B15&amp;"|"&amp;BM$3),KP!$D:$D,0)),"")</f>
        <v/>
      </c>
      <c r="BN15" s="104" t="str">
        <f>_xlfn.IFNA(INDEX(KP!$AL:$AL,MATCH(($B15&amp;"|"&amp;BN$3),KP!$D:$D,0)),"")</f>
        <v/>
      </c>
      <c r="BO15" s="104" t="str">
        <f>_xlfn.IFNA(INDEX(KP!$AL:$AL,MATCH(($B15&amp;"|"&amp;BO$3),KP!$D:$D,0)),"")</f>
        <v/>
      </c>
      <c r="BP15" s="112" cm="1">
        <f t="array" ref="BP15">SUM(SUMIFS(HTS!$CC:$CC,HTS!$B:$B,$B15,HTS!$C:$C,{"15-19","20-24","25-29","30-34","35-39","40-44","45-49","50+"},HTS!$D:$D,"Female"))</f>
        <v>0</v>
      </c>
      <c r="BQ15" s="411" cm="1">
        <f t="array" ref="BQ15">SUM(SUMIFS(HTS!$CC:$CC,HTS!$B:$B,$B15,HTS!$C:$C,{"15-19","20-24","25-29","30-34","35-39","40-44","45-49","50+"},HTS!$D:$D,"Male"))</f>
        <v>0</v>
      </c>
      <c r="BR15" s="229" t="str">
        <f>_xlfn.IFNA(INDEX(KP!$AN:$AN,MATCH(($B15&amp;"|"&amp;BR$3),KP!$D:$D,0)),"")</f>
        <v/>
      </c>
      <c r="BS15" s="104" t="str">
        <f>_xlfn.IFNA(INDEX(KP!$AN:$AN,MATCH(($B15&amp;"|"&amp;BS$3),KP!$D:$D,0)),"")</f>
        <v/>
      </c>
      <c r="BT15" s="104" t="str">
        <f>_xlfn.IFNA(INDEX(KP!$AN:$AN,MATCH(($B15&amp;"|"&amp;BT$3),KP!$D:$D,0)),"")</f>
        <v/>
      </c>
      <c r="BU15" s="104" t="str">
        <f>_xlfn.IFNA(INDEX(KP!$AN:$AN,MATCH(($B15&amp;"|"&amp;BU$3),KP!$D:$D,0)),"")</f>
        <v/>
      </c>
      <c r="BV15" s="104"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2021-12-30T03:57:18Z</dcterms:modified>
</cp:coreProperties>
</file>