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3047C999-8759-4975-A2DF-8A4F31ECF9D1}" xr6:coauthVersionLast="47" xr6:coauthVersionMax="47" xr10:uidLastSave="{00000000-0000-0000-0000-000000000000}"/>
  <bookViews>
    <workbookView xWindow="-33885" yWindow="-180" windowWidth="30600" windowHeight="15990" firstSheet="1"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L4" i="5" l="1"/>
  <c r="N15" i="12" l="1"/>
  <c r="AU15" i="46" l="1" a="1"/>
  <c r="AU15" i="46" s="1"/>
  <c r="AT15" i="46" a="1"/>
  <c r="AT15" i="46" s="1"/>
  <c r="AN15" i="46" a="1"/>
  <c r="AN15" i="46" s="1"/>
  <c r="AM15" i="46" a="1"/>
  <c r="AM15" i="46" s="1"/>
  <c r="M15" i="5"/>
  <c r="AL15" i="5" l="1"/>
  <c r="AM15" i="5"/>
  <c r="AE15" i="5"/>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AC15" i="5"/>
  <c r="AA15" i="5"/>
  <c r="Z15" i="5"/>
  <c r="W15" i="5"/>
  <c r="U15" i="5"/>
  <c r="T15" i="5"/>
  <c r="S15" i="5"/>
  <c r="R15" i="5"/>
  <c r="X15" i="5" s="1"/>
  <c r="Q15" i="5"/>
  <c r="AH15" i="5"/>
  <c r="AG15" i="5"/>
  <c r="AF15" i="5"/>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<sst xmlns="http://schemas.openxmlformats.org/spreadsheetml/2006/main" count="2283" uniqueCount="675">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</sst>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622</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4" sqref="B14:D14"/>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tabSelected="1" zoomScale="90" zoomScaleNormal="90" workbookViewId="0">
      <pane xSplit="5" ySplit="14" topLeftCell="F15" activePane="bottomRight" state="frozen"/>
      <selection pane="topRight"/>
      <selection pane="bottomLeft"/>
      <selection pane="bottomRight" activeCell="J9" sqref="J9"/>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670</v>
      </c>
      <c r="AM3" s="172" t="s">
        <v>498</v>
      </c>
      <c r="AN3" s="259" t="s">
        <v>457</v>
      </c>
      <c r="AO3" s="218" t="s">
        <v>499</v>
      </c>
      <c r="AP3" s="289" t="s">
        <v>500</v>
      </c>
      <c r="AQ3" s="210" t="s">
        <v>501</v>
      </c>
      <c r="AR3" s="283" t="s">
        <v>502</v>
      </c>
      <c r="AS3" s="63" t="s">
        <v>503</v>
      </c>
      <c r="AT3" s="172" t="s">
        <v>674</v>
      </c>
      <c r="AU3" s="283" t="s">
        <v>505</v>
      </c>
      <c r="AV3" s="383" t="s">
        <v>506</v>
      </c>
      <c r="AW3" s="262" t="s">
        <v>458</v>
      </c>
      <c r="AX3" s="272" t="s">
        <v>459</v>
      </c>
      <c r="AY3" s="151" t="s">
        <v>460</v>
      </c>
      <c r="AZ3" s="30" t="s">
        <v>489</v>
      </c>
      <c r="BA3" s="316" t="s">
        <v>507</v>
      </c>
      <c r="BB3" s="210" t="s">
        <v>461</v>
      </c>
      <c r="BC3" s="30" t="s">
        <v>490</v>
      </c>
      <c r="BD3" s="218" t="s">
        <v>508</v>
      </c>
      <c r="BE3" s="262" t="s">
        <v>462</v>
      </c>
      <c r="BF3" s="30" t="s">
        <v>623</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671</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f>
        <v/>
      </c>
      <c r="R15" s="37" t="str">
        <f>IF(LEFT($B15,4)="_Mil","",_xlfn.IFNA(ROUND(INDEX(Spectrum!$N:$N,MATCH(RIGHT($B15,13)&amp;"|"&amp;$C15&amp;"|"&amp;$D15&amp;"|"&amp;R$14&amp;"|"&amp;"CY2025Q3",Spectrum!$R:$R,0)),0),""))</f>
        <v/>
      </c>
      <c r="S15" s="37" t="str">
        <f>IF(LEFT($B15,4)="_Mil","",_xlfn.IFNA(ROUND(INDEX(Spectrum!$N:$N,MATCH(RIGHT($B15,13)&amp;"|"&amp;$C15&amp;"|"&amp;$D15&amp;"|"&amp;S$14&amp;"|"&amp;"CY2025Q3",Spectrum!$R:$R,0)),0),""))</f>
        <v/>
      </c>
      <c r="T15" s="69" t="str">
        <f>IF(LEFT($B15,4)="_Mil","",_xlfn.IFNA(INDEX(Spectrum!$N:$N,MATCH(RIGHT($B15,13)&amp;"|"&amp;$C15&amp;"|"&amp;$D15&amp;"|"&amp;T$14&amp;"|"&amp;"CY2025Q3",Spectrum!$R:$R,0)),""))</f>
        <v/>
      </c>
      <c r="U15" s="37" t="str">
        <f>IF(LEFT($B15,4)="_Mil","",_xlfn.IFNA(ROUND(INDEX(Spectrum!$N:$N,MATCH(RIGHT($B15,13)&amp;"|"&amp;$C15&amp;"|"&amp;$D15&amp;"|"&amp;U$14&amp;"|"&amp;"CY2025Q3",Spectrum!$R:$R,0)),0),""))</f>
        <v/>
      </c>
      <c r="V15" s="82" t="str">
        <f>IF(OR(SUM($R15)=0,LEFT($B15,4)="_Mil"),"",ROUND(SUM($U15)/$R15,2))</f>
        <v/>
      </c>
      <c r="W15" s="36" t="str">
        <f>IF(LEFT($B15,4)="_Mil","",_xlfn.IFNA(ROUND(INDEX(Spectrum!$N:$N,MATCH(RIGHT($B15,13)&amp;"|"&amp;$C15&amp;"|"&amp;$D15&amp;"|"&amp;W$14&amp;"|"&amp;"CY2025Q3",Spectrum!$R:$R,0)),0),""))</f>
        <v/>
      </c>
      <c r="X15" s="285" t="str">
        <f>IF(LEFT($B15,4)="_Mil","",IFERROR(1/(1/INDEX(Spectrum!$N:$N,MATCH(RIGHT($B15,13)&amp;"|"&amp;$C15&amp;"|"&amp;$D15&amp;"|"&amp;X$14&amp;"|"&amp;"CY2025Q3",Spectrum!$R:$R,0))),IF(SUM($R15)=0,"",SUM($W15)/$R15)))</f>
        <v/>
      </c>
      <c r="Y15" s="82" t="str">
        <f>IF(OR(LEFT($B15,4)="_Mil",SUM($U15)=0),"",SUM($W15)/$U15)</f>
        <v/>
      </c>
      <c r="Z15" s="310" t="str">
        <f>IF(LEFT($B15,4)="_Mil","",_xlfn.IFNA(ROUND(INDEX(Spectrum!$N:$N,MATCH(RIGHT($B15,13)&amp;"|"&amp;$C15&amp;"|"&amp;$D15&amp;"|"&amp;Z$14&amp;"|"&amp;"CY2025Q3",Spectrum!$R:$R,0)),0),""))</f>
        <v/>
      </c>
      <c r="AA15" s="326" t="str">
        <f>IF(LEFT($B15,4)="_Mil","",_xlfn.IFNA(ROUND(INDEX(Spectrum!$N:$N,MATCH(RIGHT($B15,13)&amp;"|"&amp;$C15&amp;"|"&amp;$D15&amp;"|"&amp;AA$14&amp;"|"&amp;"CY2025Q3",Spectrum!$R:$R,0)),0),""))</f>
        <v/>
      </c>
      <c r="AB15" s="285" t="str">
        <f>IF(OR(LEFT($B15,4)="_Mil",SUM($W15)=0),"",ROUND(SUM($AA15)/$W15,2))</f>
        <v/>
      </c>
      <c r="AC15" s="37" t="str">
        <f>IF(LEFT($B15,4)="_Mil","",_xlfn.IFNA(ROUND(INDEX(Spectrum!$N:$N,MATCH(RIGHT($B15,13)&amp;"|"&amp;$C15&amp;"|"&amp;$D15&amp;"|"&amp;AC$14&amp;"|"&amp;"CY2025Q3",Spectrum!$R:$R,0)),0),""))</f>
        <v/>
      </c>
      <c r="AD15" s="285" t="str">
        <f>IF(OR(LEFT($B15,4)="_Mil",SUM($AA15)=0),"",SUM($AC15)/$AA15)</f>
        <v/>
      </c>
      <c r="AE15" s="281" t="str">
        <f>IF(LEFT($B15,4)="_Mil","",_xlfn.IFNA(INDEX(Spectrum!$N:$N,MATCH(RIGHT($B15,13)&amp;"|"&amp;$C15&amp;"|"&amp;$D15&amp;"|"&amp;AE$14&amp;"|"&amp;"CY2026Q3",Spectrum!$R:$R,0)),""))</f>
        <v/>
      </c>
      <c r="AF15" s="148" t="str">
        <f>IF(LEFT($B15,4)="_Mil","",_xlfn.IFNA(ROUND(INDEX(Spectrum!$N:$N,MATCH(RIGHT($B15,13)&amp;"|"&amp;$C15&amp;"|"&amp;$D15&amp;"|"&amp;AF$14&amp;"|"&amp;"CY2026Q3",Spectrum!$R:$R,0)),0),""))</f>
        <v/>
      </c>
      <c r="AG15" s="45" t="str">
        <f>IF(LEFT($B15,4)="_Mil","",_xlfn.IFNA(ROUND(INDEX(Spectrum!$N:$N,MATCH(RIGHT($B15,13)&amp;"|"&amp;$C15&amp;"|"&amp;$D15&amp;"|"&amp;AG$14&amp;"|"&amp;"CY2026Q3",Spectrum!$R:$R,0)),0),""))</f>
        <v/>
      </c>
      <c r="AH15" s="148" t="str">
        <f>IF(LEFT($B15,4)="_Mil","",_xlfn.IFNA(ROUND(INDEX(Spectrum!$N:$N,MATCH(RIGHT($B15,13)&amp;"|"&amp;$C15&amp;"|"&amp;$D15&amp;"|"&amp;AH$14&amp;"|"&amp;"CY2026Q3",Spectrum!$R:$R,0)),0),""))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W15" activePane="bottomRight" state="frozen"/>
      <selection pane="topRight"/>
      <selection pane="bottomLeft"/>
      <selection pane="bottomRight" activeCell="AH15" sqref="AH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F15" activePane="bottomRight" state="frozen"/>
      <selection pane="topRight"/>
      <selection pane="bottomLeft"/>
      <selection pane="bottomRight" activeCell="U14" sqref="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90" zoomScaleNormal="90" workbookViewId="0">
      <pane xSplit="5" ySplit="14" topLeftCell="F15" activePane="bottomRight" state="frozen"/>
      <selection pane="topRight"/>
      <selection pane="bottomLeft"/>
      <selection pane="bottomRight" activeCell="G8" sqref="G8:H9"/>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664</v>
      </c>
      <c r="H3" s="341" t="s">
        <v>665</v>
      </c>
      <c r="I3" s="338" t="s">
        <v>666</v>
      </c>
      <c r="J3" s="341" t="s">
        <v>659</v>
      </c>
      <c r="K3" s="355" t="s">
        <v>660</v>
      </c>
      <c r="L3" s="113" t="s">
        <v>619</v>
      </c>
      <c r="M3" s="359" t="s">
        <v>667</v>
      </c>
      <c r="N3" s="195" t="s">
        <v>669</v>
      </c>
      <c r="O3" s="218" t="s">
        <v>668</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633</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653</v>
      </c>
      <c r="N8" s="350"/>
      <c r="O8" s="337" t="s">
        <v>653</v>
      </c>
      <c r="Q8" s="237" t="s">
        <v>102</v>
      </c>
      <c r="R8" s="122"/>
      <c r="S8" s="227" t="s">
        <v>102</v>
      </c>
    </row>
    <row r="9" spans="1:19">
      <c r="B9" s="5"/>
      <c r="C9" s="5"/>
      <c r="D9" s="5"/>
      <c r="E9" s="5"/>
      <c r="F9" s="68"/>
      <c r="G9" s="343"/>
      <c r="H9" s="343"/>
      <c r="I9" s="107"/>
      <c r="J9" s="343"/>
      <c r="K9" s="343"/>
      <c r="M9" s="365" t="s">
        <v>654</v>
      </c>
      <c r="N9" s="350"/>
      <c r="O9" s="337" t="s">
        <v>654</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624</v>
      </c>
      <c r="H14" s="344" t="s">
        <v>625</v>
      </c>
      <c r="I14" s="344" t="s">
        <v>626</v>
      </c>
      <c r="J14" s="344" t="s">
        <v>672</v>
      </c>
      <c r="K14" s="344" t="s">
        <v>673</v>
      </c>
      <c r="L14" s="164" t="s">
        <v>222</v>
      </c>
      <c r="M14" s="362" t="s">
        <v>200</v>
      </c>
      <c r="N14" s="169" t="s">
        <v>646</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t="str">
        <f>IF(SUM($I15)=0,"",ROUND($I15,2))</f>
        <v/>
      </c>
      <c r="O15" s="33" t="str">
        <f>IF(SUM($M15)=0,"",IF(SUM($N15)=0,"ENTER YIELD",ROUND($M15/$N15,0)-$M15))</f>
        <v/>
      </c>
      <c r="P15" s="86" t="str">
        <f>IFERROR(1/(1/SUM($O15,#REF!)),"")</f>
        <v/>
      </c>
      <c r="R15" s="11" t="str">
        <f>IF(OR($C15="01-09",SUM($Q15)=0),"",0%)</f>
        <v/>
      </c>
      <c r="S15" s="33" t="str">
        <f>IF(OR($C15="01-09",SUM($Q15)=0),"",ROUND($Q15*(1+$R15),0))</f>
        <v/>
      </c>
    </row>
    <row r="16" spans="1:19">
      <c r="J16" s="313" t="s">
        <v>661</v>
      </c>
      <c r="M16" s="364" t="s">
        <v>621</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M1" sqref="M1:P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G15" activePane="bottomRight" state="frozen"/>
      <selection pane="topRight"/>
      <selection pane="bottomLeft"/>
      <selection pane="bottomRight" activeCell="P3" sqref="P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652</v>
      </c>
      <c r="H3" s="334" t="s">
        <v>631</v>
      </c>
      <c r="I3" s="334" t="s">
        <v>637</v>
      </c>
      <c r="J3" s="334" t="s">
        <v>638</v>
      </c>
      <c r="K3" s="194" t="s">
        <v>635</v>
      </c>
      <c r="L3" s="194" t="s">
        <v>636</v>
      </c>
      <c r="M3" s="30" t="s">
        <v>639</v>
      </c>
      <c r="N3" s="30" t="s">
        <v>640</v>
      </c>
      <c r="O3" s="113" t="s">
        <v>643</v>
      </c>
      <c r="P3" s="60" t="s">
        <v>617</v>
      </c>
      <c r="Q3" s="61" t="s">
        <v>641</v>
      </c>
      <c r="R3" s="347" t="s">
        <v>642</v>
      </c>
      <c r="S3" s="348" t="s">
        <v>644</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633</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657</v>
      </c>
      <c r="J8" s="346" t="s">
        <v>657</v>
      </c>
      <c r="M8" s="332" t="s">
        <v>655</v>
      </c>
      <c r="N8" s="332" t="s">
        <v>655</v>
      </c>
      <c r="Q8" s="230" t="s">
        <v>91</v>
      </c>
      <c r="R8" s="230" t="s">
        <v>91</v>
      </c>
      <c r="S8" s="349"/>
      <c r="T8" s="122"/>
      <c r="U8" s="350"/>
      <c r="V8" s="350"/>
      <c r="W8" s="227" t="s">
        <v>91</v>
      </c>
      <c r="X8" s="227" t="s">
        <v>91</v>
      </c>
    </row>
    <row r="9" spans="1:24">
      <c r="I9" s="346" t="s">
        <v>658</v>
      </c>
      <c r="J9" s="346" t="s">
        <v>658</v>
      </c>
      <c r="M9" s="332" t="s">
        <v>656</v>
      </c>
      <c r="N9" s="332" t="s">
        <v>656</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634</v>
      </c>
      <c r="H14" s="312" t="s">
        <v>632</v>
      </c>
      <c r="I14" s="312" t="s">
        <v>629</v>
      </c>
      <c r="J14" s="312" t="s">
        <v>630</v>
      </c>
      <c r="K14" s="168" t="s">
        <v>647</v>
      </c>
      <c r="L14" s="168" t="s">
        <v>648</v>
      </c>
      <c r="M14" s="187" t="s">
        <v>627</v>
      </c>
      <c r="N14" s="187" t="s">
        <v>628</v>
      </c>
      <c r="O14" s="164" t="s">
        <v>142</v>
      </c>
      <c r="P14" s="188" t="s">
        <v>378</v>
      </c>
      <c r="Q14" s="167" t="s">
        <v>152</v>
      </c>
      <c r="R14" s="164" t="s">
        <v>151</v>
      </c>
      <c r="S14" s="164" t="s">
        <v>650</v>
      </c>
      <c r="T14" s="168" t="s">
        <v>649</v>
      </c>
      <c r="U14" s="169" t="s">
        <v>651</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t="s">
        <v>645</v>
      </c>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6" sqref="I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L18" sqref="L1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662</v>
      </c>
      <c r="G1" s="156"/>
      <c r="H1" s="156"/>
      <c r="I1" s="156"/>
      <c r="J1" s="156"/>
      <c r="K1" s="156"/>
      <c r="L1" s="156"/>
      <c r="M1" s="183" t="s">
        <v>663</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2024-10-15T21:02:59Z</dcterms:modified>
</cp:coreProperties>
</file>