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E68F9432-D27B-A24F-9618-3E7197338A95}" xr6:coauthVersionLast="47" xr6:coauthVersionMax="47" xr10:uidLastSave="{00000000-0000-0000-0000-000000000000}"/>
  <bookViews>
    <workbookView xWindow="0" yWindow="500" windowWidth="33600" windowHeight="20500" firstSheet="3" activeTab="2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s>
  <definedNames>
    <definedName name="_xlnm._FilterDatabase" localSheetId="16" hidden="1">AGYW!$B$14:$M$39</definedName>
    <definedName name="_xlnm._FilterDatabase" localSheetId="3" hidden="1">Cascade!$B$14:$CP$3876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G15" i="5" l="1"/>
  <c r="CN15" i="5"/>
  <c r="CM15" i="5"/>
  <c r="CL15" i="5"/>
  <c r="CK15" i="5"/>
  <c r="BH15" i="5"/>
  <c r="S4" i="9"/>
  <c r="T15" i="9"/>
  <c r="S15" i="9"/>
  <c r="CY15" i="5"/>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BR15" i="5"/>
  <c r="BR4" i="5"/>
  <c r="M15" i="12" a="1"/>
  <c r="M15" i="12" s="1"/>
  <c r="L15" i="12" a="1"/>
  <c r="L15" i="12" s="1"/>
  <c r="K15" i="12" a="1"/>
  <c r="K15" i="12" s="1"/>
  <c r="AO15" i="5"/>
  <c r="C15" i="20"/>
  <c r="BF15" i="5" l="1"/>
  <c r="BB15" i="5"/>
  <c r="BA15" i="5"/>
  <c r="AS15" i="5"/>
  <c r="AR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D15" i="5" l="1"/>
  <c r="AT15" i="7" l="1"/>
  <c r="AC15" i="7"/>
  <c r="AA15" i="7"/>
  <c r="Y15" i="7"/>
  <c r="U15" i="7"/>
  <c r="AH15" i="7" s="1"/>
  <c r="AJ15" i="7" s="1"/>
  <c r="AQ15" i="7" s="1"/>
  <c r="T15" i="7"/>
  <c r="R15" i="7"/>
  <c r="Q15" i="7"/>
  <c r="P15" i="7"/>
  <c r="O15" i="7"/>
  <c r="N15" i="7"/>
  <c r="M15" i="7"/>
  <c r="AD15" i="7" l="1"/>
  <c r="AK15" i="7"/>
  <c r="AI15" i="7"/>
  <c r="BD15" i="5"/>
  <c r="BM15" i="5"/>
  <c r="L15" i="5"/>
  <c r="AF15" i="7" l="1"/>
  <c r="AE15" i="7"/>
  <c r="AG15" i="7"/>
  <c r="AP15" i="7"/>
  <c r="AO15" i="7"/>
  <c r="CE15" i="5"/>
  <c r="CG15" i="5"/>
  <c r="AM15" i="7" l="1"/>
  <c r="AR15" i="7"/>
  <c r="AL15" i="7"/>
  <c r="BA15" i="7"/>
  <c r="AV15" i="7" l="1"/>
  <c r="AU15" i="7"/>
  <c r="AW15" i="7"/>
  <c r="BO15" i="5"/>
  <c r="N15" i="5"/>
  <c r="Q2" i="3"/>
  <c r="BW15" i="5"/>
  <c r="BP15" i="5"/>
  <c r="BB15" i="7" l="1"/>
  <c r="AX15" i="7"/>
  <c r="AY15" i="7"/>
  <c r="N4" i="5"/>
  <c r="AX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N15" i="9" l="1"/>
  <c r="O15" i="9"/>
  <c r="L15" i="9"/>
  <c r="M15" i="9"/>
  <c r="W15" i="9" s="1"/>
  <c r="Z15" i="9" s="1"/>
  <c r="F15" i="20"/>
  <c r="I15" i="20" s="1"/>
  <c r="X15" i="9" l="1"/>
  <c r="AA15" i="9" s="1"/>
  <c r="T4" i="9"/>
  <c r="G15" i="20"/>
  <c r="K15" i="20" s="1"/>
  <c r="BV15" i="12" a="1"/>
  <c r="BV15" i="12" s="1"/>
  <c r="AF4" i="5"/>
  <c r="AA4" i="5"/>
  <c r="AI4" i="5"/>
  <c r="AD4" i="5"/>
  <c r="L15" i="20" l="1"/>
  <c r="N15" i="20" s="1"/>
  <c r="P15" i="20" s="1"/>
  <c r="P4" i="20" s="1"/>
  <c r="AO4" i="5"/>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AG4" i="5"/>
  <c r="BF4" i="5" s="1"/>
  <c r="AB4" i="5"/>
  <c r="R4" i="20" l="1"/>
  <c r="S4" i="20" s="1"/>
  <c r="R15" i="5"/>
  <c r="J15" i="5"/>
  <c r="H15" i="5"/>
  <c r="F15" i="5"/>
  <c r="P15" i="5"/>
  <c r="M15" i="10"/>
  <c r="V15" i="5"/>
  <c r="L15" i="10"/>
  <c r="X15" i="5"/>
  <c r="T15" i="5"/>
  <c r="AJ15" i="5" s="1"/>
  <c r="AK15" i="5" s="1"/>
  <c r="H4" i="14"/>
  <c r="M4" i="16"/>
  <c r="J4" i="16"/>
  <c r="M4" i="13"/>
  <c r="L4" i="13"/>
  <c r="AF4" i="13"/>
  <c r="AE4" i="13"/>
  <c r="D15" i="46" a="1"/>
  <c r="D15" i="46" s="1"/>
  <c r="D4" i="46" s="1"/>
  <c r="L4" i="46"/>
  <c r="BT15" i="5" l="1"/>
  <c r="BE15" i="5"/>
  <c r="BV15" i="5"/>
  <c r="AL15" i="5"/>
  <c r="AM15" i="5" s="1"/>
  <c r="AN15" i="5" s="1"/>
  <c r="AP15" i="5" s="1"/>
  <c r="AQ15" i="5"/>
  <c r="AT15" i="5" s="1"/>
  <c r="AZ15" i="5"/>
  <c r="AZ4" i="5" s="1"/>
  <c r="AY15" i="5"/>
  <c r="AW15" i="5"/>
  <c r="AW4" i="5" s="1"/>
  <c r="AV15" i="5"/>
  <c r="AX15" i="5" s="1"/>
  <c r="K15" i="5"/>
  <c r="M15" i="5"/>
  <c r="O15" i="5"/>
  <c r="BU15" i="5"/>
  <c r="Q15" i="5"/>
  <c r="U15" i="5"/>
  <c r="G15" i="5"/>
  <c r="Y15" i="5"/>
  <c r="I15" i="5"/>
  <c r="W15" i="5"/>
  <c r="V4" i="5"/>
  <c r="AQ4" i="5" s="1"/>
  <c r="S15" i="5"/>
  <c r="R4" i="5"/>
  <c r="J15" i="40"/>
  <c r="Q15" i="44"/>
  <c r="Q4" i="44"/>
  <c r="R4" i="44" l="1"/>
  <c r="T4" i="44"/>
  <c r="BC15" i="5"/>
  <c r="U15" i="44"/>
  <c r="V15" i="44" s="1"/>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CO15" i="5" s="1"/>
  <c r="S4" i="10"/>
  <c r="R4" i="10"/>
  <c r="G15" i="40" l="1"/>
  <c r="E15" i="45" l="1"/>
  <c r="E4" i="45" l="1"/>
  <c r="E15" i="5"/>
  <c r="F15" i="16" l="1" a="1"/>
  <c r="F15" i="16" s="1"/>
  <c r="F15" i="14" a="1"/>
  <c r="F15" i="14" s="1"/>
  <c r="J15" i="10"/>
  <c r="K15" i="10"/>
  <c r="G15" i="12" a="1"/>
  <c r="G15" i="12" s="1"/>
  <c r="CF15" i="5"/>
  <c r="K15" i="7"/>
  <c r="I15" i="7"/>
  <c r="H15" i="7"/>
  <c r="J15" i="7"/>
  <c r="G15" i="7"/>
  <c r="F15" i="7"/>
  <c r="F15" i="12" a="1"/>
  <c r="F15" i="12" s="1"/>
  <c r="Q4" i="13"/>
  <c r="S4" i="13" s="1"/>
  <c r="K4" i="40"/>
  <c r="H4" i="40" s="1"/>
  <c r="M15" i="14"/>
  <c r="E15" i="15"/>
  <c r="AD4" i="13" l="1"/>
  <c r="AC4" i="13"/>
  <c r="W15" i="7" l="1"/>
  <c r="AN4" i="5"/>
  <c r="AK4" i="5" s="1"/>
  <c r="F4" i="16"/>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I15" i="16"/>
  <c r="I4" i="16" s="1"/>
  <c r="H15" i="16"/>
  <c r="H4" i="16" s="1"/>
  <c r="F15" i="44" a="1"/>
  <c r="F15" i="44" s="1"/>
  <c r="F4" i="44" s="1"/>
  <c r="L4" i="5"/>
  <c r="J4" i="5"/>
  <c r="AL4" i="5"/>
  <c r="BU4" i="5"/>
  <c r="AV4" i="5"/>
  <c r="BV4" i="5"/>
  <c r="AM4" i="5"/>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H15" i="44" l="1"/>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N4" i="9"/>
  <c r="W4" i="9"/>
  <c r="I4" i="9" l="1"/>
  <c r="Z4" i="9"/>
  <c r="O4" i="9"/>
  <c r="V4" i="9" s="1"/>
  <c r="AA4" i="9"/>
  <c r="X4" i="9"/>
  <c r="Y4" i="9" s="1"/>
  <c r="K4" i="9" l="1"/>
  <c r="CH4" i="5"/>
  <c r="BI15" i="46" l="1" a="1"/>
  <c r="BI15" i="46" s="1"/>
  <c r="BI4" i="46" s="1"/>
  <c r="AP4" i="5"/>
  <c r="AU15" i="5"/>
  <c r="AU4" i="5" s="1"/>
  <c r="AT4" i="5" s="1"/>
  <c r="BI15" i="5" l="1"/>
  <c r="BI4" i="5" s="1"/>
  <c r="BN15" i="5" l="1"/>
  <c r="BX15" i="5" s="1"/>
  <c r="BM4" i="5"/>
  <c r="BJ15" i="5"/>
  <c r="BK15" i="5" s="1"/>
  <c r="BN4" i="5"/>
  <c r="BW4" i="5" s="1"/>
  <c r="BX4" i="5"/>
  <c r="BJ4" i="5"/>
  <c r="BD4" i="5" s="1"/>
  <c r="BQ15" i="5"/>
  <c r="BS15" i="5" s="1"/>
  <c r="BS4" i="5" s="1"/>
  <c r="BL15" i="5" l="1"/>
  <c r="BK4" i="5"/>
  <c r="H15" i="6"/>
  <c r="BQ4" i="5"/>
  <c r="BY15" i="5"/>
  <c r="H4" i="6" l="1"/>
  <c r="K15" i="6"/>
  <c r="K4" i="6" s="1"/>
  <c r="CA15" i="5"/>
  <c r="BY4" i="5"/>
  <c r="CB15" i="5"/>
  <c r="BG4" i="5"/>
  <c r="BL4" i="5"/>
  <c r="CX15" i="5" l="1"/>
  <c r="CC15" i="5"/>
  <c r="CJ15" i="5" s="1"/>
  <c r="AG15" i="10"/>
  <c r="AG4" i="10" s="1"/>
  <c r="AH4" i="10" s="1"/>
  <c r="CB4" i="5"/>
  <c r="Z15" i="8"/>
  <c r="H15" i="12" a="1"/>
  <c r="H15" i="12" s="1"/>
  <c r="V15" i="8"/>
  <c r="V4" i="8" s="1"/>
  <c r="W4" i="8" s="1"/>
  <c r="Y15" i="8"/>
  <c r="AZ15" i="7"/>
  <c r="AZ4" i="7" s="1"/>
  <c r="AA15" i="8"/>
  <c r="CI15" i="5" l="1"/>
  <c r="O15" i="12" a="1"/>
  <c r="O15" i="12" s="1"/>
  <c r="O4" i="12" s="1"/>
  <c r="CX4" i="5"/>
  <c r="CP4" i="5"/>
  <c r="CL4" i="5"/>
  <c r="CN4" i="5"/>
  <c r="CA4" i="5"/>
  <c r="CK4" i="5"/>
  <c r="CO4" i="5"/>
  <c r="CJ4" i="5"/>
  <c r="BC4" i="5"/>
  <c r="CM4" i="5"/>
  <c r="X15" i="8"/>
  <c r="AI15" i="10"/>
  <c r="BC15" i="7"/>
  <c r="AJ15" i="10"/>
  <c r="BD15" i="7"/>
  <c r="CV15" i="5"/>
  <c r="CW15" i="5" s="1"/>
  <c r="CC4" i="5"/>
  <c r="CQ4" i="5" s="1"/>
  <c r="CT15" i="5"/>
  <c r="CU15" i="5" s="1"/>
  <c r="AX15" i="12"/>
  <c r="T15" i="12"/>
  <c r="BG15" i="12"/>
  <c r="BC15" i="12"/>
  <c r="AI15" i="12"/>
  <c r="BI15" i="12"/>
  <c r="H4" i="12"/>
  <c r="AU15" i="12"/>
  <c r="AR15" i="12"/>
  <c r="AG15" i="12"/>
  <c r="BO15" i="12"/>
  <c r="BO4" i="12" s="1"/>
  <c r="AL15" i="12"/>
  <c r="BP15" i="12"/>
  <c r="R15" i="12"/>
  <c r="BD15" i="12"/>
  <c r="AO15" i="12"/>
  <c r="S15" i="12"/>
  <c r="BJ15" i="12"/>
  <c r="BA15" i="12"/>
  <c r="U15" i="12"/>
  <c r="BM15" i="12"/>
  <c r="CP15" i="5" l="1"/>
  <c r="CI4" i="5"/>
  <c r="U15" i="36"/>
  <c r="U4" i="36" s="1"/>
  <c r="AR4" i="12"/>
  <c r="AS15" i="12"/>
  <c r="AS4" i="12" s="1"/>
  <c r="AX4" i="12"/>
  <c r="AA4" i="12" s="1"/>
  <c r="Y15" i="36"/>
  <c r="Y4" i="36" s="1"/>
  <c r="AY15" i="12"/>
  <c r="AY4" i="12" s="1"/>
  <c r="BJ4" i="12"/>
  <c r="AE4" i="12" s="1"/>
  <c r="AG15" i="36"/>
  <c r="AG4" i="36" s="1"/>
  <c r="BK15" i="12"/>
  <c r="BK4" i="12" s="1"/>
  <c r="I15" i="12" a="1"/>
  <c r="I15" i="12" s="1"/>
  <c r="CT4" i="5"/>
  <c r="O15" i="36" a="1"/>
  <c r="O15" i="36" s="1"/>
  <c r="BH15" i="12"/>
  <c r="BH4" i="12" s="1"/>
  <c r="AE15" i="36"/>
  <c r="AE4" i="36" s="1"/>
  <c r="BG4" i="12"/>
  <c r="BE15" i="12"/>
  <c r="BE4" i="12" s="1"/>
  <c r="BD4" i="12"/>
  <c r="AC4" i="12" s="1"/>
  <c r="AC15" i="36"/>
  <c r="AC4" i="36" s="1"/>
  <c r="S4" i="12"/>
  <c r="Y4" i="12"/>
  <c r="T4" i="12"/>
  <c r="U4" i="12"/>
  <c r="R4" i="12"/>
  <c r="J15" i="12" a="1"/>
  <c r="J15" i="12" s="1"/>
  <c r="CV4"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ART, &amp; the planned Eligibility rate of those recently initiated on ART.</t>
        </r>
      </text>
    </comment>
    <comment ref="BL3" authorId="0" shapeId="0" xr:uid="{8278BCFD-9DCD-5345-919F-12C9F93E07E6}">
      <text>
        <r>
          <rPr>
            <sz val="10"/>
            <color rgb="FF000000"/>
            <rFont val="Tahoma"/>
            <family val="2"/>
          </rPr>
          <t>Where Final Coverage Rates are less or more than 100%, return and review proposed PopVLS Rates (FY23) in the VL_SUPPRESSION_SUBNAT section.</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<sst xmlns="http://schemas.openxmlformats.org/spreadsheetml/2006/main" count="6224" uniqueCount="1239">
  <si>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</si>
  <si>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</si>
  <si>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</si>
  <si>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</si>
  <si>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</si>
  <si>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</si>
  <si>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</si>
  <si>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</si>
  <si>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</si>
  <si>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</si>
  <si>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</si>
  <si>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</si>
  <si>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</si>
  <si>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</si>
  <si>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</si>
  <si>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</si>
  <si>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</si>
  <si>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</si>
  <si>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</si>
  <si>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</si>
  <si>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</si>
  <si>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</si>
  <si>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</si>
  <si>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</si>
  <si>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</si>
  <si>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</si>
  <si>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</si>
  <si>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</si>
  <si>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</si>
  <si>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</si>
  <si>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</si>
  <si>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</si>
  <si>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</si>
  <si>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</si>
  <si>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</si>
  <si>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</si>
  <si>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</si>
  <si>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</si>
  <si>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</si>
  <si>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</si>
  <si>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</si>
  <si>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</si>
  <si>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</si>
  <si>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</si>
  <si>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</si>
  <si>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</si>
  <si>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</si>
  <si>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</si>
  <si>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</si>
  <si>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</si>
  <si>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</si>
  <si>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</si>
  <si>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</si>
  <si>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</si>
  <si>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</si>
  <si>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</si>
  <si>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</si>
  <si>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</si>
  <si>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</si>
  <si>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</si>
  <si>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</si>
  <si>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</si>
  <si>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</si>
  <si>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</si>
  <si>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</si>
  <si>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</si>
  <si>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</si>
  <si>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</si>
  <si>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</si>
  <si>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</si>
  <si>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</si>
  <si>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</si>
  <si>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</si>
  <si>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</si>
  <si>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</si>
  <si>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</si>
  <si>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</si>
  <si>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</si>
  <si>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</si>
  <si>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</si>
  <si>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</si>
  <si>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</si>
  <si>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</si>
  <si>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</si>
  <si>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</si>
  <si>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</si>
  <si>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</si>
  <si>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</si>
  <si>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</si>
  <si>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</si>
  <si>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</si>
  <si>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</si>
  <si>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</si>
  <si>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</si>
  <si>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</si>
  <si>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</si>
  <si>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</si>
  <si>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</si>
  <si>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</si>
  <si>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</si>
  <si>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</si>
  <si>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</si>
  <si>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</si>
  <si>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</si>
  <si>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</si>
  <si>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</si>
  <si>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</si>
  <si>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</si>
  <si>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</si>
  <si>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</si>
  <si>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</si>
  <si>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</si>
  <si>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</si>
  <si>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</si>
  <si>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</si>
  <si>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</si>
  <si>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</si>
  <si>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</si>
  <si>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</si>
  <si>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</si>
  <si>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</si>
  <si>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</si>
  <si>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</si>
  <si>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</si>
  <si>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</si>
  <si>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</si>
  <si>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</si>
  <si>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</si>
  <si>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</si>
  <si>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</si>
  <si>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</si>
  <si>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</si>
  <si>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</si>
  <si>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</si>
  <si>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</si>
  <si>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</si>
  <si>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</si>
  <si>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</si>
  <si>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</si>
  <si>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</si>
  <si>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</si>
  <si>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</si>
  <si>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</si>
  <si>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</si>
  <si>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</si>
  <si>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</si>
  <si>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</si>
  <si>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</si>
  <si>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</si>
  <si>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</si>
  <si>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</si>
  <si>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</si>
  <si>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</si>
  <si>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</si>
  <si>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</si>
  <si>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</si>
  <si>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</si>
  <si>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</si>
  <si>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</si>
  <si>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</si>
  <si>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</si>
  <si>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</si>
  <si>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</si>
  <si>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</si>
  <si>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</si>
  <si>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</si>
  <si>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</si>
  <si>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</si>
  <si>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</si>
  <si>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</si>
  <si>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</si>
  <si>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</si>
  <si>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</si>
  <si>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</si>
  <si>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</si>
  <si>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</si>
  <si>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</si>
  <si>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</si>
  <si>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</si>
  <si>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</si>
  <si>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</si>
  <si>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</si>
  <si>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</si>
  <si>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</si>
  <si>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</si>
  <si>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</si>
  <si>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</si>
  <si>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</si>
  <si>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</si>
  <si>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</si>
  <si>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</si>
  <si>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</si>
  <si>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</si>
  <si>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</si>
  <si>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</si>
  <si>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</si>
  <si>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</si>
  <si>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</si>
  <si>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</si>
  <si>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</si>
  <si>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</si>
  <si>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</si>
  <si>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</si>
  <si>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</si>
  <si>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</si>
  <si>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</si>
  <si>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</si>
  <si>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</si>
  <si>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</si>
  <si>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</si>
  <si>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</si>
  <si>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</si>
  <si>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</si>
  <si>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</si>
  <si>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</si>
  <si>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</si>
  <si>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</si>
  <si>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</si>
  <si>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</si>
  <si>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</si>
  <si>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</si>
  <si>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</si>
  <si>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</si>
  <si>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</si>
  <si>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</si>
  <si>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</si>
  <si>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</si>
  <si>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</si>
  <si>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</si>
  <si>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</si>
  <si>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</si>
  <si>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</si>
  <si>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</si>
  <si>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</si>
  <si>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</si>
  <si>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</si>
  <si>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</si>
  <si>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</si>
  <si>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</si>
  <si>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</si>
  <si>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</si>
  <si>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</si>
  <si>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</si>
  <si>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</si>
  <si>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</si>
  <si>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</si>
  <si>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</si>
  <si>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</si>
  <si>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</si>
  <si>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</si>
  <si>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</si>
  <si>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</si>
  <si>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</si>
  <si>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</si>
  <si>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</si>
  <si>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</si>
  <si>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</si>
  <si>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</si>
  <si>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</si>
  <si>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</si>
  <si>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</si>
  <si>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</si>
  <si>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</si>
  <si>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</si>
  <si>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</si>
  <si>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</si>
  <si>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</si>
  <si>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</si>
  <si>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</si>
  <si>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</si>
  <si>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</si>
  <si>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</si>
  <si>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</si>
  <si>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</si>
  <si>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</si>
  <si>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</si>
  <si>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</si>
  <si>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</si>
  <si>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</si>
  <si>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</si>
  <si>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</si>
  <si>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</si>
  <si>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</si>
  <si>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</si>
  <si>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</si>
  <si>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</si>
  <si>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</si>
  <si>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</si>
  <si>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</si>
  <si>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</si>
  <si>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</si>
  <si>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</si>
  <si>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</si>
  <si>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</si>
  <si>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</si>
  <si>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</si>
  <si>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</si>
  <si>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</si>
  <si>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</si>
  <si>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</si>
  <si>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</si>
  <si>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</si>
  <si>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</si>
  <si>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</si>
  <si>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</si>
  <si>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</si>
  <si>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</si>
  <si>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</si>
  <si>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</si>
  <si>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</si>
  <si>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</si>
  <si>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</si>
  <si>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</si>
  <si>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</si>
  <si>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</si>
  <si>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</si>
  <si>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</si>
  <si>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</si>
  <si>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</si>
  <si>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</si>
  <si>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</si>
  <si>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</si>
  <si>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</si>
  <si>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</si>
  <si>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</si>
  <si>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</si>
  <si>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</si>
  <si>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</si>
  <si>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</si>
  <si>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</si>
  <si>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</si>
  <si>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</si>
  <si>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</si>
  <si>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</si>
  <si>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</si>
  <si>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</si>
  <si>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</si>
  <si>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</si>
  <si>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</si>
  <si>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</si>
  <si>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</si>
  <si>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</si>
  <si>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</si>
  <si>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</si>
  <si>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</si>
  <si>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</si>
  <si>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</si>
  <si>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</si>
  <si>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</si>
  <si>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</si>
  <si>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</si>
  <si>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</si>
  <si>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</si>
  <si>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</si>
  <si>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</si>
  <si>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</si>
  <si>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</si>
  <si>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</si>
  <si>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</si>
  <si>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</si>
  <si>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</si>
  <si>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</si>
  <si>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</si>
  <si>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</si>
  <si>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</si>
  <si>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</si>
  <si>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</si>
  <si>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</si>
  <si>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</si>
  <si>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</si>
  <si>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</si>
  <si>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</si>
  <si>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</si>
  <si>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</si>
  <si>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</si>
  <si>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</si>
  <si>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</si>
  <si>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</si>
  <si>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</si>
  <si>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</si>
  <si>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</si>
  <si>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</si>
  <si>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</si>
  <si>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</si>
  <si>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</si>
  <si>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</si>
  <si>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</si>
  <si>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</si>
  <si>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</si>
  <si>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</si>
  <si>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</si>
  <si>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</si>
  <si>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</si>
  <si>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</si>
  <si>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</si>
  <si>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</si>
  <si>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</si>
  <si>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</si>
  <si>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</si>
  <si>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</si>
  <si>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</si>
  <si>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</si>
  <si>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</si>
  <si>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</si>
  <si>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</si>
  <si>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</si>
  <si>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</si>
  <si>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</si>
  <si>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</si>
  <si>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</si>
  <si>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</si>
  <si>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</si>
  <si>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</si>
  <si>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</si>
  <si>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</si>
  <si>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</si>
  <si>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</si>
  <si>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</si>
  <si>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</si>
  <si>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</si>
  <si>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</si>
  <si>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</si>
  <si>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</si>
  <si>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</si>
  <si>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</si>
  <si>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</si>
  <si>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</si>
  <si>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</si>
  <si>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</si>
  <si>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</si>
  <si>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</si>
  <si>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</si>
  <si>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</si>
  <si>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</si>
  <si>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</si>
  <si>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</si>
  <si>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</si>
  <si>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</si>
  <si>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</si>
  <si>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</si>
  <si>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</si>
  <si>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</si>
  <si>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</si>
  <si>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</si>
  <si>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</si>
  <si>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</si>
  <si>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</si>
  <si>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</si>
  <si>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</si>
  <si>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</si>
  <si>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</si>
  <si>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</si>
  <si>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</si>
  <si>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</si>
  <si>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</si>
  <si>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</si>
  <si>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</si>
  <si>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</si>
  <si>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</si>
  <si>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</si>
  <si>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</si>
  <si>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</si>
  <si>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</si>
  <si>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</si>
  <si>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</si>
  <si>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</si>
  <si>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</si>
  <si>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</si>
  <si>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</si>
  <si>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</si>
  <si>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</si>
  <si>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</si>
  <si>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</si>
  <si>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</si>
  <si>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</si>
  <si>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</si>
  <si>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</si>
  <si>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</si>
  <si>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</si>
  <si>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</si>
  <si>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</si>
  <si>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</si>
  <si>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</si>
  <si>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</si>
  <si>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</si>
  <si>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</si>
  <si>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</si>
  <si>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</si>
  <si>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</si>
  <si>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</si>
  <si>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</si>
  <si>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</si>
  <si>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</si>
  <si>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</si>
  <si>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</si>
  <si>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</si>
  <si>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</si>
  <si>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</si>
  <si>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</si>
  <si>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</si>
  <si>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</si>
  <si>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</si>
  <si>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</si>
  <si>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</si>
  <si>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</si>
  <si>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</si>
  <si>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</si>
  <si>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</si>
  <si>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</si>
  <si>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</si>
  <si>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</si>
  <si>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</si>
  <si>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</si>
  <si>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</si>
  <si>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</si>
  <si>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</si>
  <si>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</si>
  <si>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</si>
  <si>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</si>
  <si>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</si>
  <si>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</si>
  <si>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</si>
  <si>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</si>
  <si>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</si>
  <si>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</si>
  <si>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</si>
  <si>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</si>
  <si>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</si>
  <si>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</si>
  <si>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</si>
  <si>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</si>
  <si>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</si>
  <si>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</si>
  <si>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</si>
  <si>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</si>
  <si>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</si>
  <si>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</si>
  <si>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</si>
  <si>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</si>
  <si>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</si>
  <si>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</si>
  <si>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</si>
  <si>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</si>
  <si>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</si>
  <si>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</si>
  <si>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</si>
  <si>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</si>
  <si>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</si>
  <si>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</si>
  <si>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</si>
  <si>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</si>
  <si>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</si>
  <si>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</si>
  <si>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</si>
  <si>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</si>
  <si>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</si>
  <si>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</si>
  <si>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</si>
  <si>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</si>
  <si>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</si>
  <si>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</si>
  <si>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</si>
  <si>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</si>
  <si>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</si>
  <si>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</si>
  <si>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</si>
  <si>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</si>
  <si>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</si>
  <si>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</si>
  <si>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</si>
  <si>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</si>
  <si>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</si>
  <si>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</si>
  <si>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</si>
  <si>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</si>
  <si>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</si>
  <si>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</si>
  <si>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</si>
  <si>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</si>
  <si>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</si>
  <si>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</si>
  <si>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</si>
  <si>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</si>
  <si>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</si>
  <si>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</si>
  <si>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</si>
  <si>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</si>
  <si>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</si>
  <si>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</si>
  <si>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</si>
  <si>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</si>
  <si>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</si>
  <si>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</si>
  <si>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</si>
  <si>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</si>
  <si>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</si>
  <si>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</si>
  <si>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</si>
  <si>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</si>
  <si>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</si>
  <si>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</si>
  <si>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</si>
  <si>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</si>
  <si>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</si>
  <si>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</si>
  <si>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</si>
  <si>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</si>
  <si>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</si>
  <si>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</si>
  <si>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</si>
  <si>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</si>
  <si>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</si>
  <si>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</si>
  <si>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</si>
  <si>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</si>
  <si>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</si>
  <si>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</si>
  <si>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</si>
  <si>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</si>
  <si>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</si>
  <si>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</si>
  <si>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</si>
  <si>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</si>
  <si>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</si>
  <si>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</si>
  <si>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</si>
  <si>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</si>
  <si>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</si>
  <si>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</si>
  <si>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</si>
  <si>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</si>
  <si>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</si>
  <si>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</si>
  <si>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</si>
  <si>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</si>
  <si>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</si>
  <si>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</si>
  <si>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</si>
  <si>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</si>
  <si>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</si>
  <si>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</si>
  <si>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</si>
  <si>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</si>
  <si>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</si>
  <si>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</si>
  <si>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</si>
  <si>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</si>
  <si>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</si>
  <si>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</si>
  <si>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</si>
  <si>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</si>
  <si>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</si>
  <si>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</si>
  <si>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</si>
  <si>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</si>
  <si>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</si>
  <si>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</si>
  <si>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</si>
  <si>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</si>
  <si>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</si>
  <si>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</si>
  <si>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</si>
  <si>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</si>
  <si>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</si>
  <si>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</si>
  <si>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</si>
  <si>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</si>
  <si>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</si>
  <si>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</si>
  <si>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</si>
  <si>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</si>
  <si>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</si>
  <si>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</si>
  <si>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</si>
  <si>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</si>
  <si>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</si>
  <si>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</si>
  <si>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</si>
  <si>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</si>
  <si>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</si>
  <si>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</si>
  <si>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</si>
  <si>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</si>
  <si>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</si>
  <si>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</si>
  <si>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</si>
  <si>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</si>
  <si>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</si>
  <si>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</si>
  <si>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</si>
  <si>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</si>
  <si>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</si>
  <si>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</si>
  <si>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</si>
  <si>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</si>
  <si>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</si>
  <si>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</si>
  <si>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</si>
  <si>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</si>
  <si>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</si>
  <si>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</si>
  <si>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</si>
  <si>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</si>
  <si>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</si>
  <si>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</si>
  <si>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</si>
  <si>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</si>
  <si>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</si>
  <si>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</si>
  <si>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</si>
  <si>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</si>
  <si>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</si>
  <si>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</si>
  <si>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</si>
  <si>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</si>
  <si>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</si>
  <si>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</si>
  <si>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</si>
  <si>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</si>
  <si>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</si>
  <si>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</si>
  <si>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</si>
  <si>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</si>
  <si>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</si>
  <si>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</si>
  <si>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</si>
  <si>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</si>
  <si>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</si>
  <si>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</si>
  <si>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</si>
  <si>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</si>
  <si>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</si>
  <si>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</si>
  <si>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</si>
  <si>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</si>
  <si>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</si>
  <si>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</si>
  <si>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</si>
  <si>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</si>
  <si>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</si>
  <si>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</si>
  <si>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</si>
  <si>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</si>
  <si>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</si>
  <si>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</si>
  <si>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</si>
  <si>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</si>
  <si>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</si>
  <si>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</si>
  <si>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</si>
  <si>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</si>
  <si>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</si>
  <si>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</si>
  <si>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</si>
  <si>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</si>
  <si>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</si>
  <si>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</si>
  <si>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</si>
  <si>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</si>
  <si>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TX_CURR_SUBNAT</t>
  </si>
  <si>
    <t>VL_SUPPRESSION_SUBNAT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</si>
  <si>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</si>
  <si>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</si>
  <si>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</si>
  <si>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</si>
  <si>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</si>
  <si>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</si>
  <si>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</si>
  <si>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</si>
  <si>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</si>
  <si>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</si>
  <si>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</si>
  <si>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</si>
  <si>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</si>
  <si>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</si>
  <si>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</si>
  <si>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</si>
  <si>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</si>
  <si>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</si>
  <si>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</si>
  <si>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</si>
  <si>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</si>
  <si>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</si>
  <si>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</si>
  <si>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</si>
  <si>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</si>
  <si>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</si>
  <si>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</si>
  <si>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</si>
  <si>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</si>
  <si>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</si>
  <si>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</si>
  <si>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</si>
  <si>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</si>
  <si>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</si>
  <si>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</si>
  <si>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</si>
  <si>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</si>
  <si>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</si>
  <si>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</si>
  <si>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</si>
  <si>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</si>
  <si>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</si>
  <si>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</si>
  <si>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</si>
  <si>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</si>
  <si>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</si>
  <si>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</si>
  <si>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</si>
  <si>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</si>
  <si>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</si>
  <si>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</si>
  <si>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</si>
  <si>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</si>
  <si>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</si>
  <si>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</si>
  <si>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</si>
  <si>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</si>
  <si>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</si>
  <si>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</si>
  <si>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</si>
  <si>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</si>
  <si>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</si>
  <si>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</si>
  <si>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</si>
  <si>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</si>
  <si>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</si>
  <si>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</si>
  <si>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</si>
  <si>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</si>
  <si>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</si>
  <si>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</si>
  <si>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</si>
  <si>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</si>
  <si>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</si>
  <si>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</si>
  <si>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</si>
  <si>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</si>
  <si>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</si>
  <si>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</si>
  <si>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</si>
  <si>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</si>
  <si>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</si>
  <si>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</si>
  <si>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</si>
  <si>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</si>
  <si>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</si>
  <si>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</si>
  <si>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</si>
  <si>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</si>
  <si>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</si>
  <si>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</si>
  <si>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</si>
  <si>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</si>
  <si>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</si>
  <si>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</si>
  <si>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</si>
  <si>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</si>
  <si>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</si>
  <si>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</si>
  <si>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</si>
  <si>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</si>
  <si>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</si>
  <si>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</si>
  <si>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</si>
  <si>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</si>
  <si>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</si>
  <si>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</si>
  <si>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</si>
  <si>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</si>
  <si>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</si>
  <si>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</si>
  <si>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</si>
  <si>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</si>
  <si>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</si>
  <si>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</si>
  <si>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</si>
  <si>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</si>
  <si>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</si>
  <si>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</si>
  <si>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</si>
  <si>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</si>
  <si>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</si>
  <si>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</si>
  <si>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</si>
  <si>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</si>
  <si>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</si>
  <si>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</si>
  <si>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</si>
  <si>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</si>
  <si>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</si>
  <si>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</si>
  <si>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</si>
  <si>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</si>
  <si>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</si>
  <si>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</si>
  <si>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</si>
  <si>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</si>
  <si>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</si>
  <si>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</si>
  <si>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</si>
  <si>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</si>
  <si>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</si>
  <si>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</si>
  <si>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</si>
  <si>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</si>
  <si>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</si>
  <si>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</si>
  <si>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</si>
  <si>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</si>
  <si>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</si>
  <si>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</si>
  <si>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</si>
  <si>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</si>
  <si>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</si>
  <si>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</si>
  <si>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</si>
  <si>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</si>
  <si>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</si>
  <si>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</si>
  <si>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</si>
  <si>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</si>
  <si>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</si>
  <si>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</si>
  <si>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</si>
  <si>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</si>
  <si>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</si>
  <si>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</si>
  <si>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</si>
  <si>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</si>
  <si>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</si>
  <si>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</si>
  <si>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</si>
  <si>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</si>
  <si>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</si>
  <si>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</si>
  <si>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</si>
  <si>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</si>
  <si>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</si>
  <si>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</si>
  <si>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</si>
  <si>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</si>
  <si>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</si>
  <si>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</si>
  <si>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</si>
  <si>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</si>
  <si>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</si>
  <si>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</si>
  <si>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</si>
  <si>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</si>
  <si>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</si>
  <si>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</si>
  <si>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</si>
  <si>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</si>
  <si>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</si>
  <si>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</si>
  <si>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</si>
  <si>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</si>
  <si>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</si>
  <si>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</si>
  <si>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</si>
  <si>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</si>
  <si>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</si>
  <si>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</si>
  <si>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</si>
  <si>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</si>
  <si>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</si>
  <si>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</si>
  <si>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</si>
  <si>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</si>
  <si>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</si>
  <si>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</si>
  <si>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</si>
  <si>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</si>
  <si>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</si>
  <si>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</si>
  <si>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</si>
  <si>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</si>
  <si>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</si>
  <si>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</si>
  <si>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</si>
  <si>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</si>
  <si>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</si>
  <si>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</si>
  <si>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</si>
  <si>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</si>
  <si>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</si>
  <si>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</si>
  <si>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</si>
  <si>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</si>
  <si>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</si>
  <si>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</si>
  <si>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</si>
  <si>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</si>
  <si>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</si>
  <si>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</si>
  <si>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</si>
  <si>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</si>
  <si>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</si>
  <si>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</si>
  <si>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</si>
  <si>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</si>
  <si>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</si>
  <si>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</si>
  <si>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</si>
  <si>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</si>
  <si>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</si>
  <si>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</si>
  <si>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</si>
  <si>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</si>
  <si>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</si>
  <si>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</si>
  <si>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</si>
  <si>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</si>
  <si>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</si>
  <si>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</si>
  <si>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</si>
  <si>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</si>
  <si>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</si>
  <si>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</si>
  <si>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</si>
  <si>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</si>
  <si>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</si>
  <si>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</si>
  <si>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</si>
  <si>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</si>
  <si>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</si>
  <si>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</si>
  <si>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</si>
  <si>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</si>
  <si>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</si>
  <si>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</si>
  <si>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</si>
  <si>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</si>
  <si>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</si>
  <si>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</si>
  <si>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</si>
  <si>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</si>
  <si>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</si>
  <si>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</si>
  <si>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</si>
  <si>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</si>
  <si>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</si>
  <si>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</si>
  <si>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</si>
  <si>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</si>
  <si>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</si>
  <si>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</si>
  <si>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</si>
  <si>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</si>
  <si>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</si>
  <si>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</si>
  <si>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</si>
  <si>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</si>
  <si>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</si>
  <si>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</si>
  <si>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</si>
  <si>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</si>
  <si>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</si>
  <si>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</si>
  <si>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</si>
  <si>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</si>
  <si>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</si>
  <si>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</si>
  <si>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</si>
  <si>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</si>
  <si>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</si>
  <si>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</si>
  <si>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</si>
  <si>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</si>
  <si>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</si>
  <si>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</si>
  <si>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</si>
  <si>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</si>
  <si>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</si>
  <si>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</si>
  <si>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</si>
  <si>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</si>
  <si>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</si>
  <si>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</si>
  <si>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</si>
  <si>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</si>
  <si>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</si>
  <si>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</si>
  <si>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</si>
  <si>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</si>
  <si>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</si>
  <si>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</si>
  <si>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</si>
  <si>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</si>
  <si>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</si>
  <si>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</si>
  <si>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</si>
  <si>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</si>
  <si>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</si>
  <si>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</si>
  <si>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</si>
  <si>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</si>
  <si>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</si>
  <si>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</si>
  <si>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</si>
  <si>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</si>
  <si>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</si>
  <si>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</si>
  <si>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</si>
  <si>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</si>
  <si>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</si>
  <si>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</si>
  <si>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</si>
  <si>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</si>
  <si>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</si>
  <si>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</si>
  <si>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</si>
  <si>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</si>
  <si>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</si>
  <si>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</si>
  <si>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</si>
  <si>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</si>
  <si>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</si>
  <si>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</si>
  <si>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</si>
  <si>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</si>
  <si>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</si>
  <si>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</si>
  <si>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</si>
  <si>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</si>
  <si>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</si>
  <si>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</si>
  <si>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</si>
  <si>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</si>
  <si>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</si>
  <si>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</si>
  <si>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</si>
  <si>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</si>
  <si>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</si>
  <si>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</si>
  <si>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</si>
  <si>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</si>
  <si>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</si>
  <si>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</si>
  <si>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</si>
  <si>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</si>
  <si>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</si>
  <si>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</si>
  <si>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</si>
  <si>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</si>
  <si>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</si>
  <si>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</si>
  <si>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</si>
  <si>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</si>
  <si>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</si>
  <si>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</si>
  <si>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</si>
  <si>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</si>
  <si>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</si>
  <si>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</si>
  <si>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</si>
  <si>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</si>
  <si>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</si>
  <si>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</si>
  <si>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</si>
  <si>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</si>
  <si>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</si>
  <si>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</si>
  <si>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</si>
  <si>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</si>
  <si>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</si>
  <si>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</si>
  <si>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</si>
  <si>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</si>
  <si>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 Prev. Infected TX_NEW from Prev. Diagnosed (FY23) (%)</t>
  </si>
  <si>
    <t>PLHIV.Undiagnosed.T_1</t>
  </si>
  <si>
    <t>DIAGNOSED_SUBNAT.NoART.T_1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</si>
  <si>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</si>
  <si>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</si>
  <si>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</si>
  <si>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</si>
  <si>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</si>
  <si>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</si>
  <si>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</si>
  <si>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</si>
  <si>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</si>
  <si>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</si>
  <si>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</si>
  <si>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</si>
  <si>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</si>
  <si>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</si>
  <si>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</si>
  <si>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</si>
  <si>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</si>
  <si>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</si>
  <si>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</si>
  <si>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</si>
  <si>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</si>
  <si>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</si>
  <si>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</si>
  <si>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</si>
  <si>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</si>
  <si>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</si>
  <si>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</si>
  <si>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</si>
  <si>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</si>
  <si>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</si>
  <si>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</si>
  <si>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</si>
  <si>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</si>
  <si>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</si>
  <si>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</si>
  <si>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</si>
  <si>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</si>
  <si>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</si>
  <si>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</si>
  <si>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</si>
  <si>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</si>
  <si>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</si>
  <si>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</si>
  <si>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</si>
  <si>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</si>
  <si>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</si>
  <si>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</si>
  <si>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New Infections Initiated on ART (FY23)</t>
  </si>
  <si>
    <t>Total Initiated on ART (FY23)</t>
  </si>
  <si>
    <t>% Prev. Infections Initiated on ART who are Treatment Naive (FY23) (%)</t>
  </si>
  <si>
    <t>Prev. Infections Initiated on ART (FY23)</t>
  </si>
  <si>
    <t>Host Country Est. Number of Vulnerable AGYW (FY22)</t>
  </si>
  <si>
    <t>NEW_INFECTIONS_SUBNAT.ART.Rt.T</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</si>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</sst>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49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0" fontId="0" fillId="0" borderId="0" xfId="0"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2" xfId="0" applyNumberFormat="1" applyFont="1" applyBorder="1"/>
    <xf numFmtId="3" fontId="24" fillId="3" borderId="0" xfId="0" applyNumberFormat="1" applyFont="1" applyFill="1" applyBorder="1" applyAlignment="1">
      <alignment horizontal="left"/>
    </xf>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6" fillId="0" borderId="0" xfId="0" applyNumberFormat="1" applyFont="1" applyBorder="1"/>
    <xf numFmtId="3" fontId="22" fillId="0" borderId="0" xfId="0" applyNumberFormat="1" applyFont="1" applyBorder="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5" fillId="0" borderId="2" xfId="1" applyNumberFormat="1" applyFont="1" applyBorder="1"/>
    <xf numFmtId="9" fontId="0" fillId="0" borderId="2" xfId="1" applyNumberFormat="1" applyFont="1" applyBorder="1" applyAlignment="1">
      <alignment horizontal="right"/>
    </xf>
    <xf numFmtId="9" fontId="0" fillId="0" borderId="2" xfId="1" applyNumberFormat="1" applyFont="1" applyBorder="1"/>
    <xf numFmtId="9" fontId="27" fillId="3" borderId="2" xfId="1" applyNumberFormat="1" applyFont="1" applyFill="1" applyBorder="1" applyAlignment="1">
      <alignment horizontal="left"/>
    </xf>
    <xf numFmtId="9" fontId="25" fillId="0" borderId="2" xfId="1" applyNumberFormat="1" applyFont="1" applyBorder="1"/>
    <xf numFmtId="9" fontId="4" fillId="4" borderId="2"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25" fillId="2" borderId="0" xfId="0" applyNumberFormat="1" applyFont="1" applyFill="1" applyBorder="1" applyAlignment="1">
      <alignment horizontal="center" vertical="center" wrapText="1"/>
    </xf>
    <xf numFmtId="9" fontId="25" fillId="0" borderId="0" xfId="0" applyNumberFormat="1" applyFont="1" applyBorder="1" applyAlignment="1">
      <alignment horizontal="right"/>
    </xf>
    <xf numFmtId="9" fontId="0" fillId="0" borderId="0" xfId="0" applyNumberFormat="1" applyFont="1" applyBorder="1"/>
    <xf numFmtId="9" fontId="27" fillId="3" borderId="0" xfId="0" applyNumberFormat="1" applyFont="1" applyFill="1" applyBorder="1" applyAlignment="1">
      <alignment horizontal="left"/>
    </xf>
    <xf numFmtId="9" fontId="25"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9" fontId="25" fillId="6"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5" fillId="0" borderId="0" xfId="0" applyNumberFormat="1" applyFont="1" applyBorder="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6" borderId="0" xfId="1" applyNumberFormat="1" applyFont="1" applyFill="1" applyAlignment="1">
      <alignment horizontal="center" vertical="center" wrapText="1"/>
    </xf>
    <xf numFmtId="9" fontId="25" fillId="0" borderId="0" xfId="1" applyNumberFormat="1" applyFont="1" applyAlignment="1">
      <alignment horizontal="right"/>
    </xf>
    <xf numFmtId="9" fontId="24" fillId="3" borderId="0" xfId="1" applyNumberFormat="1" applyFont="1" applyFill="1"/>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25" fillId="0" borderId="0" xfId="1" applyNumberFormat="1" applyFont="1" applyBorder="1"/>
    <xf numFmtId="9" fontId="16" fillId="4" borderId="0" xfId="1" applyNumberFormat="1" applyFont="1" applyFill="1" applyBorder="1" applyAlignment="1">
      <alignment vertical="center"/>
    </xf>
    <xf numFmtId="9" fontId="1" fillId="6"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24" fillId="3" borderId="0" xfId="1" applyNumberFormat="1" applyFont="1" applyFill="1" applyBorder="1" applyAlignment="1">
      <alignment horizontal="left"/>
    </xf>
    <xf numFmtId="9" fontId="6" fillId="0" borderId="0" xfId="1" applyNumberFormat="1" applyFont="1" applyBorder="1"/>
    <xf numFmtId="9" fontId="15" fillId="6"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2" fillId="0" borderId="0" xfId="1" applyNumberFormat="1" applyFont="1" applyBorder="1"/>
    <xf numFmtId="9" fontId="1" fillId="2" borderId="2" xfId="1" applyNumberFormat="1" applyFont="1" applyFill="1" applyBorder="1" applyAlignment="1">
      <alignment horizontal="center" vertical="center" wrapText="1"/>
    </xf>
    <xf numFmtId="9" fontId="24" fillId="3" borderId="2" xfId="1" applyNumberFormat="1" applyFont="1" applyFill="1" applyBorder="1" applyAlignment="1">
      <alignment horizontal="left"/>
    </xf>
    <xf numFmtId="9" fontId="9" fillId="0" borderId="0" xfId="1" applyNumberFormat="1" applyFont="1" applyBorder="1"/>
    <xf numFmtId="9" fontId="25" fillId="6" borderId="0" xfId="1" applyNumberFormat="1" applyFont="1" applyFill="1" applyBorder="1" applyAlignment="1">
      <alignment horizontal="center" vertical="center" wrapText="1"/>
    </xf>
    <xf numFmtId="9" fontId="1" fillId="6"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2" xfId="1" applyNumberFormat="1" applyFont="1" applyFill="1" applyBorder="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9" fontId="25" fillId="0" borderId="2" xfId="1" applyNumberFormat="1" applyFont="1" applyBorder="1" applyAlignment="1">
      <alignment horizontal="right"/>
    </xf>
    <xf numFmtId="9" fontId="25" fillId="0" borderId="0" xfId="1" applyNumberFormat="1" applyFont="1" applyBorder="1" applyAlignment="1">
      <alignment horizontal="right"/>
    </xf>
    <xf numFmtId="9" fontId="27" fillId="3" borderId="0" xfId="1" applyNumberFormat="1" applyFont="1" applyFill="1" applyBorder="1" applyAlignment="1">
      <alignment horizontal="left"/>
    </xf>
    <xf numFmtId="3" fontId="33" fillId="4" borderId="0" xfId="0" applyNumberFormat="1" applyFont="1" applyFill="1" applyBorder="1" applyAlignment="1">
      <alignment vertical="center"/>
    </xf>
    <xf numFmtId="3" fontId="25" fillId="0" borderId="0" xfId="0" applyNumberFormat="1" applyFont="1" applyBorder="1" applyAlignment="1">
      <alignment horizontal="right"/>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2" xfId="0" applyNumberFormat="1" applyFont="1" applyFill="1" applyBorder="1" applyAlignment="1">
      <alignment vertical="center"/>
    </xf>
    <xf numFmtId="3" fontId="22" fillId="0" borderId="2" xfId="0" applyNumberFormat="1" applyFont="1" applyBorder="1" applyAlignment="1">
      <alignment horizontal="right"/>
    </xf>
    <xf numFmtId="3" fontId="15" fillId="0" borderId="2" xfId="0" applyNumberFormat="1" applyFont="1" applyFill="1" applyBorder="1"/>
    <xf numFmtId="3" fontId="24" fillId="3" borderId="2" xfId="0" applyNumberFormat="1" applyFont="1" applyFill="1" applyBorder="1" applyAlignment="1">
      <alignment horizontal="left"/>
    </xf>
    <xf numFmtId="3" fontId="6" fillId="0" borderId="2" xfId="0" applyNumberFormat="1" applyFont="1" applyBorder="1"/>
    <xf numFmtId="3" fontId="22" fillId="0" borderId="2" xfId="1" applyNumberFormat="1" applyFont="1" applyBorder="1"/>
    <xf numFmtId="0" fontId="15" fillId="0" borderId="2" xfId="0" applyFont="1" applyBorder="1"/>
    <xf numFmtId="3" fontId="15" fillId="6" borderId="2" xfId="5" applyNumberFormat="1" applyFont="1" applyFill="1" applyBorder="1" applyAlignment="1">
      <alignment horizontal="center" vertical="center" wrapText="1"/>
    </xf>
    <xf numFmtId="3" fontId="9" fillId="0" borderId="2" xfId="1" quotePrefix="1" applyNumberFormat="1" applyFont="1" applyBorder="1"/>
    <xf numFmtId="3" fontId="15" fillId="6" borderId="2" xfId="1" applyNumberFormat="1" applyFont="1" applyFill="1" applyBorder="1" applyAlignment="1">
      <alignment horizontal="center" vertical="center" wrapText="1"/>
    </xf>
    <xf numFmtId="3" fontId="15" fillId="0" borderId="2" xfId="1" applyNumberFormat="1" applyFont="1" applyBorder="1" applyAlignment="1">
      <alignment horizontal="right"/>
    </xf>
    <xf numFmtId="3" fontId="15" fillId="0" borderId="2" xfId="1" applyNumberFormat="1" applyFont="1" applyBorder="1"/>
    <xf numFmtId="3" fontId="15" fillId="0" borderId="2" xfId="1" applyNumberFormat="1" applyFont="1" applyFill="1" applyBorder="1"/>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3" fontId="27" fillId="3" borderId="0" xfId="0" applyNumberFormat="1" applyFont="1" applyFill="1" applyBorder="1" applyAlignment="1">
      <alignment horizontal="left"/>
    </xf>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0" fillId="0" borderId="0"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68">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26</v>
      </c>
    </row>
    <row r="10" spans="2:2" ht="97" x14ac:dyDescent="0.2">
      <c r="B10" s="8" t="s">
        <v>776</v>
      </c>
    </row>
    <row r="20" spans="2:2" ht="82" x14ac:dyDescent="0.9">
      <c r="B20" s="4" t="s">
        <v>498</v>
      </c>
    </row>
    <row r="25" spans="2:2" x14ac:dyDescent="0.2">
      <c r="B25"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274</v>
      </c>
      <c r="E1" s="10" t="s">
        <v>499</v>
      </c>
      <c r="F1" s="10" t="s">
        <v>718</v>
      </c>
      <c r="G1" s="10" t="s">
        <v>292</v>
      </c>
      <c r="H1" s="10" t="s">
        <v>753</v>
      </c>
      <c r="I1" s="12" t="s">
        <v>293</v>
      </c>
      <c r="J1" s="10" t="s">
        <v>294</v>
      </c>
      <c r="K1" s="10" t="s">
        <v>295</v>
      </c>
      <c r="L1" s="10" t="s">
        <v>296</v>
      </c>
      <c r="M1" s="10" t="s">
        <v>717</v>
      </c>
      <c r="N1" s="10" t="s">
        <v>77</v>
      </c>
      <c r="O1" s="10" t="s">
        <v>290</v>
      </c>
      <c r="P1" s="10" t="s">
        <v>289</v>
      </c>
      <c r="Q1" s="10" t="s">
        <v>75</v>
      </c>
    </row>
    <row r="2" spans="2:17" ht="17" thickBot="1" x14ac:dyDescent="0.25">
      <c r="B2" s="15" t="s">
        <v>284</v>
      </c>
      <c r="C2" s="14" t="s">
        <v>78</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79</v>
      </c>
      <c r="D4" s="6"/>
      <c r="E4" s="6"/>
      <c r="F4" s="6"/>
      <c r="G4" s="6"/>
      <c r="H4" s="6"/>
      <c r="J4" s="6"/>
      <c r="K4" s="6"/>
      <c r="L4" s="6"/>
    </row>
    <row r="5" spans="2:17" x14ac:dyDescent="0.2">
      <c r="D5" s="6"/>
      <c r="E5" s="6"/>
      <c r="F5" s="6"/>
      <c r="G5" s="6"/>
      <c r="H5" s="6"/>
      <c r="J5" s="6"/>
      <c r="K5" s="6"/>
      <c r="L5" s="6"/>
    </row>
    <row r="6" spans="2:17" x14ac:dyDescent="0.2">
      <c r="B6" s="423" t="s">
        <v>277</v>
      </c>
      <c r="D6" s="6"/>
      <c r="E6" s="6"/>
      <c r="F6" s="6"/>
      <c r="G6" s="6"/>
      <c r="H6" s="6"/>
      <c r="J6" s="6"/>
      <c r="K6" s="6"/>
      <c r="L6" s="6"/>
    </row>
    <row r="7" spans="2:17" x14ac:dyDescent="0.2">
      <c r="B7" s="423"/>
      <c r="D7" s="6"/>
      <c r="E7" s="6"/>
      <c r="F7" s="6"/>
      <c r="G7" s="6"/>
      <c r="H7" s="6"/>
      <c r="J7" s="6"/>
      <c r="K7" s="6"/>
      <c r="L7" s="6"/>
    </row>
    <row r="8" spans="2:17" x14ac:dyDescent="0.2">
      <c r="B8" s="135"/>
      <c r="D8" s="6"/>
      <c r="E8" s="6"/>
      <c r="F8" s="6"/>
      <c r="G8" s="6"/>
      <c r="H8" s="6"/>
      <c r="J8" s="6"/>
      <c r="K8" s="6"/>
      <c r="L8" s="6"/>
    </row>
    <row r="9" spans="2:17" ht="17" x14ac:dyDescent="0.2">
      <c r="B9" s="135" t="s">
        <v>278</v>
      </c>
      <c r="D9" s="6"/>
      <c r="E9" s="6"/>
      <c r="F9" s="6"/>
      <c r="G9" s="6"/>
      <c r="H9" s="6"/>
      <c r="J9" s="6"/>
      <c r="K9" s="6"/>
      <c r="L9" s="6"/>
    </row>
    <row r="10" spans="2:17" x14ac:dyDescent="0.2">
      <c r="B10" s="135"/>
      <c r="D10" s="6"/>
      <c r="E10" s="6"/>
      <c r="F10" s="6"/>
      <c r="G10" s="6"/>
      <c r="H10" s="6"/>
      <c r="J10" s="6"/>
      <c r="K10" s="6"/>
      <c r="L10" s="6"/>
    </row>
    <row r="11" spans="2:17" x14ac:dyDescent="0.2">
      <c r="B11" s="423" t="s">
        <v>279</v>
      </c>
      <c r="D11" s="6"/>
      <c r="E11" s="6"/>
      <c r="F11" s="6"/>
      <c r="G11" s="6"/>
      <c r="H11" s="6"/>
      <c r="J11" s="6"/>
      <c r="K11" s="6"/>
      <c r="L11" s="6"/>
    </row>
    <row r="12" spans="2:17" x14ac:dyDescent="0.2">
      <c r="B12" s="423"/>
      <c r="D12" s="6"/>
      <c r="E12" s="6"/>
      <c r="F12" s="6"/>
      <c r="G12" s="6"/>
      <c r="H12" s="6"/>
      <c r="J12" s="6"/>
      <c r="K12" s="6"/>
      <c r="L12" s="6"/>
    </row>
    <row r="13" spans="2:17" x14ac:dyDescent="0.2">
      <c r="B13" s="135"/>
      <c r="D13" s="6"/>
      <c r="E13" s="6"/>
      <c r="F13" s="6"/>
      <c r="G13" s="6"/>
      <c r="H13" s="6"/>
      <c r="J13" s="6"/>
      <c r="K13" s="6"/>
      <c r="L13" s="6"/>
    </row>
    <row r="14" spans="2:17" ht="17" x14ac:dyDescent="0.2">
      <c r="B14" s="135" t="s">
        <v>280</v>
      </c>
      <c r="D14" s="6"/>
      <c r="E14" s="6"/>
      <c r="F14" s="6"/>
      <c r="G14" s="6"/>
      <c r="H14" s="6"/>
      <c r="J14" s="6"/>
      <c r="K14" s="6"/>
      <c r="L14" s="6"/>
    </row>
    <row r="15" spans="2:17" x14ac:dyDescent="0.2">
      <c r="B15" s="135"/>
      <c r="D15" s="6"/>
      <c r="E15" s="6"/>
      <c r="F15" s="6"/>
      <c r="G15" s="6"/>
      <c r="H15" s="6"/>
      <c r="J15" s="6"/>
      <c r="K15" s="6"/>
      <c r="L15" s="6"/>
    </row>
    <row r="16" spans="2:17" x14ac:dyDescent="0.2">
      <c r="B16" s="423" t="s">
        <v>281</v>
      </c>
      <c r="D16" s="6"/>
      <c r="E16" s="6"/>
      <c r="F16" s="6"/>
      <c r="G16" s="6"/>
      <c r="H16" s="6"/>
      <c r="J16" s="6"/>
      <c r="K16" s="6"/>
      <c r="L16" s="6"/>
    </row>
    <row r="17" spans="2:12" x14ac:dyDescent="0.2">
      <c r="B17" s="423"/>
      <c r="D17" s="6"/>
      <c r="E17" s="6"/>
      <c r="F17" s="6"/>
      <c r="G17" s="6"/>
      <c r="H17" s="6"/>
      <c r="J17" s="6"/>
      <c r="K17" s="6"/>
      <c r="L17" s="6"/>
    </row>
    <row r="18" spans="2:12" x14ac:dyDescent="0.2">
      <c r="B18" s="135"/>
      <c r="D18" s="6"/>
      <c r="E18" s="6"/>
      <c r="F18" s="6"/>
      <c r="G18" s="6"/>
      <c r="H18" s="6"/>
      <c r="J18" s="6"/>
      <c r="K18" s="6"/>
      <c r="L18" s="6"/>
    </row>
    <row r="19" spans="2:12" x14ac:dyDescent="0.2">
      <c r="B19" s="423" t="s">
        <v>282</v>
      </c>
      <c r="D19" s="6"/>
      <c r="E19" s="6"/>
      <c r="F19" s="6"/>
      <c r="G19" s="6"/>
      <c r="H19" s="6"/>
      <c r="J19" s="6"/>
      <c r="K19" s="6"/>
      <c r="L19" s="6"/>
    </row>
    <row r="20" spans="2:12" x14ac:dyDescent="0.2">
      <c r="B20" s="423"/>
      <c r="D20" s="6"/>
      <c r="E20" s="6"/>
      <c r="F20" s="6"/>
      <c r="G20" s="6"/>
      <c r="H20" s="6"/>
      <c r="J20" s="6"/>
      <c r="K20" s="6"/>
      <c r="L20" s="6"/>
    </row>
    <row r="21" spans="2:12" x14ac:dyDescent="0.2">
      <c r="D21" s="6"/>
      <c r="E21" s="6"/>
      <c r="F21" s="6"/>
      <c r="G21" s="6"/>
      <c r="H21" s="6"/>
      <c r="J21" s="6"/>
      <c r="K21" s="6"/>
      <c r="L21" s="6"/>
    </row>
    <row r="22" spans="2:12" ht="16" customHeight="1" x14ac:dyDescent="0.2">
      <c r="B22" s="135" t="s">
        <v>758</v>
      </c>
      <c r="D22" s="6"/>
      <c r="E22" s="6"/>
      <c r="F22" s="6"/>
      <c r="G22" s="6"/>
      <c r="H22" s="6"/>
      <c r="J22" s="6"/>
      <c r="K22" s="6"/>
      <c r="L22" s="6"/>
    </row>
    <row r="23" spans="2:12" x14ac:dyDescent="0.2">
      <c r="B23" s="135"/>
      <c r="D23" s="6"/>
      <c r="E23" s="6"/>
      <c r="F23" s="6"/>
      <c r="G23" s="6"/>
      <c r="H23" s="6"/>
      <c r="J23" s="6"/>
      <c r="K23" s="6"/>
      <c r="L23" s="6"/>
    </row>
    <row r="24" spans="2:12" x14ac:dyDescent="0.2">
      <c r="B24" s="13" t="s">
        <v>283</v>
      </c>
      <c r="D24" s="6"/>
      <c r="E24" s="6"/>
      <c r="F24" s="6"/>
      <c r="G24" s="6"/>
      <c r="H24" s="6"/>
      <c r="J24" s="6"/>
      <c r="K24" s="6"/>
      <c r="L24" s="6"/>
    </row>
    <row r="25" spans="2:12" x14ac:dyDescent="0.2">
      <c r="D25" s="6"/>
      <c r="E25" s="6"/>
      <c r="F25" s="6"/>
      <c r="G25" s="6"/>
      <c r="H25" s="6"/>
      <c r="J25" s="6"/>
      <c r="K25" s="6"/>
      <c r="L25" s="6"/>
    </row>
    <row r="26" spans="2:12" x14ac:dyDescent="0.2">
      <c r="B26" s="423" t="s">
        <v>757</v>
      </c>
      <c r="D26" s="6"/>
      <c r="E26" s="6"/>
      <c r="F26" s="6"/>
      <c r="G26" s="6"/>
      <c r="H26" s="6"/>
      <c r="J26" s="6"/>
      <c r="K26" s="6"/>
      <c r="L26" s="6"/>
    </row>
    <row r="27" spans="2:12" x14ac:dyDescent="0.2">
      <c r="B27" s="423"/>
      <c r="D27" s="6"/>
      <c r="E27" s="6"/>
      <c r="F27" s="6"/>
      <c r="G27" s="6"/>
      <c r="H27" s="6"/>
      <c r="J27" s="6"/>
      <c r="K27" s="6"/>
      <c r="L27" s="6"/>
    </row>
    <row r="28" spans="2:12" x14ac:dyDescent="0.2">
      <c r="D28" s="6"/>
      <c r="E28" s="6"/>
      <c r="F28" s="6"/>
      <c r="G28" s="6"/>
      <c r="H28" s="6"/>
      <c r="J28" s="6"/>
      <c r="K28" s="6"/>
      <c r="L28" s="6"/>
    </row>
    <row r="29" spans="2:12" x14ac:dyDescent="0.2">
      <c r="B29" s="135"/>
      <c r="D29" s="6"/>
      <c r="E29" s="6"/>
      <c r="F29" s="6"/>
      <c r="G29" s="6"/>
      <c r="H29" s="6"/>
      <c r="J29" s="6"/>
      <c r="K29" s="6"/>
      <c r="L29" s="6"/>
    </row>
    <row r="30" spans="2:12" x14ac:dyDescent="0.2">
      <c r="B30" s="135"/>
      <c r="D30" s="6"/>
      <c r="E30" s="6"/>
      <c r="F30" s="6"/>
      <c r="G30" s="6"/>
      <c r="H30" s="6"/>
      <c r="J30" s="6"/>
      <c r="K30" s="6"/>
      <c r="L30" s="6"/>
    </row>
    <row r="31" spans="2:12" x14ac:dyDescent="0.2">
      <c r="B31" s="135"/>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97" customWidth="1"/>
    <col min="4" max="4" width="13.1640625" style="172" customWidth="1"/>
    <col min="5" max="5" width="28" customWidth="1"/>
  </cols>
  <sheetData>
    <row r="1" spans="1:5" s="41" customFormat="1" ht="31" customHeight="1" x14ac:dyDescent="0.3">
      <c r="A1" s="167" t="s">
        <v>70</v>
      </c>
      <c r="B1" s="167"/>
      <c r="C1" s="393" t="s">
        <v>70</v>
      </c>
      <c r="D1" s="168"/>
      <c r="E1" s="132"/>
    </row>
    <row r="2" spans="1:5" s="169" customFormat="1" ht="19" x14ac:dyDescent="0.25">
      <c r="A2" s="23"/>
      <c r="B2" s="23"/>
      <c r="C2" s="394" t="s">
        <v>73</v>
      </c>
      <c r="D2" s="136" t="s">
        <v>3</v>
      </c>
      <c r="E2" s="133"/>
    </row>
    <row r="3" spans="1:5" ht="117" customHeight="1" x14ac:dyDescent="0.2">
      <c r="A3" s="170"/>
      <c r="B3" s="170"/>
      <c r="C3" s="308" t="s">
        <v>578</v>
      </c>
      <c r="D3" s="48" t="s">
        <v>922</v>
      </c>
      <c r="E3" s="134" t="s">
        <v>979</v>
      </c>
    </row>
    <row r="4" spans="1:5" x14ac:dyDescent="0.2">
      <c r="A4" s="25"/>
      <c r="B4" s="25" t="s">
        <v>4</v>
      </c>
      <c r="C4" s="395"/>
      <c r="D4" s="174"/>
      <c r="E4" s="171" t="str">
        <f>IF(COUNTIF(D$15:INDEX($D:$D,COUNTA($B:$B)+14-COUNTA($B$1:$B$14)),"")&gt;0,"BLANK PRIORITIZATIONS","")</f>
        <v>BLANK PRIORITIZATIONS</v>
      </c>
    </row>
    <row r="5" spans="1:5" x14ac:dyDescent="0.2">
      <c r="A5" s="6" t="s">
        <v>98</v>
      </c>
      <c r="B5" s="6" t="s">
        <v>98</v>
      </c>
      <c r="C5" s="395" t="s">
        <v>106</v>
      </c>
      <c r="D5" s="174" t="s">
        <v>106</v>
      </c>
      <c r="E5" t="s">
        <v>98</v>
      </c>
    </row>
    <row r="6" spans="1:5" x14ac:dyDescent="0.2">
      <c r="A6" s="6" t="s">
        <v>200</v>
      </c>
      <c r="B6" s="6" t="s">
        <v>200</v>
      </c>
      <c r="C6" s="395" t="s">
        <v>110</v>
      </c>
      <c r="D6" s="174" t="s">
        <v>92</v>
      </c>
      <c r="E6" t="s">
        <v>93</v>
      </c>
    </row>
    <row r="7" spans="1:5" x14ac:dyDescent="0.2">
      <c r="A7" s="6" t="s">
        <v>108</v>
      </c>
      <c r="B7" s="6" t="s">
        <v>108</v>
      </c>
      <c r="C7" s="395" t="s">
        <v>94</v>
      </c>
      <c r="D7" s="174" t="s">
        <v>94</v>
      </c>
      <c r="E7" t="s">
        <v>108</v>
      </c>
    </row>
    <row r="8" spans="1:5" x14ac:dyDescent="0.2">
      <c r="C8" s="396" t="s">
        <v>105</v>
      </c>
      <c r="D8" s="286" t="s">
        <v>105</v>
      </c>
    </row>
    <row r="9" spans="1:5" x14ac:dyDescent="0.2">
      <c r="C9" s="396"/>
      <c r="D9" s="286"/>
    </row>
    <row r="10" spans="1:5" x14ac:dyDescent="0.2">
      <c r="C10" s="396"/>
      <c r="D10" s="286"/>
    </row>
    <row r="11" spans="1:5" x14ac:dyDescent="0.2">
      <c r="C11" s="395"/>
      <c r="D11" s="174"/>
    </row>
    <row r="12" spans="1:5" x14ac:dyDescent="0.2">
      <c r="C12" s="395"/>
      <c r="D12" s="174"/>
    </row>
    <row r="13" spans="1:5" x14ac:dyDescent="0.2">
      <c r="C13" s="395"/>
      <c r="D13" s="174"/>
    </row>
    <row r="14" spans="1:5" x14ac:dyDescent="0.2">
      <c r="A14" s="36" t="s">
        <v>583</v>
      </c>
      <c r="B14" s="36" t="s">
        <v>5</v>
      </c>
      <c r="C14" s="309" t="s">
        <v>567</v>
      </c>
      <c r="D14" s="175" t="s">
        <v>568</v>
      </c>
      <c r="E14" s="163" t="s">
        <v>713</v>
      </c>
    </row>
    <row r="15" spans="1:5" x14ac:dyDescent="0.2">
      <c r="D15" s="172" t="str">
        <f>IF(LEFT($B15,4)="_Mil","M",IF(SUM($C15)=0,"",$C15))</f>
        <v/>
      </c>
      <c r="E15" s="173" t="str">
        <f>IF($D15=1,"Scale-up: Saturation",IF($D15=2,"Scale-up: Aggressive",IF($D15=4,"Sustained",IF($D15=5,"Centrally Supported",IF($D15=6,"Sustained:Commodities",IF($D15=7,"Attained",IF($D15=8,"Not PEPFAR Supported",IF($D15="M","Military",IF($D15="NA","Not a PSNU","INVALID")))))))))</f>
        <v>INVALID</v>
      </c>
    </row>
    <row r="16" spans="1:5" x14ac:dyDescent="0.2">
      <c r="E16" s="173"/>
    </row>
    <row r="17" spans="1:5" x14ac:dyDescent="0.2">
      <c r="E17" s="173"/>
    </row>
    <row r="18" spans="1:5" x14ac:dyDescent="0.2">
      <c r="A18" s="37"/>
      <c r="B18" s="37"/>
      <c r="E18" s="173"/>
    </row>
  </sheetData>
  <conditionalFormatting sqref="E4">
    <cfRule type="containsText" dxfId="267" priority="3" operator="containsText" text="BLANK PRIORITIZATIONS">
      <formula>NOT(ISERROR(SEARCH("BLANK PRIORITIZATIONS",E4)))</formula>
    </cfRule>
  </conditionalFormatting>
  <conditionalFormatting sqref="C1:D1048576">
    <cfRule type="expression" dxfId="266" priority="2">
      <formula>AND(ROW(C1)&gt;14,$B1&lt;&gt;"",C1&lt;&gt;1,C1&lt;&gt;2,C1&lt;&gt;4,C1&lt;&gt;5,C1&lt;&gt;6,C1&lt;&gt;7,C1&lt;&gt;8,C1&lt;&gt;"M",C1&lt;&gt;"NA")</formula>
    </cfRule>
  </conditionalFormatting>
  <conditionalFormatting sqref="D1:D1048576">
    <cfRule type="expression" dxfId="265" priority="728">
      <formula>AND(ROW($D1)&gt;14,$D1="",$B1&lt;&gt;"")</formula>
    </cfRule>
    <cfRule type="expression" dxfId="264"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BC15" activePane="bottomRight" state="frozen"/>
      <selection pane="topRight"/>
      <selection pane="bottomLeft"/>
      <selection pane="bottomRight" activeCell="BG15" sqref="BG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77"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16" customWidth="1"/>
    <col min="13" max="13" width="11.83203125" hidden="1" customWidth="1"/>
    <col min="14" max="14" width="11.83203125" style="41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377" customWidth="1"/>
    <col min="27" max="30" width="11.83203125" customWidth="1"/>
    <col min="31" max="31" width="11.83203125" style="377" customWidth="1"/>
    <col min="32" max="35" width="11.83203125" customWidth="1"/>
    <col min="36" max="36" width="11.83203125" style="377" customWidth="1"/>
    <col min="37" max="38" width="11.83203125" style="399" customWidth="1"/>
    <col min="39" max="39" width="11.83203125" style="400" customWidth="1"/>
    <col min="40" max="40" width="11.83203125" style="399" customWidth="1"/>
    <col min="41" max="41" width="11.83203125" style="407" customWidth="1"/>
    <col min="42" max="42" width="11.83203125" style="399" customWidth="1"/>
    <col min="43" max="43" width="11.83203125" style="377" customWidth="1"/>
    <col min="44" max="47" width="11.83203125" style="399" customWidth="1"/>
    <col min="48" max="48" width="11.83203125" style="377" customWidth="1"/>
    <col min="49" max="50" width="11.83203125" customWidth="1"/>
    <col min="51" max="59" width="11.83203125" style="399" customWidth="1"/>
    <col min="60" max="61" width="11.83203125" customWidth="1"/>
    <col min="62" max="63" width="11.83203125" style="399" customWidth="1"/>
    <col min="64" max="64" width="11.83203125" style="492" customWidth="1"/>
    <col min="65" max="65" width="11.83203125" style="377" customWidth="1"/>
    <col min="66" max="66" width="11.83203125" style="399" customWidth="1"/>
    <col min="67" max="67" width="11.83203125" style="377" customWidth="1"/>
    <col min="68" max="69" width="11.83203125" style="399" customWidth="1"/>
    <col min="70" max="71" width="11.83203125" style="400" customWidth="1"/>
    <col min="72" max="72" width="11.83203125" style="377" customWidth="1"/>
    <col min="73" max="74" width="11.83203125" style="399" customWidth="1"/>
    <col min="75" max="75" width="11.83203125" style="377" customWidth="1"/>
    <col min="76" max="87" width="11.83203125" customWidth="1"/>
    <col min="88" max="88" width="11.83203125" style="377" customWidth="1"/>
    <col min="89" max="94" width="11.83203125" customWidth="1"/>
    <col min="95" max="95" width="11.83203125" style="377" customWidth="1"/>
    <col min="96" max="102" width="11.83203125" customWidth="1"/>
    <col min="103" max="103" width="11.83203125" style="377" customWidth="1"/>
  </cols>
  <sheetData>
    <row r="1" spans="1:109" s="41" customFormat="1" ht="31" customHeight="1" thickBot="1" x14ac:dyDescent="0.35">
      <c r="A1" s="5" t="s">
        <v>297</v>
      </c>
      <c r="B1" s="5"/>
      <c r="C1" s="5"/>
      <c r="D1" s="260"/>
      <c r="E1" s="5"/>
      <c r="F1" s="94" t="s">
        <v>76</v>
      </c>
      <c r="G1" s="29"/>
      <c r="H1" s="51"/>
      <c r="I1" s="19"/>
      <c r="J1" s="69"/>
      <c r="K1" s="19"/>
      <c r="L1" s="382"/>
      <c r="M1" s="19"/>
      <c r="N1" s="64"/>
      <c r="O1" s="19"/>
      <c r="P1" s="51"/>
      <c r="Q1" s="19"/>
      <c r="R1" s="51"/>
      <c r="S1" s="19"/>
      <c r="T1" s="51"/>
      <c r="U1" s="19"/>
      <c r="V1" s="51"/>
      <c r="W1" s="19"/>
      <c r="X1" s="64"/>
      <c r="Y1" s="19"/>
      <c r="Z1" s="94" t="s">
        <v>1087</v>
      </c>
      <c r="AA1" s="342"/>
      <c r="AB1" s="80"/>
      <c r="AC1" s="302"/>
      <c r="AD1" s="80"/>
      <c r="AE1" s="94" t="s">
        <v>1088</v>
      </c>
      <c r="AF1" s="342"/>
      <c r="AG1" s="342"/>
      <c r="AH1" s="79"/>
      <c r="AI1" s="80"/>
      <c r="AJ1" s="147" t="s">
        <v>760</v>
      </c>
      <c r="AK1" s="322"/>
      <c r="AL1" s="322"/>
      <c r="AM1" s="319"/>
      <c r="AN1" s="80"/>
      <c r="AO1" s="401" t="s">
        <v>51</v>
      </c>
      <c r="AP1" s="80"/>
      <c r="AQ1" s="224" t="s">
        <v>52</v>
      </c>
      <c r="AR1" s="322"/>
      <c r="AS1" s="322"/>
      <c r="AT1" s="322"/>
      <c r="AU1" s="80"/>
      <c r="AV1" s="224" t="s">
        <v>1161</v>
      </c>
      <c r="AW1" s="98"/>
      <c r="AX1" s="226"/>
      <c r="AY1" s="319"/>
      <c r="AZ1" s="302"/>
      <c r="BA1" s="372"/>
      <c r="BB1" s="148"/>
      <c r="BC1" s="322"/>
      <c r="BD1" s="322"/>
      <c r="BE1" s="226"/>
      <c r="BF1" s="322"/>
      <c r="BG1" s="322"/>
      <c r="BH1" s="98"/>
      <c r="BI1" s="98"/>
      <c r="BJ1" s="80"/>
      <c r="BK1" s="80"/>
      <c r="BL1" s="322"/>
      <c r="BM1" s="147" t="s">
        <v>1</v>
      </c>
      <c r="BN1" s="80"/>
      <c r="BO1" s="147" t="s">
        <v>0</v>
      </c>
      <c r="BP1" s="322"/>
      <c r="BQ1" s="80"/>
      <c r="BR1" s="342"/>
      <c r="BS1" s="342"/>
      <c r="BT1" s="401" t="s">
        <v>759</v>
      </c>
      <c r="BU1" s="226"/>
      <c r="BV1" s="322"/>
      <c r="BW1" s="147" t="s">
        <v>1119</v>
      </c>
      <c r="BX1" s="61"/>
      <c r="BY1" s="61"/>
      <c r="BZ1" s="148"/>
      <c r="CA1" s="148"/>
      <c r="CB1" s="114"/>
      <c r="CC1" s="114"/>
      <c r="CD1" s="114"/>
      <c r="CE1" s="114"/>
      <c r="CF1" s="114"/>
      <c r="CG1" s="114"/>
      <c r="CH1" s="114"/>
      <c r="CI1" s="114"/>
      <c r="CJ1" s="224" t="s">
        <v>955</v>
      </c>
      <c r="CK1" s="319"/>
      <c r="CL1" s="319"/>
      <c r="CM1" s="319"/>
      <c r="CN1" s="319"/>
      <c r="CO1" s="319"/>
      <c r="CP1" s="319"/>
      <c r="CQ1" s="224" t="s">
        <v>9</v>
      </c>
      <c r="CR1" s="29"/>
      <c r="CS1" s="29"/>
      <c r="CT1" s="64"/>
      <c r="CU1" s="64"/>
      <c r="CV1" s="64"/>
      <c r="CW1" s="64"/>
      <c r="CX1" s="19"/>
      <c r="CY1" s="94" t="s">
        <v>44</v>
      </c>
    </row>
    <row r="2" spans="1:109" s="40" customFormat="1" ht="19" x14ac:dyDescent="0.25">
      <c r="A2" s="424" t="s">
        <v>1126</v>
      </c>
      <c r="B2" s="425"/>
      <c r="C2" s="2"/>
      <c r="D2" s="261"/>
      <c r="E2" s="2"/>
      <c r="F2" s="419" t="s">
        <v>73</v>
      </c>
      <c r="G2" s="18"/>
      <c r="H2" s="65"/>
      <c r="I2" s="18"/>
      <c r="J2" s="177"/>
      <c r="K2" s="18"/>
      <c r="L2" s="177"/>
      <c r="M2" s="18"/>
      <c r="N2" s="65"/>
      <c r="O2" s="18"/>
      <c r="P2" s="65"/>
      <c r="Q2" s="18"/>
      <c r="R2" s="65"/>
      <c r="S2" s="18"/>
      <c r="T2" s="65"/>
      <c r="U2" s="18"/>
      <c r="V2" s="65"/>
      <c r="W2" s="18"/>
      <c r="X2" s="65"/>
      <c r="Y2" s="18"/>
      <c r="Z2" s="95" t="s">
        <v>73</v>
      </c>
      <c r="AA2" s="296"/>
      <c r="AB2" s="296"/>
      <c r="AC2" s="99"/>
      <c r="AD2" s="296"/>
      <c r="AE2" s="95" t="s">
        <v>73</v>
      </c>
      <c r="AF2" s="296"/>
      <c r="AG2" s="296"/>
      <c r="AH2" s="78"/>
      <c r="AI2" s="296"/>
      <c r="AJ2" s="142" t="s">
        <v>2</v>
      </c>
      <c r="AK2" s="323"/>
      <c r="AL2" s="323"/>
      <c r="AM2" s="227"/>
      <c r="AN2" s="86" t="s">
        <v>3</v>
      </c>
      <c r="AO2" s="405" t="s">
        <v>3</v>
      </c>
      <c r="AP2" s="86"/>
      <c r="AQ2" s="225" t="s">
        <v>73</v>
      </c>
      <c r="AR2" s="323"/>
      <c r="AS2" s="323"/>
      <c r="AT2" s="323" t="s">
        <v>2</v>
      </c>
      <c r="AU2" s="86" t="s">
        <v>3</v>
      </c>
      <c r="AV2" s="225" t="s">
        <v>73</v>
      </c>
      <c r="AW2" s="99"/>
      <c r="AX2" s="227" t="s">
        <v>2</v>
      </c>
      <c r="AY2" s="227"/>
      <c r="AZ2" s="99"/>
      <c r="BA2" s="149"/>
      <c r="BB2" s="149"/>
      <c r="BC2" s="323"/>
      <c r="BD2" s="323"/>
      <c r="BE2" s="332"/>
      <c r="BF2" s="323"/>
      <c r="BG2" s="323"/>
      <c r="BH2" s="251" t="s">
        <v>3</v>
      </c>
      <c r="BI2" s="251"/>
      <c r="BJ2" s="86"/>
      <c r="BK2" s="86"/>
      <c r="BL2" s="325"/>
      <c r="BM2" s="142" t="s">
        <v>2</v>
      </c>
      <c r="BN2" s="86"/>
      <c r="BO2" s="142" t="s">
        <v>2</v>
      </c>
      <c r="BP2" s="323"/>
      <c r="BQ2" s="86" t="s">
        <v>3</v>
      </c>
      <c r="BR2" s="296" t="s">
        <v>73</v>
      </c>
      <c r="BS2" s="296"/>
      <c r="BT2" s="405" t="s">
        <v>3</v>
      </c>
      <c r="BU2" s="227"/>
      <c r="BV2" s="325"/>
      <c r="BW2" s="142" t="s">
        <v>2</v>
      </c>
      <c r="BX2" s="75"/>
      <c r="BY2" s="72"/>
      <c r="BZ2" s="149"/>
      <c r="CA2" s="149"/>
      <c r="CB2" s="86" t="s">
        <v>3</v>
      </c>
      <c r="CC2" s="86"/>
      <c r="CD2" s="86"/>
      <c r="CE2" s="86"/>
      <c r="CF2" s="86"/>
      <c r="CG2" s="86"/>
      <c r="CH2" s="86"/>
      <c r="CI2" s="86"/>
      <c r="CJ2" s="142" t="s">
        <v>59</v>
      </c>
      <c r="CK2" s="323"/>
      <c r="CL2" s="323"/>
      <c r="CM2" s="323"/>
      <c r="CN2" s="323"/>
      <c r="CO2" s="323"/>
      <c r="CP2" s="323"/>
      <c r="CQ2" s="225" t="s">
        <v>2</v>
      </c>
      <c r="CR2" s="18"/>
      <c r="CS2" s="18"/>
      <c r="CT2" s="65" t="s">
        <v>3</v>
      </c>
      <c r="CU2" s="65"/>
      <c r="CV2" s="65"/>
      <c r="CW2" s="65"/>
      <c r="CX2" s="18" t="s">
        <v>73</v>
      </c>
      <c r="CY2" s="409" t="s">
        <v>3</v>
      </c>
    </row>
    <row r="3" spans="1:109" s="24" customFormat="1" ht="134" customHeight="1" thickBot="1" x14ac:dyDescent="0.25">
      <c r="A3" s="426"/>
      <c r="B3" s="427"/>
      <c r="C3" s="31"/>
      <c r="D3" s="262"/>
      <c r="E3" s="31"/>
      <c r="F3" s="420" t="s">
        <v>1107</v>
      </c>
      <c r="G3" s="310" t="s">
        <v>957</v>
      </c>
      <c r="H3" s="123" t="s">
        <v>1108</v>
      </c>
      <c r="I3" s="310" t="s">
        <v>958</v>
      </c>
      <c r="J3" s="178" t="s">
        <v>1109</v>
      </c>
      <c r="K3" s="310" t="s">
        <v>959</v>
      </c>
      <c r="L3" s="417" t="s">
        <v>1123</v>
      </c>
      <c r="M3" s="310" t="s">
        <v>1122</v>
      </c>
      <c r="N3" s="414" t="s">
        <v>1110</v>
      </c>
      <c r="O3" s="310" t="s">
        <v>1098</v>
      </c>
      <c r="P3" s="123" t="s">
        <v>1111</v>
      </c>
      <c r="Q3" s="310" t="s">
        <v>1038</v>
      </c>
      <c r="R3" s="123" t="s">
        <v>1112</v>
      </c>
      <c r="S3" s="310" t="s">
        <v>960</v>
      </c>
      <c r="T3" s="123" t="s">
        <v>1113</v>
      </c>
      <c r="U3" s="310" t="s">
        <v>961</v>
      </c>
      <c r="V3" s="123" t="s">
        <v>1114</v>
      </c>
      <c r="W3" s="310" t="s">
        <v>962</v>
      </c>
      <c r="X3" s="123" t="s">
        <v>1115</v>
      </c>
      <c r="Y3" s="299" t="s">
        <v>963</v>
      </c>
      <c r="Z3" s="120" t="s">
        <v>1086</v>
      </c>
      <c r="AA3" s="297" t="s">
        <v>1</v>
      </c>
      <c r="AB3" s="297" t="s">
        <v>0</v>
      </c>
      <c r="AC3" s="100" t="s">
        <v>52</v>
      </c>
      <c r="AD3" s="297" t="s">
        <v>51</v>
      </c>
      <c r="AE3" s="120" t="s">
        <v>1086</v>
      </c>
      <c r="AF3" s="297" t="s">
        <v>1</v>
      </c>
      <c r="AG3" s="297" t="s">
        <v>0</v>
      </c>
      <c r="AH3" s="129" t="s">
        <v>52</v>
      </c>
      <c r="AI3" s="297" t="s">
        <v>51</v>
      </c>
      <c r="AJ3" s="334" t="s">
        <v>1160</v>
      </c>
      <c r="AK3" s="256" t="s">
        <v>1166</v>
      </c>
      <c r="AL3" s="320" t="s">
        <v>1092</v>
      </c>
      <c r="AM3" s="256" t="s">
        <v>1101</v>
      </c>
      <c r="AN3" s="259" t="s">
        <v>1165</v>
      </c>
      <c r="AO3" s="237" t="s">
        <v>966</v>
      </c>
      <c r="AP3" s="259" t="s">
        <v>1102</v>
      </c>
      <c r="AQ3" s="315" t="s">
        <v>1118</v>
      </c>
      <c r="AR3" s="320" t="s">
        <v>1094</v>
      </c>
      <c r="AS3" s="320" t="s">
        <v>1095</v>
      </c>
      <c r="AT3" s="256" t="s">
        <v>1105</v>
      </c>
      <c r="AU3" s="259" t="s">
        <v>1100</v>
      </c>
      <c r="AV3" s="315" t="s">
        <v>1164</v>
      </c>
      <c r="AW3" s="100" t="s">
        <v>1167</v>
      </c>
      <c r="AX3" s="316" t="s">
        <v>1186</v>
      </c>
      <c r="AY3" s="320" t="s">
        <v>1106</v>
      </c>
      <c r="AZ3" s="254" t="s">
        <v>1168</v>
      </c>
      <c r="BA3" s="183" t="s">
        <v>1096</v>
      </c>
      <c r="BB3" s="183" t="s">
        <v>1097</v>
      </c>
      <c r="BC3" s="256" t="s">
        <v>1162</v>
      </c>
      <c r="BD3" s="256" t="s">
        <v>1187</v>
      </c>
      <c r="BE3" s="228" t="s">
        <v>1128</v>
      </c>
      <c r="BF3" s="333" t="s">
        <v>1169</v>
      </c>
      <c r="BG3" s="256" t="s">
        <v>1127</v>
      </c>
      <c r="BH3" s="235" t="s">
        <v>1220</v>
      </c>
      <c r="BI3" s="235" t="s">
        <v>1223</v>
      </c>
      <c r="BJ3" s="259" t="s">
        <v>1221</v>
      </c>
      <c r="BK3" s="259" t="s">
        <v>1129</v>
      </c>
      <c r="BL3" s="326" t="s">
        <v>1163</v>
      </c>
      <c r="BM3" s="330" t="s">
        <v>1222</v>
      </c>
      <c r="BN3" s="259" t="s">
        <v>779</v>
      </c>
      <c r="BO3" s="330" t="s">
        <v>1099</v>
      </c>
      <c r="BP3" s="256" t="s">
        <v>821</v>
      </c>
      <c r="BQ3" s="259" t="s">
        <v>780</v>
      </c>
      <c r="BR3" s="297" t="s">
        <v>1192</v>
      </c>
      <c r="BS3" s="297" t="s">
        <v>1188</v>
      </c>
      <c r="BT3" s="408" t="s">
        <v>951</v>
      </c>
      <c r="BU3" s="320" t="s">
        <v>1117</v>
      </c>
      <c r="BV3" s="326" t="s">
        <v>1150</v>
      </c>
      <c r="BW3" s="42" t="s">
        <v>1170</v>
      </c>
      <c r="BX3" s="77" t="s">
        <v>830</v>
      </c>
      <c r="BY3" s="77" t="s">
        <v>1191</v>
      </c>
      <c r="BZ3" s="183" t="s">
        <v>1083</v>
      </c>
      <c r="CA3" s="150" t="s">
        <v>1084</v>
      </c>
      <c r="CB3" s="84" t="s">
        <v>925</v>
      </c>
      <c r="CC3" s="54" t="s">
        <v>926</v>
      </c>
      <c r="CD3" s="54" t="s">
        <v>841</v>
      </c>
      <c r="CE3" s="54" t="s">
        <v>842</v>
      </c>
      <c r="CF3" s="54" t="s">
        <v>843</v>
      </c>
      <c r="CG3" s="54" t="s">
        <v>927</v>
      </c>
      <c r="CH3" s="54" t="s">
        <v>928</v>
      </c>
      <c r="CI3" s="54" t="s">
        <v>845</v>
      </c>
      <c r="CJ3" s="336" t="s">
        <v>796</v>
      </c>
      <c r="CK3" s="337" t="s">
        <v>929</v>
      </c>
      <c r="CL3" s="337" t="s">
        <v>795</v>
      </c>
      <c r="CM3" s="337" t="s">
        <v>797</v>
      </c>
      <c r="CN3" s="337" t="s">
        <v>807</v>
      </c>
      <c r="CO3" s="337" t="s">
        <v>930</v>
      </c>
      <c r="CP3" s="337" t="s">
        <v>798</v>
      </c>
      <c r="CQ3" s="338" t="s">
        <v>931</v>
      </c>
      <c r="CR3" s="32" t="s">
        <v>953</v>
      </c>
      <c r="CS3" s="32" t="s">
        <v>954</v>
      </c>
      <c r="CT3" s="53" t="s">
        <v>1006</v>
      </c>
      <c r="CU3" s="53" t="s">
        <v>932</v>
      </c>
      <c r="CV3" s="53" t="s">
        <v>1007</v>
      </c>
      <c r="CW3" s="53" t="s">
        <v>933</v>
      </c>
      <c r="CX3" s="335" t="s">
        <v>934</v>
      </c>
      <c r="CY3" s="410" t="s">
        <v>1116</v>
      </c>
      <c r="CZ3"/>
      <c r="DA3"/>
      <c r="DB3"/>
      <c r="DC3"/>
      <c r="DD3"/>
      <c r="DE3"/>
    </row>
    <row r="4" spans="1:109" s="24" customFormat="1" x14ac:dyDescent="0.2">
      <c r="A4" s="33"/>
      <c r="B4" s="33"/>
      <c r="C4" s="33"/>
      <c r="D4" s="263" t="s">
        <v>4</v>
      </c>
      <c r="E4" s="33"/>
      <c r="F4" s="253">
        <f>SUBTOTAL(109,F$15:INDEX(F:F,COUNTA($B:$B)+14-COUNTA($B$1:$B$14)))</f>
        <v>0</v>
      </c>
      <c r="G4" s="311"/>
      <c r="H4" s="70">
        <f>SUBTOTAL(109,H$15:INDEX(H:H,COUNTA($B:$B)+14-COUNTA($B$1:$B$14)))</f>
        <v>0</v>
      </c>
      <c r="I4" s="311"/>
      <c r="J4" s="179" t="str">
        <f>IF(SUM($F4)=0,"",SUM($H4)/$F4)</f>
        <v/>
      </c>
      <c r="K4" s="189"/>
      <c r="L4" s="179" t="str">
        <f>IF(SUM($F4)=0,"",SUM($N4)/$F4)</f>
        <v/>
      </c>
      <c r="M4" s="189"/>
      <c r="N4" s="67">
        <f>SUBTOTAL(109,N$15:INDEX(N:N,COUNTA($B:$B)+14-COUNTA($B$1:$B$14)))</f>
        <v>0</v>
      </c>
      <c r="O4" s="189"/>
      <c r="P4" s="70">
        <f>SUBTOTAL(109,P$15:INDEX(P:P,COUNTA($B:$B)+14-COUNTA($B$1:$B$14)))</f>
        <v>0</v>
      </c>
      <c r="Q4" s="189"/>
      <c r="R4" s="70">
        <f>SUBTOTAL(109,R$15:INDEX(R:R,COUNTA($B:$B)+14-COUNTA($B$1:$B$14)))</f>
        <v>0</v>
      </c>
      <c r="S4" s="311"/>
      <c r="T4" s="70">
        <f>SUBTOTAL(109,T$15:INDEX(T:T,COUNTA($B:$B)+14-COUNTA($B$1:$B$14)))</f>
        <v>0</v>
      </c>
      <c r="U4" s="311"/>
      <c r="V4" s="70">
        <f>SUBTOTAL(109,V$15:INDEX(V:V,COUNTA($B:$B)+14-COUNTA($B$1:$B$14)))</f>
        <v>0</v>
      </c>
      <c r="W4" s="311"/>
      <c r="X4" s="70">
        <f>SUBTOTAL(109,X$15:INDEX(X:X,COUNTA($B:$B)+14-COUNTA($B$1:$B$14)))</f>
        <v>0</v>
      </c>
      <c r="Y4" s="311"/>
      <c r="Z4" s="104">
        <f>SUBTOTAL(109,Z$15:INDEX(Z:Z,COUNTA($B:$B)+14-COUNTA($B$1:$B$14)))</f>
        <v>0</v>
      </c>
      <c r="AA4" s="343">
        <f>SUBTOTAL(109,AA$15:INDEX(AA:AA,COUNTA($B:$B)+14-COUNTA($B$1:$B$14)))</f>
        <v>0</v>
      </c>
      <c r="AB4" s="343">
        <f>SUBTOTAL(109,AB$15:INDEX(AB:AB,COUNTA($B:$B)+14-COUNTA($B$1:$B$14)))</f>
        <v>0</v>
      </c>
      <c r="AC4" s="300">
        <f>SUBTOTAL(109,AC$15:INDEX(AC:AC,COUNTA($B:$B)+14-COUNTA($B$1:$B$14)))</f>
        <v>0</v>
      </c>
      <c r="AD4" s="101">
        <f>SUBTOTAL(109,AD$15:INDEX(AD:AD,COUNTA($B:$B)+14-COUNTA($B$1:$B$14)))</f>
        <v>0</v>
      </c>
      <c r="AE4" s="104">
        <f>SUBTOTAL(109,AE$15:INDEX(AE:AE,COUNTA($B:$B)+14-COUNTA($B$1:$B$14)))</f>
        <v>0</v>
      </c>
      <c r="AF4" s="343">
        <f>SUBTOTAL(109,AF$15:INDEX(AF:AF,COUNTA($B:$B)+14-COUNTA($B$1:$B$14)))</f>
        <v>0</v>
      </c>
      <c r="AG4" s="343">
        <f>SUBTOTAL(109,AG$15:INDEX(AG:AG,COUNTA($B:$B)+14-COUNTA($B$1:$B$14)))</f>
        <v>0</v>
      </c>
      <c r="AH4" s="119">
        <f>SUBTOTAL(109,AH$15:INDEX(AH:AH,COUNTA($B:$B)+14-COUNTA($B$1:$B$14)))</f>
        <v>0</v>
      </c>
      <c r="AI4" s="101">
        <f>SUBTOTAL(109,AI$15:INDEX(AI:AI,COUNTA($B:$B)+14-COUNTA($B$1:$B$14)))</f>
        <v>0</v>
      </c>
      <c r="AJ4" s="143" t="str">
        <f>IF(SUM($T4)=0,IF(SUM($R4)=0,IF(AND(SUM($AG4)=0,SUM($AB4)=0),"",1),IF(SUM($AB4)=0,SUM($AG4),$AB4)/$R4),IF(SUM($AG4)=0,IF(SUM($R4)=0,SUM($AB4)/$T4,SUM($AB4)/$R4),$AG4/$T4))</f>
        <v/>
      </c>
      <c r="AK4" s="229" t="str">
        <f>IF(SUM($AN4)=0,"",SUM($AP4)/$AN4)</f>
        <v/>
      </c>
      <c r="AL4" s="229" t="str">
        <f>IF(SUM($H4)=0,"",IF(SUM($X4)=0,IF(SUM($AI4)=0,SUM($AD4),$AI4)/IF(SUM($AJ4)=0,1,$AJ4)/$H4,$X4/$H4))</f>
        <v/>
      </c>
      <c r="AM4" s="321" t="str">
        <f>IF(SUM($H4,$N4)=0,"",SUM($AN4)/SUM($H4,$N4))</f>
        <v/>
      </c>
      <c r="AN4" s="158">
        <f>SUBTOTAL(109,AN$15:INDEX(AN:AN,COUNTA($B:$B)+14-COUNTA($B$1:$B$14)))</f>
        <v>0</v>
      </c>
      <c r="AO4" s="402">
        <f>SUBTOTAL(109,AO$15:INDEX(AO:AO,COUNTA($B:$B)+14-COUNTA($B$1:$B$14)))</f>
        <v>0</v>
      </c>
      <c r="AP4" s="158">
        <f>SUBTOTAL(109,AP$15:INDEX(AP:AP,COUNTA($B:$B)+14-COUNTA($B$1:$B$14)))</f>
        <v>0</v>
      </c>
      <c r="AQ4" s="143" t="str">
        <f>IF(SUM($V4)=0,"",SUM($X4)/$V4)</f>
        <v/>
      </c>
      <c r="AR4" s="229" t="str">
        <f>IF(SUM($AC4)=0,"",SUM($AD4)/$AC4)</f>
        <v/>
      </c>
      <c r="AS4" s="229" t="str">
        <f>IF(SUM($AH4)=0,"",SUM($AI4)/$AH4)</f>
        <v/>
      </c>
      <c r="AT4" s="229" t="str">
        <f>IF(SUM($AU4)=0,"",SUM($AP4)/$AU4)</f>
        <v/>
      </c>
      <c r="AU4" s="87">
        <f>SUBTOTAL(109,AU$15:INDEX(AU:AU,COUNTA($B:$B)+14-COUNTA($B$1:$B$14)))</f>
        <v>0</v>
      </c>
      <c r="AV4" s="143" t="str">
        <f>IF(SUM($H4)=0,"",SUM($P4)/$H4)</f>
        <v/>
      </c>
      <c r="AW4" s="300">
        <f>SUBTOTAL(109,AW$15:INDEX(AW:AW,COUNTA($B:$B)+14-COUNTA($B$1:$B$14)))</f>
        <v>0</v>
      </c>
      <c r="AX4" s="229" t="str">
        <f>IF($N$4=0,"",($BH$4/$AK$4)/$N$4)</f>
        <v/>
      </c>
      <c r="AY4" s="321" t="str">
        <f>IF(SUM($P4)=0,"",SUM($T4)/$P4)</f>
        <v/>
      </c>
      <c r="AZ4" s="300">
        <f>SUBTOTAL(109,AZ$15:INDEX(AZ:AZ,COUNTA($B:$B)+14-COUNTA($B$1:$B$14)))</f>
        <v>0</v>
      </c>
      <c r="BA4" s="151" t="str">
        <f>IF(SUM($Z4)=0,"",SUM($AA4)/$Z4)</f>
        <v/>
      </c>
      <c r="BB4" s="151" t="str">
        <f>IF(SUM($AE4)=0,"",SUM($AF4)/$AE4)</f>
        <v/>
      </c>
      <c r="BC4" s="229" t="str">
        <f>IF($CB$4=0,"",$BN$4/$CB$4)</f>
        <v/>
      </c>
      <c r="BD4" s="229" t="str">
        <f>IF(SUM($BJ$4)=0,"",(SUM($BK$4)-SUM($AG$4))/$BJ$4)</f>
        <v/>
      </c>
      <c r="BE4" s="229" t="str">
        <f>IF(SUM($T4)=0,"",SUM($V4)/$T4)</f>
        <v/>
      </c>
      <c r="BF4" s="229" t="str">
        <f>IF(SUM($AG4)=0,"",SUM($AH4)/$AG4)</f>
        <v/>
      </c>
      <c r="BG4" s="229" t="str">
        <f>IF(SUM($BK$4)=0,"",SUM($AU$4)/SUM($BK$4))</f>
        <v/>
      </c>
      <c r="BH4" s="303">
        <f>SUBTOTAL(109,BH$15:INDEX(BH:BH,COUNTA($B:$B)+14-COUNTA($B$1:$B$14)))</f>
        <v>0</v>
      </c>
      <c r="BI4" s="303">
        <f>SUBTOTAL(109,BI$15:INDEX(BI:BI,COUNTA($B:$B)+14-COUNTA($B$1:$B$14)))</f>
        <v>0</v>
      </c>
      <c r="BJ4" s="118">
        <f>SUBTOTAL(109,BJ$15:INDEX(BJ:BJ,COUNTA($B:$B)+14-COUNTA($B$1:$B$14)))</f>
        <v>0</v>
      </c>
      <c r="BK4" s="87">
        <f>SUBTOTAL(109,BK$15:INDEX(BK:BK,COUNTA($B:$B)+14-COUNTA($B$1:$B$14)))</f>
        <v>0</v>
      </c>
      <c r="BL4" s="327" t="str">
        <f>IF(SUM($BK$4)=0,"",SUM($AU$4)/SUM($BK$4))</f>
        <v/>
      </c>
      <c r="BM4" s="143" t="str">
        <f>IF($BI$4=0,"",($BN$4-$BH$4)/$BI$4)</f>
        <v/>
      </c>
      <c r="BN4" s="118">
        <f>SUBTOTAL(109,BN$15:INDEX(BN:BN,COUNTA($B:$B)+14-COUNTA($B$1:$B$14)))</f>
        <v>0</v>
      </c>
      <c r="BO4" s="143"/>
      <c r="BP4" s="229"/>
      <c r="BQ4" s="87">
        <f>SUBTOTAL(109,BQ$15:INDEX(BQ:BQ,COUNTA($B:$B)+14-COUNTA($B$1:$B$14)))</f>
        <v>0</v>
      </c>
      <c r="BR4" s="343">
        <f>SUBTOTAL(109,BR$15:INDEX(BR:BR,COUNTA($B:$B)+14-COUNTA($B$1:$B$14)))</f>
        <v>0</v>
      </c>
      <c r="BS4" s="343">
        <f>SUBTOTAL(109,BS$15:INDEX(BS:BS,COUNTA($B:$B)+14-COUNTA($B$1:$B$14)))</f>
        <v>0</v>
      </c>
      <c r="BT4" s="402">
        <f>SUBTOTAL(109,BT$15:INDEX(BT:BT,COUNTA($B:$B)+14-COUNTA($B$1:$B$14)))</f>
        <v>0</v>
      </c>
      <c r="BU4" s="229" t="str">
        <f>IF(SUM($H4)=0,"",SUM($T4)/$H4)</f>
        <v/>
      </c>
      <c r="BV4" s="327" t="str">
        <f>IF(SUM($H4,$N4)=0,"",SUM($BT4)/SUM($H4,$N4))</f>
        <v/>
      </c>
      <c r="BW4" s="143" t="str">
        <f>IF(SUM($BN4)=0,"",SUM($BX4)/$BN4)</f>
        <v/>
      </c>
      <c r="BX4" s="85">
        <f>SUBTOTAL(109,BX$15:INDEX(BX:BX,COUNTA($B:$B)+14-COUNTA($B$1:$B$14)))</f>
        <v>0</v>
      </c>
      <c r="BY4" s="85">
        <f>SUBTOTAL(109,BY$15:INDEX(BY:BY,COUNTA($B:$B)+14-COUNTA($B$1:$B$14)))</f>
        <v>0</v>
      </c>
      <c r="BZ4" s="151"/>
      <c r="CA4" s="151" t="str">
        <f>IF(SUM($CB4)=0,"",SUM($CC4)/$CB4)</f>
        <v/>
      </c>
      <c r="CB4" s="87">
        <f>SUBTOTAL(109,CB$15:INDEX(CB:CB,COUNTA($B:$B)+14-COUNTA($B$1:$B$14)))</f>
        <v>0</v>
      </c>
      <c r="CC4" s="87">
        <f>SUBTOTAL(109,CC$15:INDEX(CC:CC,COUNTA($B:$B)+14-COUNTA($B$1:$B$14)))</f>
        <v>0</v>
      </c>
      <c r="CD4" s="70">
        <f>SUBTOTAL(109,CD$15:INDEX(CD:CD,COUNTA($B:$B)+14-COUNTA($B$1:$B$14)))</f>
        <v>0</v>
      </c>
      <c r="CE4" s="118">
        <f>SUBTOTAL(109,CE$15:INDEX(CE:CE,COUNTA($B:$B)+14-COUNTA($B$1:$B$14)))</f>
        <v>0</v>
      </c>
      <c r="CF4" s="55">
        <f>SUBTOTAL(109,CF$15:INDEX(CF:CF,COUNTA($B:$B)+14-COUNTA($B$1:$B$14)))</f>
        <v>0</v>
      </c>
      <c r="CG4" s="55">
        <f>SUBTOTAL(109,CG$15:INDEX(CG:CG,COUNTA($B:$B)+14-COUNTA($B$1:$B$14)))</f>
        <v>0</v>
      </c>
      <c r="CH4" s="55">
        <f>SUBTOTAL(109,CH$15:INDEX(CH:CH,COUNTA($B:$B)+14-COUNTA($B$1:$B$14)))</f>
        <v>0</v>
      </c>
      <c r="CI4" s="87">
        <f>IF(COUNTIF(CI$15:INDEX(CI:CI,COUNTA($B:$B)+14-COUNTA($B$1:$B$14)),"&lt;0")&gt;0,"Negatives",SUBTOTAL(109,CI$15:INDEX(CI:CI,COUNTA($B:$B)+14-COUNTA($B$1:$B$14))))</f>
        <v>0</v>
      </c>
      <c r="CJ4" s="339" t="str">
        <f>IF(SUM($CB4)=0,"",SUM($CC4)/$CB4)</f>
        <v/>
      </c>
      <c r="CK4" s="340" t="str">
        <f>IF(SUM($CB4)=0,"",SUM($CD4)/$CB4)</f>
        <v/>
      </c>
      <c r="CL4" s="340" t="str">
        <f>IF(SUM($CB4)=0,"",SUM($CE4)/$CB4)</f>
        <v/>
      </c>
      <c r="CM4" s="340" t="str">
        <f>IF(SUM($CB4)=0,"",SUM($CF4)/$CB4)</f>
        <v/>
      </c>
      <c r="CN4" s="340" t="str">
        <f>IF(SUM($CB4)=0,"",SUM($CG4)/$CB4)</f>
        <v/>
      </c>
      <c r="CO4" s="340" t="str">
        <f>IF(SUM($CB4)=0,"",SUM($CH4)/$CB4)</f>
        <v/>
      </c>
      <c r="CP4" s="340" t="str">
        <f>IF(SUM($CB4)=0,"",SUM($CI4)/$CB4)</f>
        <v/>
      </c>
      <c r="CQ4" s="143" t="str">
        <f>IF(SUM($CC4)=0,"",SUM($CT4)/$CC4)</f>
        <v/>
      </c>
      <c r="CR4" s="34" t="str">
        <f>IF(SUM($CU4,$CT4)=0,"",SUM($CT4)/SUM($CU4,$CT4))</f>
        <v/>
      </c>
      <c r="CS4" s="34" t="str">
        <f>IF(SUM($CV4,$CW4)=0,"",SUM($CV4)/SUM($CV4,$CW4))</f>
        <v/>
      </c>
      <c r="CT4" s="55">
        <f>SUBTOTAL(109,CT$15:INDEX(CT:CT,COUNTA($B:$B)+14-COUNTA($B$1:$B$14)))</f>
        <v>0</v>
      </c>
      <c r="CU4" s="55">
        <f>SUBTOTAL(109,CU$15:INDEX(CU:CU,COUNTA($B:$B)+14-COUNTA($B$1:$B$14)))</f>
        <v>0</v>
      </c>
      <c r="CV4" s="55">
        <f>SUBTOTAL(109,CV$15:INDEX(CV:CV,COUNTA($B:$B)+14-COUNTA($B$1:$B$14)))</f>
        <v>0</v>
      </c>
      <c r="CW4" s="55">
        <f>SUBTOTAL(109,CW$15:INDEX(CW:CW,COUNTA($B:$B)+14-COUNTA($B$1:$B$14)))</f>
        <v>0</v>
      </c>
      <c r="CX4" s="34" t="str">
        <f>IF(SUM($CB4)=0,"",SUM($CT4,$CV4)/$CB4)</f>
        <v/>
      </c>
      <c r="CY4" s="411">
        <f>SUBTOTAL(109,CY$15:INDEX(CY:CY,COUNTA($B:$B)+14-COUNTA($B$1:$B$14)))</f>
        <v>0</v>
      </c>
      <c r="CZ4"/>
      <c r="DA4"/>
      <c r="DB4"/>
      <c r="DC4"/>
      <c r="DD4"/>
      <c r="DE4"/>
    </row>
    <row r="5" spans="1:109" s="24" customFormat="1" x14ac:dyDescent="0.2">
      <c r="A5" s="26" t="s">
        <v>98</v>
      </c>
      <c r="B5" s="26" t="s">
        <v>98</v>
      </c>
      <c r="C5" s="26" t="s">
        <v>98</v>
      </c>
      <c r="D5" s="264" t="s">
        <v>98</v>
      </c>
      <c r="E5" s="26" t="s">
        <v>98</v>
      </c>
      <c r="F5" s="106" t="s">
        <v>106</v>
      </c>
      <c r="G5" s="20" t="s">
        <v>98</v>
      </c>
      <c r="H5" s="56" t="s">
        <v>106</v>
      </c>
      <c r="I5" s="20" t="s">
        <v>98</v>
      </c>
      <c r="J5" s="180" t="s">
        <v>106</v>
      </c>
      <c r="K5" s="20" t="s">
        <v>98</v>
      </c>
      <c r="L5" s="182" t="s">
        <v>98</v>
      </c>
      <c r="M5" s="20" t="s">
        <v>98</v>
      </c>
      <c r="N5" s="68" t="s">
        <v>98</v>
      </c>
      <c r="O5" s="20" t="s">
        <v>98</v>
      </c>
      <c r="P5" s="56" t="s">
        <v>107</v>
      </c>
      <c r="Q5" s="20" t="s">
        <v>98</v>
      </c>
      <c r="R5" s="56" t="s">
        <v>107</v>
      </c>
      <c r="S5" s="20" t="s">
        <v>98</v>
      </c>
      <c r="T5" s="56" t="s">
        <v>107</v>
      </c>
      <c r="U5" s="20" t="s">
        <v>98</v>
      </c>
      <c r="V5" s="56" t="s">
        <v>98</v>
      </c>
      <c r="W5" s="20" t="s">
        <v>98</v>
      </c>
      <c r="X5" s="56" t="s">
        <v>107</v>
      </c>
      <c r="Y5" s="20" t="s">
        <v>98</v>
      </c>
      <c r="Z5" s="82" t="s">
        <v>98</v>
      </c>
      <c r="AA5" s="344" t="s">
        <v>109</v>
      </c>
      <c r="AB5" s="344" t="s">
        <v>109</v>
      </c>
      <c r="AC5" s="81" t="s">
        <v>109</v>
      </c>
      <c r="AD5" s="81" t="s">
        <v>109</v>
      </c>
      <c r="AE5" s="82" t="s">
        <v>98</v>
      </c>
      <c r="AF5" s="344" t="s">
        <v>109</v>
      </c>
      <c r="AG5" s="344" t="s">
        <v>109</v>
      </c>
      <c r="AH5" s="81" t="s">
        <v>109</v>
      </c>
      <c r="AI5" s="81" t="s">
        <v>109</v>
      </c>
      <c r="AJ5" s="144" t="s">
        <v>98</v>
      </c>
      <c r="AK5" s="230" t="s">
        <v>98</v>
      </c>
      <c r="AL5" s="230" t="s">
        <v>98</v>
      </c>
      <c r="AM5" s="255" t="s">
        <v>98</v>
      </c>
      <c r="AN5" s="88" t="s">
        <v>107</v>
      </c>
      <c r="AO5" s="106" t="s">
        <v>98</v>
      </c>
      <c r="AP5" s="88" t="s">
        <v>109</v>
      </c>
      <c r="AQ5" s="144" t="s">
        <v>98</v>
      </c>
      <c r="AR5" s="230" t="s">
        <v>98</v>
      </c>
      <c r="AS5" s="230" t="s">
        <v>98</v>
      </c>
      <c r="AT5" s="230" t="s">
        <v>98</v>
      </c>
      <c r="AU5" s="88" t="s">
        <v>109</v>
      </c>
      <c r="AV5" s="144" t="s">
        <v>98</v>
      </c>
      <c r="AW5" s="102" t="s">
        <v>98</v>
      </c>
      <c r="AX5" s="230" t="s">
        <v>98</v>
      </c>
      <c r="AY5" s="255" t="s">
        <v>98</v>
      </c>
      <c r="AZ5" s="81" t="s">
        <v>98</v>
      </c>
      <c r="BA5" s="152" t="s">
        <v>98</v>
      </c>
      <c r="BB5" s="152" t="s">
        <v>98</v>
      </c>
      <c r="BC5" s="230" t="s">
        <v>98</v>
      </c>
      <c r="BD5" s="230" t="s">
        <v>98</v>
      </c>
      <c r="BE5" s="230" t="s">
        <v>98</v>
      </c>
      <c r="BF5" s="230" t="s">
        <v>98</v>
      </c>
      <c r="BG5" s="230" t="s">
        <v>98</v>
      </c>
      <c r="BH5" s="199" t="s">
        <v>98</v>
      </c>
      <c r="BI5" s="199" t="s">
        <v>98</v>
      </c>
      <c r="BJ5" s="199" t="s">
        <v>98</v>
      </c>
      <c r="BK5" s="88" t="s">
        <v>98</v>
      </c>
      <c r="BL5" s="328" t="s">
        <v>98</v>
      </c>
      <c r="BM5" s="144" t="s">
        <v>98</v>
      </c>
      <c r="BN5" s="199" t="s">
        <v>109</v>
      </c>
      <c r="BO5" s="144" t="s">
        <v>98</v>
      </c>
      <c r="BP5" s="230" t="s">
        <v>98</v>
      </c>
      <c r="BQ5" s="88" t="s">
        <v>109</v>
      </c>
      <c r="BR5" s="81" t="s">
        <v>98</v>
      </c>
      <c r="BS5" s="81" t="s">
        <v>98</v>
      </c>
      <c r="BT5" s="106" t="s">
        <v>107</v>
      </c>
      <c r="BU5" s="152" t="s">
        <v>98</v>
      </c>
      <c r="BV5" s="328" t="s">
        <v>98</v>
      </c>
      <c r="BW5" s="144" t="s">
        <v>98</v>
      </c>
      <c r="BX5" s="59" t="s">
        <v>98</v>
      </c>
      <c r="BY5" s="59" t="s">
        <v>98</v>
      </c>
      <c r="BZ5" s="152" t="s">
        <v>98</v>
      </c>
      <c r="CA5" s="152" t="s">
        <v>98</v>
      </c>
      <c r="CB5" s="88" t="s">
        <v>98</v>
      </c>
      <c r="CC5" s="56" t="s">
        <v>98</v>
      </c>
      <c r="CD5" s="56" t="s">
        <v>98</v>
      </c>
      <c r="CE5" s="56" t="s">
        <v>98</v>
      </c>
      <c r="CF5" s="56" t="s">
        <v>98</v>
      </c>
      <c r="CG5" s="56" t="s">
        <v>98</v>
      </c>
      <c r="CH5" s="56" t="s">
        <v>98</v>
      </c>
      <c r="CI5" s="56" t="s">
        <v>98</v>
      </c>
      <c r="CJ5" s="144" t="s">
        <v>98</v>
      </c>
      <c r="CK5" s="230" t="s">
        <v>98</v>
      </c>
      <c r="CL5" s="230" t="s">
        <v>98</v>
      </c>
      <c r="CM5" s="230" t="s">
        <v>98</v>
      </c>
      <c r="CN5" s="230" t="s">
        <v>98</v>
      </c>
      <c r="CO5" s="230" t="s">
        <v>98</v>
      </c>
      <c r="CP5" s="230" t="s">
        <v>98</v>
      </c>
      <c r="CQ5" s="144" t="s">
        <v>98</v>
      </c>
      <c r="CR5" s="20" t="s">
        <v>98</v>
      </c>
      <c r="CS5" s="20" t="s">
        <v>98</v>
      </c>
      <c r="CT5" s="56" t="s">
        <v>109</v>
      </c>
      <c r="CU5" s="56" t="s">
        <v>109</v>
      </c>
      <c r="CV5" s="56" t="s">
        <v>109</v>
      </c>
      <c r="CW5" s="56" t="s">
        <v>109</v>
      </c>
      <c r="CX5" s="20" t="s">
        <v>98</v>
      </c>
      <c r="CY5" s="412" t="s">
        <v>107</v>
      </c>
      <c r="CZ5"/>
      <c r="DA5"/>
      <c r="DB5"/>
      <c r="DC5"/>
      <c r="DD5"/>
      <c r="DE5"/>
    </row>
    <row r="6" spans="1:109" s="24" customFormat="1" x14ac:dyDescent="0.2">
      <c r="A6" s="26" t="s">
        <v>200</v>
      </c>
      <c r="B6" s="26" t="s">
        <v>200</v>
      </c>
      <c r="C6" s="26" t="s">
        <v>200</v>
      </c>
      <c r="D6" s="264" t="s">
        <v>200</v>
      </c>
      <c r="E6" s="26" t="s">
        <v>200</v>
      </c>
      <c r="F6" s="106" t="s">
        <v>92</v>
      </c>
      <c r="G6" s="20" t="s">
        <v>93</v>
      </c>
      <c r="H6" s="56" t="s">
        <v>92</v>
      </c>
      <c r="I6" s="20" t="s">
        <v>93</v>
      </c>
      <c r="J6" s="180" t="s">
        <v>92</v>
      </c>
      <c r="K6" s="20" t="s">
        <v>93</v>
      </c>
      <c r="L6" s="182" t="s">
        <v>93</v>
      </c>
      <c r="M6" s="20" t="s">
        <v>93</v>
      </c>
      <c r="N6" s="68" t="s">
        <v>93</v>
      </c>
      <c r="O6" s="20" t="s">
        <v>93</v>
      </c>
      <c r="P6" s="56" t="s">
        <v>92</v>
      </c>
      <c r="Q6" s="20" t="s">
        <v>93</v>
      </c>
      <c r="R6" s="56" t="s">
        <v>767</v>
      </c>
      <c r="S6" s="20" t="s">
        <v>93</v>
      </c>
      <c r="T6" s="56" t="s">
        <v>92</v>
      </c>
      <c r="U6" s="20" t="s">
        <v>93</v>
      </c>
      <c r="V6" s="56" t="s">
        <v>93</v>
      </c>
      <c r="W6" s="20" t="s">
        <v>93</v>
      </c>
      <c r="X6" s="56" t="s">
        <v>92</v>
      </c>
      <c r="Y6" s="20" t="s">
        <v>93</v>
      </c>
      <c r="Z6" s="82" t="s">
        <v>111</v>
      </c>
      <c r="AA6" s="344" t="s">
        <v>110</v>
      </c>
      <c r="AB6" s="344" t="s">
        <v>110</v>
      </c>
      <c r="AC6" s="81" t="s">
        <v>110</v>
      </c>
      <c r="AD6" s="81" t="s">
        <v>110</v>
      </c>
      <c r="AE6" s="82" t="s">
        <v>111</v>
      </c>
      <c r="AF6" s="344" t="s">
        <v>110</v>
      </c>
      <c r="AG6" s="344" t="s">
        <v>110</v>
      </c>
      <c r="AH6" s="59" t="s">
        <v>110</v>
      </c>
      <c r="AI6" s="81" t="s">
        <v>110</v>
      </c>
      <c r="AJ6" s="144" t="s">
        <v>93</v>
      </c>
      <c r="AK6" s="230" t="s">
        <v>112</v>
      </c>
      <c r="AL6" s="230" t="s">
        <v>93</v>
      </c>
      <c r="AM6" s="255" t="s">
        <v>112</v>
      </c>
      <c r="AN6" s="88" t="s">
        <v>92</v>
      </c>
      <c r="AO6" s="106" t="s">
        <v>93</v>
      </c>
      <c r="AP6" s="88" t="s">
        <v>92</v>
      </c>
      <c r="AQ6" s="144" t="s">
        <v>93</v>
      </c>
      <c r="AR6" s="230" t="s">
        <v>93</v>
      </c>
      <c r="AS6" s="230" t="s">
        <v>93</v>
      </c>
      <c r="AT6" s="230" t="s">
        <v>112</v>
      </c>
      <c r="AU6" s="88" t="s">
        <v>92</v>
      </c>
      <c r="AV6" s="144" t="s">
        <v>93</v>
      </c>
      <c r="AW6" s="102" t="s">
        <v>93</v>
      </c>
      <c r="AX6" s="230" t="s">
        <v>112</v>
      </c>
      <c r="AY6" s="255" t="s">
        <v>93</v>
      </c>
      <c r="AZ6" s="81" t="s">
        <v>93</v>
      </c>
      <c r="BA6" s="152" t="s">
        <v>93</v>
      </c>
      <c r="BB6" s="152" t="s">
        <v>93</v>
      </c>
      <c r="BC6" s="230" t="s">
        <v>112</v>
      </c>
      <c r="BD6" s="230" t="s">
        <v>112</v>
      </c>
      <c r="BE6" s="230" t="s">
        <v>93</v>
      </c>
      <c r="BF6" s="230" t="s">
        <v>93</v>
      </c>
      <c r="BG6" s="230" t="s">
        <v>112</v>
      </c>
      <c r="BH6" s="199" t="s">
        <v>93</v>
      </c>
      <c r="BI6" s="199" t="s">
        <v>93</v>
      </c>
      <c r="BJ6" s="199" t="s">
        <v>93</v>
      </c>
      <c r="BK6" s="88" t="s">
        <v>93</v>
      </c>
      <c r="BL6" s="328" t="s">
        <v>93</v>
      </c>
      <c r="BM6" s="144" t="s">
        <v>112</v>
      </c>
      <c r="BN6" s="199" t="s">
        <v>92</v>
      </c>
      <c r="BO6" s="144" t="s">
        <v>112</v>
      </c>
      <c r="BP6" s="230" t="s">
        <v>112</v>
      </c>
      <c r="BQ6" s="88" t="s">
        <v>92</v>
      </c>
      <c r="BR6" s="81" t="s">
        <v>93</v>
      </c>
      <c r="BS6" s="81" t="s">
        <v>93</v>
      </c>
      <c r="BT6" s="106" t="s">
        <v>92</v>
      </c>
      <c r="BU6" s="152" t="s">
        <v>93</v>
      </c>
      <c r="BV6" s="328" t="s">
        <v>93</v>
      </c>
      <c r="BW6" s="144" t="s">
        <v>112</v>
      </c>
      <c r="BX6" s="59" t="s">
        <v>93</v>
      </c>
      <c r="BY6" s="59" t="s">
        <v>93</v>
      </c>
      <c r="BZ6" s="152" t="s">
        <v>111</v>
      </c>
      <c r="CA6" s="152" t="s">
        <v>112</v>
      </c>
      <c r="CB6" s="88" t="s">
        <v>93</v>
      </c>
      <c r="CC6" s="56" t="s">
        <v>93</v>
      </c>
      <c r="CD6" s="56" t="s">
        <v>93</v>
      </c>
      <c r="CE6" s="56" t="s">
        <v>93</v>
      </c>
      <c r="CF6" s="56" t="s">
        <v>93</v>
      </c>
      <c r="CG6" s="56" t="s">
        <v>93</v>
      </c>
      <c r="CH6" s="56" t="s">
        <v>93</v>
      </c>
      <c r="CI6" s="56" t="s">
        <v>93</v>
      </c>
      <c r="CJ6" s="144" t="s">
        <v>93</v>
      </c>
      <c r="CK6" s="230" t="s">
        <v>93</v>
      </c>
      <c r="CL6" s="230" t="s">
        <v>93</v>
      </c>
      <c r="CM6" s="230" t="s">
        <v>93</v>
      </c>
      <c r="CN6" s="230" t="s">
        <v>93</v>
      </c>
      <c r="CO6" s="230" t="s">
        <v>93</v>
      </c>
      <c r="CP6" s="230" t="s">
        <v>93</v>
      </c>
      <c r="CQ6" s="144" t="s">
        <v>111</v>
      </c>
      <c r="CR6" s="20" t="s">
        <v>111</v>
      </c>
      <c r="CS6" s="20" t="s">
        <v>111</v>
      </c>
      <c r="CT6" s="56" t="s">
        <v>92</v>
      </c>
      <c r="CU6" s="56" t="s">
        <v>92</v>
      </c>
      <c r="CV6" s="56" t="s">
        <v>92</v>
      </c>
      <c r="CW6" s="56" t="s">
        <v>92</v>
      </c>
      <c r="CX6" s="20" t="s">
        <v>93</v>
      </c>
      <c r="CY6" s="412" t="s">
        <v>92</v>
      </c>
      <c r="CZ6"/>
      <c r="DA6"/>
      <c r="DB6"/>
      <c r="DC6"/>
      <c r="DD6"/>
      <c r="DE6"/>
    </row>
    <row r="7" spans="1:109" s="24" customFormat="1" x14ac:dyDescent="0.2">
      <c r="A7" s="26" t="s">
        <v>108</v>
      </c>
      <c r="B7" s="26" t="s">
        <v>108</v>
      </c>
      <c r="C7" s="26" t="s">
        <v>108</v>
      </c>
      <c r="D7" s="264" t="s">
        <v>108</v>
      </c>
      <c r="E7" s="26" t="s">
        <v>108</v>
      </c>
      <c r="F7" s="106" t="s">
        <v>94</v>
      </c>
      <c r="G7" s="20" t="s">
        <v>95</v>
      </c>
      <c r="H7" s="56" t="s">
        <v>94</v>
      </c>
      <c r="I7" s="20" t="s">
        <v>95</v>
      </c>
      <c r="J7" s="180" t="s">
        <v>95</v>
      </c>
      <c r="K7" s="20" t="s">
        <v>95</v>
      </c>
      <c r="L7" s="182" t="s">
        <v>95</v>
      </c>
      <c r="M7" s="20" t="s">
        <v>95</v>
      </c>
      <c r="N7" s="68" t="s">
        <v>94</v>
      </c>
      <c r="O7" s="20" t="s">
        <v>95</v>
      </c>
      <c r="P7" s="56" t="s">
        <v>94</v>
      </c>
      <c r="Q7" s="20" t="s">
        <v>95</v>
      </c>
      <c r="R7" s="56" t="s">
        <v>94</v>
      </c>
      <c r="S7" s="20" t="s">
        <v>95</v>
      </c>
      <c r="T7" s="56" t="s">
        <v>94</v>
      </c>
      <c r="U7" s="20" t="s">
        <v>95</v>
      </c>
      <c r="V7" s="56" t="s">
        <v>94</v>
      </c>
      <c r="W7" s="20" t="s">
        <v>95</v>
      </c>
      <c r="X7" s="56" t="s">
        <v>94</v>
      </c>
      <c r="Y7" s="20" t="s">
        <v>95</v>
      </c>
      <c r="Z7" s="82" t="s">
        <v>94</v>
      </c>
      <c r="AA7" s="344" t="s">
        <v>94</v>
      </c>
      <c r="AB7" s="344" t="s">
        <v>94</v>
      </c>
      <c r="AC7" s="81" t="s">
        <v>94</v>
      </c>
      <c r="AD7" s="81" t="s">
        <v>94</v>
      </c>
      <c r="AE7" s="82" t="s">
        <v>94</v>
      </c>
      <c r="AF7" s="344" t="s">
        <v>94</v>
      </c>
      <c r="AG7" s="344" t="s">
        <v>94</v>
      </c>
      <c r="AH7" s="59" t="s">
        <v>94</v>
      </c>
      <c r="AI7" s="81" t="s">
        <v>94</v>
      </c>
      <c r="AJ7" s="144" t="s">
        <v>95</v>
      </c>
      <c r="AK7" s="230" t="s">
        <v>95</v>
      </c>
      <c r="AL7" s="230" t="s">
        <v>95</v>
      </c>
      <c r="AM7" s="255" t="s">
        <v>95</v>
      </c>
      <c r="AN7" s="88" t="s">
        <v>94</v>
      </c>
      <c r="AO7" s="106" t="s">
        <v>94</v>
      </c>
      <c r="AP7" s="88" t="s">
        <v>94</v>
      </c>
      <c r="AQ7" s="144" t="s">
        <v>95</v>
      </c>
      <c r="AR7" s="230" t="s">
        <v>95</v>
      </c>
      <c r="AS7" s="230" t="s">
        <v>95</v>
      </c>
      <c r="AT7" s="230" t="s">
        <v>95</v>
      </c>
      <c r="AU7" s="88" t="s">
        <v>94</v>
      </c>
      <c r="AV7" s="144" t="s">
        <v>95</v>
      </c>
      <c r="AW7" s="102" t="s">
        <v>94</v>
      </c>
      <c r="AX7" s="230" t="s">
        <v>95</v>
      </c>
      <c r="AY7" s="255" t="s">
        <v>95</v>
      </c>
      <c r="AZ7" s="81" t="s">
        <v>94</v>
      </c>
      <c r="BA7" s="152" t="s">
        <v>95</v>
      </c>
      <c r="BB7" s="152" t="s">
        <v>95</v>
      </c>
      <c r="BC7" s="230" t="s">
        <v>95</v>
      </c>
      <c r="BD7" s="230" t="s">
        <v>95</v>
      </c>
      <c r="BE7" s="230" t="s">
        <v>95</v>
      </c>
      <c r="BF7" s="230" t="s">
        <v>95</v>
      </c>
      <c r="BG7" s="230" t="s">
        <v>95</v>
      </c>
      <c r="BH7" s="199" t="s">
        <v>94</v>
      </c>
      <c r="BI7" s="199" t="s">
        <v>94</v>
      </c>
      <c r="BJ7" s="199" t="s">
        <v>94</v>
      </c>
      <c r="BK7" s="88" t="s">
        <v>94</v>
      </c>
      <c r="BL7" s="328" t="s">
        <v>95</v>
      </c>
      <c r="BM7" s="144" t="s">
        <v>95</v>
      </c>
      <c r="BN7" s="199" t="s">
        <v>94</v>
      </c>
      <c r="BO7" s="144" t="s">
        <v>95</v>
      </c>
      <c r="BP7" s="230" t="s">
        <v>95</v>
      </c>
      <c r="BQ7" s="88" t="s">
        <v>94</v>
      </c>
      <c r="BR7" s="81" t="s">
        <v>94</v>
      </c>
      <c r="BS7" s="81" t="s">
        <v>94</v>
      </c>
      <c r="BT7" s="106" t="s">
        <v>94</v>
      </c>
      <c r="BU7" s="152" t="s">
        <v>95</v>
      </c>
      <c r="BV7" s="328" t="s">
        <v>95</v>
      </c>
      <c r="BW7" s="144" t="s">
        <v>95</v>
      </c>
      <c r="BX7" s="59" t="s">
        <v>94</v>
      </c>
      <c r="BY7" s="59" t="s">
        <v>94</v>
      </c>
      <c r="BZ7" s="152" t="s">
        <v>95</v>
      </c>
      <c r="CA7" s="152" t="s">
        <v>95</v>
      </c>
      <c r="CB7" s="88" t="s">
        <v>94</v>
      </c>
      <c r="CC7" s="56" t="s">
        <v>94</v>
      </c>
      <c r="CD7" s="56" t="s">
        <v>94</v>
      </c>
      <c r="CE7" s="56" t="s">
        <v>94</v>
      </c>
      <c r="CF7" s="56" t="s">
        <v>94</v>
      </c>
      <c r="CG7" s="56" t="s">
        <v>94</v>
      </c>
      <c r="CH7" s="56" t="s">
        <v>94</v>
      </c>
      <c r="CI7" s="56" t="s">
        <v>94</v>
      </c>
      <c r="CJ7" s="144" t="s">
        <v>95</v>
      </c>
      <c r="CK7" s="230" t="s">
        <v>95</v>
      </c>
      <c r="CL7" s="230" t="s">
        <v>95</v>
      </c>
      <c r="CM7" s="230" t="s">
        <v>95</v>
      </c>
      <c r="CN7" s="230" t="s">
        <v>95</v>
      </c>
      <c r="CO7" s="230" t="s">
        <v>95</v>
      </c>
      <c r="CP7" s="230" t="s">
        <v>95</v>
      </c>
      <c r="CQ7" s="144" t="s">
        <v>95</v>
      </c>
      <c r="CR7" s="20" t="s">
        <v>95</v>
      </c>
      <c r="CS7" s="20" t="s">
        <v>95</v>
      </c>
      <c r="CT7" s="56" t="s">
        <v>94</v>
      </c>
      <c r="CU7" s="56" t="s">
        <v>94</v>
      </c>
      <c r="CV7" s="56" t="s">
        <v>94</v>
      </c>
      <c r="CW7" s="56" t="s">
        <v>94</v>
      </c>
      <c r="CX7" s="20" t="s">
        <v>95</v>
      </c>
      <c r="CY7" s="412" t="s">
        <v>94</v>
      </c>
      <c r="CZ7"/>
      <c r="DA7"/>
      <c r="DB7"/>
      <c r="DC7"/>
      <c r="DD7"/>
      <c r="DE7"/>
    </row>
    <row r="8" spans="1:109" s="291" customFormat="1" x14ac:dyDescent="0.2">
      <c r="A8" s="292"/>
      <c r="B8" s="292"/>
      <c r="C8" s="292"/>
      <c r="D8" s="348"/>
      <c r="E8" s="292"/>
      <c r="F8" s="403" t="s">
        <v>96</v>
      </c>
      <c r="G8" s="295"/>
      <c r="H8" s="103" t="s">
        <v>287</v>
      </c>
      <c r="I8" s="295"/>
      <c r="J8" s="349" t="s">
        <v>97</v>
      </c>
      <c r="K8" s="295"/>
      <c r="L8" s="384"/>
      <c r="M8" s="295"/>
      <c r="N8" s="197"/>
      <c r="O8" s="295"/>
      <c r="P8" s="103" t="s">
        <v>99</v>
      </c>
      <c r="Q8" s="295"/>
      <c r="R8" s="103" t="s">
        <v>608</v>
      </c>
      <c r="S8" s="295"/>
      <c r="T8" s="103" t="s">
        <v>291</v>
      </c>
      <c r="U8" s="295"/>
      <c r="V8" s="103"/>
      <c r="W8" s="295"/>
      <c r="X8" s="103" t="s">
        <v>100</v>
      </c>
      <c r="Y8" s="295"/>
      <c r="Z8" s="196"/>
      <c r="AA8" s="350" t="s">
        <v>947</v>
      </c>
      <c r="AB8" s="350" t="s">
        <v>762</v>
      </c>
      <c r="AC8" s="348" t="s">
        <v>141</v>
      </c>
      <c r="AD8" s="348" t="s">
        <v>884</v>
      </c>
      <c r="AE8" s="196"/>
      <c r="AF8" s="350" t="s">
        <v>137</v>
      </c>
      <c r="AG8" s="350" t="s">
        <v>135</v>
      </c>
      <c r="AH8" s="156" t="s">
        <v>139</v>
      </c>
      <c r="AI8" s="348" t="s">
        <v>784</v>
      </c>
      <c r="AJ8" s="294"/>
      <c r="AK8" s="351"/>
      <c r="AL8" s="351"/>
      <c r="AM8" s="355"/>
      <c r="AN8" s="357" t="s">
        <v>100</v>
      </c>
      <c r="AO8" s="403"/>
      <c r="AP8" s="357" t="s">
        <v>784</v>
      </c>
      <c r="AQ8" s="294"/>
      <c r="AR8" s="351"/>
      <c r="AS8" s="351"/>
      <c r="AT8" s="351"/>
      <c r="AU8" s="357" t="s">
        <v>139</v>
      </c>
      <c r="AV8" s="294"/>
      <c r="AW8" s="352"/>
      <c r="AX8" s="351"/>
      <c r="AY8" s="355"/>
      <c r="AZ8" s="348"/>
      <c r="BA8" s="354"/>
      <c r="BB8" s="354"/>
      <c r="BC8" s="351"/>
      <c r="BD8" s="351"/>
      <c r="BE8" s="351"/>
      <c r="BF8" s="351"/>
      <c r="BG8" s="351"/>
      <c r="BH8" s="353"/>
      <c r="BI8" s="353"/>
      <c r="BJ8" s="353"/>
      <c r="BK8" s="357"/>
      <c r="BL8" s="356"/>
      <c r="BM8" s="294"/>
      <c r="BN8" s="353" t="s">
        <v>137</v>
      </c>
      <c r="BO8" s="294"/>
      <c r="BP8" s="351"/>
      <c r="BQ8" s="357" t="s">
        <v>135</v>
      </c>
      <c r="BR8" s="348"/>
      <c r="BS8" s="348"/>
      <c r="BT8" s="403" t="s">
        <v>291</v>
      </c>
      <c r="BU8" s="354"/>
      <c r="BV8" s="356"/>
      <c r="BW8" s="294"/>
      <c r="BX8" s="156"/>
      <c r="BY8" s="156"/>
      <c r="BZ8" s="354"/>
      <c r="CA8" s="354"/>
      <c r="CB8" s="357"/>
      <c r="CC8" s="357"/>
      <c r="CD8" s="103"/>
      <c r="CE8" s="357"/>
      <c r="CF8" s="103"/>
      <c r="CG8" s="103"/>
      <c r="CH8" s="103"/>
      <c r="CI8" s="357"/>
      <c r="CJ8" s="294"/>
      <c r="CK8" s="351"/>
      <c r="CL8" s="351"/>
      <c r="CM8" s="351"/>
      <c r="CN8" s="351"/>
      <c r="CO8" s="351"/>
      <c r="CP8" s="351"/>
      <c r="CQ8" s="294"/>
      <c r="CR8" s="295"/>
      <c r="CS8" s="295"/>
      <c r="CT8" s="103" t="s">
        <v>144</v>
      </c>
      <c r="CU8" s="103" t="s">
        <v>144</v>
      </c>
      <c r="CV8" s="103" t="s">
        <v>146</v>
      </c>
      <c r="CW8" s="103" t="s">
        <v>146</v>
      </c>
      <c r="CX8" s="295"/>
      <c r="CY8" s="413" t="s">
        <v>99</v>
      </c>
      <c r="CZ8" s="17"/>
      <c r="DA8" s="17"/>
      <c r="DB8" s="17"/>
      <c r="DC8" s="17"/>
      <c r="DD8" s="17"/>
      <c r="DE8" s="17"/>
    </row>
    <row r="9" spans="1:109" s="291" customFormat="1" x14ac:dyDescent="0.2">
      <c r="A9" s="292"/>
      <c r="B9" s="292"/>
      <c r="C9" s="292"/>
      <c r="D9" s="348"/>
      <c r="E9" s="292"/>
      <c r="F9" s="403"/>
      <c r="G9" s="295"/>
      <c r="H9" s="103"/>
      <c r="I9" s="295"/>
      <c r="J9" s="349"/>
      <c r="K9" s="295"/>
      <c r="L9" s="384"/>
      <c r="M9" s="295"/>
      <c r="N9" s="197"/>
      <c r="O9" s="295"/>
      <c r="P9" s="103"/>
      <c r="Q9" s="295"/>
      <c r="R9" s="103"/>
      <c r="S9" s="295"/>
      <c r="T9" s="103"/>
      <c r="U9" s="295"/>
      <c r="V9" s="103"/>
      <c r="W9" s="295"/>
      <c r="X9" s="103"/>
      <c r="Y9" s="295"/>
      <c r="Z9" s="196"/>
      <c r="AA9" s="350" t="s">
        <v>948</v>
      </c>
      <c r="AB9" s="350" t="s">
        <v>273</v>
      </c>
      <c r="AC9" s="348" t="s">
        <v>1081</v>
      </c>
      <c r="AD9" s="348" t="s">
        <v>885</v>
      </c>
      <c r="AE9" s="196"/>
      <c r="AF9" s="350" t="s">
        <v>138</v>
      </c>
      <c r="AG9" s="350" t="s">
        <v>136</v>
      </c>
      <c r="AH9" s="156" t="s">
        <v>140</v>
      </c>
      <c r="AI9" s="348" t="s">
        <v>785</v>
      </c>
      <c r="AJ9" s="294"/>
      <c r="AK9" s="351"/>
      <c r="AL9" s="351"/>
      <c r="AM9" s="355"/>
      <c r="AN9" s="357"/>
      <c r="AO9" s="403"/>
      <c r="AP9" s="357" t="s">
        <v>785</v>
      </c>
      <c r="AQ9" s="294"/>
      <c r="AR9" s="351"/>
      <c r="AS9" s="351"/>
      <c r="AT9" s="351"/>
      <c r="AU9" s="357" t="s">
        <v>140</v>
      </c>
      <c r="AV9" s="294"/>
      <c r="AW9" s="352"/>
      <c r="AX9" s="351"/>
      <c r="AY9" s="355"/>
      <c r="AZ9" s="348"/>
      <c r="BA9" s="354"/>
      <c r="BB9" s="354"/>
      <c r="BC9" s="351"/>
      <c r="BD9" s="351"/>
      <c r="BE9" s="351"/>
      <c r="BF9" s="351"/>
      <c r="BG9" s="351"/>
      <c r="BH9" s="353"/>
      <c r="BI9" s="353"/>
      <c r="BJ9" s="353"/>
      <c r="BK9" s="357"/>
      <c r="BL9" s="356"/>
      <c r="BM9" s="294"/>
      <c r="BN9" s="353" t="s">
        <v>138</v>
      </c>
      <c r="BO9" s="294"/>
      <c r="BP9" s="351"/>
      <c r="BQ9" s="357" t="s">
        <v>136</v>
      </c>
      <c r="BR9" s="348"/>
      <c r="BS9" s="348"/>
      <c r="BT9" s="403"/>
      <c r="BU9" s="354"/>
      <c r="BV9" s="356"/>
      <c r="BW9" s="294"/>
      <c r="BX9" s="156"/>
      <c r="BY9" s="156"/>
      <c r="BZ9" s="354"/>
      <c r="CA9" s="354"/>
      <c r="CB9" s="357"/>
      <c r="CC9" s="357"/>
      <c r="CD9" s="103"/>
      <c r="CE9" s="357"/>
      <c r="CF9" s="103"/>
      <c r="CG9" s="103"/>
      <c r="CH9" s="103"/>
      <c r="CI9" s="357"/>
      <c r="CJ9" s="294"/>
      <c r="CK9" s="351"/>
      <c r="CL9" s="351"/>
      <c r="CM9" s="351"/>
      <c r="CN9" s="351"/>
      <c r="CO9" s="351"/>
      <c r="CP9" s="351"/>
      <c r="CQ9" s="294"/>
      <c r="CR9" s="295"/>
      <c r="CS9" s="295"/>
      <c r="CT9" s="103" t="s">
        <v>145</v>
      </c>
      <c r="CU9" s="103" t="s">
        <v>145</v>
      </c>
      <c r="CV9" s="103" t="s">
        <v>147</v>
      </c>
      <c r="CW9" s="103" t="s">
        <v>147</v>
      </c>
      <c r="CX9" s="358"/>
      <c r="CY9" s="413"/>
      <c r="CZ9" s="17"/>
      <c r="DA9" s="17"/>
      <c r="DB9" s="17"/>
      <c r="DC9" s="17"/>
      <c r="DD9" s="17"/>
      <c r="DE9" s="17"/>
    </row>
    <row r="10" spans="1:109" s="291" customFormat="1" x14ac:dyDescent="0.2">
      <c r="A10" s="292"/>
      <c r="B10" s="292"/>
      <c r="C10" s="292"/>
      <c r="D10" s="348"/>
      <c r="E10" s="292"/>
      <c r="F10" s="403"/>
      <c r="G10" s="295"/>
      <c r="H10" s="103" t="s">
        <v>104</v>
      </c>
      <c r="I10" s="295"/>
      <c r="J10" s="349"/>
      <c r="K10" s="295"/>
      <c r="L10" s="384"/>
      <c r="M10" s="295"/>
      <c r="N10" s="197"/>
      <c r="O10" s="295"/>
      <c r="P10" s="103" t="s">
        <v>104</v>
      </c>
      <c r="Q10" s="295"/>
      <c r="R10" s="103" t="s">
        <v>104</v>
      </c>
      <c r="S10" s="295"/>
      <c r="T10" s="103" t="s">
        <v>104</v>
      </c>
      <c r="U10" s="295"/>
      <c r="V10" s="103"/>
      <c r="W10" s="295"/>
      <c r="X10" s="103" t="s">
        <v>104</v>
      </c>
      <c r="Y10" s="295"/>
      <c r="Z10" s="196"/>
      <c r="AA10" s="350" t="s">
        <v>104</v>
      </c>
      <c r="AB10" s="350" t="s">
        <v>104</v>
      </c>
      <c r="AC10" s="348" t="s">
        <v>141</v>
      </c>
      <c r="AD10" s="348" t="s">
        <v>141</v>
      </c>
      <c r="AE10" s="196"/>
      <c r="AF10" s="350" t="s">
        <v>104</v>
      </c>
      <c r="AG10" s="350" t="s">
        <v>104</v>
      </c>
      <c r="AH10" s="350" t="s">
        <v>141</v>
      </c>
      <c r="AI10" s="350" t="s">
        <v>141</v>
      </c>
      <c r="AJ10" s="294"/>
      <c r="AK10" s="351"/>
      <c r="AL10" s="351"/>
      <c r="AM10" s="355"/>
      <c r="AN10" s="357" t="s">
        <v>104</v>
      </c>
      <c r="AO10" s="403"/>
      <c r="AP10" s="357" t="s">
        <v>141</v>
      </c>
      <c r="AQ10" s="294"/>
      <c r="AR10" s="351"/>
      <c r="AS10" s="351"/>
      <c r="AT10" s="351"/>
      <c r="AU10" s="357" t="s">
        <v>141</v>
      </c>
      <c r="AV10" s="294"/>
      <c r="AW10" s="352"/>
      <c r="AX10" s="351"/>
      <c r="AY10" s="355"/>
      <c r="AZ10" s="348"/>
      <c r="BA10" s="354"/>
      <c r="BB10" s="354"/>
      <c r="BC10" s="351"/>
      <c r="BD10" s="351"/>
      <c r="BE10" s="351"/>
      <c r="BF10" s="351"/>
      <c r="BG10" s="351"/>
      <c r="BH10" s="353"/>
      <c r="BI10" s="353"/>
      <c r="BJ10" s="353"/>
      <c r="BK10" s="357"/>
      <c r="BL10" s="356"/>
      <c r="BM10" s="294"/>
      <c r="BN10" s="353" t="s">
        <v>104</v>
      </c>
      <c r="BO10" s="294"/>
      <c r="BP10" s="351"/>
      <c r="BQ10" s="357" t="s">
        <v>104</v>
      </c>
      <c r="BR10" s="348"/>
      <c r="BS10" s="348"/>
      <c r="BT10" s="403" t="s">
        <v>104</v>
      </c>
      <c r="BU10" s="354"/>
      <c r="BV10" s="356"/>
      <c r="BW10" s="294"/>
      <c r="BX10" s="156"/>
      <c r="BY10" s="156"/>
      <c r="BZ10" s="354"/>
      <c r="CA10" s="354"/>
      <c r="CB10" s="357"/>
      <c r="CC10" s="357"/>
      <c r="CD10" s="103"/>
      <c r="CE10" s="357"/>
      <c r="CF10" s="103"/>
      <c r="CG10" s="103"/>
      <c r="CH10" s="103"/>
      <c r="CI10" s="357"/>
      <c r="CJ10" s="294"/>
      <c r="CK10" s="351"/>
      <c r="CL10" s="351"/>
      <c r="CM10" s="351"/>
      <c r="CN10" s="351"/>
      <c r="CO10" s="351"/>
      <c r="CP10" s="351"/>
      <c r="CQ10" s="294"/>
      <c r="CR10" s="295"/>
      <c r="CS10" s="295"/>
      <c r="CT10" s="103" t="s">
        <v>102</v>
      </c>
      <c r="CU10" s="103" t="s">
        <v>103</v>
      </c>
      <c r="CV10" s="103" t="s">
        <v>102</v>
      </c>
      <c r="CW10" s="103" t="s">
        <v>103</v>
      </c>
      <c r="CX10" s="295"/>
      <c r="CY10" s="413" t="s">
        <v>104</v>
      </c>
      <c r="CZ10" s="17"/>
      <c r="DA10" s="17"/>
      <c r="DB10" s="17"/>
      <c r="DC10" s="17"/>
      <c r="DD10" s="17"/>
      <c r="DE10" s="17"/>
    </row>
    <row r="11" spans="1:109" s="24" customFormat="1" x14ac:dyDescent="0.2">
      <c r="A11" s="26"/>
      <c r="B11" s="26"/>
      <c r="C11" s="26"/>
      <c r="D11" s="81"/>
      <c r="E11" s="26"/>
      <c r="F11" s="106" t="s">
        <v>202</v>
      </c>
      <c r="G11" s="20" t="s">
        <v>202</v>
      </c>
      <c r="H11" s="56" t="s">
        <v>202</v>
      </c>
      <c r="I11" s="20" t="s">
        <v>202</v>
      </c>
      <c r="J11" s="180" t="s">
        <v>202</v>
      </c>
      <c r="K11" s="20" t="s">
        <v>202</v>
      </c>
      <c r="L11" s="182" t="s">
        <v>202</v>
      </c>
      <c r="M11" s="20" t="s">
        <v>202</v>
      </c>
      <c r="N11" s="68" t="s">
        <v>202</v>
      </c>
      <c r="O11" s="20" t="s">
        <v>202</v>
      </c>
      <c r="P11" s="56" t="s">
        <v>202</v>
      </c>
      <c r="Q11" s="20" t="s">
        <v>202</v>
      </c>
      <c r="R11" s="56" t="s">
        <v>202</v>
      </c>
      <c r="S11" s="20" t="s">
        <v>202</v>
      </c>
      <c r="T11" s="56" t="s">
        <v>202</v>
      </c>
      <c r="U11" s="20" t="s">
        <v>202</v>
      </c>
      <c r="V11" s="56" t="s">
        <v>202</v>
      </c>
      <c r="W11" s="20" t="s">
        <v>202</v>
      </c>
      <c r="X11" s="56" t="s">
        <v>202</v>
      </c>
      <c r="Y11" s="20" t="s">
        <v>202</v>
      </c>
      <c r="Z11" s="82" t="s">
        <v>202</v>
      </c>
      <c r="AA11" s="344" t="s">
        <v>202</v>
      </c>
      <c r="AB11" s="344" t="s">
        <v>202</v>
      </c>
      <c r="AC11" s="81" t="s">
        <v>202</v>
      </c>
      <c r="AD11" s="81" t="s">
        <v>202</v>
      </c>
      <c r="AE11" s="82" t="s">
        <v>202</v>
      </c>
      <c r="AF11" s="344" t="s">
        <v>202</v>
      </c>
      <c r="AG11" s="344" t="s">
        <v>202</v>
      </c>
      <c r="AH11" s="59" t="s">
        <v>202</v>
      </c>
      <c r="AI11" s="344" t="s">
        <v>202</v>
      </c>
      <c r="AJ11" s="144" t="s">
        <v>202</v>
      </c>
      <c r="AK11" s="230" t="s">
        <v>202</v>
      </c>
      <c r="AL11" s="230" t="s">
        <v>202</v>
      </c>
      <c r="AM11" s="255" t="s">
        <v>202</v>
      </c>
      <c r="AN11" s="88" t="s">
        <v>202</v>
      </c>
      <c r="AO11" s="106" t="s">
        <v>38</v>
      </c>
      <c r="AP11" s="88" t="s">
        <v>202</v>
      </c>
      <c r="AQ11" s="144" t="s">
        <v>684</v>
      </c>
      <c r="AR11" s="230" t="s">
        <v>684</v>
      </c>
      <c r="AS11" s="230" t="s">
        <v>684</v>
      </c>
      <c r="AT11" s="230" t="s">
        <v>684</v>
      </c>
      <c r="AU11" s="88" t="s">
        <v>202</v>
      </c>
      <c r="AV11" s="144" t="s">
        <v>684</v>
      </c>
      <c r="AW11" s="102" t="s">
        <v>684</v>
      </c>
      <c r="AX11" s="230" t="s">
        <v>684</v>
      </c>
      <c r="AY11" s="255" t="s">
        <v>684</v>
      </c>
      <c r="AZ11" s="81" t="s">
        <v>684</v>
      </c>
      <c r="BA11" s="152" t="s">
        <v>684</v>
      </c>
      <c r="BB11" s="152" t="s">
        <v>684</v>
      </c>
      <c r="BC11" s="230" t="s">
        <v>684</v>
      </c>
      <c r="BD11" s="230" t="s">
        <v>684</v>
      </c>
      <c r="BE11" s="230" t="s">
        <v>684</v>
      </c>
      <c r="BF11" s="230" t="s">
        <v>684</v>
      </c>
      <c r="BG11" s="230" t="s">
        <v>684</v>
      </c>
      <c r="BH11" s="199" t="s">
        <v>202</v>
      </c>
      <c r="BI11" s="199" t="s">
        <v>684</v>
      </c>
      <c r="BJ11" s="199" t="s">
        <v>202</v>
      </c>
      <c r="BK11" s="88" t="s">
        <v>202</v>
      </c>
      <c r="BL11" s="328" t="s">
        <v>202</v>
      </c>
      <c r="BM11" s="144" t="s">
        <v>684</v>
      </c>
      <c r="BN11" s="199" t="s">
        <v>202</v>
      </c>
      <c r="BO11" s="144" t="s">
        <v>684</v>
      </c>
      <c r="BP11" s="230" t="s">
        <v>684</v>
      </c>
      <c r="BQ11" s="88" t="s">
        <v>202</v>
      </c>
      <c r="BR11" s="81" t="s">
        <v>202</v>
      </c>
      <c r="BS11" s="81" t="s">
        <v>202</v>
      </c>
      <c r="BT11" s="106" t="s">
        <v>202</v>
      </c>
      <c r="BU11" s="152" t="s">
        <v>202</v>
      </c>
      <c r="BV11" s="328" t="s">
        <v>202</v>
      </c>
      <c r="BW11" s="144" t="s">
        <v>684</v>
      </c>
      <c r="BX11" s="59" t="s">
        <v>684</v>
      </c>
      <c r="BY11" s="59" t="s">
        <v>202</v>
      </c>
      <c r="BZ11" s="152" t="s">
        <v>684</v>
      </c>
      <c r="CA11" s="152" t="s">
        <v>684</v>
      </c>
      <c r="CB11" s="88" t="s">
        <v>202</v>
      </c>
      <c r="CC11" s="88" t="s">
        <v>684</v>
      </c>
      <c r="CD11" s="56" t="s">
        <v>203</v>
      </c>
      <c r="CE11" s="88" t="s">
        <v>203</v>
      </c>
      <c r="CF11" s="56" t="s">
        <v>684</v>
      </c>
      <c r="CG11" s="56" t="s">
        <v>205</v>
      </c>
      <c r="CH11" s="56" t="s">
        <v>38</v>
      </c>
      <c r="CI11" s="88" t="s">
        <v>684</v>
      </c>
      <c r="CJ11" s="144" t="s">
        <v>684</v>
      </c>
      <c r="CK11" s="230" t="s">
        <v>203</v>
      </c>
      <c r="CL11" s="230" t="s">
        <v>203</v>
      </c>
      <c r="CM11" s="230" t="s">
        <v>684</v>
      </c>
      <c r="CN11" s="230" t="s">
        <v>205</v>
      </c>
      <c r="CO11" s="230" t="s">
        <v>38</v>
      </c>
      <c r="CP11" s="230" t="s">
        <v>684</v>
      </c>
      <c r="CQ11" s="144" t="s">
        <v>684</v>
      </c>
      <c r="CR11" s="20" t="s">
        <v>684</v>
      </c>
      <c r="CS11" s="20" t="s">
        <v>684</v>
      </c>
      <c r="CT11" s="56" t="s">
        <v>684</v>
      </c>
      <c r="CU11" s="56" t="s">
        <v>684</v>
      </c>
      <c r="CV11" s="56" t="s">
        <v>684</v>
      </c>
      <c r="CW11" s="56" t="s">
        <v>684</v>
      </c>
      <c r="CX11" s="20" t="s">
        <v>684</v>
      </c>
      <c r="CY11" s="412" t="s">
        <v>202</v>
      </c>
      <c r="CZ11"/>
      <c r="DA11"/>
      <c r="DB11"/>
      <c r="DC11"/>
      <c r="DD11"/>
      <c r="DE11"/>
    </row>
    <row r="12" spans="1:109" s="24" customFormat="1" x14ac:dyDescent="0.2">
      <c r="A12" s="26"/>
      <c r="B12" s="26"/>
      <c r="C12" s="26"/>
      <c r="D12" s="81"/>
      <c r="E12" s="26"/>
      <c r="F12" s="106" t="s">
        <v>201</v>
      </c>
      <c r="G12" s="20" t="s">
        <v>201</v>
      </c>
      <c r="H12" s="56" t="s">
        <v>201</v>
      </c>
      <c r="I12" s="20" t="s">
        <v>201</v>
      </c>
      <c r="J12" s="180" t="s">
        <v>201</v>
      </c>
      <c r="K12" s="20" t="s">
        <v>201</v>
      </c>
      <c r="L12" s="182" t="s">
        <v>201</v>
      </c>
      <c r="M12" s="20" t="s">
        <v>201</v>
      </c>
      <c r="N12" s="68" t="s">
        <v>201</v>
      </c>
      <c r="O12" s="20" t="s">
        <v>201</v>
      </c>
      <c r="P12" s="56" t="s">
        <v>201</v>
      </c>
      <c r="Q12" s="20" t="s">
        <v>201</v>
      </c>
      <c r="R12" s="56" t="s">
        <v>201</v>
      </c>
      <c r="S12" s="20" t="s">
        <v>201</v>
      </c>
      <c r="T12" s="56" t="s">
        <v>201</v>
      </c>
      <c r="U12" s="20" t="s">
        <v>201</v>
      </c>
      <c r="V12" s="56" t="s">
        <v>201</v>
      </c>
      <c r="W12" s="20" t="s">
        <v>201</v>
      </c>
      <c r="X12" s="56" t="s">
        <v>201</v>
      </c>
      <c r="Y12" s="20" t="s">
        <v>201</v>
      </c>
      <c r="Z12" s="82" t="s">
        <v>201</v>
      </c>
      <c r="AA12" s="344" t="s">
        <v>201</v>
      </c>
      <c r="AB12" s="344" t="s">
        <v>201</v>
      </c>
      <c r="AC12" s="81" t="s">
        <v>201</v>
      </c>
      <c r="AD12" s="81" t="s">
        <v>201</v>
      </c>
      <c r="AE12" s="82" t="s">
        <v>201</v>
      </c>
      <c r="AF12" s="344" t="s">
        <v>201</v>
      </c>
      <c r="AG12" s="344" t="s">
        <v>201</v>
      </c>
      <c r="AH12" s="59" t="s">
        <v>201</v>
      </c>
      <c r="AI12" s="344" t="s">
        <v>201</v>
      </c>
      <c r="AJ12" s="144" t="s">
        <v>201</v>
      </c>
      <c r="AK12" s="230" t="s">
        <v>201</v>
      </c>
      <c r="AL12" s="230" t="s">
        <v>201</v>
      </c>
      <c r="AM12" s="255" t="s">
        <v>201</v>
      </c>
      <c r="AN12" s="88" t="s">
        <v>201</v>
      </c>
      <c r="AO12" s="106" t="s">
        <v>201</v>
      </c>
      <c r="AP12" s="88" t="s">
        <v>201</v>
      </c>
      <c r="AQ12" s="144" t="s">
        <v>201</v>
      </c>
      <c r="AR12" s="230" t="s">
        <v>201</v>
      </c>
      <c r="AS12" s="230" t="s">
        <v>201</v>
      </c>
      <c r="AT12" s="230" t="s">
        <v>201</v>
      </c>
      <c r="AU12" s="88" t="s">
        <v>201</v>
      </c>
      <c r="AV12" s="144" t="s">
        <v>201</v>
      </c>
      <c r="AW12" s="102" t="s">
        <v>201</v>
      </c>
      <c r="AX12" s="230" t="s">
        <v>201</v>
      </c>
      <c r="AY12" s="255" t="s">
        <v>201</v>
      </c>
      <c r="AZ12" s="81" t="s">
        <v>201</v>
      </c>
      <c r="BA12" s="152" t="s">
        <v>201</v>
      </c>
      <c r="BB12" s="152" t="s">
        <v>201</v>
      </c>
      <c r="BC12" s="230" t="s">
        <v>201</v>
      </c>
      <c r="BD12" s="230" t="s">
        <v>201</v>
      </c>
      <c r="BE12" s="230" t="s">
        <v>201</v>
      </c>
      <c r="BF12" s="230" t="s">
        <v>201</v>
      </c>
      <c r="BG12" s="230" t="s">
        <v>201</v>
      </c>
      <c r="BH12" s="199" t="s">
        <v>201</v>
      </c>
      <c r="BI12" s="199" t="s">
        <v>201</v>
      </c>
      <c r="BJ12" s="199" t="s">
        <v>201</v>
      </c>
      <c r="BK12" s="88" t="s">
        <v>201</v>
      </c>
      <c r="BL12" s="328" t="s">
        <v>201</v>
      </c>
      <c r="BM12" s="144" t="s">
        <v>201</v>
      </c>
      <c r="BN12" s="199" t="s">
        <v>201</v>
      </c>
      <c r="BO12" s="144" t="s">
        <v>201</v>
      </c>
      <c r="BP12" s="230" t="s">
        <v>201</v>
      </c>
      <c r="BQ12" s="88" t="s">
        <v>201</v>
      </c>
      <c r="BR12" s="81" t="s">
        <v>201</v>
      </c>
      <c r="BS12" s="81" t="s">
        <v>201</v>
      </c>
      <c r="BT12" s="106" t="s">
        <v>201</v>
      </c>
      <c r="BU12" s="152" t="s">
        <v>201</v>
      </c>
      <c r="BV12" s="328" t="s">
        <v>201</v>
      </c>
      <c r="BW12" s="144" t="s">
        <v>201</v>
      </c>
      <c r="BX12" s="59" t="s">
        <v>201</v>
      </c>
      <c r="BY12" s="59" t="s">
        <v>201</v>
      </c>
      <c r="BZ12" s="152" t="s">
        <v>201</v>
      </c>
      <c r="CA12" s="152" t="s">
        <v>201</v>
      </c>
      <c r="CB12" s="88" t="s">
        <v>201</v>
      </c>
      <c r="CC12" s="88" t="s">
        <v>201</v>
      </c>
      <c r="CD12" s="56" t="s">
        <v>685</v>
      </c>
      <c r="CE12" s="88" t="s">
        <v>685</v>
      </c>
      <c r="CF12" s="56" t="s">
        <v>201</v>
      </c>
      <c r="CG12" s="56" t="s">
        <v>686</v>
      </c>
      <c r="CH12" s="56" t="s">
        <v>201</v>
      </c>
      <c r="CI12" s="88" t="s">
        <v>201</v>
      </c>
      <c r="CJ12" s="144" t="s">
        <v>201</v>
      </c>
      <c r="CK12" s="230" t="s">
        <v>685</v>
      </c>
      <c r="CL12" s="230" t="s">
        <v>685</v>
      </c>
      <c r="CM12" s="230" t="s">
        <v>201</v>
      </c>
      <c r="CN12" s="230" t="s">
        <v>686</v>
      </c>
      <c r="CO12" s="230" t="s">
        <v>201</v>
      </c>
      <c r="CP12" s="230" t="s">
        <v>201</v>
      </c>
      <c r="CQ12" s="144" t="s">
        <v>201</v>
      </c>
      <c r="CR12" s="20" t="s">
        <v>201</v>
      </c>
      <c r="CS12" s="20" t="s">
        <v>201</v>
      </c>
      <c r="CT12" s="56" t="s">
        <v>201</v>
      </c>
      <c r="CU12" s="56" t="s">
        <v>201</v>
      </c>
      <c r="CV12" s="56" t="s">
        <v>201</v>
      </c>
      <c r="CW12" s="56" t="s">
        <v>201</v>
      </c>
      <c r="CX12" s="20" t="s">
        <v>201</v>
      </c>
      <c r="CY12" s="412" t="s">
        <v>201</v>
      </c>
      <c r="CZ12"/>
      <c r="DA12"/>
      <c r="DB12"/>
      <c r="DC12"/>
      <c r="DD12"/>
      <c r="DE12"/>
    </row>
    <row r="13" spans="1:109" s="24" customFormat="1" x14ac:dyDescent="0.2">
      <c r="A13" s="26"/>
      <c r="B13" s="26"/>
      <c r="C13" s="26"/>
      <c r="D13" s="81"/>
      <c r="E13" s="26"/>
      <c r="F13" s="106"/>
      <c r="G13" s="20"/>
      <c r="H13" s="56"/>
      <c r="I13" s="20"/>
      <c r="J13" s="180"/>
      <c r="K13" s="20"/>
      <c r="L13" s="182"/>
      <c r="M13" s="20"/>
      <c r="N13" s="68"/>
      <c r="O13" s="20"/>
      <c r="P13" s="56"/>
      <c r="Q13" s="20"/>
      <c r="R13" s="56"/>
      <c r="S13" s="20"/>
      <c r="T13" s="56"/>
      <c r="U13" s="20"/>
      <c r="V13" s="56"/>
      <c r="W13" s="20"/>
      <c r="X13" s="56"/>
      <c r="Y13" s="20"/>
      <c r="Z13" s="82"/>
      <c r="AA13" s="344"/>
      <c r="AB13" s="344"/>
      <c r="AC13" s="81"/>
      <c r="AD13" s="81"/>
      <c r="AE13" s="82"/>
      <c r="AF13" s="344"/>
      <c r="AG13" s="344"/>
      <c r="AH13" s="59"/>
      <c r="AI13" s="81"/>
      <c r="AJ13" s="144"/>
      <c r="AK13" s="230"/>
      <c r="AL13" s="230"/>
      <c r="AM13" s="255"/>
      <c r="AN13" s="88"/>
      <c r="AO13" s="106"/>
      <c r="AP13" s="88"/>
      <c r="AQ13" s="144"/>
      <c r="AR13" s="230"/>
      <c r="AS13" s="230"/>
      <c r="AT13" s="230"/>
      <c r="AU13" s="88"/>
      <c r="AV13" s="144"/>
      <c r="AW13" s="102"/>
      <c r="AX13" s="230"/>
      <c r="AY13" s="255"/>
      <c r="AZ13" s="81"/>
      <c r="BA13" s="152"/>
      <c r="BB13" s="152"/>
      <c r="BC13" s="230"/>
      <c r="BD13" s="230"/>
      <c r="BE13" s="230"/>
      <c r="BF13" s="230"/>
      <c r="BG13" s="230"/>
      <c r="BH13" s="199"/>
      <c r="BI13" s="199"/>
      <c r="BJ13" s="199"/>
      <c r="BK13" s="88"/>
      <c r="BL13" s="328"/>
      <c r="BM13" s="144"/>
      <c r="BN13" s="199"/>
      <c r="BO13" s="144"/>
      <c r="BP13" s="230"/>
      <c r="BQ13" s="88"/>
      <c r="BR13" s="81"/>
      <c r="BS13" s="81"/>
      <c r="BT13" s="106"/>
      <c r="BU13" s="152"/>
      <c r="BV13" s="328"/>
      <c r="BW13" s="144"/>
      <c r="BX13" s="59"/>
      <c r="BY13" s="59"/>
      <c r="BZ13" s="152"/>
      <c r="CA13" s="152"/>
      <c r="CB13" s="88"/>
      <c r="CC13" s="88"/>
      <c r="CD13" s="56"/>
      <c r="CE13" s="88"/>
      <c r="CF13" s="56"/>
      <c r="CG13" s="56"/>
      <c r="CH13" s="56"/>
      <c r="CI13" s="88"/>
      <c r="CJ13" s="144"/>
      <c r="CK13" s="230"/>
      <c r="CL13" s="230"/>
      <c r="CM13" s="230"/>
      <c r="CN13" s="230"/>
      <c r="CO13" s="230"/>
      <c r="CP13" s="230"/>
      <c r="CQ13" s="144"/>
      <c r="CR13" s="20"/>
      <c r="CS13" s="20"/>
      <c r="CT13" s="56"/>
      <c r="CU13" s="56"/>
      <c r="CV13" s="56"/>
      <c r="CW13" s="56"/>
      <c r="CX13" s="20"/>
      <c r="CY13" s="412"/>
      <c r="CZ13"/>
      <c r="DA13"/>
      <c r="DB13"/>
      <c r="DC13"/>
      <c r="DD13"/>
      <c r="DE13"/>
    </row>
    <row r="14" spans="1:109" s="44" customFormat="1" x14ac:dyDescent="0.2">
      <c r="A14" s="43" t="s">
        <v>583</v>
      </c>
      <c r="B14" s="43" t="s">
        <v>5</v>
      </c>
      <c r="C14" s="38" t="s">
        <v>35</v>
      </c>
      <c r="D14" s="265" t="s">
        <v>6</v>
      </c>
      <c r="E14" s="38" t="s">
        <v>75</v>
      </c>
      <c r="F14" s="232" t="s">
        <v>298</v>
      </c>
      <c r="G14" s="192" t="s">
        <v>937</v>
      </c>
      <c r="H14" s="155" t="s">
        <v>299</v>
      </c>
      <c r="I14" s="192" t="s">
        <v>936</v>
      </c>
      <c r="J14" s="181" t="s">
        <v>301</v>
      </c>
      <c r="K14" s="192" t="s">
        <v>935</v>
      </c>
      <c r="L14" s="181" t="s">
        <v>1124</v>
      </c>
      <c r="M14" s="192" t="s">
        <v>1125</v>
      </c>
      <c r="N14" s="155" t="s">
        <v>1103</v>
      </c>
      <c r="O14" s="192" t="s">
        <v>1104</v>
      </c>
      <c r="P14" s="155" t="s">
        <v>300</v>
      </c>
      <c r="Q14" s="312" t="s">
        <v>1037</v>
      </c>
      <c r="R14" s="155" t="s">
        <v>606</v>
      </c>
      <c r="S14" s="192" t="s">
        <v>705</v>
      </c>
      <c r="T14" s="155" t="s">
        <v>302</v>
      </c>
      <c r="U14" s="192" t="s">
        <v>706</v>
      </c>
      <c r="V14" s="155" t="s">
        <v>781</v>
      </c>
      <c r="W14" s="192" t="s">
        <v>923</v>
      </c>
      <c r="X14" s="76" t="s">
        <v>303</v>
      </c>
      <c r="Y14" s="192" t="s">
        <v>924</v>
      </c>
      <c r="Z14" s="157" t="s">
        <v>1078</v>
      </c>
      <c r="AA14" s="346" t="s">
        <v>949</v>
      </c>
      <c r="AB14" s="346" t="s">
        <v>311</v>
      </c>
      <c r="AC14" s="159" t="s">
        <v>1077</v>
      </c>
      <c r="AD14" s="83" t="s">
        <v>943</v>
      </c>
      <c r="AE14" s="157" t="s">
        <v>1079</v>
      </c>
      <c r="AF14" s="346" t="s">
        <v>950</v>
      </c>
      <c r="AG14" s="346" t="s">
        <v>312</v>
      </c>
      <c r="AH14" s="76" t="s">
        <v>1076</v>
      </c>
      <c r="AI14" s="83" t="s">
        <v>942</v>
      </c>
      <c r="AJ14" s="331" t="s">
        <v>941</v>
      </c>
      <c r="AK14" s="324" t="s">
        <v>939</v>
      </c>
      <c r="AL14" s="324" t="s">
        <v>1093</v>
      </c>
      <c r="AM14" s="231" t="s">
        <v>1120</v>
      </c>
      <c r="AN14" s="83" t="s">
        <v>940</v>
      </c>
      <c r="AO14" s="404" t="s">
        <v>968</v>
      </c>
      <c r="AP14" s="83" t="s">
        <v>917</v>
      </c>
      <c r="AQ14" s="317" t="s">
        <v>938</v>
      </c>
      <c r="AR14" s="324" t="s">
        <v>945</v>
      </c>
      <c r="AS14" s="324" t="s">
        <v>1091</v>
      </c>
      <c r="AT14" s="324" t="s">
        <v>946</v>
      </c>
      <c r="AU14" s="83" t="s">
        <v>316</v>
      </c>
      <c r="AV14" s="317" t="s">
        <v>503</v>
      </c>
      <c r="AW14" s="159" t="s">
        <v>1171</v>
      </c>
      <c r="AX14" s="231" t="s">
        <v>1225</v>
      </c>
      <c r="AY14" s="231" t="s">
        <v>497</v>
      </c>
      <c r="AZ14" s="159" t="s">
        <v>1172</v>
      </c>
      <c r="BA14" s="153" t="s">
        <v>500</v>
      </c>
      <c r="BB14" s="153" t="s">
        <v>1089</v>
      </c>
      <c r="BC14" s="324" t="s">
        <v>501</v>
      </c>
      <c r="BD14" s="324" t="s">
        <v>502</v>
      </c>
      <c r="BE14" s="231" t="s">
        <v>944</v>
      </c>
      <c r="BF14" s="324" t="s">
        <v>1090</v>
      </c>
      <c r="BG14" s="324" t="s">
        <v>1173</v>
      </c>
      <c r="BH14" s="195" t="s">
        <v>1176</v>
      </c>
      <c r="BI14" s="195" t="s">
        <v>1174</v>
      </c>
      <c r="BJ14" s="200" t="s">
        <v>1175</v>
      </c>
      <c r="BK14" s="83" t="s">
        <v>1121</v>
      </c>
      <c r="BL14" s="324" t="s">
        <v>1177</v>
      </c>
      <c r="BM14" s="331" t="s">
        <v>1178</v>
      </c>
      <c r="BN14" s="200" t="s">
        <v>314</v>
      </c>
      <c r="BO14" s="331" t="s">
        <v>474</v>
      </c>
      <c r="BP14" s="324" t="s">
        <v>475</v>
      </c>
      <c r="BQ14" s="83" t="s">
        <v>313</v>
      </c>
      <c r="BR14" s="422" t="s">
        <v>1189</v>
      </c>
      <c r="BS14" s="422" t="s">
        <v>1190</v>
      </c>
      <c r="BT14" s="404" t="s">
        <v>952</v>
      </c>
      <c r="BU14" s="231" t="s">
        <v>1179</v>
      </c>
      <c r="BV14" s="324" t="s">
        <v>1180</v>
      </c>
      <c r="BW14" s="145" t="s">
        <v>1181</v>
      </c>
      <c r="BX14" s="90" t="s">
        <v>476</v>
      </c>
      <c r="BY14" s="90" t="s">
        <v>1182</v>
      </c>
      <c r="BZ14" s="153" t="s">
        <v>956</v>
      </c>
      <c r="CA14" s="153" t="s">
        <v>965</v>
      </c>
      <c r="CB14" s="83" t="s">
        <v>563</v>
      </c>
      <c r="CC14" s="83" t="s">
        <v>571</v>
      </c>
      <c r="CD14" s="347" t="s">
        <v>367</v>
      </c>
      <c r="CE14" s="347" t="s">
        <v>369</v>
      </c>
      <c r="CF14" s="155" t="s">
        <v>365</v>
      </c>
      <c r="CG14" s="155" t="s">
        <v>371</v>
      </c>
      <c r="CH14" s="155" t="s">
        <v>522</v>
      </c>
      <c r="CI14" s="83" t="s">
        <v>569</v>
      </c>
      <c r="CJ14" s="145" t="s">
        <v>570</v>
      </c>
      <c r="CK14" s="341" t="s">
        <v>515</v>
      </c>
      <c r="CL14" s="341" t="s">
        <v>514</v>
      </c>
      <c r="CM14" s="341" t="s">
        <v>572</v>
      </c>
      <c r="CN14" s="341" t="s">
        <v>573</v>
      </c>
      <c r="CO14" s="341" t="s">
        <v>574</v>
      </c>
      <c r="CP14" s="341" t="s">
        <v>575</v>
      </c>
      <c r="CQ14" s="317" t="s">
        <v>333</v>
      </c>
      <c r="CR14" s="192" t="s">
        <v>334</v>
      </c>
      <c r="CS14" s="192" t="s">
        <v>335</v>
      </c>
      <c r="CT14" s="76" t="s">
        <v>336</v>
      </c>
      <c r="CU14" s="76" t="s">
        <v>337</v>
      </c>
      <c r="CV14" s="76" t="s">
        <v>338</v>
      </c>
      <c r="CW14" s="76" t="s">
        <v>339</v>
      </c>
      <c r="CX14" s="192" t="s">
        <v>964</v>
      </c>
      <c r="CY14" s="232" t="s">
        <v>582</v>
      </c>
    </row>
    <row r="15" spans="1:109" s="24" customFormat="1" x14ac:dyDescent="0.2">
      <c r="A15" s="26"/>
      <c r="B15" s="26"/>
      <c r="C15" s="26"/>
      <c r="D15" s="264"/>
      <c r="E15" s="26" t="str">
        <f>B15&amp;"|"&amp;C15&amp;"|"&amp;D15</f>
        <v>||</v>
      </c>
      <c r="F15" s="421" t="str">
        <f>IF(LEFT($B15,4)="_Mil","",_xlfn.IFNA(ROUND(INDEX(Spectrum!$N:$N,MATCH(RIGHT($B15,13)&amp;"|"&amp;$C15&amp;"|"&amp;$D15&amp;"|"&amp;F$14&amp;"|"&amp;"CY2022Q3",Spectrum!$Q:$Q,0)),0),""))</f>
        <v/>
      </c>
      <c r="G15" s="39" t="str">
        <f>IF(OR($F15="",LEFT($B15,4)="_Mil"),"",_xlfn.IFNA(INDEX(Spectrum!$P:$P,MATCH(RIGHT($B15,13)&amp;"|"&amp;$C15&amp;"|"&amp;$D15&amp;"|"&amp;F$14&amp;"|"&amp;"CY2022Q3",Spectrum!$Q:$Q,0)),""))</f>
        <v/>
      </c>
      <c r="H15" s="68" t="str">
        <f>IF(LEFT($B15,4)="_Mil","",_xlfn.IFNA(ROUND(INDEX(Spectrum!$N:$N,MATCH(RIGHT($B15,13)&amp;"|"&amp;$C15&amp;"|"&amp;$D15&amp;"|"&amp;H$14&amp;"|"&amp;"CY2022Q3",Spectrum!$Q:$Q,0)),0),""))</f>
        <v/>
      </c>
      <c r="I15" s="39" t="str">
        <f>IF(OR($H15="",LEFT($B15,4)="_Mil"),"",_xlfn.IFNA(INDEX(Spectrum!$P:$P,MATCH(RIGHT($B15,13)&amp;"|"&amp;$C15&amp;"|"&amp;$D15&amp;"|"&amp;H$14&amp;"|"&amp;"CY2022Q3",Spectrum!$Q:$Q,0)),""))</f>
        <v/>
      </c>
      <c r="J15" s="374" t="str">
        <f>IF(LEFT($B15,4)="_Mil","",_xlfn.IFNA(INDEX(Spectrum!$N:$N,MATCH(RIGHT($B15,13)&amp;"|"&amp;$C15&amp;"|"&amp;$D15&amp;"|"&amp;J$14&amp;"|"&amp;"CY2022Q3",Spectrum!$Q:$Q,0)),""))</f>
        <v/>
      </c>
      <c r="K15" s="39" t="str">
        <f>IF(OR($J15="",LEFT($B15,4)="_Mil"),"",_xlfn.IFNA(INDEX(Spectrum!$P:$P,MATCH(RIGHT($B15,13)&amp;"|"&amp;$C15&amp;"|"&amp;$D15&amp;"|"&amp;J$14&amp;"|"&amp;"CY2022Q3",Spectrum!$Q:$Q,0)),""))</f>
        <v/>
      </c>
      <c r="L15" s="418" t="str">
        <f>IF(LEFT($B15,4)="_Mil","",_xlfn.IFNA(INDEX(Spectrum!$N:$N,MATCH(RIGHT($B15,13)&amp;"|"&amp;$C15&amp;"|"&amp;$D15&amp;"|"&amp;L$14&amp;"|"&amp;"CY2022Q3",Spectrum!$Q:$Q,0)),""))</f>
        <v/>
      </c>
      <c r="M15" s="39" t="str">
        <f>IF(OR($J15="",LEFT($B15,4)="_Mil"),"",_xlfn.IFNA(INDEX(Spectrum!$P:$P,MATCH(RIGHT($B15,13)&amp;"|"&amp;$C15&amp;"|"&amp;$D15&amp;"|"&amp;L$14&amp;"|"&amp;"CY2022Q3",Spectrum!$Q:$Q,0)),""))</f>
        <v/>
      </c>
      <c r="N15" s="415" t="str">
        <f>IF(LEFT($B15,4)="_Mil","",_xlfn.IFNA(ROUND(INDEX(Spectrum!$N:$N,MATCH(RIGHT($B15,13)&amp;"|"&amp;$C15&amp;"|"&amp;$D15&amp;"|"&amp;N$14&amp;"|"&amp;"CY2022Q3",Spectrum!$Q:$Q,0)),0),""))</f>
        <v/>
      </c>
      <c r="O15" s="39" t="str">
        <f>IF(OR($P15="",LEFT($B15,4)="_Mil"),"",_xlfn.IFNA(INDEX(Spectrum!$P:$P,MATCH(RIGHT($B15,13)&amp;"|"&amp;$C15&amp;"|"&amp;$D15&amp;"|"&amp;N$14&amp;"|"&amp;"CY2022Q3",Spectrum!$Q:$Q,0)),""))</f>
        <v/>
      </c>
      <c r="P15" s="68" t="str">
        <f>IF(LEFT($B15,4)="_Mil","",_xlfn.IFNA(ROUND(INDEX(Spectrum!$N:$N,MATCH(RIGHT($B15,13)&amp;"|"&amp;$C15&amp;"|"&amp;$D15&amp;"|"&amp;P$14&amp;"|"&amp;"CY2022Q3",Spectrum!$Q:$Q,0)),0),""))</f>
        <v/>
      </c>
      <c r="Q15" s="39" t="str">
        <f>IF(OR($P15="",LEFT($B15,4)="_Mil"),"",_xlfn.IFNA(INDEX(Spectrum!$P:$P,MATCH(RIGHT($B15,13)&amp;"|"&amp;$C15&amp;"|"&amp;$D15&amp;"|"&amp;P$14&amp;"|"&amp;"CY2022Q3",Spectrum!$Q:$Q,0)),""))</f>
        <v/>
      </c>
      <c r="R15" s="56" t="str">
        <f>IF(LEFT($B15,4)="_Mil","",_xlfn.IFNA(ROUND(INDEX(Spectrum!$N:$N,MATCH(RIGHT($B15,13)&amp;"|"&amp;$C15&amp;"|"&amp;$D15&amp;"|"&amp;R$14&amp;"|"&amp;"CY2021Q4",Spectrum!$Q:$Q,0)),0),""))</f>
        <v/>
      </c>
      <c r="S15" s="39" t="str">
        <f>IF(OR($R15="",LEFT($B15,4)="_Mil"),"",_xlfn.IFNA(INDEX(Spectrum!$P:$P,MATCH(RIGHT($B15,13)&amp;"|"&amp;$C15&amp;"|"&amp;$D15&amp;"|"&amp;R$14&amp;"|"&amp;"CY2021Q4",Spectrum!$Q:$Q,0)),""))</f>
        <v/>
      </c>
      <c r="T15" s="56" t="str">
        <f>IF(LEFT($B15,4)="_Mil","",_xlfn.IFNA(ROUND(INDEX(Spectrum!$N:$N,MATCH(RIGHT($B15,13)&amp;"|"&amp;$C15&amp;"|"&amp;$D15&amp;"|"&amp;T$14&amp;"|"&amp;"CY2022Q3",Spectrum!$Q:$Q,0)),0),""))</f>
        <v/>
      </c>
      <c r="U15" s="39" t="str">
        <f>IF(OR($T15="",LEFT($B15,4)="_Mil"),"",_xlfn.IFNA(INDEX(Spectrum!$P:$P,MATCH(RIGHT($B15,13)&amp;"|"&amp;$C15&amp;"|"&amp;$D15&amp;"|"&amp;T$14&amp;"|"&amp;"CY2022Q3",Spectrum!$Q:$Q,0)),""))</f>
        <v/>
      </c>
      <c r="V15" s="71" t="str">
        <f>IF(LEFT($B15,4)="_Mil","",_xlfn.IFNA(ROUND(INDEX(Spectrum!$N:$N,MATCH(RIGHT($B15,13)&amp;"|"&amp;$C15&amp;"|"&amp;$D15&amp;"|"&amp;V$14&amp;"|"&amp;"CY2022Q3",Spectrum!$Q:$Q,0)),0),""))</f>
        <v/>
      </c>
      <c r="W15" s="39" t="str">
        <f>IF(OR($V15="",LEFT($B15,4)="_Mil"),"",_xlfn.IFNA(INDEX(Spectrum!$P:$P,MATCH(RIGHT($B15,13)&amp;"|"&amp;$C15&amp;"|"&amp;$D15&amp;"|"&amp;V$14&amp;"|"&amp;"CY2022Q3",Spectrum!$Q:$Q,0)),""))</f>
        <v/>
      </c>
      <c r="X15" s="68" t="str">
        <f>IF(LEFT($B15,4)="_Mil","",_xlfn.IFNA(ROUND(INDEX(Spectrum!$N:$N,MATCH(RIGHT($B15,13)&amp;"|"&amp;$C15&amp;"|"&amp;$D15&amp;"|"&amp;X$14&amp;"|"&amp;"CY2022Q3",Spectrum!$Q:$Q,0)),0),""))</f>
        <v/>
      </c>
      <c r="Y15" s="191" t="str">
        <f>IF(OR($X15="",LEFT($B15,4)="_Mil"),"",_xlfn.IFNA(INDEX(Spectrum!$P:$P,MATCH(RIGHT($B15,13)&amp;"|"&amp;$C15&amp;"|"&amp;$D15&amp;"|"&amp;X$14&amp;"|"&amp;"CY2022Q3",Spectrum!$Q:$Q,0)),""))</f>
        <v/>
      </c>
      <c r="Z15" s="96"/>
      <c r="AA15" s="298"/>
      <c r="AB15" s="298"/>
      <c r="AC15" s="102"/>
      <c r="AD15" s="298"/>
      <c r="AE15" s="96"/>
      <c r="AF15" s="298"/>
      <c r="AG15" s="298"/>
      <c r="AH15" s="63"/>
      <c r="AI15" s="298"/>
      <c r="AJ15" s="146" t="str">
        <f>IF(LEFT($B15,4)="_Mil","",IF(SUM($T15)=0,IF(SUM($R15)=0,IF(AND(SUM($AG15)=0,SUM($AB15)=0),"",1),IF(SUM($AB15)=0,SUM($AG15),$AB15)/$R15),IF(SUM($AG15)=0,IF(SUM($R15)=0,SUM($AB15)/$T15,SUM($AB15)/$R15),$AG15/$T15)))</f>
        <v/>
      </c>
      <c r="AK15" s="318" t="str">
        <f>$AJ15</f>
        <v/>
      </c>
      <c r="AL15" s="318" t="str">
        <f>IF(SUM($H15)=0,"",IF(SUM($X15)=0,IF(SUM($AI15)=0,SUM($AD15),$AI15)/IF(SUM($AJ15)=0,1,$AJ15),$X15)/$H15)</f>
        <v/>
      </c>
      <c r="AM15" s="255">
        <f>IF(LEFT($B15,4)="_Mil","",MAX($AL15,95%*95%*95%))</f>
        <v>0.85737499999999989</v>
      </c>
      <c r="AN15" s="201">
        <f>IF(LEFT($B15,4)="_Mil","",ROUND($AM15*SUM($H15,$N15),0))</f>
        <v>0</v>
      </c>
      <c r="AO15" s="406" t="str">
        <f>IF($C15="&lt;01",ROUND(INDEX(EID!$V:$V,MATCH($B15,EID!$B:$B,0))/2,0),"")</f>
        <v/>
      </c>
      <c r="AP15" s="201" t="str">
        <f>IF($C15="&lt;01",HYPERLINK("",$AO15),IF(LEFT($B15,4)="_Mil",HYPERLINK("","Paste _Mil Targets Here"),IFERROR(HYPERLINK("",ROUND($AN15*AK15,0)),HYPERLINK("#Cascade!AK"&amp;ROW($AK15),"&lt;- Add PEPFAR Contribution %"))))</f>
        <v>&lt;- Add PEPFAR Contribution %</v>
      </c>
      <c r="AQ15" s="144" t="str">
        <f>IF(OR(LEFT($B15,4)="_Mil",$C15="&lt;01",SUM($V15)=0),"",SUM($X15)/SUM($V15))</f>
        <v/>
      </c>
      <c r="AR15" s="318" t="str">
        <f>IF($C15="&lt;01","",IFERROR(SUM($AD15)/SUM($AC15),""))</f>
        <v/>
      </c>
      <c r="AS15" s="318" t="str">
        <f>IF($C15="&lt;01","",IFERROR(SUM($AI15)/SUM($AH15),""))</f>
        <v/>
      </c>
      <c r="AT15" s="318">
        <f>IF($C15="&lt;01","",MAX(95%,$AQ15,$AS15,$AR15))</f>
        <v>0.95</v>
      </c>
      <c r="AU15" s="201">
        <f>IF(AND(LEFT($B15,4)="_Mil",SUM($AP15)=0),"",IF($C15="&lt;01",HYPERLINK("",IFERROR(ROUND(INDEX(EID!$T:$T,MATCH($B15,EID!$B:$B,0))/2,0),0)),IF($AT15="",HYPERLINK("#Cascade!AT"&amp;ROW(AU15),"&lt;- Add VLS Rate"),HYPERLINK("",ROUND(SUM($AP15)/$AT15,0)))))</f>
        <v>0</v>
      </c>
      <c r="AV15" s="144" t="str">
        <f>IF(OR(SUM($H15)=0,LEFT($B15,4)="_Mil",$C15="&lt;01"),"",SUM($P15)/$H15)</f>
        <v/>
      </c>
      <c r="AW15" s="102">
        <f>IF(OR(LEFT($B15,4)="_Mil",$C15="&lt;01"),"",SUM($H15)-SUM($P15))</f>
        <v>0</v>
      </c>
      <c r="AX15" s="230">
        <f>IF($C15="&lt;01","",MAX(95%,SUM($AV15)))</f>
        <v>0.95</v>
      </c>
      <c r="AY15" s="255" t="str">
        <f>IF(OR(LEFT($B15,4)="_Mil",$C15="&lt;01",SUM($P15)=0),"",IF(SUM($T15)=0,SUM($R15),$T15)/$P15)</f>
        <v/>
      </c>
      <c r="AZ15" s="102">
        <f>IF(OR(LEFT($B15,4)="_Mil",$C15="&lt;01"),"",SUM($P15)-IF(SUM($T15)=0,SUM($R15),$T15))</f>
        <v>0</v>
      </c>
      <c r="BA15" s="154" t="str">
        <f>IF(OR(SUM($Z15)=0,$C15="&lt;01"),"",SUM($AA15)/$Z15)</f>
        <v/>
      </c>
      <c r="BB15" s="154" t="str">
        <f>IF(OR(SUM($AE15)=0,$C15="&lt;01"),"",SUM($AF15)/$AE15)</f>
        <v/>
      </c>
      <c r="BC15" s="318">
        <f>IF($C15="&lt;01","",MIN(MAX(95%,$AY15,$BB15,$BA15),1))</f>
        <v>0.95</v>
      </c>
      <c r="BD15" s="318">
        <f>IF($C15="&lt;01","",70%)</f>
        <v>0.7</v>
      </c>
      <c r="BE15" s="230" t="str">
        <f>IF(OR(LEFT($B15,4)="_Mil",$C15="&lt;01"),"",IFERROR($V15/IF(SUM($T15)=0,$R15,$T15),""))</f>
        <v/>
      </c>
      <c r="BF15" s="318" t="str">
        <f>IF($C15="&lt;01","",IFERROR(SUM($AH15)/SUM($AG15),""))</f>
        <v/>
      </c>
      <c r="BG15" s="318">
        <f>IF($C15="&lt;01","",95%)</f>
        <v>0.95</v>
      </c>
      <c r="BH15" s="199" t="str">
        <f>IF($C15="&lt;01",HYPERLINK("",IFERROR(ROUND(INDEX(EID!$N:$N,MATCH($B15,EID!$B:$B,0))/2,0),0)),IF(AND($AK15="",LEFT($B15,4)&lt;&gt;"_Mil"),HYPERLINK("#Cascade!AK"&amp;ROW(AK15),"&lt;- Add PEPFAR Contribution %"),IF($AX15="",HYPERLINK("#Cascade!AZ"&amp;ROW(AX15),"&lt;- Add % New Infections Diagnosed &amp; Linked"),IF($BC15="",HYPERLINK("#Cascade!BC"&amp;ROW(BC15),"&lt;- Add Linkage"),IF(LEFT($B15,4)="_Mil",HYPERLINK("","*Paste Mil New Infections to be initiated on ART here"),HYPERLINK("",ROUND(SUM($N15)*IF(LEFT($B15,4)="_Mil",1,$AK15)*$AX15*$BC15,0)))))))</f>
        <v>&lt;- Add PEPFAR Contribution %</v>
      </c>
      <c r="BI15" s="199">
        <f>IF($C15="&lt;01","",IF($BG15="",HYPERLINK("#Cascade!BG"&amp;ROW($BG15),"&lt;- Add VLT Coverage"),IF($BD15="",HYPERLINK("#Cascade!BD"&amp;ROW($BD15),"&lt;- Add Eligibility Rate"),HYPERLINK("",MAX(ROUND(((SUM($AU15)/SUM($BG15)-SUM($AG15))/SUM($BD15))-SUM($BH15),0),0)))))</f>
        <v>0</v>
      </c>
      <c r="BJ15" s="201">
        <f>SUM($BH15,$BI15)</f>
        <v>0</v>
      </c>
      <c r="BK15" s="201">
        <f>IF(AND(LEFT($B15,4)="_Mil",SUM($AP15)=0),"",IF($C15="&lt;01",IFERROR(ROUND(INDEX(EID!$R:$R,MATCH($B15,EID!$B:$B,0))/2,0),0),SUM($AG15)+ROUND(SUM($BJ15)*SUM($BD15),0)))</f>
        <v>0</v>
      </c>
      <c r="BL15" s="329" t="str">
        <f>IF(SUM($BK15)=0,"",SUM($AU15)/SUM($BK15))</f>
        <v/>
      </c>
      <c r="BM15" s="146">
        <f>IF($C15="&lt;01","",100%)</f>
        <v>1</v>
      </c>
      <c r="BN15" s="201">
        <f>SUM($BH15)+ROUND(SUM($BI15)*SUM($BM15),0)</f>
        <v>0</v>
      </c>
      <c r="BO15" s="146">
        <f>IF($C15="&lt;01","",98%)</f>
        <v>0.98</v>
      </c>
      <c r="BP15" s="318">
        <f>IF($C15="&lt;01","",98%)</f>
        <v>0.98</v>
      </c>
      <c r="BQ15" s="201">
        <f>IF(AND(LEFT($B15,4)="_Mil",SUM($AP15)=0),"",ROUND(IF($C15="&lt;01",IFERROR(INDEX(EID!P:$P,MATCH($B15,EID!$B:$B,0))/2,0),SUM($AG15)*SUM($BP15)+SUM($BJ15)*SUM($BO15)),0))</f>
        <v>0</v>
      </c>
      <c r="BR15" s="298">
        <f>$AG15-$AB15</f>
        <v>0</v>
      </c>
      <c r="BS15" s="298">
        <f>$BQ15-$AG15</f>
        <v>0</v>
      </c>
      <c r="BT15" s="406" t="str">
        <f>IF(LEFT($B15,4)="_Mil","",IF($AK15="",HYPERLINK("#Cascade!AK"&amp;ROW($AK15),"&lt;- Add PEPFAR Contribution %"),HYPERLINK("",ROUND($BQ15/$AK15,0))))</f>
        <v>&lt;- Add PEPFAR Contribution %</v>
      </c>
      <c r="BU15" s="230" t="str">
        <f>IF(LEFT($B15,4)="_Mil","",IFERROR(1/(1/INDEX(Spectrum!$N:$N,MATCH(RIGHT($B15,13)&amp;"|"&amp;$C15&amp;"|"&amp;$D15&amp;"|"&amp;BU$14&amp;"|"&amp;"CY2022Q3",Spectrum!$Q:$Q,0))),IF(SUM($H15)=0,"",IF(SUM($T15)=0,SUM($R15),$T15)/$H15)))</f>
        <v/>
      </c>
      <c r="BV15" s="329" t="str">
        <f>IF(SUM($H15,$N15)=0,"",SUM($BT15)/SUM($H15,$N15))</f>
        <v/>
      </c>
      <c r="BW15" s="146">
        <f>IF($C15="&lt;01","",0%)</f>
        <v>0</v>
      </c>
      <c r="BX15" s="74">
        <f>IF($C15="&lt;01","",ROUND((SUM($BN15)-SUM($BH15))*SUM($BW15),0))</f>
        <v>0</v>
      </c>
      <c r="BY15" s="74">
        <f>SUM($BN15)-SUM($BX15)</f>
        <v>0</v>
      </c>
      <c r="BZ15" s="154"/>
      <c r="CA15" s="154" t="str">
        <f>IF(OR(SUM($BY15)=0,$C15="&lt;01"),"",SUM($BZ15))</f>
        <v/>
      </c>
      <c r="CB15" s="89" t="str">
        <f>IF($C15="&lt;01",HYPERLINK("",IFERROR(ROUND(INDEX(EID!$L:$L,MATCH($B15,EID!$B:$B,0))/2,0),0)),IF(SUM($BY15)=0,"",IF($BC15="",HYPERLINK("#Cascade!BC"&amp;ROW($BC15),"&lt;- Add Linkage Rate"),HYPERLINK("",ROUND($BY15/$BC15,0)))))</f>
        <v/>
      </c>
      <c r="CC15" s="89" t="str">
        <f>IF($C15="&lt;01","",IF(SUM($CB15)=0,"",ROUND($CB15*SUM($CA15),0)))</f>
        <v/>
      </c>
      <c r="CD15" s="89" t="str">
        <f>IF(OR($D15&lt;&gt;"Female",$C15="&lt;01",$C15="01-04",$C15="05-09"),"",_xlfn.IFNA(INDEX(PMTCT!$AF:$AF,MATCH($E15,PMTCT!$E:$E,0)),""))</f>
        <v/>
      </c>
      <c r="CE15" s="89" t="str">
        <f>IF(OR($D15&lt;&gt;"Female",$C15="&lt;01",$C15="01-04",$C15="05-09"),"",_xlfn.IFNA(INDEX(PMTCT!$AV:$AV,MATCH($E15,PMTCT!$E:$E,0)),""))</f>
        <v/>
      </c>
      <c r="CF15" s="89">
        <f>IF($C15="&lt;01","",_xlfn.IFNA(INDEX(TB!$Q:$Q,MATCH($E15,TB!$E:$E,0)),""))</f>
        <v>0</v>
      </c>
      <c r="CG15" s="89" t="str">
        <f>IF(OR($D15&lt;&gt;"Male",$C15="&lt;01",$C15="01-04",$C15="05-09",$C15="10-14"),"",_xlfn.IFNA(INDEX(VMMC!$AC:$AC,MATCH($E15,VMMC!$E:$E,0)),""))</f>
        <v/>
      </c>
      <c r="CH15" s="89" t="str">
        <f>IF($C15="&lt;01",$CB15,"")</f>
        <v/>
      </c>
      <c r="CI15" s="89" t="str">
        <f>IF(SUM($CB15)=SUM($CC15:$CH15),"",$CB15-SUM($CC15:$CH15))</f>
        <v/>
      </c>
      <c r="CJ15" s="146" t="str">
        <f>IF(SUM($CC15)=0,"",$CC15/$CB15)</f>
        <v/>
      </c>
      <c r="CK15" s="318" t="str">
        <f>IF(SUM($CD15)=0,"",$CD15/$CB15)</f>
        <v/>
      </c>
      <c r="CL15" s="318" t="str">
        <f>IF(SUM($CE15)=0,"",$CE15/$CB15)</f>
        <v/>
      </c>
      <c r="CM15" s="318" t="str">
        <f>IF(SUM($CF15)=0,"",$CF15/$CB15)</f>
        <v/>
      </c>
      <c r="CN15" s="318" t="str">
        <f>IF(SUM($CG15)=0,"",$CG15/$CB15)</f>
        <v/>
      </c>
      <c r="CO15" s="318" t="str">
        <f>IF(SUM($CH15)=0,"",$CH15/$CB15)</f>
        <v/>
      </c>
      <c r="CP15" s="318" t="str">
        <f>IF(SUM($CI15)=0,"",$CI15/$CB15)</f>
        <v/>
      </c>
      <c r="CQ15" s="144"/>
      <c r="CR15" s="20"/>
      <c r="CS15" s="20"/>
      <c r="CT15" s="68" t="str">
        <f>IF(OR(SUM($CC15)=0,SUM($CQ15)=0),"",ROUND($CC15*$CQ15,0))</f>
        <v/>
      </c>
      <c r="CU15" s="68" t="str">
        <f>IF(SUM($CT15)=0,"",ROUND($CT15/$CR15,0)-$CT15)</f>
        <v/>
      </c>
      <c r="CV15" s="68" t="str">
        <f>IF(SUM($CC15)=0,"",$CC15-SUM($CT15))</f>
        <v/>
      </c>
      <c r="CW15" s="68" t="str">
        <f>IF(SUM($CV15)=0,"",ROUND($CV15/$CS15,0)-$CV15)</f>
        <v/>
      </c>
      <c r="CX15" s="20" t="str">
        <f>IF(OR(SUM($CB15)=0,$C15="&lt;01"),"",SUM($CT15,$CV15)/$CB15)</f>
        <v/>
      </c>
      <c r="CY15" s="412" t="str">
        <f>IF(LEFT($B15,4)="_Mil","",IF($AK15="",HYPERLINK("#Cascade!AK"&amp;ROW($AK15),"&lt;- Add % PEPFAR Contribution"),HYPERLINK("",IF($C15="&lt;01",0,SUM($P15))+ROUND(SUM($CB15)/$AK15,0))))</f>
        <v>&lt;- Add % PEPFAR Contribution</v>
      </c>
      <c r="CZ15"/>
      <c r="DA15"/>
      <c r="DB15"/>
      <c r="DC15"/>
      <c r="DD15"/>
      <c r="DE15"/>
    </row>
  </sheetData>
  <mergeCells count="1">
    <mergeCell ref="A2:B3"/>
  </mergeCells>
  <conditionalFormatting sqref="BW1:BX1048576">
    <cfRule type="expression" dxfId="70" priority="848">
      <formula>AND(ISNUMBER(BW1),ROUND(BW1,2)&gt;0)</formula>
    </cfRule>
  </conditionalFormatting>
  <conditionalFormatting sqref="F1:Y1048576 AJ1:AN1048576 AQ1:AQ1048576 BE1:BE1048576 BT1:BV1048576 CY1:CY1048576 AV1:AW1048576 AY1:AZ1048576">
    <cfRule type="expression" dxfId="69" priority="103">
      <formula>LEFT($B1,4)="_Mil"</formula>
    </cfRule>
  </conditionalFormatting>
  <conditionalFormatting sqref="AQ1:AT1048576 BI1:BI1048576 BM1:BM1048576 BO1:BP1048576 BW1:BX1048576 BZ1:CA1048576 CC1:CG1048576 CI1:CN1048576 CP1:CX1048576 AV1:BG1048576">
    <cfRule type="expression" dxfId="68" priority="95">
      <formula>$C1="&lt;01"</formula>
    </cfRule>
  </conditionalFormatting>
  <conditionalFormatting sqref="BO1:BP1048576">
    <cfRule type="expression" dxfId="67" priority="80">
      <formula>AND(ISNUMBER(BO1),ROUND(BO1,2)&lt;98%)</formula>
    </cfRule>
  </conditionalFormatting>
  <conditionalFormatting sqref="AO1:AO1048576 CH1:CH1048576 CO1:CO1048576">
    <cfRule type="expression" dxfId="66" priority="7">
      <formula>AND(ROW(AO1)&gt;14,$B1&lt;&gt;"",NOT($C1="&lt;01"))</formula>
    </cfRule>
  </conditionalFormatting>
  <conditionalFormatting sqref="CA1:CA1048576">
    <cfRule type="expression" dxfId="65" priority="2577">
      <formula>AND(ISNUMBER($CA1),$CA1&lt;&gt;$BZ1)</formula>
    </cfRule>
  </conditionalFormatting>
  <conditionalFormatting sqref="J1:J1048576 L1:L1048576 AJ1:AM1048576 AQ1:AT1048576 AV1:AV1048576 AX1:BG1048576 BL1:BM1048576 BO1:BP1048576 BU1:BW1048576 BZ1:CA1048576 CJ1:CS1048576 CX1:CX1048576">
    <cfRule type="expression" dxfId="64" priority="6">
      <formula>AND(ISNUMBER(J1),OR(ROUND(J1,2)&lt;0,ROUND(J1,2)&gt;1))</formula>
    </cfRule>
  </conditionalFormatting>
  <conditionalFormatting sqref="AQ1:AT1048576 AV1:AV1048576 AX1:AY1048576 BA1:BC1048576 BE1:BG1048576">
    <cfRule type="expression" dxfId="63" priority="12">
      <formula>AND(ISNUMBER(AQ1),ROUND(AQ1,2)&lt;95%)</formula>
    </cfRule>
  </conditionalFormatting>
  <conditionalFormatting sqref="BU1:BV1048576">
    <cfRule type="expression" dxfId="62" priority="10">
      <formula>AND(ISNUMBER(BU1),ROUND(BU1,2)&lt;ROUND(90%*90%,2))</formula>
    </cfRule>
  </conditionalFormatting>
  <conditionalFormatting sqref="BM1:BM1048576">
    <cfRule type="expression" dxfId="61" priority="8">
      <formula>AND(ISNUMBER(BM1),ROUND(BM1,2)&lt;1)</formula>
    </cfRule>
  </conditionalFormatting>
  <conditionalFormatting sqref="CN1:CN1048576 CG1:CG1048576">
    <cfRule type="expression" dxfId="60" priority="96">
      <formula>AND(ROW(CG1)&gt;14,$B1&lt;&gt;"",$D1&lt;&gt;"Male")</formula>
    </cfRule>
  </conditionalFormatting>
  <conditionalFormatting sqref="AL1:AM1048576">
    <cfRule type="expression" dxfId="59" priority="13">
      <formula>AND(ISNUMBER(AL1),ROUND(AL1,2)&lt;POWER(0.95,3))</formula>
    </cfRule>
  </conditionalFormatting>
  <conditionalFormatting sqref="BD1:BD1048576">
    <cfRule type="expression" dxfId="58" priority="2952">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57" priority="1">
      <formula>AND(ISNUMBER(F1),ROUND(F1,0)&lt;0)</formula>
    </cfRule>
  </conditionalFormatting>
  <conditionalFormatting sqref="CG1:CG1048576 CN1:CN1048576">
    <cfRule type="expression" dxfId="56" priority="2429">
      <formula>AND(ROW(CG1)&gt;14,$B1&lt;&gt;"",OR($C1="&lt;01",$C1="01-04",$C1="05-09",$C1="10-14"))</formula>
    </cfRule>
  </conditionalFormatting>
  <conditionalFormatting sqref="CQ1:CQ1048576">
    <cfRule type="expression" dxfId="55" priority="5">
      <formula>AND(ISNUMBER($CC1),$CC1&gt;0,CQ1="")</formula>
    </cfRule>
  </conditionalFormatting>
  <conditionalFormatting sqref="F1:F1048576 H1:H1048576 J1:J1048576 L1:L1048576 N1:N1048576 P1:P1048576 R1:R1048576 T1:T1048576 V1:V1048576 X1:X1048576">
    <cfRule type="expression" dxfId="54" priority="104">
      <formula>AND(ISNUMBER(G1),ISNUMBER(F1),G1&gt;=40%)</formula>
    </cfRule>
    <cfRule type="expression" dxfId="53" priority="105">
      <formula>AND(ISNUMBER(G1),ISNUMBER(F1),G1&gt;=20%,G1&lt;40%)</formula>
    </cfRule>
    <cfRule type="expression" dxfId="52" priority="107">
      <formula>AND(ISNUMBER(G1),ISNUMBER(F1),G1&lt;20%)</formula>
    </cfRule>
  </conditionalFormatting>
  <conditionalFormatting sqref="CD1:CE1048576 CK1:CL1048576">
    <cfRule type="expression" dxfId="51" priority="29">
      <formula>AND(ROW(CD1)&gt;14,$B1&lt;&gt;"",$D1&lt;&gt;"Female")</formula>
    </cfRule>
    <cfRule type="expression" dxfId="50" priority="93">
      <formula>AND(ROW(CD1)&gt;14,$B1&lt;&gt;"",OR($C1="&lt;01",$C1="01-04",$C1="05-09"))</formula>
    </cfRule>
  </conditionalFormatting>
  <conditionalFormatting sqref="CB1:CP1048576">
    <cfRule type="expression" dxfId="49" priority="2964">
      <formula>AND(ROW(CB1)&gt;14,$B1&lt;&gt;"",OR(SUM($CI1)&lt;0,ROUND(SUM($CP1),2)&lt;0))</formula>
    </cfRule>
    <cfRule type="expression" dxfId="48" priority="3289">
      <formula>AND(ROW($CI1)&gt;14,$B1&lt;&gt;"",$C1="&lt;01",OR(SUM($CI1)&lt;&gt;0,ROUND(SUM($CP1),2)&lt;&gt;0,SUM($CC1:$CG1)&lt;&gt;0))</formula>
    </cfRule>
    <cfRule type="expression" dxfId="47" priority="3290">
      <formula>AND(ROW($A1)&gt;14,$B1&lt;&gt;"",OR(ISERROR($CI1),ISERROR($CP1)))</formula>
    </cfRule>
  </conditionalFormatting>
  <conditionalFormatting sqref="CR1:CS1048576">
    <cfRule type="expression" dxfId="46" priority="3291">
      <formula>AND(ISNUMBER($CC1),$CC1&lt;&gt;0,SUM(CR1)=0)</formula>
    </cfRule>
    <cfRule type="expression" dxfId="45" priority="3292">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AS15" activePane="bottomRight" state="frozen"/>
      <selection pane="topRight"/>
      <selection pane="bottomLeft"/>
      <selection pane="bottomRight" activeCell="AY15" sqref="AY15"/>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5.5" style="26" hidden="1" customWidth="1"/>
    <col min="6" max="7" width="11.83203125" style="62" customWidth="1"/>
    <col min="8" max="8" width="11.83203125" style="185" customWidth="1"/>
    <col min="9" max="9" width="11.83203125" style="62" customWidth="1"/>
    <col min="10" max="11" width="11.83203125" style="191" customWidth="1"/>
    <col min="12" max="18" width="11.83203125" style="68" customWidth="1"/>
    <col min="19" max="19" width="11.83203125" style="96" customWidth="1"/>
    <col min="20" max="20" width="11.83203125" style="20" customWidth="1"/>
    <col min="21" max="21" width="11.83203125" style="110" customWidth="1"/>
    <col min="22" max="22" width="11.83203125" style="144" customWidth="1"/>
    <col min="23" max="23" width="11.83203125" style="20" customWidth="1"/>
    <col min="24" max="24" width="11.83203125" style="110" customWidth="1"/>
    <col min="25" max="25" width="11.83203125" style="144" customWidth="1"/>
    <col min="26" max="29" width="11.83203125" style="230" customWidth="1"/>
    <col min="30" max="30" width="11.83203125" style="56" customWidth="1"/>
    <col min="31" max="31" width="11.83203125" style="113" customWidth="1"/>
    <col min="32" max="33" width="11.83203125" style="56" customWidth="1"/>
    <col min="34" max="34" width="11.83203125" style="106" customWidth="1"/>
    <col min="35" max="37" width="11.83203125" style="56" customWidth="1"/>
    <col min="38" max="38" width="11.83203125" style="364" customWidth="1"/>
    <col min="39" max="39" width="11.83203125" style="88" customWidth="1"/>
    <col min="40" max="40" width="11.83203125" style="56" customWidth="1"/>
    <col min="41" max="41" width="11.83203125" style="106" customWidth="1"/>
    <col min="42" max="42" width="11.83203125" style="88" customWidth="1"/>
    <col min="43" max="43" width="11.83203125" style="56" customWidth="1"/>
    <col min="44" max="44" width="11.83203125" style="82" customWidth="1"/>
    <col min="45" max="47" width="11.83203125" style="230" customWidth="1"/>
    <col min="48" max="48" width="11.83203125" style="88" customWidth="1"/>
    <col min="49" max="49" width="11.83203125" style="56" customWidth="1"/>
    <col min="50" max="50" width="11.83203125" style="59" customWidth="1"/>
    <col min="51" max="51" width="11.83203125" style="82" customWidth="1"/>
    <col min="52" max="52" width="11.83203125" style="81" customWidth="1"/>
    <col min="53" max="57" width="11.83203125" style="230" customWidth="1"/>
    <col min="58" max="16384" width="10.83203125" style="24"/>
  </cols>
  <sheetData>
    <row r="1" spans="1:57" s="45" customFormat="1" ht="31" customHeight="1" thickBot="1" x14ac:dyDescent="0.35">
      <c r="A1" s="5" t="s">
        <v>74</v>
      </c>
      <c r="C1" s="1"/>
      <c r="D1" s="1"/>
      <c r="E1" s="1"/>
      <c r="F1" s="64" t="s">
        <v>76</v>
      </c>
      <c r="G1" s="79"/>
      <c r="H1" s="184"/>
      <c r="I1" s="79"/>
      <c r="J1" s="19"/>
      <c r="K1" s="19"/>
      <c r="L1" s="64"/>
      <c r="M1" s="64"/>
      <c r="N1" s="64"/>
      <c r="O1" s="64"/>
      <c r="P1" s="64"/>
      <c r="Q1" s="64"/>
      <c r="R1" s="64"/>
      <c r="S1" s="94" t="s">
        <v>30</v>
      </c>
      <c r="T1" s="29"/>
      <c r="U1" s="107"/>
      <c r="V1" s="224" t="s">
        <v>736</v>
      </c>
      <c r="W1" s="29"/>
      <c r="X1" s="107"/>
      <c r="Y1" s="224" t="s">
        <v>31</v>
      </c>
      <c r="Z1" s="226"/>
      <c r="AA1" s="226"/>
      <c r="AB1" s="226"/>
      <c r="AC1" s="226"/>
      <c r="AD1" s="51"/>
      <c r="AE1" s="51"/>
      <c r="AF1" s="51"/>
      <c r="AG1" s="51"/>
      <c r="AH1" s="91" t="s">
        <v>737</v>
      </c>
      <c r="AI1" s="51"/>
      <c r="AJ1" s="51"/>
      <c r="AK1" s="51"/>
      <c r="AL1" s="224" t="s">
        <v>49</v>
      </c>
      <c r="AM1" s="98"/>
      <c r="AN1" s="64"/>
      <c r="AO1" s="94" t="s">
        <v>743</v>
      </c>
      <c r="AP1" s="98"/>
      <c r="AQ1" s="64"/>
      <c r="AR1" s="91" t="s">
        <v>68</v>
      </c>
      <c r="AS1" s="226"/>
      <c r="AT1" s="226"/>
      <c r="AU1" s="226"/>
      <c r="AV1" s="114"/>
      <c r="AW1" s="51"/>
      <c r="AX1" s="51"/>
      <c r="AY1" s="91" t="s">
        <v>585</v>
      </c>
      <c r="AZ1" s="114"/>
      <c r="BA1" s="226"/>
      <c r="BB1" s="226"/>
      <c r="BC1" s="226"/>
      <c r="BD1" s="226"/>
      <c r="BE1" s="226"/>
    </row>
    <row r="2" spans="1:57" s="40" customFormat="1" ht="19" customHeight="1" x14ac:dyDescent="0.25">
      <c r="A2" s="428" t="s">
        <v>1228</v>
      </c>
      <c r="B2" s="425"/>
      <c r="D2" s="2"/>
      <c r="E2" s="2"/>
      <c r="F2" s="78" t="s">
        <v>73</v>
      </c>
      <c r="G2" s="78"/>
      <c r="H2" s="176"/>
      <c r="I2" s="78"/>
      <c r="J2" s="18"/>
      <c r="K2" s="18"/>
      <c r="L2" s="65"/>
      <c r="M2" s="65"/>
      <c r="N2" s="65"/>
      <c r="O2" s="65"/>
      <c r="P2" s="65"/>
      <c r="Q2" s="65"/>
      <c r="R2" s="65"/>
      <c r="S2" s="95" t="s">
        <v>73</v>
      </c>
      <c r="T2" s="18" t="s">
        <v>2</v>
      </c>
      <c r="U2" s="108" t="s">
        <v>3</v>
      </c>
      <c r="V2" s="225" t="s">
        <v>73</v>
      </c>
      <c r="W2" s="18" t="s">
        <v>2</v>
      </c>
      <c r="X2" s="108" t="s">
        <v>3</v>
      </c>
      <c r="Y2" s="225" t="s">
        <v>2</v>
      </c>
      <c r="Z2" s="227"/>
      <c r="AA2" s="227"/>
      <c r="AB2" s="227"/>
      <c r="AC2" s="227"/>
      <c r="AD2" s="52" t="s">
        <v>3</v>
      </c>
      <c r="AE2" s="111"/>
      <c r="AF2" s="52"/>
      <c r="AG2" s="52"/>
      <c r="AH2" s="212" t="s">
        <v>3</v>
      </c>
      <c r="AI2" s="52"/>
      <c r="AJ2" s="52"/>
      <c r="AK2" s="52"/>
      <c r="AL2" s="225" t="s">
        <v>73</v>
      </c>
      <c r="AM2" s="115" t="s">
        <v>3</v>
      </c>
      <c r="AN2" s="52"/>
      <c r="AO2" s="212" t="s">
        <v>3</v>
      </c>
      <c r="AP2" s="115"/>
      <c r="AQ2" s="52"/>
      <c r="AR2" s="92" t="s">
        <v>2</v>
      </c>
      <c r="AS2" s="227"/>
      <c r="AT2" s="227"/>
      <c r="AU2" s="227"/>
      <c r="AV2" s="115" t="s">
        <v>3</v>
      </c>
      <c r="AW2" s="52"/>
      <c r="AX2" s="78"/>
      <c r="AY2" s="92" t="s">
        <v>59</v>
      </c>
      <c r="AZ2" s="138"/>
      <c r="BA2" s="227"/>
      <c r="BB2" s="227"/>
      <c r="BC2" s="227"/>
      <c r="BD2" s="227"/>
      <c r="BE2" s="227"/>
    </row>
    <row r="3" spans="1:57" ht="117" customHeight="1" thickBot="1" x14ac:dyDescent="0.25">
      <c r="A3" s="426"/>
      <c r="B3" s="427"/>
      <c r="D3" s="31"/>
      <c r="E3" s="31"/>
      <c r="F3" s="238" t="s">
        <v>799</v>
      </c>
      <c r="G3" s="238" t="s">
        <v>602</v>
      </c>
      <c r="H3" s="239" t="s">
        <v>777</v>
      </c>
      <c r="I3" s="238" t="s">
        <v>778</v>
      </c>
      <c r="J3" s="240" t="s">
        <v>800</v>
      </c>
      <c r="K3" s="240" t="s">
        <v>1082</v>
      </c>
      <c r="L3" s="123" t="s">
        <v>801</v>
      </c>
      <c r="M3" s="123" t="s">
        <v>747</v>
      </c>
      <c r="N3" s="123" t="s">
        <v>748</v>
      </c>
      <c r="O3" s="123" t="s">
        <v>749</v>
      </c>
      <c r="P3" s="123" t="s">
        <v>750</v>
      </c>
      <c r="Q3" s="123" t="s">
        <v>751</v>
      </c>
      <c r="R3" s="123" t="s">
        <v>752</v>
      </c>
      <c r="S3" s="120" t="s">
        <v>1144</v>
      </c>
      <c r="T3" s="32" t="s">
        <v>259</v>
      </c>
      <c r="U3" s="109" t="s">
        <v>788</v>
      </c>
      <c r="V3" s="315" t="s">
        <v>970</v>
      </c>
      <c r="W3" s="32" t="s">
        <v>786</v>
      </c>
      <c r="X3" s="109" t="s">
        <v>787</v>
      </c>
      <c r="Y3" s="338" t="s">
        <v>789</v>
      </c>
      <c r="Z3" s="228" t="s">
        <v>971</v>
      </c>
      <c r="AA3" s="316" t="s">
        <v>972</v>
      </c>
      <c r="AB3" s="228" t="s">
        <v>1147</v>
      </c>
      <c r="AC3" s="316" t="s">
        <v>1148</v>
      </c>
      <c r="AD3" s="105" t="s">
        <v>1135</v>
      </c>
      <c r="AE3" s="53" t="s">
        <v>1136</v>
      </c>
      <c r="AF3" s="54" t="s">
        <v>1137</v>
      </c>
      <c r="AG3" s="53" t="s">
        <v>1138</v>
      </c>
      <c r="AH3" s="252" t="s">
        <v>735</v>
      </c>
      <c r="AI3" s="53" t="s">
        <v>790</v>
      </c>
      <c r="AJ3" s="53" t="s">
        <v>791</v>
      </c>
      <c r="AK3" s="53" t="s">
        <v>792</v>
      </c>
      <c r="AL3" s="363" t="s">
        <v>832</v>
      </c>
      <c r="AM3" s="141" t="s">
        <v>1139</v>
      </c>
      <c r="AN3" s="53" t="s">
        <v>1140</v>
      </c>
      <c r="AO3" s="252" t="s">
        <v>973</v>
      </c>
      <c r="AP3" s="141" t="s">
        <v>974</v>
      </c>
      <c r="AQ3" s="53" t="s">
        <v>975</v>
      </c>
      <c r="AR3" s="116" t="s">
        <v>976</v>
      </c>
      <c r="AS3" s="365" t="s">
        <v>977</v>
      </c>
      <c r="AT3" s="366" t="s">
        <v>978</v>
      </c>
      <c r="AU3" s="365" t="s">
        <v>832</v>
      </c>
      <c r="AV3" s="371" t="s">
        <v>1141</v>
      </c>
      <c r="AW3" s="53" t="s">
        <v>1142</v>
      </c>
      <c r="AX3" s="368" t="s">
        <v>1143</v>
      </c>
      <c r="AY3" s="237" t="s">
        <v>1218</v>
      </c>
      <c r="AZ3" s="241" t="s">
        <v>793</v>
      </c>
      <c r="BA3" s="242" t="s">
        <v>794</v>
      </c>
      <c r="BB3" s="242" t="s">
        <v>795</v>
      </c>
      <c r="BC3" s="242" t="s">
        <v>796</v>
      </c>
      <c r="BD3" s="242" t="s">
        <v>797</v>
      </c>
      <c r="BE3" s="242" t="s">
        <v>798</v>
      </c>
    </row>
    <row r="4" spans="1:57" x14ac:dyDescent="0.2">
      <c r="B4" s="33"/>
      <c r="C4" s="33"/>
      <c r="D4" s="33" t="s">
        <v>4</v>
      </c>
      <c r="E4" s="33"/>
      <c r="F4" s="73">
        <f>SUBTOTAL(109,F$15:INDEX(F:F,COUNTA($B:$B)+14-COUNTA($B$1:$B$14)))</f>
        <v>0</v>
      </c>
      <c r="G4" s="73">
        <f>SUBTOTAL(109,G$15:INDEX(G:G,COUNTA($B:$B)+14-COUNTA($B$1:$B$14)))</f>
        <v>0</v>
      </c>
      <c r="H4" s="137" t="str">
        <f>IF($F$4=0,"",$G4/$F4)</f>
        <v/>
      </c>
      <c r="I4" s="73">
        <f>SUBTOTAL(109,I$15:INDEX(I:I,COUNTA($B:$B)+14-COUNTA($B$1:$B$14)))</f>
        <v>0</v>
      </c>
      <c r="J4" s="311" t="str">
        <f>IF($G$4=0,"",$I4/$G4)</f>
        <v/>
      </c>
      <c r="K4" s="34"/>
      <c r="L4" s="70">
        <f>SUBTOTAL(109,L$15:INDEX(L:L,COUNTA($B:$B)+14-COUNTA($B$1:$B$14)))</f>
        <v>0</v>
      </c>
      <c r="M4" s="70">
        <f>SUBTOTAL(109,M$15:INDEX(M:M,COUNTA($B:$B)+14-COUNTA($B$1:$B$14)))</f>
        <v>0</v>
      </c>
      <c r="N4" s="70">
        <f>SUBTOTAL(109,N$15:INDEX(N:N,COUNTA($B:$B)+14-COUNTA($B$1:$B$14)))</f>
        <v>0</v>
      </c>
      <c r="O4" s="70">
        <f>SUBTOTAL(109,O$15:INDEX(O:O,COUNTA($B:$B)+14-COUNTA($B$1:$B$14)))</f>
        <v>0</v>
      </c>
      <c r="P4" s="70">
        <f>SUBTOTAL(109,P$15:INDEX(P:P,COUNTA($B:$B)+14-COUNTA($B$1:$B$14)))</f>
        <v>0</v>
      </c>
      <c r="Q4" s="70">
        <f>SUBTOTAL(109,Q$15:INDEX(Q:Q,COUNTA($B:$B)+14-COUNTA($B$1:$B$14)))</f>
        <v>0</v>
      </c>
      <c r="R4" s="70">
        <f>SUBTOTAL(109,R$15:INDEX(R:R,COUNTA($B:$B)+14-COUNTA($B$1:$B$14)))</f>
        <v>0</v>
      </c>
      <c r="S4" s="117">
        <f>SUBTOTAL(109,S$15:INDEX(S:S,COUNTA($B:$B)+14-COUNTA($B$1:$B$14)))</f>
        <v>0</v>
      </c>
      <c r="T4" s="34" t="str">
        <f>IF(SUM($S$4,$L$4)=0,"",$U$4/MIN($S$4,$L$4)-1)</f>
        <v/>
      </c>
      <c r="U4" s="127">
        <f>SUBTOTAL(109,U$15:INDEX(U:U,COUNTA($B:$B)+14-COUNTA($B$1:$B$14)))</f>
        <v>0</v>
      </c>
      <c r="V4" s="143" t="str">
        <f>IF($L$4=0,"",$S$4/$L$4)</f>
        <v/>
      </c>
      <c r="W4" s="34" t="str">
        <f>IF($X$4=0,"",$U$4/$X$4)</f>
        <v/>
      </c>
      <c r="X4" s="127">
        <f>SUBTOTAL(109,X$15:INDEX(X:X,COUNTA($B:$B)+14-COUNTA($B$1:$B$14)))</f>
        <v>0</v>
      </c>
      <c r="Y4" s="143" t="str">
        <f>IF($U$4=0,"",$AD$4/$U$4)</f>
        <v/>
      </c>
      <c r="Z4" s="229"/>
      <c r="AA4" s="229" t="str">
        <f>IF($AD$4=0,"",$AE$4/$AD$4)</f>
        <v/>
      </c>
      <c r="AB4" s="229"/>
      <c r="AC4" s="229" t="str">
        <f>IF($AD$4=0,"",$AF$4/($AD$4-$AE$4))</f>
        <v/>
      </c>
      <c r="AD4" s="70">
        <f>SUBTOTAL(109,AD$15:INDEX(AD:AD,COUNTA($B:$B)+14-COUNTA($B$1:$B$14)))</f>
        <v>0</v>
      </c>
      <c r="AE4" s="112">
        <f>IF(COUNTIF(AE$15:INDEX($AE:$AE,COUNTA($B:$B)+14-COUNTA($B$1:$B$14)),"&lt;0")&gt;0,"RESOLVE NEGATIVES",SUBTOTAL(109,AE$15:INDEX(AE:AE,COUNTA($B:$B)+14-COUNTA($B$1:$B$14))))</f>
        <v>0</v>
      </c>
      <c r="AF4" s="70">
        <f>SUBTOTAL(109,AF$15:INDEX(AF:AF,COUNTA($B:$B)+14-COUNTA($B$1:$B$14)))</f>
        <v>0</v>
      </c>
      <c r="AG4" s="70">
        <f>SUBTOTAL(109,AG$15:INDEX(AG:AG,COUNTA($B:$B)+14-COUNTA($B$1:$B$14)))</f>
        <v>0</v>
      </c>
      <c r="AH4" s="253">
        <f>SUBTOTAL(109,AH$15:INDEX(AH:AH,COUNTA($B:$B)+14-COUNTA($B$1:$B$14)))</f>
        <v>0</v>
      </c>
      <c r="AI4" s="70">
        <f>SUBTOTAL(109,AI$15:INDEX(AI:AI,COUNTA($B:$B)+14-COUNTA($B$1:$B$14)))</f>
        <v>0</v>
      </c>
      <c r="AJ4" s="70">
        <f>SUBTOTAL(109,AJ$15:INDEX(AJ:AJ,COUNTA($B:$B)+14-COUNTA($B$1:$B$14)))</f>
        <v>0</v>
      </c>
      <c r="AK4" s="70">
        <f>SUBTOTAL(109,AK$15:INDEX(AK:AK,COUNTA($B:$B)+14-COUNTA($B$1:$B$14)))</f>
        <v>0</v>
      </c>
      <c r="AL4" s="143" t="str">
        <f>IF($AF$4=0,"",$AN$4/$AF$4)</f>
        <v/>
      </c>
      <c r="AM4" s="118">
        <f>SUBTOTAL(109,AM$15:INDEX(AM:AM,COUNTA($B:$B)+14-COUNTA($B$1:$B$14)))</f>
        <v>0</v>
      </c>
      <c r="AN4" s="70">
        <f>SUBTOTAL(109,AN$15:INDEX(AN:AN,COUNTA($B:$B)+14-COUNTA($B$1:$B$14)))</f>
        <v>0</v>
      </c>
      <c r="AO4" s="253">
        <f>SUBTOTAL(109,AO$15:INDEX(AO:AO,COUNTA($B:$B)+14-COUNTA($B$1:$B$14)))</f>
        <v>0</v>
      </c>
      <c r="AP4" s="118">
        <f>SUBTOTAL(109,AP$15:INDEX(AP:AP,COUNTA($B:$B)+14-COUNTA($B$1:$B$14)))</f>
        <v>0</v>
      </c>
      <c r="AQ4" s="70">
        <f>SUBTOTAL(109,AQ$15:INDEX(AQ:AQ,COUNTA($B:$B)+14-COUNTA($B$1:$B$14)))</f>
        <v>0</v>
      </c>
      <c r="AR4" s="117">
        <f>SUBTOTAL(109,AR$15:INDEX(AR:AR,COUNTA($B:$B)+14-COUNTA($B$1:$B$14)))</f>
        <v>0</v>
      </c>
      <c r="AS4" s="367"/>
      <c r="AT4" s="367" t="str">
        <f>IF($AR$4=0,"",$AV$4/$AR$4)</f>
        <v/>
      </c>
      <c r="AU4" s="367" t="str">
        <f>IF($AV$4=0,"",$AX$4/$AV$4)</f>
        <v/>
      </c>
      <c r="AV4" s="118">
        <f>SUBTOTAL(109,AV$15:INDEX(AV:AV,COUNTA($B:$B)+14-COUNTA($B$1:$B$14)))</f>
        <v>0</v>
      </c>
      <c r="AW4" s="70">
        <f>SUBTOTAL(109,AW$15:INDEX(AW:AW,COUNTA($B:$B)+14-COUNTA($B$1:$B$14)))</f>
        <v>0</v>
      </c>
      <c r="AX4" s="73">
        <f>SUBTOTAL(109,AX$15:INDEX(AX:AX,COUNTA($B:$B)+14-COUNTA($B$1:$B$14)))</f>
        <v>0</v>
      </c>
      <c r="AY4" s="117">
        <f>SUBTOTAL(109,AY$15:INDEX(AY:AY,COUNTA($B:$B)+14-COUNTA($B$1:$B$14)))</f>
        <v>0</v>
      </c>
      <c r="AZ4" s="139">
        <f>SUBTOTAL(109,AZ$15:INDEX(AZ:AZ,COUNTA($B:$B)+14-COUNTA($B$1:$B$14)))</f>
        <v>0</v>
      </c>
      <c r="BA4" s="230" t="str">
        <f>IF($AF4=0,"",$AF4/$AZ4)</f>
        <v/>
      </c>
      <c r="BB4" s="230" t="str">
        <f>IF($AV4=0,"",$AV4/$AZ4)</f>
        <v/>
      </c>
      <c r="BE4" s="230" t="str">
        <f>IF(COUNTIF(BE$15:INDEX(BE:BE,COUNTA($B:$B)+14-COUNTA($B$1:$B$14)),"&lt;0")&gt;0,"Negatives","")</f>
        <v/>
      </c>
    </row>
    <row r="5" spans="1:57" x14ac:dyDescent="0.2">
      <c r="A5" s="24" t="s">
        <v>98</v>
      </c>
      <c r="B5" s="26" t="s">
        <v>98</v>
      </c>
      <c r="C5" s="26" t="s">
        <v>98</v>
      </c>
      <c r="D5" s="26" t="s">
        <v>98</v>
      </c>
      <c r="E5" s="26" t="s">
        <v>98</v>
      </c>
      <c r="F5" s="59" t="s">
        <v>98</v>
      </c>
      <c r="G5" s="59" t="s">
        <v>98</v>
      </c>
      <c r="H5" s="160" t="s">
        <v>98</v>
      </c>
      <c r="I5" s="59" t="s">
        <v>98</v>
      </c>
      <c r="J5" s="20" t="s">
        <v>98</v>
      </c>
      <c r="K5" s="152" t="s">
        <v>98</v>
      </c>
      <c r="L5" s="56" t="s">
        <v>107</v>
      </c>
      <c r="M5" s="56" t="s">
        <v>107</v>
      </c>
      <c r="N5" s="56" t="s">
        <v>107</v>
      </c>
      <c r="O5" s="56" t="s">
        <v>107</v>
      </c>
      <c r="P5" s="56" t="s">
        <v>107</v>
      </c>
      <c r="Q5" s="56" t="s">
        <v>107</v>
      </c>
      <c r="R5" s="56" t="s">
        <v>107</v>
      </c>
      <c r="S5" s="82" t="s">
        <v>109</v>
      </c>
      <c r="T5" s="20" t="s">
        <v>98</v>
      </c>
      <c r="U5" s="56" t="s">
        <v>109</v>
      </c>
      <c r="V5" s="144" t="s">
        <v>98</v>
      </c>
      <c r="W5" s="20" t="s">
        <v>98</v>
      </c>
      <c r="X5" s="56" t="s">
        <v>107</v>
      </c>
      <c r="Y5" s="144" t="s">
        <v>98</v>
      </c>
      <c r="Z5" s="230" t="s">
        <v>98</v>
      </c>
      <c r="AA5" s="230" t="s">
        <v>98</v>
      </c>
      <c r="AB5" s="230" t="s">
        <v>98</v>
      </c>
      <c r="AC5" s="230" t="s">
        <v>98</v>
      </c>
      <c r="AD5" s="56" t="s">
        <v>98</v>
      </c>
      <c r="AE5" s="113" t="s">
        <v>109</v>
      </c>
      <c r="AF5" s="56" t="s">
        <v>109</v>
      </c>
      <c r="AG5" s="56" t="s">
        <v>109</v>
      </c>
      <c r="AH5" s="106" t="s">
        <v>98</v>
      </c>
      <c r="AI5" s="56" t="s">
        <v>107</v>
      </c>
      <c r="AJ5" s="56" t="s">
        <v>107</v>
      </c>
      <c r="AK5" s="56" t="s">
        <v>107</v>
      </c>
      <c r="AL5" s="144" t="s">
        <v>98</v>
      </c>
      <c r="AM5" s="88" t="s">
        <v>109</v>
      </c>
      <c r="AN5" s="56" t="s">
        <v>109</v>
      </c>
      <c r="AO5" s="106" t="s">
        <v>107</v>
      </c>
      <c r="AP5" s="88" t="s">
        <v>107</v>
      </c>
      <c r="AQ5" s="56" t="s">
        <v>107</v>
      </c>
      <c r="AR5" s="82" t="s">
        <v>98</v>
      </c>
      <c r="AS5" s="20" t="s">
        <v>98</v>
      </c>
      <c r="AT5" s="20" t="s">
        <v>98</v>
      </c>
      <c r="AU5" s="20" t="s">
        <v>98</v>
      </c>
      <c r="AV5" s="88" t="s">
        <v>109</v>
      </c>
      <c r="AW5" s="56" t="s">
        <v>109</v>
      </c>
      <c r="AX5" s="59" t="s">
        <v>98</v>
      </c>
      <c r="AY5" s="82" t="s">
        <v>98</v>
      </c>
      <c r="AZ5" s="81" t="s">
        <v>98</v>
      </c>
      <c r="BA5" s="230" t="s">
        <v>98</v>
      </c>
      <c r="BB5" s="230" t="s">
        <v>98</v>
      </c>
      <c r="BC5" s="230" t="s">
        <v>98</v>
      </c>
      <c r="BD5" s="230" t="s">
        <v>98</v>
      </c>
      <c r="BE5" s="230" t="s">
        <v>98</v>
      </c>
    </row>
    <row r="6" spans="1:57" x14ac:dyDescent="0.2">
      <c r="A6" s="24" t="s">
        <v>200</v>
      </c>
      <c r="B6" s="26" t="s">
        <v>200</v>
      </c>
      <c r="C6" s="26" t="s">
        <v>200</v>
      </c>
      <c r="D6" s="26" t="s">
        <v>200</v>
      </c>
      <c r="E6" s="26" t="s">
        <v>200</v>
      </c>
      <c r="F6" s="59" t="s">
        <v>93</v>
      </c>
      <c r="G6" s="59" t="s">
        <v>93</v>
      </c>
      <c r="H6" s="160" t="s">
        <v>93</v>
      </c>
      <c r="I6" s="59" t="s">
        <v>93</v>
      </c>
      <c r="J6" s="20" t="s">
        <v>93</v>
      </c>
      <c r="K6" s="35" t="s">
        <v>93</v>
      </c>
      <c r="L6" s="56" t="s">
        <v>92</v>
      </c>
      <c r="M6" s="56" t="s">
        <v>92</v>
      </c>
      <c r="N6" s="56" t="s">
        <v>92</v>
      </c>
      <c r="O6" s="56" t="s">
        <v>92</v>
      </c>
      <c r="P6" s="56" t="s">
        <v>92</v>
      </c>
      <c r="Q6" s="56" t="s">
        <v>92</v>
      </c>
      <c r="R6" s="56" t="s">
        <v>92</v>
      </c>
      <c r="S6" s="82" t="s">
        <v>110</v>
      </c>
      <c r="T6" s="20" t="s">
        <v>112</v>
      </c>
      <c r="U6" s="56" t="s">
        <v>92</v>
      </c>
      <c r="V6" s="144" t="s">
        <v>93</v>
      </c>
      <c r="W6" s="20" t="s">
        <v>112</v>
      </c>
      <c r="X6" s="56" t="s">
        <v>92</v>
      </c>
      <c r="Y6" s="144" t="s">
        <v>112</v>
      </c>
      <c r="Z6" s="230" t="s">
        <v>111</v>
      </c>
      <c r="AA6" s="230" t="s">
        <v>112</v>
      </c>
      <c r="AB6" s="230" t="s">
        <v>111</v>
      </c>
      <c r="AC6" s="230" t="s">
        <v>112</v>
      </c>
      <c r="AD6" s="56" t="s">
        <v>93</v>
      </c>
      <c r="AE6" s="113" t="s">
        <v>92</v>
      </c>
      <c r="AF6" s="56" t="s">
        <v>92</v>
      </c>
      <c r="AG6" s="56" t="s">
        <v>92</v>
      </c>
      <c r="AH6" s="106" t="s">
        <v>93</v>
      </c>
      <c r="AI6" s="56" t="s">
        <v>92</v>
      </c>
      <c r="AJ6" s="56" t="s">
        <v>92</v>
      </c>
      <c r="AK6" s="56" t="s">
        <v>92</v>
      </c>
      <c r="AL6" s="144" t="s">
        <v>93</v>
      </c>
      <c r="AM6" s="88" t="s">
        <v>92</v>
      </c>
      <c r="AN6" s="56" t="s">
        <v>92</v>
      </c>
      <c r="AO6" s="106" t="s">
        <v>92</v>
      </c>
      <c r="AP6" s="88" t="s">
        <v>92</v>
      </c>
      <c r="AQ6" s="56" t="s">
        <v>92</v>
      </c>
      <c r="AR6" s="82" t="s">
        <v>112</v>
      </c>
      <c r="AS6" s="20" t="s">
        <v>111</v>
      </c>
      <c r="AT6" s="20" t="s">
        <v>112</v>
      </c>
      <c r="AU6" s="20" t="s">
        <v>93</v>
      </c>
      <c r="AV6" s="88" t="s">
        <v>92</v>
      </c>
      <c r="AW6" s="56" t="s">
        <v>92</v>
      </c>
      <c r="AX6" s="59" t="s">
        <v>93</v>
      </c>
      <c r="AY6" s="82" t="s">
        <v>93</v>
      </c>
      <c r="AZ6" s="81" t="s">
        <v>93</v>
      </c>
      <c r="BA6" s="230" t="s">
        <v>93</v>
      </c>
      <c r="BB6" s="230" t="s">
        <v>93</v>
      </c>
      <c r="BC6" s="230" t="s">
        <v>93</v>
      </c>
      <c r="BD6" s="230" t="s">
        <v>93</v>
      </c>
      <c r="BE6" s="230" t="s">
        <v>93</v>
      </c>
    </row>
    <row r="7" spans="1:57" x14ac:dyDescent="0.2">
      <c r="A7" s="24" t="s">
        <v>108</v>
      </c>
      <c r="B7" s="26" t="s">
        <v>108</v>
      </c>
      <c r="C7" s="26" t="s">
        <v>108</v>
      </c>
      <c r="D7" s="26" t="s">
        <v>108</v>
      </c>
      <c r="E7" s="26" t="s">
        <v>108</v>
      </c>
      <c r="F7" s="59" t="s">
        <v>94</v>
      </c>
      <c r="G7" s="59" t="s">
        <v>94</v>
      </c>
      <c r="H7" s="160" t="s">
        <v>95</v>
      </c>
      <c r="I7" s="59" t="s">
        <v>94</v>
      </c>
      <c r="J7" s="20" t="s">
        <v>95</v>
      </c>
      <c r="K7" s="35" t="s">
        <v>95</v>
      </c>
      <c r="L7" s="56" t="s">
        <v>94</v>
      </c>
      <c r="M7" s="56" t="s">
        <v>94</v>
      </c>
      <c r="N7" s="56" t="s">
        <v>94</v>
      </c>
      <c r="O7" s="56" t="s">
        <v>94</v>
      </c>
      <c r="P7" s="56" t="s">
        <v>94</v>
      </c>
      <c r="Q7" s="56" t="s">
        <v>94</v>
      </c>
      <c r="R7" s="56" t="s">
        <v>94</v>
      </c>
      <c r="S7" s="82" t="s">
        <v>94</v>
      </c>
      <c r="T7" s="20" t="s">
        <v>95</v>
      </c>
      <c r="U7" s="56" t="s">
        <v>94</v>
      </c>
      <c r="V7" s="144" t="s">
        <v>95</v>
      </c>
      <c r="W7" s="20" t="s">
        <v>95</v>
      </c>
      <c r="X7" s="56" t="s">
        <v>94</v>
      </c>
      <c r="Y7" s="144" t="s">
        <v>95</v>
      </c>
      <c r="Z7" s="230" t="s">
        <v>95</v>
      </c>
      <c r="AA7" s="230" t="s">
        <v>95</v>
      </c>
      <c r="AB7" s="230" t="s">
        <v>95</v>
      </c>
      <c r="AC7" s="230" t="s">
        <v>95</v>
      </c>
      <c r="AD7" s="56" t="s">
        <v>94</v>
      </c>
      <c r="AE7" s="113" t="s">
        <v>94</v>
      </c>
      <c r="AF7" s="56" t="s">
        <v>94</v>
      </c>
      <c r="AG7" s="56" t="s">
        <v>94</v>
      </c>
      <c r="AH7" s="106" t="s">
        <v>94</v>
      </c>
      <c r="AI7" s="56" t="s">
        <v>94</v>
      </c>
      <c r="AJ7" s="56" t="s">
        <v>94</v>
      </c>
      <c r="AK7" s="56" t="s">
        <v>94</v>
      </c>
      <c r="AL7" s="144" t="s">
        <v>95</v>
      </c>
      <c r="AM7" s="88" t="s">
        <v>94</v>
      </c>
      <c r="AN7" s="56" t="s">
        <v>94</v>
      </c>
      <c r="AO7" s="106" t="s">
        <v>94</v>
      </c>
      <c r="AP7" s="88" t="s">
        <v>94</v>
      </c>
      <c r="AQ7" s="56" t="s">
        <v>94</v>
      </c>
      <c r="AR7" s="82" t="s">
        <v>94</v>
      </c>
      <c r="AS7" s="20" t="s">
        <v>95</v>
      </c>
      <c r="AT7" s="20" t="s">
        <v>95</v>
      </c>
      <c r="AU7" s="20" t="s">
        <v>95</v>
      </c>
      <c r="AV7" s="88" t="s">
        <v>94</v>
      </c>
      <c r="AW7" s="56" t="s">
        <v>94</v>
      </c>
      <c r="AX7" s="59" t="s">
        <v>94</v>
      </c>
      <c r="AY7" s="82" t="s">
        <v>94</v>
      </c>
      <c r="AZ7" s="81" t="s">
        <v>94</v>
      </c>
      <c r="BA7" s="230" t="s">
        <v>95</v>
      </c>
      <c r="BB7" s="230" t="s">
        <v>95</v>
      </c>
      <c r="BC7" s="230" t="s">
        <v>95</v>
      </c>
      <c r="BD7" s="230" t="s">
        <v>95</v>
      </c>
      <c r="BE7" s="230" t="s">
        <v>95</v>
      </c>
    </row>
    <row r="8" spans="1:57" x14ac:dyDescent="0.2">
      <c r="F8" s="59"/>
      <c r="G8" s="59"/>
      <c r="H8" s="160"/>
      <c r="I8" s="59"/>
      <c r="J8" s="20"/>
      <c r="K8" s="35"/>
      <c r="L8" s="272" t="s">
        <v>768</v>
      </c>
      <c r="M8" s="272" t="s">
        <v>769</v>
      </c>
      <c r="N8" s="272" t="s">
        <v>769</v>
      </c>
      <c r="O8" s="272" t="s">
        <v>769</v>
      </c>
      <c r="P8" s="272" t="s">
        <v>770</v>
      </c>
      <c r="Q8" s="272" t="s">
        <v>771</v>
      </c>
      <c r="R8" s="272" t="s">
        <v>771</v>
      </c>
      <c r="S8" s="277" t="s">
        <v>113</v>
      </c>
      <c r="U8" s="272" t="s">
        <v>113</v>
      </c>
      <c r="X8" s="272" t="s">
        <v>768</v>
      </c>
      <c r="AE8" s="287" t="s">
        <v>115</v>
      </c>
      <c r="AF8" s="272" t="s">
        <v>115</v>
      </c>
      <c r="AG8" s="272" t="s">
        <v>115</v>
      </c>
      <c r="AI8" s="272" t="s">
        <v>769</v>
      </c>
      <c r="AJ8" s="272" t="s">
        <v>769</v>
      </c>
      <c r="AK8" s="272" t="s">
        <v>769</v>
      </c>
      <c r="AL8" s="144"/>
      <c r="AM8" s="273" t="s">
        <v>117</v>
      </c>
      <c r="AN8" s="272" t="s">
        <v>117</v>
      </c>
      <c r="AO8" s="274" t="s">
        <v>770</v>
      </c>
      <c r="AP8" s="273" t="s">
        <v>771</v>
      </c>
      <c r="AQ8" s="272" t="s">
        <v>771</v>
      </c>
      <c r="AS8" s="20"/>
      <c r="AT8" s="20"/>
      <c r="AU8" s="20"/>
      <c r="AV8" s="273" t="s">
        <v>765</v>
      </c>
      <c r="AW8" s="272" t="s">
        <v>765</v>
      </c>
    </row>
    <row r="9" spans="1:57" x14ac:dyDescent="0.2">
      <c r="F9" s="59"/>
      <c r="G9" s="59"/>
      <c r="H9" s="160"/>
      <c r="I9" s="59"/>
      <c r="J9" s="20"/>
      <c r="K9" s="35"/>
      <c r="L9" s="272"/>
      <c r="M9" s="272"/>
      <c r="N9" s="272"/>
      <c r="O9" s="272"/>
      <c r="P9" s="272"/>
      <c r="Q9" s="272"/>
      <c r="R9" s="272"/>
      <c r="S9" s="277" t="s">
        <v>114</v>
      </c>
      <c r="U9" s="272" t="s">
        <v>114</v>
      </c>
      <c r="X9" s="272"/>
      <c r="AE9" s="287" t="s">
        <v>116</v>
      </c>
      <c r="AF9" s="272" t="s">
        <v>116</v>
      </c>
      <c r="AG9" s="272" t="s">
        <v>116</v>
      </c>
      <c r="AI9" s="272"/>
      <c r="AJ9" s="272"/>
      <c r="AK9" s="272"/>
      <c r="AL9" s="144"/>
      <c r="AM9" s="273" t="s">
        <v>118</v>
      </c>
      <c r="AN9" s="272" t="s">
        <v>118</v>
      </c>
      <c r="AO9" s="274"/>
      <c r="AP9" s="273"/>
      <c r="AQ9" s="272"/>
      <c r="AS9" s="20"/>
      <c r="AT9" s="20"/>
      <c r="AU9" s="20"/>
      <c r="AV9" s="273" t="s">
        <v>766</v>
      </c>
      <c r="AW9" s="272" t="s">
        <v>766</v>
      </c>
    </row>
    <row r="10" spans="1:57" x14ac:dyDescent="0.2">
      <c r="F10" s="59"/>
      <c r="G10" s="59"/>
      <c r="H10" s="160"/>
      <c r="I10" s="59"/>
      <c r="J10" s="20"/>
      <c r="K10" s="35"/>
      <c r="L10" s="272"/>
      <c r="M10" s="272" t="s">
        <v>101</v>
      </c>
      <c r="N10" s="272" t="s">
        <v>102</v>
      </c>
      <c r="O10" s="272" t="s">
        <v>103</v>
      </c>
      <c r="P10" s="272" t="s">
        <v>104</v>
      </c>
      <c r="Q10" s="272" t="s">
        <v>120</v>
      </c>
      <c r="R10" s="272" t="s">
        <v>119</v>
      </c>
      <c r="S10" s="277"/>
      <c r="U10" s="272"/>
      <c r="X10" s="272"/>
      <c r="AE10" s="287" t="s">
        <v>101</v>
      </c>
      <c r="AF10" s="272" t="s">
        <v>102</v>
      </c>
      <c r="AG10" s="272" t="s">
        <v>103</v>
      </c>
      <c r="AI10" s="272" t="s">
        <v>101</v>
      </c>
      <c r="AJ10" s="272" t="s">
        <v>102</v>
      </c>
      <c r="AK10" s="272" t="s">
        <v>103</v>
      </c>
      <c r="AL10" s="144"/>
      <c r="AM10" s="273" t="s">
        <v>120</v>
      </c>
      <c r="AN10" s="272" t="s">
        <v>119</v>
      </c>
      <c r="AO10" s="274" t="s">
        <v>104</v>
      </c>
      <c r="AP10" s="273" t="s">
        <v>120</v>
      </c>
      <c r="AQ10" s="272" t="s">
        <v>119</v>
      </c>
      <c r="AS10" s="20"/>
      <c r="AT10" s="20"/>
      <c r="AU10" s="20"/>
      <c r="AV10" s="273" t="s">
        <v>104</v>
      </c>
      <c r="AW10" s="272" t="s">
        <v>121</v>
      </c>
    </row>
    <row r="11" spans="1:57" x14ac:dyDescent="0.2">
      <c r="F11" s="59" t="s">
        <v>203</v>
      </c>
      <c r="G11" s="59" t="s">
        <v>203</v>
      </c>
      <c r="H11" s="160" t="s">
        <v>203</v>
      </c>
      <c r="I11" s="59" t="s">
        <v>203</v>
      </c>
      <c r="J11" s="20" t="s">
        <v>203</v>
      </c>
      <c r="K11" s="20" t="s">
        <v>203</v>
      </c>
      <c r="L11" s="56" t="s">
        <v>203</v>
      </c>
      <c r="M11" s="56" t="s">
        <v>203</v>
      </c>
      <c r="N11" s="56" t="s">
        <v>203</v>
      </c>
      <c r="O11" s="56" t="s">
        <v>203</v>
      </c>
      <c r="P11" s="56" t="s">
        <v>203</v>
      </c>
      <c r="Q11" s="56" t="s">
        <v>203</v>
      </c>
      <c r="R11" s="56" t="s">
        <v>203</v>
      </c>
      <c r="S11" s="82" t="s">
        <v>203</v>
      </c>
      <c r="T11" s="20" t="s">
        <v>203</v>
      </c>
      <c r="U11" s="56" t="s">
        <v>203</v>
      </c>
      <c r="V11" s="144" t="s">
        <v>203</v>
      </c>
      <c r="W11" s="20" t="s">
        <v>203</v>
      </c>
      <c r="X11" s="56" t="s">
        <v>203</v>
      </c>
      <c r="Y11" s="144" t="s">
        <v>203</v>
      </c>
      <c r="Z11" s="230" t="s">
        <v>203</v>
      </c>
      <c r="AA11" s="230" t="s">
        <v>203</v>
      </c>
      <c r="AB11" s="230" t="s">
        <v>203</v>
      </c>
      <c r="AC11" s="230" t="s">
        <v>203</v>
      </c>
      <c r="AD11" s="56" t="s">
        <v>203</v>
      </c>
      <c r="AE11" s="113" t="s">
        <v>203</v>
      </c>
      <c r="AF11" s="56" t="s">
        <v>203</v>
      </c>
      <c r="AG11" s="56" t="s">
        <v>203</v>
      </c>
      <c r="AH11" s="106" t="s">
        <v>203</v>
      </c>
      <c r="AI11" s="56" t="s">
        <v>203</v>
      </c>
      <c r="AJ11" s="56" t="s">
        <v>203</v>
      </c>
      <c r="AK11" s="56" t="s">
        <v>203</v>
      </c>
      <c r="AL11" s="144" t="s">
        <v>203</v>
      </c>
      <c r="AM11" s="88" t="s">
        <v>203</v>
      </c>
      <c r="AN11" s="56" t="s">
        <v>203</v>
      </c>
      <c r="AO11" s="106" t="s">
        <v>203</v>
      </c>
      <c r="AP11" s="88" t="s">
        <v>203</v>
      </c>
      <c r="AQ11" s="56" t="s">
        <v>203</v>
      </c>
      <c r="AR11" s="82" t="s">
        <v>203</v>
      </c>
      <c r="AS11" s="20" t="s">
        <v>203</v>
      </c>
      <c r="AT11" s="20" t="s">
        <v>203</v>
      </c>
      <c r="AU11" s="20" t="s">
        <v>203</v>
      </c>
      <c r="AV11" s="88" t="s">
        <v>203</v>
      </c>
      <c r="AW11" s="56" t="s">
        <v>203</v>
      </c>
      <c r="AX11" s="59" t="s">
        <v>203</v>
      </c>
      <c r="AY11" s="82" t="s">
        <v>203</v>
      </c>
      <c r="AZ11" s="81" t="s">
        <v>203</v>
      </c>
      <c r="BA11" s="230" t="s">
        <v>203</v>
      </c>
      <c r="BB11" s="230" t="s">
        <v>203</v>
      </c>
      <c r="BC11" s="230" t="s">
        <v>203</v>
      </c>
      <c r="BD11" s="230" t="s">
        <v>203</v>
      </c>
      <c r="BE11" s="230" t="s">
        <v>203</v>
      </c>
    </row>
    <row r="12" spans="1:57" x14ac:dyDescent="0.2">
      <c r="F12" s="59" t="s">
        <v>685</v>
      </c>
      <c r="G12" s="59" t="s">
        <v>685</v>
      </c>
      <c r="H12" s="160" t="s">
        <v>685</v>
      </c>
      <c r="I12" s="59" t="s">
        <v>685</v>
      </c>
      <c r="J12" s="20" t="s">
        <v>685</v>
      </c>
      <c r="K12" s="20" t="s">
        <v>685</v>
      </c>
      <c r="L12" s="56" t="s">
        <v>685</v>
      </c>
      <c r="M12" s="56" t="s">
        <v>685</v>
      </c>
      <c r="N12" s="56" t="s">
        <v>685</v>
      </c>
      <c r="O12" s="56" t="s">
        <v>685</v>
      </c>
      <c r="P12" s="56" t="s">
        <v>685</v>
      </c>
      <c r="Q12" s="56" t="s">
        <v>685</v>
      </c>
      <c r="R12" s="56" t="s">
        <v>685</v>
      </c>
      <c r="S12" s="82" t="s">
        <v>685</v>
      </c>
      <c r="T12" s="20" t="s">
        <v>685</v>
      </c>
      <c r="U12" s="56" t="s">
        <v>685</v>
      </c>
      <c r="V12" s="144" t="s">
        <v>685</v>
      </c>
      <c r="W12" s="20" t="s">
        <v>685</v>
      </c>
      <c r="X12" s="56" t="s">
        <v>685</v>
      </c>
      <c r="Y12" s="144" t="s">
        <v>685</v>
      </c>
      <c r="Z12" s="230" t="s">
        <v>685</v>
      </c>
      <c r="AA12" s="230" t="s">
        <v>685</v>
      </c>
      <c r="AB12" s="230" t="s">
        <v>685</v>
      </c>
      <c r="AC12" s="230" t="s">
        <v>685</v>
      </c>
      <c r="AD12" s="56" t="s">
        <v>685</v>
      </c>
      <c r="AE12" s="113" t="s">
        <v>685</v>
      </c>
      <c r="AF12" s="56" t="s">
        <v>685</v>
      </c>
      <c r="AG12" s="56" t="s">
        <v>685</v>
      </c>
      <c r="AH12" s="106" t="s">
        <v>685</v>
      </c>
      <c r="AI12" s="56" t="s">
        <v>685</v>
      </c>
      <c r="AJ12" s="56" t="s">
        <v>685</v>
      </c>
      <c r="AK12" s="56" t="s">
        <v>685</v>
      </c>
      <c r="AL12" s="144" t="s">
        <v>685</v>
      </c>
      <c r="AM12" s="88" t="s">
        <v>685</v>
      </c>
      <c r="AN12" s="56" t="s">
        <v>685</v>
      </c>
      <c r="AO12" s="106" t="s">
        <v>685</v>
      </c>
      <c r="AP12" s="88" t="s">
        <v>685</v>
      </c>
      <c r="AQ12" s="56" t="s">
        <v>685</v>
      </c>
      <c r="AR12" s="82" t="s">
        <v>685</v>
      </c>
      <c r="AS12" s="20" t="s">
        <v>685</v>
      </c>
      <c r="AT12" s="20" t="s">
        <v>685</v>
      </c>
      <c r="AU12" s="20" t="s">
        <v>685</v>
      </c>
      <c r="AV12" s="88" t="s">
        <v>685</v>
      </c>
      <c r="AW12" s="56" t="s">
        <v>685</v>
      </c>
      <c r="AX12" s="59" t="s">
        <v>685</v>
      </c>
      <c r="AY12" s="82" t="s">
        <v>685</v>
      </c>
      <c r="AZ12" s="81" t="s">
        <v>685</v>
      </c>
      <c r="BA12" s="230" t="s">
        <v>685</v>
      </c>
      <c r="BB12" s="230" t="s">
        <v>685</v>
      </c>
      <c r="BC12" s="230" t="s">
        <v>685</v>
      </c>
      <c r="BD12" s="230" t="s">
        <v>685</v>
      </c>
      <c r="BE12" s="230" t="s">
        <v>685</v>
      </c>
    </row>
    <row r="13" spans="1:57" x14ac:dyDescent="0.2">
      <c r="F13" s="59"/>
      <c r="G13" s="59"/>
      <c r="H13" s="160"/>
      <c r="I13" s="59"/>
      <c r="J13" s="20"/>
      <c r="K13" s="35"/>
      <c r="L13" s="56"/>
      <c r="M13" s="56"/>
      <c r="N13" s="56"/>
      <c r="O13" s="56"/>
      <c r="P13" s="56"/>
      <c r="Q13" s="56"/>
      <c r="R13" s="56"/>
      <c r="S13" s="82"/>
      <c r="U13" s="56"/>
      <c r="X13" s="56"/>
      <c r="AL13" s="144"/>
      <c r="AS13" s="20"/>
      <c r="AT13" s="20"/>
      <c r="AU13" s="20"/>
    </row>
    <row r="14" spans="1:57" x14ac:dyDescent="0.2">
      <c r="A14" s="36" t="s">
        <v>583</v>
      </c>
      <c r="B14" s="36" t="s">
        <v>5</v>
      </c>
      <c r="C14" s="36" t="s">
        <v>35</v>
      </c>
      <c r="D14" s="36" t="s">
        <v>6</v>
      </c>
      <c r="E14" s="36" t="s">
        <v>75</v>
      </c>
      <c r="F14" s="76" t="s">
        <v>298</v>
      </c>
      <c r="G14" s="76" t="s">
        <v>299</v>
      </c>
      <c r="H14" s="161" t="s">
        <v>301</v>
      </c>
      <c r="I14" s="76" t="s">
        <v>302</v>
      </c>
      <c r="J14" s="192" t="s">
        <v>497</v>
      </c>
      <c r="K14" s="192" t="s">
        <v>1080</v>
      </c>
      <c r="L14" s="155" t="s">
        <v>304</v>
      </c>
      <c r="M14" s="155" t="s">
        <v>305</v>
      </c>
      <c r="N14" s="155" t="s">
        <v>306</v>
      </c>
      <c r="O14" s="155" t="s">
        <v>307</v>
      </c>
      <c r="P14" s="155" t="s">
        <v>308</v>
      </c>
      <c r="Q14" s="155" t="s">
        <v>309</v>
      </c>
      <c r="R14" s="155" t="s">
        <v>310</v>
      </c>
      <c r="S14" s="157" t="s">
        <v>317</v>
      </c>
      <c r="T14" s="361" t="s">
        <v>504</v>
      </c>
      <c r="U14" s="359" t="s">
        <v>318</v>
      </c>
      <c r="V14" s="362" t="s">
        <v>733</v>
      </c>
      <c r="W14" s="361" t="s">
        <v>734</v>
      </c>
      <c r="X14" s="359" t="s">
        <v>731</v>
      </c>
      <c r="Y14" s="362" t="s">
        <v>505</v>
      </c>
      <c r="Z14" s="231" t="s">
        <v>600</v>
      </c>
      <c r="AA14" s="361" t="s">
        <v>506</v>
      </c>
      <c r="AB14" s="192" t="s">
        <v>601</v>
      </c>
      <c r="AC14" s="361" t="s">
        <v>507</v>
      </c>
      <c r="AD14" s="347" t="s">
        <v>741</v>
      </c>
      <c r="AE14" s="359" t="s">
        <v>319</v>
      </c>
      <c r="AF14" s="347" t="s">
        <v>367</v>
      </c>
      <c r="AG14" s="359" t="s">
        <v>368</v>
      </c>
      <c r="AH14" s="360" t="s">
        <v>742</v>
      </c>
      <c r="AI14" s="359" t="s">
        <v>738</v>
      </c>
      <c r="AJ14" s="359" t="s">
        <v>739</v>
      </c>
      <c r="AK14" s="359" t="s">
        <v>740</v>
      </c>
      <c r="AL14" s="317" t="s">
        <v>529</v>
      </c>
      <c r="AM14" s="359" t="s">
        <v>320</v>
      </c>
      <c r="AN14" s="359" t="s">
        <v>754</v>
      </c>
      <c r="AO14" s="360" t="s">
        <v>744</v>
      </c>
      <c r="AP14" s="140" t="s">
        <v>745</v>
      </c>
      <c r="AQ14" s="359" t="s">
        <v>746</v>
      </c>
      <c r="AR14" s="360" t="s">
        <v>508</v>
      </c>
      <c r="AS14" s="192" t="s">
        <v>732</v>
      </c>
      <c r="AT14" s="192" t="s">
        <v>509</v>
      </c>
      <c r="AU14" s="192" t="s">
        <v>510</v>
      </c>
      <c r="AV14" s="347" t="s">
        <v>369</v>
      </c>
      <c r="AW14" s="347" t="s">
        <v>370</v>
      </c>
      <c r="AX14" s="359" t="s">
        <v>511</v>
      </c>
      <c r="AY14" s="360" t="s">
        <v>512</v>
      </c>
      <c r="AZ14" s="140" t="s">
        <v>513</v>
      </c>
      <c r="BA14" s="231" t="s">
        <v>515</v>
      </c>
      <c r="BB14" s="231" t="s">
        <v>514</v>
      </c>
      <c r="BC14" s="231" t="s">
        <v>570</v>
      </c>
      <c r="BD14" s="231" t="s">
        <v>572</v>
      </c>
      <c r="BE14" s="231" t="s">
        <v>575</v>
      </c>
    </row>
    <row r="15" spans="1:57" x14ac:dyDescent="0.2">
      <c r="E15" s="26" t="str">
        <f>B15&amp;"|"&amp;C15&amp;"|"&amp;D15</f>
        <v>||</v>
      </c>
      <c r="F15" s="63" t="str">
        <f>IF(LEFT($B15,4)="_Mil","",_xlfn.IFNA(INDEX(Cascade!$F:$F,MATCH($E15,Cascade!$E:$E,0)),""))</f>
        <v/>
      </c>
      <c r="G15" s="63" t="str">
        <f>IF(LEFT($B15,4)="_Mil","",_xlfn.IFNA(INDEX(Cascade!$H:$H,MATCH($E15,Cascade!$E:$E,0)),""))</f>
        <v/>
      </c>
      <c r="H15" s="16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68" t="str">
        <f>IF(LEFT($B15,4)="_Mil","",_xlfn.IFNA(ROUND(INDEX(Spectrum!$N:$N,MATCH(RIGHT($B15,13)&amp;"|"&amp;$C15&amp;"|"&amp;$D15&amp;"|"&amp;L$14&amp;"|"&amp;"CY2022Q3",Spectrum!$Q:$Q,0)),0),""))</f>
        <v/>
      </c>
      <c r="M15" s="68" t="str">
        <f>IF(LEFT($B15,4)="_Mil","",_xlfn.IFNA(ROUND(INDEX(Spectrum!$N:$N,MATCH(RIGHT($B15,13)&amp;"|"&amp;$C15&amp;"|"&amp;$D15&amp;"|"&amp;M$14&amp;"|"&amp;"CY2022Q3",Spectrum!$Q:$Q,0)),0),""))</f>
        <v/>
      </c>
      <c r="N15" s="68" t="str">
        <f>IF(LEFT($B15,4)="_Mil","",_xlfn.IFNA(ROUND(INDEX(Spectrum!$N:$N,MATCH(RIGHT($B15,13)&amp;"|"&amp;$C15&amp;"|"&amp;$D15&amp;"|"&amp;N$14&amp;"|"&amp;"CY2022Q3",Spectrum!$Q:$Q,0)),0),""))</f>
        <v/>
      </c>
      <c r="O15" s="68" t="str">
        <f>IF(LEFT($B15,4)="_Mil","",_xlfn.IFNA(ROUND(INDEX(Spectrum!$N:$N,MATCH(RIGHT($B15,13)&amp;"|"&amp;$C15&amp;"|"&amp;$D15&amp;"|"&amp;O$14&amp;"|"&amp;"CY2022Q3",Spectrum!$Q:$Q,0)),0),""))</f>
        <v/>
      </c>
      <c r="P15" s="68" t="str">
        <f>IF(LEFT($B15,4)="_Mil","",_xlfn.IFNA(ROUND(INDEX(Spectrum!$N:$N,MATCH(RIGHT($B15,13)&amp;"|"&amp;$C15&amp;"|"&amp;$D15&amp;"|"&amp;P$14&amp;"|"&amp;"CY2022Q3",Spectrum!$Q:$Q,0)),0),""))</f>
        <v/>
      </c>
      <c r="Q15" s="68" t="str">
        <f>IF(LEFT($B15,4)="_Mil","",_xlfn.IFNA(ROUND(INDEX(Spectrum!$N:$N,MATCH(RIGHT($B15,13)&amp;"|"&amp;$C15&amp;"|"&amp;$D15&amp;"|"&amp;Q$14&amp;"|"&amp;"CY2022Q3",Spectrum!$Q:$Q,0)),0),""))</f>
        <v/>
      </c>
      <c r="R15" s="68" t="str">
        <f>IF(LEFT($B15,4)="_Mil","",_xlfn.IFNA(ROUND(INDEX(Spectrum!$N:$N,MATCH(RIGHT($B15,13)&amp;"|"&amp;$C15&amp;"|"&amp;$D15&amp;"|"&amp;R$14&amp;"|"&amp;"CY2022Q3",Spectrum!$Q:$Q,0)),0),""))</f>
        <v/>
      </c>
      <c r="T15" s="20" t="str">
        <f>IF(SUM($S15)=0,"",0%)</f>
        <v/>
      </c>
      <c r="U15" s="110" t="str">
        <f>IF(SUM($S15)=0,"",ROUND(MIN($S15,$L15)*(1+$T15),0))</f>
        <v/>
      </c>
      <c r="V15" s="144" t="str">
        <f>IF(LEFT($B15,4)="_Mil","",IF(SUM($L15)=0,IF(SUM($S15)=0,"",1),MIN($S15/$L15,1)))</f>
        <v/>
      </c>
      <c r="W15" s="20" t="str">
        <f>$V15</f>
        <v/>
      </c>
      <c r="X15" s="110" t="str">
        <f>IF(OR(SUM($U15)=0,LEFT($B15,4)="_Mil"),"",ROUND($U15/$W15,0))</f>
        <v/>
      </c>
      <c r="Y15" s="144" t="str">
        <f>IF(SUM($S15)=0,"",100%)</f>
        <v/>
      </c>
      <c r="AA15" s="230" t="str">
        <f>IF(SUM($L15,$Z15)=0,"",MAX(IFERROR(SUM($M15)/$L15,0),SUM($Z15)))</f>
        <v/>
      </c>
      <c r="AC15" s="230" t="str">
        <f>IF(SUM($L15,$N15,$AB15)=0,"",MIN(SUM($AB15),IFERROR($N15/(SUM($L15)-SUM($M15)),1)))</f>
        <v/>
      </c>
      <c r="AD15" s="56" t="str">
        <f>IF(SUM($U15)=0,"",ROUND($U15*SUM($Y15),0))</f>
        <v/>
      </c>
      <c r="AE15" s="56" t="str">
        <f>IF(SUM($AD15)=0,"",ROUND($AD15*$AA15,0))</f>
        <v/>
      </c>
      <c r="AF15" s="56" t="str">
        <f>IF(SUM($AD15)=0,"",ROUND(($AD15-SUM($AE15))*$AC15,0))</f>
        <v/>
      </c>
      <c r="AG15" s="56" t="str">
        <f>IF(SUM($AD15)=0,"",ROUND($AD15-SUM($AE15)-SUM($AF15),0))</f>
        <v/>
      </c>
      <c r="AH15" s="106" t="str">
        <f>IF(SUM($X15)=0,"",ROUND($X15*SUM($Y15),0))</f>
        <v/>
      </c>
      <c r="AI15" s="56" t="str">
        <f>IF(SUM($AH15)=0,"",ROUND($AH15*SUM($AA15),0))</f>
        <v/>
      </c>
      <c r="AJ15" s="56" t="str">
        <f>IF(SUM($AH15)=0,"",ROUND(($AH15-SUM($AI15))*SUM($AC15),0))</f>
        <v/>
      </c>
      <c r="AK15" s="56" t="str">
        <f>IF(SUM($AH15)=0,"",ROUND($AH15-SUM($AI15)-SUM($AJ15),0))</f>
        <v/>
      </c>
      <c r="AL15" s="144" t="str">
        <f>IF(SUM($AF15)=0,"",_xlfn.IFNA(INDEX(Cascade!$BC:$BC,MATCH($E15,Cascade!$E:$E,0)),""))</f>
        <v/>
      </c>
      <c r="AM15" s="88" t="str">
        <f>IF(SUM($AE15)=0,"",$AE15)</f>
        <v/>
      </c>
      <c r="AN15" s="56" t="str">
        <f>IF(SUM($AF15)=0,"",IF($AL15="","&lt;- Enter Linkage Rate",ROUND($AF15*$AL15,0)))</f>
        <v/>
      </c>
      <c r="AO15" s="106" t="str">
        <f>IF(SUM($AI15,$AJ15)=0,"",SUM($AI15,$AJ15))</f>
        <v/>
      </c>
      <c r="AP15" s="88" t="str">
        <f>IF(SUM($AI15)=0,"",$AI15)</f>
        <v/>
      </c>
      <c r="AQ15" s="56" t="str">
        <f>IF(SUM($AJ15)=0,"",ROUND($AJ15*SUM($AL15),0))</f>
        <v/>
      </c>
      <c r="AR15" s="82" t="str">
        <f>IF(AND((SUM($U15)-SUM($AE15)-SUM($AF15))=0,SUM($AG15)=0),"",MAX(SUM($U15)-SUM($AE15,$AF15),$AG15))</f>
        <v/>
      </c>
      <c r="AS15" s="20"/>
      <c r="AT15" s="20" t="str">
        <f>IF(SUM($AS15)=0,"",$AS15)</f>
        <v/>
      </c>
      <c r="AU15" s="20" t="str">
        <f>IF(SUM($AR15)=0,"",_xlfn.IFNA(INDEX(Cascade!$BC:$BC,MATCH($E15,Cascade!$E:$E,0)),""))</f>
        <v/>
      </c>
      <c r="AV15" s="88" t="str">
        <f>IF(SUM($AR15)=0,"",ROUND($AR15*$AT15,0))</f>
        <v/>
      </c>
      <c r="AW15" s="56" t="str">
        <f>IF(SUM($AR15)=0,"",$AR15-SUM($AV15))</f>
        <v/>
      </c>
      <c r="AX15" s="59" t="str">
        <f>IF(SUM($AV15)=0,"",ROUND($AV15*$AU15,0))</f>
        <v/>
      </c>
      <c r="AY15" s="82" t="str">
        <f>IF(SUM($AF15,$AE15,$AV15)=0,"",SUM($AF15,$AE15,$AV15))</f>
        <v/>
      </c>
      <c r="AZ15" s="81" t="str">
        <f>_xlfn.IFNA(INDEX(Cascade!$CB:$CB,MATCH($E15,Cascade!$E:$E,0)),"")</f>
        <v/>
      </c>
      <c r="BA15" s="230" t="str">
        <f>IF(SUM($AF15)=0,"",$AF15/SUM($AZ15))</f>
        <v/>
      </c>
      <c r="BB15" s="230" t="str">
        <f>IF(SUM($AV15)=0,"",$AV15/SUM($AZ15))</f>
        <v/>
      </c>
      <c r="BC15" s="230" t="str">
        <f>_xlfn.IFNA(INDEX(Cascade!$CJ:$CJ,MATCH($E15,Cascade!$E:$E,0)),"")</f>
        <v/>
      </c>
      <c r="BD15" s="230" t="str">
        <f>_xlfn.IFNA(INDEX(Cascade!$CM:$CM,MATCH($E15,Cascade!$E:$E,0)),"")</f>
        <v/>
      </c>
      <c r="BE15" s="230" t="str">
        <f>_xlfn.IFNA(INDEX(Cascade!$CP:$CP,MATCH($E15,Cascade!$E:$E,0)),"")</f>
        <v/>
      </c>
    </row>
  </sheetData>
  <mergeCells count="1">
    <mergeCell ref="A2:B3"/>
  </mergeCells>
  <phoneticPr fontId="21" type="noConversion"/>
  <conditionalFormatting sqref="T1:T1048576">
    <cfRule type="expression" dxfId="166" priority="46">
      <formula>AND(ISNUMBER($T1),ROUND($T1,2)&lt;&gt;0)</formula>
    </cfRule>
  </conditionalFormatting>
  <conditionalFormatting sqref="AL1:AL1048576 AU1:AU1048576">
    <cfRule type="expression" dxfId="165" priority="23">
      <formula>AND(ISNUMBER(AL1),ROUND(AL1,2)&lt;0.95)</formula>
    </cfRule>
  </conditionalFormatting>
  <conditionalFormatting sqref="AA1:AA1048576">
    <cfRule type="expression" dxfId="164" priority="48">
      <formula>AND(ISNUMBER(AA1),ROUND(AA1,2)&gt;=0.75)</formula>
    </cfRule>
  </conditionalFormatting>
  <conditionalFormatting sqref="Y1:Y1048576">
    <cfRule type="expression" dxfId="163" priority="14">
      <formula>AND(ISNUMBER($Y1),$Y1&lt;100%)</formula>
    </cfRule>
  </conditionalFormatting>
  <conditionalFormatting sqref="AY1:BE1048576">
    <cfRule type="expression" dxfId="153" priority="7">
      <formula>AND(ROW($BE1)&gt;14,ROUND($BE1,2)&lt;0)</formula>
    </cfRule>
    <cfRule type="expression" dxfId="152" priority="16">
      <formula>AND(ROW($BE1)&gt;14,ISERROR($BE1))</formula>
    </cfRule>
  </conditionalFormatting>
  <conditionalFormatting sqref="AC1:AC1048576">
    <cfRule type="expression" dxfId="162" priority="3">
      <formula>AND(ROW($AA1)&gt;14,SUM($AD1)&gt;0,SUM($AA1)&lt;=0)</formula>
    </cfRule>
    <cfRule type="expression" dxfId="161" priority="4">
      <formula>AND(ROW($AC1)&gt;14,SUM($AD1)&gt;0,SUM($AC1)&lt;=0)</formula>
    </cfRule>
    <cfRule type="expression" dxfId="160" priority="13">
      <formula>AND(ROW($AC1)&gt;14,ROUND($AC1,2)&gt;10%)</formula>
    </cfRule>
  </conditionalFormatting>
  <conditionalFormatting sqref="U1:U1048576">
    <cfRule type="expression" dxfId="159" priority="1282">
      <formula>AND(ROW($U1)&gt;14,ISNUMBER($U1),$S1&gt;$L1)</formula>
    </cfRule>
  </conditionalFormatting>
  <conditionalFormatting sqref="F1:R1048576 V1:X1048576 AH1:AK1048576 AO1:AQ1048576">
    <cfRule type="expression" dxfId="158" priority="2178">
      <formula>AND(ROW(F1)&gt;14,LEFT($B1,4)="_Mil")</formula>
    </cfRule>
  </conditionalFormatting>
  <conditionalFormatting sqref="H1:H1048576 J1:K1048576 V1:W1048576 Y1:AC1048576 AL1:AL1048576 AS1:AU1048576 BA1:BE1048576">
    <cfRule type="expression" dxfId="157" priority="6">
      <formula>AND(ISNUMBER(H1),OR(ROUND(H1,2)&lt;0,ROUND(H1,2)&gt;1))</formula>
    </cfRule>
  </conditionalFormatting>
  <conditionalFormatting sqref="F1:G1048576 I1:I1048576 L1:S1048576 U1:U1048576 X1:X1048576 AD1:AK1048576 AM1:AR1048576 AV1:AZ1048576">
    <cfRule type="expression" dxfId="156" priority="1">
      <formula>AND(ISNUMBER(F1),ROUND(F1,0)&lt;0)</formula>
    </cfRule>
  </conditionalFormatting>
  <conditionalFormatting sqref="AT1:AT1048576">
    <cfRule type="expression" dxfId="155" priority="5">
      <formula>AND(ROW($AT1)&gt;14,SUM($AR1)&gt;0,SUM($AT1)&lt;=0)</formula>
    </cfRule>
  </conditionalFormatting>
  <conditionalFormatting sqref="W1:W1048576">
    <cfRule type="expression" dxfId="154"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H15" activePane="bottomRight" state="frozen"/>
      <selection pane="topRight"/>
      <selection pane="bottomLeft"/>
      <selection pane="bottomRight" activeCell="P7" sqref="P7"/>
    </sheetView>
  </sheetViews>
  <sheetFormatPr baseColWidth="10" defaultRowHeight="16" x14ac:dyDescent="0.2"/>
  <cols>
    <col min="1" max="1" width="16.1640625" customWidth="1"/>
    <col min="2" max="2" width="30.83203125" customWidth="1"/>
    <col min="3" max="3" width="11.83203125" style="258" customWidth="1"/>
    <col min="4" max="5" width="11.83203125" style="257" customWidth="1"/>
    <col min="6" max="7" width="11.83203125" style="56" customWidth="1"/>
    <col min="8" max="11" width="11.83203125" style="257" customWidth="1"/>
    <col min="12" max="12" width="11.83203125" style="56" customWidth="1"/>
    <col min="13" max="13" width="11.83203125" style="257" customWidth="1"/>
    <col min="14" max="14" width="11.83203125" style="56" customWidth="1"/>
    <col min="15" max="15" width="11.83203125" style="257" customWidth="1"/>
    <col min="16" max="16" width="11.83203125" style="56" customWidth="1"/>
    <col min="17" max="17" width="11.83203125" style="257" customWidth="1"/>
    <col min="18" max="18" width="11.83203125" style="56" customWidth="1"/>
    <col min="19" max="19" width="11.83203125" style="257" customWidth="1"/>
    <col min="20" max="20" width="11.83203125" style="56" customWidth="1"/>
    <col min="21" max="21" width="11.83203125" style="257" customWidth="1"/>
    <col min="22" max="22" width="11.83203125" style="56" customWidth="1"/>
  </cols>
  <sheetData>
    <row r="1" spans="1:22" s="41" customFormat="1" ht="31" customHeight="1" x14ac:dyDescent="0.3">
      <c r="A1" s="5" t="s">
        <v>34</v>
      </c>
      <c r="B1" s="5"/>
      <c r="C1" s="51" t="s">
        <v>50</v>
      </c>
      <c r="D1" s="29"/>
      <c r="E1" s="27"/>
      <c r="F1" s="51"/>
      <c r="G1" s="51"/>
      <c r="H1" s="226" t="s">
        <v>69</v>
      </c>
      <c r="I1" s="226"/>
      <c r="J1" s="226"/>
      <c r="K1" s="29"/>
      <c r="L1" s="64"/>
      <c r="M1" s="29"/>
      <c r="N1" s="64"/>
      <c r="O1" s="29"/>
      <c r="P1" s="64"/>
      <c r="Q1" s="29"/>
      <c r="R1" s="64"/>
      <c r="S1" s="29"/>
      <c r="T1" s="64"/>
      <c r="U1" s="29"/>
      <c r="V1" s="64"/>
    </row>
    <row r="2" spans="1:22" s="3" customFormat="1" ht="19" x14ac:dyDescent="0.25">
      <c r="A2" s="23"/>
      <c r="B2" s="23"/>
      <c r="C2" s="78" t="s">
        <v>2</v>
      </c>
      <c r="D2" s="18"/>
      <c r="E2" s="18"/>
      <c r="F2" s="65" t="s">
        <v>3</v>
      </c>
      <c r="G2" s="65"/>
      <c r="H2" s="227" t="s">
        <v>2</v>
      </c>
      <c r="I2" s="227"/>
      <c r="J2" s="227"/>
      <c r="K2" s="18"/>
      <c r="L2" s="65"/>
      <c r="M2" s="18"/>
      <c r="N2" s="65"/>
      <c r="O2" s="18"/>
      <c r="P2" s="65"/>
      <c r="Q2" s="18"/>
      <c r="R2" s="65"/>
      <c r="S2" s="18"/>
      <c r="T2" s="65"/>
      <c r="U2" s="18"/>
      <c r="V2" s="65"/>
    </row>
    <row r="3" spans="1:22" s="24" customFormat="1" ht="117" customHeight="1" x14ac:dyDescent="0.2">
      <c r="A3" s="31"/>
      <c r="B3" s="31"/>
      <c r="C3" s="238" t="s">
        <v>1051</v>
      </c>
      <c r="D3" s="32" t="s">
        <v>1052</v>
      </c>
      <c r="E3" s="32" t="s">
        <v>1053</v>
      </c>
      <c r="F3" s="53" t="s">
        <v>980</v>
      </c>
      <c r="G3" s="53" t="s">
        <v>981</v>
      </c>
      <c r="H3" s="363" t="s">
        <v>918</v>
      </c>
      <c r="I3" s="366" t="s">
        <v>919</v>
      </c>
      <c r="J3" s="365" t="s">
        <v>920</v>
      </c>
      <c r="K3" s="375" t="s">
        <v>921</v>
      </c>
      <c r="L3" s="54" t="s">
        <v>983</v>
      </c>
      <c r="M3" s="375" t="s">
        <v>832</v>
      </c>
      <c r="N3" s="54" t="s">
        <v>986</v>
      </c>
      <c r="O3" s="375" t="s">
        <v>982</v>
      </c>
      <c r="P3" s="54" t="s">
        <v>987</v>
      </c>
      <c r="Q3" s="366" t="s">
        <v>1130</v>
      </c>
      <c r="R3" s="306" t="s">
        <v>1133</v>
      </c>
      <c r="S3" s="366" t="s">
        <v>1132</v>
      </c>
      <c r="T3" s="54" t="s">
        <v>984</v>
      </c>
      <c r="U3" s="366" t="s">
        <v>1131</v>
      </c>
      <c r="V3" s="54" t="s">
        <v>985</v>
      </c>
    </row>
    <row r="4" spans="1:22" s="24" customFormat="1" x14ac:dyDescent="0.2">
      <c r="A4" s="33"/>
      <c r="B4" s="33" t="s">
        <v>4</v>
      </c>
      <c r="C4" s="119">
        <f>SUBTOTAL(109,C$15:INDEX(C:C,COUNTA($B:$B)+14-COUNTA($B$1:$B$14)))</f>
        <v>0</v>
      </c>
      <c r="D4" s="34" t="str">
        <f>IF(SUM($C4)=0,"",SUM($F4)/$C4)</f>
        <v/>
      </c>
      <c r="E4" s="34" t="str">
        <f>IF(SUM($C4)=0,"",SUM($F4,$G4)/$C4)</f>
        <v/>
      </c>
      <c r="F4" s="55">
        <f>SUBTOTAL(109,F$15:INDEX(F:F,COUNTA($B:$B)+14-COUNTA($B$1:$B$14)))</f>
        <v>0</v>
      </c>
      <c r="G4" s="55">
        <f>SUBTOTAL(109,G$15:INDEX(G:G,COUNTA($B:$B)+14-COUNTA($B$1:$B$14)))</f>
        <v>0</v>
      </c>
      <c r="H4" s="143"/>
      <c r="I4" s="229"/>
      <c r="J4" s="229"/>
      <c r="K4" s="34"/>
      <c r="L4" s="55">
        <f>SUBTOTAL(109,L$15:INDEX(L:L,COUNTA($B:$B)+14-COUNTA($B$1:$B$14)))</f>
        <v>0</v>
      </c>
      <c r="M4" s="34" t="str">
        <f>IF(SUM($L4)=0,"",SUM($N4)/$L4)</f>
        <v/>
      </c>
      <c r="N4" s="55">
        <f>SUBTOTAL(109,N$15:INDEX(N:N,COUNTA($B:$B)+14-COUNTA($B$1:$B$14)))</f>
        <v>0</v>
      </c>
      <c r="O4" s="34" t="str">
        <f>IF(SUM($N4)=0,"",SUM($P4)/$N4)</f>
        <v/>
      </c>
      <c r="P4" s="55">
        <f>SUBTOTAL(109,P$15:INDEX(P:P,COUNTA($B:$B)+14-COUNTA($B$1:$B$14)))</f>
        <v>0</v>
      </c>
      <c r="Q4" s="34" t="str">
        <f>IF(SUM($N4)=0,"",SUM($R4)/$N4)</f>
        <v/>
      </c>
      <c r="R4" s="67">
        <f>SUBTOTAL(109,R$15:INDEX(R:R,COUNTA($B:$B)+14-COUNTA($B$1:$B$14)))</f>
        <v>0</v>
      </c>
      <c r="S4" s="34" t="str">
        <f>IF(SUM($R4)=0,"",SUM($T4)/$R4)</f>
        <v/>
      </c>
      <c r="T4" s="55">
        <f>SUBTOTAL(109,T$15:INDEX(T:T,COUNTA($B:$B)+14-COUNTA($B$1:$B$14)))</f>
        <v>0</v>
      </c>
      <c r="U4" s="34" t="str">
        <f>IF(SUM($T4)=0,"",SUM($V4)/$T4)</f>
        <v/>
      </c>
      <c r="V4" s="55">
        <f>SUBTOTAL(109,V$15:INDEX(V:V,COUNTA($B:$B)+14-COUNTA($B$1:$B$14)))</f>
        <v>0</v>
      </c>
    </row>
    <row r="5" spans="1:22" s="24" customFormat="1" x14ac:dyDescent="0.2">
      <c r="A5" s="26" t="s">
        <v>98</v>
      </c>
      <c r="B5" s="26" t="s">
        <v>98</v>
      </c>
      <c r="C5" s="59" t="s">
        <v>98</v>
      </c>
      <c r="D5" s="35" t="s">
        <v>98</v>
      </c>
      <c r="E5" s="35" t="s">
        <v>98</v>
      </c>
      <c r="F5" s="56" t="s">
        <v>109</v>
      </c>
      <c r="G5" s="56" t="s">
        <v>109</v>
      </c>
      <c r="H5" s="144" t="s">
        <v>98</v>
      </c>
      <c r="I5" s="230" t="s">
        <v>98</v>
      </c>
      <c r="J5" s="230" t="s">
        <v>98</v>
      </c>
      <c r="K5" s="20" t="s">
        <v>98</v>
      </c>
      <c r="L5" s="56" t="s">
        <v>98</v>
      </c>
      <c r="M5" s="20" t="s">
        <v>98</v>
      </c>
      <c r="N5" s="56" t="s">
        <v>98</v>
      </c>
      <c r="O5" s="20" t="s">
        <v>98</v>
      </c>
      <c r="P5" s="56" t="s">
        <v>98</v>
      </c>
      <c r="Q5" s="266" t="s">
        <v>98</v>
      </c>
      <c r="R5" s="307" t="s">
        <v>98</v>
      </c>
      <c r="S5" s="266" t="s">
        <v>98</v>
      </c>
      <c r="T5" s="56" t="s">
        <v>98</v>
      </c>
      <c r="U5" s="266" t="s">
        <v>98</v>
      </c>
      <c r="V5" s="56" t="s">
        <v>98</v>
      </c>
    </row>
    <row r="6" spans="1:22" s="24" customFormat="1" x14ac:dyDescent="0.2">
      <c r="A6" s="26" t="s">
        <v>200</v>
      </c>
      <c r="B6" s="26" t="s">
        <v>200</v>
      </c>
      <c r="C6" s="59" t="s">
        <v>93</v>
      </c>
      <c r="D6" s="35" t="s">
        <v>112</v>
      </c>
      <c r="E6" s="35" t="s">
        <v>112</v>
      </c>
      <c r="F6" s="56" t="s">
        <v>92</v>
      </c>
      <c r="G6" s="56" t="s">
        <v>92</v>
      </c>
      <c r="H6" s="144" t="s">
        <v>111</v>
      </c>
      <c r="I6" s="230" t="s">
        <v>112</v>
      </c>
      <c r="J6" s="230" t="s">
        <v>111</v>
      </c>
      <c r="K6" s="20" t="s">
        <v>112</v>
      </c>
      <c r="L6" s="56" t="s">
        <v>93</v>
      </c>
      <c r="M6" s="20" t="s">
        <v>112</v>
      </c>
      <c r="N6" s="56" t="s">
        <v>93</v>
      </c>
      <c r="O6" s="20" t="s">
        <v>112</v>
      </c>
      <c r="P6" s="56" t="s">
        <v>93</v>
      </c>
      <c r="Q6" s="266" t="s">
        <v>112</v>
      </c>
      <c r="R6" s="307" t="s">
        <v>93</v>
      </c>
      <c r="S6" s="266" t="s">
        <v>112</v>
      </c>
      <c r="T6" s="56" t="s">
        <v>93</v>
      </c>
      <c r="U6" s="266" t="s">
        <v>112</v>
      </c>
      <c r="V6" s="56" t="s">
        <v>93</v>
      </c>
    </row>
    <row r="7" spans="1:22" s="24" customFormat="1" x14ac:dyDescent="0.2">
      <c r="A7" s="26" t="s">
        <v>108</v>
      </c>
      <c r="B7" s="26" t="s">
        <v>108</v>
      </c>
      <c r="C7" s="59" t="s">
        <v>94</v>
      </c>
      <c r="D7" s="35" t="s">
        <v>95</v>
      </c>
      <c r="E7" s="35" t="s">
        <v>95</v>
      </c>
      <c r="F7" s="56" t="s">
        <v>94</v>
      </c>
      <c r="G7" s="56" t="s">
        <v>94</v>
      </c>
      <c r="H7" s="144" t="s">
        <v>95</v>
      </c>
      <c r="I7" s="230" t="s">
        <v>95</v>
      </c>
      <c r="J7" s="230" t="s">
        <v>95</v>
      </c>
      <c r="K7" s="20" t="s">
        <v>95</v>
      </c>
      <c r="L7" s="56" t="s">
        <v>94</v>
      </c>
      <c r="M7" s="20" t="s">
        <v>95</v>
      </c>
      <c r="N7" s="56" t="s">
        <v>94</v>
      </c>
      <c r="O7" s="20" t="s">
        <v>95</v>
      </c>
      <c r="P7" s="56" t="s">
        <v>94</v>
      </c>
      <c r="Q7" s="266" t="s">
        <v>95</v>
      </c>
      <c r="R7" s="307" t="s">
        <v>94</v>
      </c>
      <c r="S7" s="266" t="s">
        <v>95</v>
      </c>
      <c r="T7" s="56" t="s">
        <v>94</v>
      </c>
      <c r="U7" s="266" t="s">
        <v>95</v>
      </c>
      <c r="V7" s="56" t="s">
        <v>94</v>
      </c>
    </row>
    <row r="8" spans="1:22" s="24" customFormat="1" x14ac:dyDescent="0.2">
      <c r="A8" s="26"/>
      <c r="B8" s="26"/>
      <c r="C8" s="59"/>
      <c r="D8" s="35"/>
      <c r="E8" s="35"/>
      <c r="F8" s="272" t="s">
        <v>122</v>
      </c>
      <c r="G8" s="272" t="s">
        <v>122</v>
      </c>
      <c r="H8" s="144"/>
      <c r="I8" s="230"/>
      <c r="J8" s="230"/>
      <c r="K8" s="20"/>
      <c r="L8" s="56"/>
      <c r="M8" s="20"/>
      <c r="N8" s="56"/>
      <c r="O8" s="20"/>
      <c r="P8" s="56"/>
      <c r="Q8" s="20"/>
      <c r="R8" s="68"/>
      <c r="S8" s="20"/>
      <c r="T8" s="56"/>
      <c r="U8" s="20"/>
      <c r="V8" s="56"/>
    </row>
    <row r="9" spans="1:22" s="24" customFormat="1" x14ac:dyDescent="0.2">
      <c r="A9" s="26"/>
      <c r="B9" s="26"/>
      <c r="C9" s="59"/>
      <c r="D9" s="35"/>
      <c r="E9" s="35"/>
      <c r="F9" s="272" t="s">
        <v>123</v>
      </c>
      <c r="G9" s="272" t="s">
        <v>123</v>
      </c>
      <c r="H9" s="144"/>
      <c r="I9" s="230"/>
      <c r="J9" s="230"/>
      <c r="K9" s="20"/>
      <c r="L9" s="56"/>
      <c r="M9" s="20"/>
      <c r="N9" s="56"/>
      <c r="O9" s="20"/>
      <c r="P9" s="56"/>
      <c r="Q9" s="20"/>
      <c r="R9" s="68"/>
      <c r="S9" s="20"/>
      <c r="T9" s="56"/>
      <c r="U9" s="20"/>
      <c r="V9" s="56"/>
    </row>
    <row r="10" spans="1:22" s="24" customFormat="1" x14ac:dyDescent="0.2">
      <c r="A10" s="26"/>
      <c r="B10" s="26"/>
      <c r="C10" s="59"/>
      <c r="D10" s="35"/>
      <c r="E10" s="35"/>
      <c r="F10" s="272" t="s">
        <v>124</v>
      </c>
      <c r="G10" s="272" t="s">
        <v>125</v>
      </c>
      <c r="H10" s="144"/>
      <c r="I10" s="230"/>
      <c r="J10" s="230"/>
      <c r="K10" s="20"/>
      <c r="L10" s="56"/>
      <c r="M10" s="20"/>
      <c r="N10" s="56"/>
      <c r="O10" s="20"/>
      <c r="P10" s="56"/>
      <c r="Q10" s="20"/>
      <c r="R10" s="68"/>
      <c r="S10" s="20"/>
      <c r="T10" s="56"/>
      <c r="U10" s="20"/>
      <c r="V10" s="56"/>
    </row>
    <row r="11" spans="1:22" s="24" customFormat="1" x14ac:dyDescent="0.2">
      <c r="A11" s="26"/>
      <c r="B11" s="26"/>
      <c r="C11" s="59"/>
      <c r="D11" s="35"/>
      <c r="E11" s="35"/>
      <c r="F11" s="56"/>
      <c r="G11" s="56"/>
      <c r="H11" s="144"/>
      <c r="I11" s="230"/>
      <c r="J11" s="230"/>
      <c r="K11" s="20"/>
      <c r="L11" s="56"/>
      <c r="M11" s="20"/>
      <c r="N11" s="56"/>
      <c r="O11" s="20"/>
      <c r="P11" s="56"/>
      <c r="Q11" s="20"/>
      <c r="R11" s="68"/>
      <c r="S11" s="20"/>
      <c r="T11" s="56"/>
      <c r="U11" s="20"/>
      <c r="V11" s="56"/>
    </row>
    <row r="12" spans="1:22" s="24" customFormat="1" x14ac:dyDescent="0.2">
      <c r="A12" s="26"/>
      <c r="B12" s="26"/>
      <c r="C12" s="59"/>
      <c r="D12" s="35"/>
      <c r="E12" s="35"/>
      <c r="F12" s="56"/>
      <c r="G12" s="56"/>
      <c r="H12" s="144"/>
      <c r="I12" s="230"/>
      <c r="J12" s="230"/>
      <c r="K12" s="20"/>
      <c r="L12" s="56"/>
      <c r="M12" s="20"/>
      <c r="N12" s="56"/>
      <c r="O12" s="20"/>
      <c r="P12" s="56"/>
      <c r="Q12" s="20"/>
      <c r="R12" s="68"/>
      <c r="S12" s="20"/>
      <c r="T12" s="56"/>
      <c r="U12" s="20"/>
      <c r="V12" s="56"/>
    </row>
    <row r="13" spans="1:22" s="24" customFormat="1" x14ac:dyDescent="0.2">
      <c r="A13" s="26"/>
      <c r="B13" s="26"/>
      <c r="C13" s="59"/>
      <c r="D13" s="35"/>
      <c r="E13" s="35"/>
      <c r="F13" s="56"/>
      <c r="G13" s="56"/>
      <c r="H13" s="144"/>
      <c r="I13" s="230"/>
      <c r="J13" s="230"/>
      <c r="K13" s="20"/>
      <c r="L13" s="56"/>
      <c r="M13" s="20"/>
      <c r="N13" s="56"/>
      <c r="O13" s="20"/>
      <c r="P13" s="56"/>
      <c r="Q13" s="20"/>
      <c r="R13" s="68"/>
      <c r="S13" s="20"/>
      <c r="T13" s="56"/>
      <c r="U13" s="20"/>
      <c r="V13" s="56"/>
    </row>
    <row r="14" spans="1:22" s="24" customFormat="1" x14ac:dyDescent="0.2">
      <c r="A14" s="36" t="s">
        <v>583</v>
      </c>
      <c r="B14" s="36" t="s">
        <v>5</v>
      </c>
      <c r="C14" s="76" t="s">
        <v>516</v>
      </c>
      <c r="D14" s="192" t="s">
        <v>517</v>
      </c>
      <c r="E14" s="192" t="s">
        <v>518</v>
      </c>
      <c r="F14" s="155" t="s">
        <v>321</v>
      </c>
      <c r="G14" s="155" t="s">
        <v>322</v>
      </c>
      <c r="H14" s="317" t="s">
        <v>711</v>
      </c>
      <c r="I14" s="231" t="s">
        <v>519</v>
      </c>
      <c r="J14" s="231" t="s">
        <v>712</v>
      </c>
      <c r="K14" s="192" t="s">
        <v>520</v>
      </c>
      <c r="L14" s="155" t="s">
        <v>522</v>
      </c>
      <c r="M14" s="192" t="s">
        <v>521</v>
      </c>
      <c r="N14" s="305" t="s">
        <v>523</v>
      </c>
      <c r="O14" s="192" t="s">
        <v>988</v>
      </c>
      <c r="P14" s="305" t="s">
        <v>967</v>
      </c>
      <c r="Q14" s="192" t="s">
        <v>991</v>
      </c>
      <c r="R14" s="155" t="s">
        <v>1134</v>
      </c>
      <c r="S14" s="192" t="s">
        <v>990</v>
      </c>
      <c r="T14" s="305" t="s">
        <v>969</v>
      </c>
      <c r="U14" s="192" t="s">
        <v>989</v>
      </c>
      <c r="V14" s="305" t="s">
        <v>968</v>
      </c>
    </row>
    <row r="15" spans="1:22" s="24" customFormat="1" x14ac:dyDescent="0.2">
      <c r="A15" s="37"/>
      <c r="B15" s="37"/>
      <c r="C15" s="63">
        <f>SUMIF(PMTCT!$B:$B,$B15,PMTCT!$AY:$AY)</f>
        <v>0</v>
      </c>
      <c r="D15" s="20">
        <v>0.95</v>
      </c>
      <c r="E15" s="20">
        <f>MAX(95%,SUM($D15))</f>
        <v>0.95</v>
      </c>
      <c r="F15" s="56">
        <f>ROUND(SUM($C15)*$D15,0)</f>
        <v>0</v>
      </c>
      <c r="G15" s="56">
        <f>ROUND(SUM($C15)*$E15,0)-SUM($F15)</f>
        <v>0</v>
      </c>
      <c r="H15" s="144"/>
      <c r="I15" s="230" t="str">
        <f>IF(SUM($F15)=0,"",IF($H15="","Enter Positivity Rate",$H15))</f>
        <v/>
      </c>
      <c r="J15" s="230"/>
      <c r="K15" s="20" t="str">
        <f>IF(SUM($G15)=0,"",IF($J15="","Enter Positivity Rate",$J15))</f>
        <v/>
      </c>
      <c r="L15" s="56">
        <f>ROUND(SUM(SUM($F15)*SUM($I15),SUM($G15)*SUM($K15)),0)</f>
        <v>0</v>
      </c>
      <c r="M15" s="20">
        <v>0.95</v>
      </c>
      <c r="N15" s="56">
        <f>ROUND(SUM($L15)*$M15,0)</f>
        <v>0</v>
      </c>
      <c r="O15" s="20">
        <v>0.98</v>
      </c>
      <c r="P15" s="56">
        <f>ROUND(SUM($N15)*$O15,0)</f>
        <v>0</v>
      </c>
      <c r="Q15" s="20">
        <v>0.7</v>
      </c>
      <c r="R15" s="68">
        <f>ROUND(SUM($N15)*$Q15,0)</f>
        <v>0</v>
      </c>
      <c r="S15" s="20">
        <v>0.95</v>
      </c>
      <c r="T15" s="56">
        <f>ROUND(SUM($R15)*$S15,0)</f>
        <v>0</v>
      </c>
      <c r="U15" s="20">
        <v>0.95</v>
      </c>
      <c r="V15" s="56">
        <f>ROUND(SUM($T15)*$U15,0)</f>
        <v>0</v>
      </c>
    </row>
  </sheetData>
  <conditionalFormatting sqref="E1:E1048576 M1:M1048576 S1:S1048576 U1:U1048576">
    <cfRule type="expression" dxfId="18" priority="23">
      <formula>AND(ISNUMBER(E1),ROUND(E1,2)&lt;0.95)</formula>
    </cfRule>
  </conditionalFormatting>
  <conditionalFormatting sqref="D1:D1048576">
    <cfRule type="expression" dxfId="17" priority="22">
      <formula>AND(ISNUMBER(D1),ROUND(D1,2)&lt;0.8)</formula>
    </cfRule>
  </conditionalFormatting>
  <conditionalFormatting sqref="D1:E1048576 H1:K1048576 M1:M1048576 O1:O1048576 Q1:Q1048576 S1:S1048576 U1:U1048576">
    <cfRule type="expression" dxfId="16" priority="5">
      <formula>AND(ISNUMBER(D1),OR(ROUND(D1,2)&gt;1,ROUND(D1,2)&lt;0))</formula>
    </cfRule>
  </conditionalFormatting>
  <conditionalFormatting sqref="K1:K1048576">
    <cfRule type="expression" dxfId="15" priority="1267">
      <formula>AND(SUM(G1)&gt;0,SUM(K1)=0)</formula>
    </cfRule>
  </conditionalFormatting>
  <conditionalFormatting sqref="I1:I1048576">
    <cfRule type="expression" dxfId="14" priority="2151">
      <formula>AND(SUM(F1)&gt;0,SUM(I1)=0)</formula>
    </cfRule>
  </conditionalFormatting>
  <conditionalFormatting sqref="D1:E1048576">
    <cfRule type="expression" dxfId="13" priority="13">
      <formula>AND(ISNUMBER($D1),ROUND($E1,2)&lt;ROUND($D1,2))</formula>
    </cfRule>
  </conditionalFormatting>
  <conditionalFormatting sqref="C1:C1048576 F1:G1048576 L1:L1048576 N1:N1048576 P1:P1048576 R1:R1048576 T1:T1048576 V1:V1048576">
    <cfRule type="expression" dxfId="12" priority="4">
      <formula>AND(ISNUMBER(C1),C1&lt;0)</formula>
    </cfRule>
  </conditionalFormatting>
  <conditionalFormatting sqref="O1:O1048576">
    <cfRule type="expression" dxfId="11" priority="3">
      <formula>AND(ISNUMBER(O1),ROUND(O1,2)&lt;98%)</formula>
    </cfRule>
  </conditionalFormatting>
  <conditionalFormatting sqref="Q1:Q1048576">
    <cfRule type="expression" dxfId="10"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M15" activePane="bottomRight" state="frozen"/>
      <selection pane="topRight"/>
      <selection pane="bottomLeft"/>
      <selection pane="bottomRight" activeCell="V1" sqref="V1:AB1048576"/>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59" customWidth="1"/>
    <col min="7" max="7" width="11.83203125" style="20" customWidth="1"/>
    <col min="8" max="8" width="11.83203125" style="56" customWidth="1"/>
    <col min="9" max="9" width="11.83203125" style="96" customWidth="1"/>
    <col min="10" max="14" width="11.83203125" style="230" customWidth="1"/>
    <col min="15" max="18" width="11.83203125" style="56" customWidth="1"/>
    <col min="19" max="19" width="11.83203125" style="144" customWidth="1"/>
    <col min="20" max="20" width="11.83203125" style="88" customWidth="1"/>
    <col min="21" max="21" width="11.83203125" style="56" customWidth="1"/>
    <col min="22" max="22" width="11.83203125" style="82" customWidth="1"/>
    <col min="23" max="28" width="11.83203125" style="20" customWidth="1"/>
    <col min="29" max="16384" width="10.83203125" style="24"/>
  </cols>
  <sheetData>
    <row r="1" spans="1:28" s="41" customFormat="1" ht="31" customHeight="1" thickBot="1" x14ac:dyDescent="0.35">
      <c r="A1" s="5" t="s">
        <v>39</v>
      </c>
      <c r="B1" s="5"/>
      <c r="C1" s="1"/>
      <c r="D1" s="1"/>
      <c r="E1" s="1"/>
      <c r="F1" s="51" t="s">
        <v>16</v>
      </c>
      <c r="G1" s="29"/>
      <c r="H1" s="51"/>
      <c r="I1" s="94" t="s">
        <v>17</v>
      </c>
      <c r="J1" s="226"/>
      <c r="K1" s="226"/>
      <c r="L1" s="226"/>
      <c r="M1" s="226"/>
      <c r="N1" s="226"/>
      <c r="O1" s="51"/>
      <c r="P1" s="51"/>
      <c r="Q1" s="51"/>
      <c r="R1" s="51"/>
      <c r="S1" s="224" t="s">
        <v>18</v>
      </c>
      <c r="T1" s="114"/>
      <c r="U1" s="51"/>
      <c r="V1" s="91" t="s">
        <v>585</v>
      </c>
      <c r="W1" s="19"/>
      <c r="X1" s="19"/>
      <c r="Y1" s="19"/>
      <c r="Z1" s="19"/>
      <c r="AA1" s="19"/>
      <c r="AB1" s="19"/>
    </row>
    <row r="2" spans="1:28" s="40" customFormat="1" ht="20" customHeight="1" x14ac:dyDescent="0.25">
      <c r="A2" s="428" t="s">
        <v>802</v>
      </c>
      <c r="B2" s="425"/>
      <c r="C2" s="2"/>
      <c r="D2" s="2"/>
      <c r="E2" s="2"/>
      <c r="F2" s="57" t="s">
        <v>73</v>
      </c>
      <c r="G2" s="18" t="s">
        <v>2</v>
      </c>
      <c r="H2" s="52" t="s">
        <v>3</v>
      </c>
      <c r="I2" s="95" t="s">
        <v>73</v>
      </c>
      <c r="J2" s="227" t="s">
        <v>2</v>
      </c>
      <c r="K2" s="227"/>
      <c r="L2" s="227"/>
      <c r="M2" s="227"/>
      <c r="N2" s="227"/>
      <c r="O2" s="52" t="s">
        <v>3</v>
      </c>
      <c r="P2" s="52"/>
      <c r="Q2" s="52"/>
      <c r="R2" s="52"/>
      <c r="S2" s="225" t="s">
        <v>2</v>
      </c>
      <c r="T2" s="115" t="s">
        <v>3</v>
      </c>
      <c r="U2" s="52"/>
      <c r="V2" s="92" t="s">
        <v>59</v>
      </c>
      <c r="W2" s="18"/>
      <c r="X2" s="18"/>
      <c r="Y2" s="18"/>
      <c r="Z2" s="18"/>
      <c r="AA2" s="18"/>
      <c r="AB2" s="18"/>
    </row>
    <row r="3" spans="1:28" ht="117" customHeight="1" thickBot="1" x14ac:dyDescent="0.25">
      <c r="A3" s="426"/>
      <c r="B3" s="427"/>
      <c r="C3" s="31"/>
      <c r="D3" s="31"/>
      <c r="E3" s="31"/>
      <c r="F3" s="121" t="s">
        <v>855</v>
      </c>
      <c r="G3" s="32" t="s">
        <v>722</v>
      </c>
      <c r="H3" s="53" t="s">
        <v>803</v>
      </c>
      <c r="I3" s="120" t="s">
        <v>1027</v>
      </c>
      <c r="J3" s="316" t="s">
        <v>804</v>
      </c>
      <c r="K3" s="228" t="s">
        <v>1028</v>
      </c>
      <c r="L3" s="316" t="s">
        <v>992</v>
      </c>
      <c r="M3" s="228" t="s">
        <v>1146</v>
      </c>
      <c r="N3" s="316" t="s">
        <v>1145</v>
      </c>
      <c r="O3" s="105" t="s">
        <v>276</v>
      </c>
      <c r="P3" s="53" t="s">
        <v>28</v>
      </c>
      <c r="Q3" s="54" t="s">
        <v>29</v>
      </c>
      <c r="R3" s="53" t="s">
        <v>27</v>
      </c>
      <c r="S3" s="315" t="s">
        <v>832</v>
      </c>
      <c r="T3" s="141" t="s">
        <v>33</v>
      </c>
      <c r="U3" s="53" t="s">
        <v>32</v>
      </c>
      <c r="V3" s="237" t="s">
        <v>793</v>
      </c>
      <c r="W3" s="240" t="s">
        <v>797</v>
      </c>
      <c r="X3" s="240" t="s">
        <v>796</v>
      </c>
      <c r="Y3" s="240" t="s">
        <v>805</v>
      </c>
      <c r="Z3" s="240" t="s">
        <v>806</v>
      </c>
      <c r="AA3" s="240" t="s">
        <v>807</v>
      </c>
      <c r="AB3" s="240" t="s">
        <v>798</v>
      </c>
    </row>
    <row r="4" spans="1:28" x14ac:dyDescent="0.2">
      <c r="A4" s="33"/>
      <c r="B4" s="33"/>
      <c r="C4" s="33"/>
      <c r="D4" s="33" t="s">
        <v>4</v>
      </c>
      <c r="E4" s="33"/>
      <c r="F4" s="58">
        <f>SUBTOTAL(109,F$15:INDEX(F:F,COUNTA($B:$B)+14-COUNTA($B$1:$B$14)))</f>
        <v>0</v>
      </c>
      <c r="G4" s="34" t="str">
        <f>IF(SUM($F$4)=0,"",SUM($H$4)/SUM($F$4)-1)</f>
        <v/>
      </c>
      <c r="H4" s="55">
        <f>SUBTOTAL(109,H$15:INDEX(H:H,COUNTA($B:$B)+14-COUNTA($B$1:$B$14)))</f>
        <v>0</v>
      </c>
      <c r="I4" s="104">
        <f>SUBTOTAL(109,I$15:INDEX(I:I,COUNTA($B:$B)+14-COUNTA($B$1:$B$14)))</f>
        <v>0</v>
      </c>
      <c r="J4" s="229" t="str">
        <f>IF(SUM($H$4)=0,"",SUM($O$4)/$H$4)</f>
        <v/>
      </c>
      <c r="K4" s="229"/>
      <c r="L4" s="229" t="str">
        <f>IF(SUM($O$4)=0,"",SUM($P$4)/$O$4)</f>
        <v/>
      </c>
      <c r="M4" s="229"/>
      <c r="N4" s="229" t="str">
        <f>IF(SUM($O$4,$P$4)=0,"",SUM($Q$4)/(SUM($O$4)-SUM($P$4)))</f>
        <v/>
      </c>
      <c r="O4" s="55">
        <f>SUBTOTAL(109,O$15:INDEX($O:$O,COUNTA($B:$B)+14-COUNTA($B$1:$B$14)))</f>
        <v>0</v>
      </c>
      <c r="P4" s="55">
        <f>SUBTOTAL(109,P$15:INDEX(P:P,COUNTA($B:$B)+14-COUNTA($B$1:$B$14)))</f>
        <v>0</v>
      </c>
      <c r="Q4" s="55">
        <f>SUBTOTAL(109,Q$15:INDEX(Q:Q,COUNTA($B:$B)+14-COUNTA($B$1:$B$14)))</f>
        <v>0</v>
      </c>
      <c r="R4" s="55">
        <f>SUBTOTAL(109,R$15:INDEX(R:R,COUNTA($B:$B)+14-COUNTA($B$1:$B$14)))</f>
        <v>0</v>
      </c>
      <c r="S4" s="143" t="str">
        <f>IF(SUM($Q$4)=0,"",SUM($U$4)/$Q$4)</f>
        <v/>
      </c>
      <c r="T4" s="158">
        <f>SUBTOTAL(109,T$15:INDEX(T:T,COUNTA($B:$B)+14-COUNTA($B$1:$B$14)))</f>
        <v>0</v>
      </c>
      <c r="U4" s="55">
        <f>SUBTOTAL(109,U$15:INDEX(U:U,COUNTA($B:$B)+14-COUNTA($B$1:$B$14)))</f>
        <v>0</v>
      </c>
      <c r="V4" s="93">
        <f>SUBTOTAL(109,V$15:INDEX(V:V,COUNTA($B:$B)+14-COUNTA($B$1:$B$14)))</f>
        <v>0</v>
      </c>
      <c r="W4" s="34" t="e">
        <f>$Q$4/$V$4</f>
        <v>#DIV/0!</v>
      </c>
      <c r="X4" s="34"/>
      <c r="Y4" s="34"/>
      <c r="Z4" s="34"/>
      <c r="AA4" s="34"/>
      <c r="AB4" s="34" t="str">
        <f>IF(COUNTIF(AB$15:INDEX(AB:AB,COUNTA($B:$B)+14-COUNTA($B$1:$B$14)),"&lt;0")&gt;0,"Negatives","")</f>
        <v/>
      </c>
    </row>
    <row r="5" spans="1:28" ht="16" customHeight="1" x14ac:dyDescent="0.2">
      <c r="A5" s="26" t="s">
        <v>98</v>
      </c>
      <c r="B5" s="26" t="s">
        <v>98</v>
      </c>
      <c r="C5" s="26" t="s">
        <v>98</v>
      </c>
      <c r="D5" s="26" t="s">
        <v>98</v>
      </c>
      <c r="E5" s="26" t="s">
        <v>98</v>
      </c>
      <c r="F5" s="59" t="s">
        <v>109</v>
      </c>
      <c r="G5" s="20" t="s">
        <v>98</v>
      </c>
      <c r="H5" s="56" t="s">
        <v>109</v>
      </c>
      <c r="I5" s="96" t="s">
        <v>109</v>
      </c>
      <c r="J5" s="230" t="s">
        <v>98</v>
      </c>
      <c r="K5" s="230" t="s">
        <v>98</v>
      </c>
      <c r="L5" s="230" t="s">
        <v>98</v>
      </c>
      <c r="M5" s="230" t="s">
        <v>98</v>
      </c>
      <c r="N5" s="230" t="s">
        <v>98</v>
      </c>
      <c r="O5" s="56" t="s">
        <v>98</v>
      </c>
      <c r="P5" s="56" t="s">
        <v>109</v>
      </c>
      <c r="Q5" s="56" t="s">
        <v>109</v>
      </c>
      <c r="R5" s="56" t="s">
        <v>109</v>
      </c>
      <c r="S5" s="144" t="s">
        <v>98</v>
      </c>
      <c r="T5" s="88" t="s">
        <v>109</v>
      </c>
      <c r="U5" s="56" t="s">
        <v>109</v>
      </c>
      <c r="V5" s="82" t="s">
        <v>98</v>
      </c>
      <c r="W5" s="20" t="s">
        <v>98</v>
      </c>
      <c r="X5" s="20" t="s">
        <v>98</v>
      </c>
      <c r="Y5" s="20" t="s">
        <v>98</v>
      </c>
      <c r="Z5" s="20" t="s">
        <v>98</v>
      </c>
      <c r="AA5" s="20" t="s">
        <v>98</v>
      </c>
      <c r="AB5" s="20" t="s">
        <v>98</v>
      </c>
    </row>
    <row r="6" spans="1:28" ht="16" customHeight="1" x14ac:dyDescent="0.2">
      <c r="A6" s="26" t="s">
        <v>200</v>
      </c>
      <c r="B6" s="26" t="s">
        <v>200</v>
      </c>
      <c r="C6" s="26" t="s">
        <v>200</v>
      </c>
      <c r="D6" s="26" t="s">
        <v>200</v>
      </c>
      <c r="E6" s="26" t="s">
        <v>200</v>
      </c>
      <c r="F6" s="59" t="s">
        <v>110</v>
      </c>
      <c r="G6" s="20" t="s">
        <v>112</v>
      </c>
      <c r="H6" s="56" t="s">
        <v>92</v>
      </c>
      <c r="I6" s="96" t="s">
        <v>110</v>
      </c>
      <c r="J6" s="230" t="s">
        <v>112</v>
      </c>
      <c r="K6" s="230" t="s">
        <v>111</v>
      </c>
      <c r="L6" s="230" t="s">
        <v>112</v>
      </c>
      <c r="M6" s="230" t="s">
        <v>111</v>
      </c>
      <c r="N6" s="230" t="s">
        <v>112</v>
      </c>
      <c r="O6" s="56" t="s">
        <v>93</v>
      </c>
      <c r="P6" s="56" t="s">
        <v>92</v>
      </c>
      <c r="Q6" s="56" t="s">
        <v>92</v>
      </c>
      <c r="R6" s="56" t="s">
        <v>92</v>
      </c>
      <c r="S6" s="144" t="s">
        <v>93</v>
      </c>
      <c r="T6" s="88" t="s">
        <v>92</v>
      </c>
      <c r="U6" s="56" t="s">
        <v>92</v>
      </c>
      <c r="V6" s="82" t="s">
        <v>93</v>
      </c>
      <c r="W6" s="20" t="s">
        <v>93</v>
      </c>
      <c r="X6" s="20" t="s">
        <v>93</v>
      </c>
      <c r="Y6" s="20" t="s">
        <v>93</v>
      </c>
      <c r="Z6" s="20" t="s">
        <v>93</v>
      </c>
      <c r="AA6" s="20" t="s">
        <v>93</v>
      </c>
      <c r="AB6" s="20" t="s">
        <v>93</v>
      </c>
    </row>
    <row r="7" spans="1:28" x14ac:dyDescent="0.2">
      <c r="A7" s="26" t="s">
        <v>108</v>
      </c>
      <c r="B7" s="26" t="s">
        <v>108</v>
      </c>
      <c r="C7" s="26" t="s">
        <v>108</v>
      </c>
      <c r="D7" s="26" t="s">
        <v>108</v>
      </c>
      <c r="E7" s="26" t="s">
        <v>108</v>
      </c>
      <c r="F7" s="59" t="s">
        <v>94</v>
      </c>
      <c r="G7" s="20" t="s">
        <v>95</v>
      </c>
      <c r="H7" s="56" t="s">
        <v>94</v>
      </c>
      <c r="I7" s="96" t="s">
        <v>94</v>
      </c>
      <c r="J7" s="230" t="s">
        <v>95</v>
      </c>
      <c r="K7" s="230" t="s">
        <v>95</v>
      </c>
      <c r="L7" s="230" t="s">
        <v>95</v>
      </c>
      <c r="M7" s="230" t="s">
        <v>95</v>
      </c>
      <c r="N7" s="230" t="s">
        <v>95</v>
      </c>
      <c r="O7" s="56" t="s">
        <v>94</v>
      </c>
      <c r="P7" s="56" t="s">
        <v>94</v>
      </c>
      <c r="Q7" s="56" t="s">
        <v>94</v>
      </c>
      <c r="R7" s="56" t="s">
        <v>94</v>
      </c>
      <c r="S7" s="144" t="s">
        <v>95</v>
      </c>
      <c r="T7" s="88" t="s">
        <v>94</v>
      </c>
      <c r="U7" s="56" t="s">
        <v>94</v>
      </c>
      <c r="V7" s="82" t="s">
        <v>94</v>
      </c>
      <c r="W7" s="20" t="s">
        <v>95</v>
      </c>
      <c r="X7" s="20" t="s">
        <v>95</v>
      </c>
      <c r="Y7" s="20" t="s">
        <v>95</v>
      </c>
      <c r="Z7" s="20" t="s">
        <v>95</v>
      </c>
      <c r="AA7" s="20" t="s">
        <v>95</v>
      </c>
      <c r="AB7" s="20" t="s">
        <v>95</v>
      </c>
    </row>
    <row r="8" spans="1:28" x14ac:dyDescent="0.2">
      <c r="F8" s="275" t="s">
        <v>126</v>
      </c>
      <c r="H8" s="272" t="s">
        <v>126</v>
      </c>
      <c r="I8" s="279" t="s">
        <v>128</v>
      </c>
      <c r="P8" s="272" t="s">
        <v>128</v>
      </c>
      <c r="Q8" s="272" t="s">
        <v>128</v>
      </c>
      <c r="R8" s="272" t="s">
        <v>128</v>
      </c>
      <c r="S8" s="294"/>
      <c r="T8" s="273" t="s">
        <v>264</v>
      </c>
      <c r="U8" s="272" t="s">
        <v>264</v>
      </c>
      <c r="V8" s="196"/>
      <c r="W8" s="295"/>
      <c r="X8" s="295"/>
      <c r="Y8" s="295"/>
      <c r="Z8" s="295"/>
      <c r="AA8" s="295"/>
      <c r="AB8" s="295"/>
    </row>
    <row r="9" spans="1:28" x14ac:dyDescent="0.2">
      <c r="F9" s="275" t="s">
        <v>127</v>
      </c>
      <c r="H9" s="272" t="s">
        <v>127</v>
      </c>
      <c r="I9" s="279" t="s">
        <v>129</v>
      </c>
      <c r="P9" s="272" t="s">
        <v>129</v>
      </c>
      <c r="Q9" s="272" t="s">
        <v>129</v>
      </c>
      <c r="R9" s="272" t="s">
        <v>129</v>
      </c>
      <c r="S9" s="294"/>
      <c r="T9" s="273" t="s">
        <v>265</v>
      </c>
      <c r="U9" s="272" t="s">
        <v>265</v>
      </c>
      <c r="V9" s="196"/>
      <c r="W9" s="295"/>
      <c r="X9" s="295"/>
      <c r="Y9" s="295"/>
      <c r="Z9" s="295"/>
      <c r="AA9" s="295"/>
      <c r="AB9" s="295"/>
    </row>
    <row r="10" spans="1:28" x14ac:dyDescent="0.2">
      <c r="F10" s="275"/>
      <c r="H10" s="272"/>
      <c r="I10" s="279" t="s">
        <v>102</v>
      </c>
      <c r="P10" s="272" t="s">
        <v>101</v>
      </c>
      <c r="Q10" s="272" t="s">
        <v>102</v>
      </c>
      <c r="R10" s="272" t="s">
        <v>103</v>
      </c>
      <c r="T10" s="273" t="s">
        <v>120</v>
      </c>
      <c r="U10" s="272" t="s">
        <v>119</v>
      </c>
    </row>
    <row r="11" spans="1:28" x14ac:dyDescent="0.2">
      <c r="F11" s="59" t="s">
        <v>684</v>
      </c>
      <c r="G11" s="20" t="s">
        <v>684</v>
      </c>
      <c r="H11" s="56" t="s">
        <v>684</v>
      </c>
      <c r="I11" s="96" t="s">
        <v>684</v>
      </c>
      <c r="J11" s="230" t="s">
        <v>684</v>
      </c>
      <c r="K11" s="230" t="s">
        <v>684</v>
      </c>
      <c r="L11" s="230" t="s">
        <v>684</v>
      </c>
      <c r="M11" s="230" t="s">
        <v>684</v>
      </c>
      <c r="N11" s="230" t="s">
        <v>684</v>
      </c>
      <c r="O11" s="56" t="s">
        <v>684</v>
      </c>
      <c r="P11" s="56" t="s">
        <v>684</v>
      </c>
      <c r="Q11" s="56" t="s">
        <v>684</v>
      </c>
      <c r="R11" s="56" t="s">
        <v>684</v>
      </c>
      <c r="S11" s="144" t="s">
        <v>684</v>
      </c>
      <c r="T11" s="88" t="s">
        <v>684</v>
      </c>
      <c r="U11" s="56" t="s">
        <v>684</v>
      </c>
      <c r="V11" s="82" t="s">
        <v>684</v>
      </c>
      <c r="W11" s="20" t="s">
        <v>684</v>
      </c>
      <c r="X11" s="20" t="s">
        <v>684</v>
      </c>
      <c r="Y11" s="20" t="s">
        <v>203</v>
      </c>
      <c r="Z11" s="20" t="s">
        <v>203</v>
      </c>
      <c r="AA11" s="20" t="s">
        <v>205</v>
      </c>
      <c r="AB11" s="20" t="s">
        <v>684</v>
      </c>
    </row>
    <row r="12" spans="1:28" x14ac:dyDescent="0.2">
      <c r="F12" s="59" t="s">
        <v>201</v>
      </c>
      <c r="G12" s="20" t="s">
        <v>201</v>
      </c>
      <c r="H12" s="56" t="s">
        <v>201</v>
      </c>
      <c r="I12" s="96" t="s">
        <v>201</v>
      </c>
      <c r="J12" s="230" t="s">
        <v>201</v>
      </c>
      <c r="K12" s="230" t="s">
        <v>201</v>
      </c>
      <c r="L12" s="230" t="s">
        <v>201</v>
      </c>
      <c r="M12" s="230" t="s">
        <v>201</v>
      </c>
      <c r="N12" s="230" t="s">
        <v>201</v>
      </c>
      <c r="O12" s="56" t="s">
        <v>201</v>
      </c>
      <c r="P12" s="56" t="s">
        <v>201</v>
      </c>
      <c r="Q12" s="56" t="s">
        <v>201</v>
      </c>
      <c r="R12" s="56" t="s">
        <v>201</v>
      </c>
      <c r="S12" s="144" t="s">
        <v>201</v>
      </c>
      <c r="T12" s="88" t="s">
        <v>201</v>
      </c>
      <c r="U12" s="56" t="s">
        <v>201</v>
      </c>
      <c r="V12" s="82" t="s">
        <v>201</v>
      </c>
      <c r="W12" s="20" t="s">
        <v>201</v>
      </c>
      <c r="X12" s="20" t="s">
        <v>201</v>
      </c>
      <c r="Y12" s="20" t="s">
        <v>685</v>
      </c>
      <c r="Z12" s="20" t="s">
        <v>685</v>
      </c>
      <c r="AA12" s="20" t="s">
        <v>686</v>
      </c>
      <c r="AB12" s="20" t="s">
        <v>201</v>
      </c>
    </row>
    <row r="14" spans="1:28" x14ac:dyDescent="0.2">
      <c r="A14" s="38" t="s">
        <v>583</v>
      </c>
      <c r="B14" s="38" t="s">
        <v>5</v>
      </c>
      <c r="C14" s="38" t="s">
        <v>35</v>
      </c>
      <c r="D14" s="38" t="s">
        <v>6</v>
      </c>
      <c r="E14" s="38" t="s">
        <v>75</v>
      </c>
      <c r="F14" s="76" t="s">
        <v>323</v>
      </c>
      <c r="G14" s="192" t="s">
        <v>524</v>
      </c>
      <c r="H14" s="155" t="s">
        <v>324</v>
      </c>
      <c r="I14" s="157" t="s">
        <v>325</v>
      </c>
      <c r="J14" s="192" t="s">
        <v>525</v>
      </c>
      <c r="K14" s="192" t="s">
        <v>710</v>
      </c>
      <c r="L14" s="192" t="s">
        <v>526</v>
      </c>
      <c r="M14" s="192" t="s">
        <v>709</v>
      </c>
      <c r="N14" s="192" t="s">
        <v>527</v>
      </c>
      <c r="O14" s="155" t="s">
        <v>528</v>
      </c>
      <c r="P14" s="155" t="s">
        <v>326</v>
      </c>
      <c r="Q14" s="155" t="s">
        <v>365</v>
      </c>
      <c r="R14" s="155" t="s">
        <v>366</v>
      </c>
      <c r="S14" s="317" t="s">
        <v>530</v>
      </c>
      <c r="T14" s="195" t="s">
        <v>327</v>
      </c>
      <c r="U14" s="155" t="s">
        <v>315</v>
      </c>
      <c r="V14" s="157" t="s">
        <v>513</v>
      </c>
      <c r="W14" s="192" t="s">
        <v>572</v>
      </c>
      <c r="X14" s="192" t="s">
        <v>570</v>
      </c>
      <c r="Y14" s="192" t="s">
        <v>515</v>
      </c>
      <c r="Z14" s="192" t="s">
        <v>514</v>
      </c>
      <c r="AA14" s="192" t="s">
        <v>573</v>
      </c>
      <c r="AB14" s="192" t="s">
        <v>575</v>
      </c>
    </row>
    <row r="15" spans="1:28" x14ac:dyDescent="0.2">
      <c r="E15" s="26" t="str">
        <f>B15&amp;"|"&amp;C15&amp;"|"&amp;D15</f>
        <v>||</v>
      </c>
      <c r="G15" s="20">
        <v>0</v>
      </c>
      <c r="H15" s="56">
        <f>SUM($F15)*(1+$G15)</f>
        <v>0</v>
      </c>
      <c r="J15" s="230">
        <v>1</v>
      </c>
      <c r="L15" s="230" t="str">
        <f>IF(SUM($K15)=0,"",$K15)</f>
        <v/>
      </c>
      <c r="N15" s="230" t="str">
        <f>IF(SUM($M15)=0,"",$M15)</f>
        <v/>
      </c>
      <c r="O15" s="56">
        <f>ROUND($H15*$J15,0)</f>
        <v>0</v>
      </c>
      <c r="P15" s="56">
        <f>IF(SUM($O15)=0,0,ROUND($O15*$L15,0))</f>
        <v>0</v>
      </c>
      <c r="Q15" s="56">
        <f>IF(SUM($O15)=0,0,ROUND(($O15-$P15)*$N15,0))</f>
        <v>0</v>
      </c>
      <c r="R15" s="56">
        <f>IF(SUM($O15)=0,0,$O15-$P15-$Q15)</f>
        <v>0</v>
      </c>
      <c r="S15" s="144" t="str">
        <f>IF(SUM($Q15)=0,"",IFERROR(1/(1/INDEX(Cascade!$BC:$BC,MATCH($E15,Cascade!$E:$E,0))),""))</f>
        <v/>
      </c>
      <c r="T15" s="88">
        <f>$P15</f>
        <v>0</v>
      </c>
      <c r="U15" s="56">
        <f>IF(SUM($Q15)=0,0,ROUND($Q15*$S15,0))</f>
        <v>0</v>
      </c>
      <c r="V15" s="82" t="str">
        <f>_xlfn.IFNA(INDEX(Cascade!$CB:$CB,MATCH($E15,Cascade!$E:$E,0)),"")</f>
        <v/>
      </c>
      <c r="W15" s="20" t="str">
        <f>IF(SUM($Q15)=0,"",$Q15/$V15)</f>
        <v/>
      </c>
      <c r="X15" s="20" t="str">
        <f>_xlfn.IFNA(INDEX(Cascade!$CJ:$CJ,MATCH($E15,Cascade!$E:$E,0)),"")</f>
        <v/>
      </c>
      <c r="Y15" s="20" t="str">
        <f>_xlfn.IFNA(INDEX(Cascade!$CK:$CK,MATCH($E15,Cascade!$E:$E,0)),"")</f>
        <v/>
      </c>
      <c r="Z15" s="20" t="str">
        <f>_xlfn.IFNA(INDEX(Cascade!$CL:$CL,MATCH($E15,Cascade!$E:$E,0)),"")</f>
        <v/>
      </c>
      <c r="AA15" s="20" t="str">
        <f>_xlfn.IFNA(INDEX(Cascade!$CN:$CN,MATCH($E15,Cascade!$E:$E,0)),"")</f>
        <v/>
      </c>
      <c r="AB15" s="20" t="str">
        <f>_xlfn.IFNA(INDEX(Cascade!$CP:$CP,MATCH($E15,Cascade!$E:$E,0)),"")</f>
        <v/>
      </c>
    </row>
  </sheetData>
  <mergeCells count="1">
    <mergeCell ref="A2:B3"/>
  </mergeCells>
  <conditionalFormatting sqref="G1:G1048576">
    <cfRule type="expression" dxfId="151" priority="20">
      <formula>AND(ISNUMBER(G1),G1&lt;&gt;0)</formula>
    </cfRule>
  </conditionalFormatting>
  <conditionalFormatting sqref="Q1:Q1048576">
    <cfRule type="expression" dxfId="150" priority="672">
      <formula>AND(ISNUMBER($Q1),ROUND(SUM($Q1),2)&gt;ROUND(SUM($I1),2))</formula>
    </cfRule>
  </conditionalFormatting>
  <conditionalFormatting sqref="J1:J1048576">
    <cfRule type="expression" dxfId="149" priority="4">
      <formula>AND(ISNUMBER($J1),SUM($J1)&lt;1)</formula>
    </cfRule>
  </conditionalFormatting>
  <conditionalFormatting sqref="S1:S1048576">
    <cfRule type="expression" dxfId="148" priority="687">
      <formula>AND(ISNUMBER(S1),S1&lt;0.95)</formula>
    </cfRule>
  </conditionalFormatting>
  <conditionalFormatting sqref="Y1:Z1048576">
    <cfRule type="expression" dxfId="147" priority="11">
      <formula>AND(ROW(Y1)&gt;14,$B1&lt;&gt;"",$D1&lt;&gt;"Female")</formula>
    </cfRule>
    <cfRule type="expression" dxfId="146" priority="12">
      <formula>AND(ROW(Y1)&gt;14,$B1&lt;&gt;"",OR($C1="&lt;01",$C1="01-04",$C1="05-09"))</formula>
    </cfRule>
  </conditionalFormatting>
  <conditionalFormatting sqref="AA1:AA1048576">
    <cfRule type="expression" dxfId="145" priority="9">
      <formula>AND(ROW(AA1)&gt;14,$B1&lt;&gt;"",OR($C1="&lt;01",$C1="01-04",$C1="05-09",$C1="10-14"))</formula>
    </cfRule>
    <cfRule type="expression" dxfId="144" priority="10">
      <formula>AND(ROW(AA1)&gt;14,$B1&lt;&gt;"",$D1&lt;&gt;"Male")</formula>
    </cfRule>
  </conditionalFormatting>
  <conditionalFormatting sqref="V1:AB1048576">
    <cfRule type="expression" dxfId="137" priority="2">
      <formula>AND(ROW($AB1)&gt;14,ROUND($AB1,2)&lt;0)</formula>
    </cfRule>
    <cfRule type="expression" dxfId="136" priority="8">
      <formula>AND(ROW($AB1)&gt;14,ISERROR($AB1))</formula>
    </cfRule>
  </conditionalFormatting>
  <conditionalFormatting sqref="J1:N1048576 S1:S1048576 W1:AB1048576">
    <cfRule type="expression" dxfId="143" priority="1">
      <formula>AND(ISNUMBER(J1),OR(ROUND(J1,2)&gt;1,ROUND(J1,2)&lt;0))</formula>
    </cfRule>
  </conditionalFormatting>
  <conditionalFormatting sqref="N1:N1048576">
    <cfRule type="expression" dxfId="142" priority="14">
      <formula>AND(ROW($N1)&gt;14,$N1="",SUM($O1)&gt;0)</formula>
    </cfRule>
    <cfRule type="expression" dxfId="141" priority="15">
      <formula>AND(ISNUMBER($N1),SUM($N1)&gt;10%)</formula>
    </cfRule>
  </conditionalFormatting>
  <conditionalFormatting sqref="L1:L1048576">
    <cfRule type="expression" dxfId="140" priority="5">
      <formula>AND(ROW($L1)&gt;14,$L1="",SUM($O1)&gt;0)</formula>
    </cfRule>
    <cfRule type="expression" dxfId="139" priority="7">
      <formula>AND(ISNUMBER($L1),ROUND(SUM($L1),2)&gt;=0.75)</formula>
    </cfRule>
  </conditionalFormatting>
  <conditionalFormatting sqref="F1:F1048576 H1:I1048576 O1:R1048576 T1:U1048576">
    <cfRule type="expression" dxfId="138"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W15" activePane="bottomRight" state="frozen"/>
      <selection pane="topRight"/>
      <selection pane="bottomLeft"/>
      <selection pane="bottomRight" activeCell="AG15" sqref="AG15"/>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7" width="11.83203125" style="56" customWidth="1"/>
    <col min="8" max="8" width="11.83203125" style="314" customWidth="1"/>
    <col min="9" max="9" width="11.83203125" style="56" customWidth="1"/>
    <col min="10" max="11" width="11.83203125" style="314" customWidth="1"/>
    <col min="12" max="12" width="11.83203125" style="88" customWidth="1"/>
    <col min="13" max="13" width="11.83203125" style="56" customWidth="1"/>
    <col min="14" max="15" width="11.83203125" style="20" customWidth="1"/>
    <col min="16" max="17" width="11.83203125" style="68" customWidth="1"/>
    <col min="18" max="18" width="11.83203125" style="106" customWidth="1"/>
    <col min="19" max="19" width="11.83203125" style="59" customWidth="1"/>
    <col min="20" max="26" width="11.83203125" style="191" customWidth="1"/>
    <col min="27" max="30" width="11.83203125" style="56" customWidth="1"/>
    <col min="31" max="31" width="11.83203125" style="376" customWidth="1"/>
    <col min="32" max="32" width="11.83203125" style="56" customWidth="1"/>
    <col min="33" max="33" width="11.83203125" style="82" customWidth="1"/>
    <col min="34" max="34" width="11.83203125" style="230" customWidth="1"/>
    <col min="35" max="37" width="11.83203125" style="255" customWidth="1"/>
    <col min="38" max="16384" width="10.83203125" style="24"/>
  </cols>
  <sheetData>
    <row r="1" spans="1:37" s="41" customFormat="1" ht="31" customHeight="1" thickBot="1" x14ac:dyDescent="0.35">
      <c r="A1" s="5" t="s">
        <v>8</v>
      </c>
      <c r="B1" s="5"/>
      <c r="C1" s="1"/>
      <c r="D1" s="1"/>
      <c r="E1" s="1"/>
      <c r="F1" s="91" t="s">
        <v>45</v>
      </c>
      <c r="G1" s="114"/>
      <c r="H1" s="226"/>
      <c r="I1" s="114"/>
      <c r="J1" s="226"/>
      <c r="K1" s="19"/>
      <c r="L1" s="114"/>
      <c r="M1" s="51"/>
      <c r="N1" s="29"/>
      <c r="O1" s="29"/>
      <c r="P1" s="64"/>
      <c r="Q1" s="64"/>
      <c r="R1" s="91" t="s">
        <v>21</v>
      </c>
      <c r="S1" s="61"/>
      <c r="T1" s="19"/>
      <c r="U1" s="19"/>
      <c r="V1" s="19"/>
      <c r="W1" s="19"/>
      <c r="X1" s="19"/>
      <c r="Y1" s="19"/>
      <c r="Z1" s="19"/>
      <c r="AA1" s="51"/>
      <c r="AB1" s="51"/>
      <c r="AC1" s="51"/>
      <c r="AD1" s="51"/>
      <c r="AE1" s="224" t="s">
        <v>995</v>
      </c>
      <c r="AF1" s="51"/>
      <c r="AG1" s="91" t="s">
        <v>585</v>
      </c>
      <c r="AH1" s="319"/>
      <c r="AI1" s="319"/>
      <c r="AJ1" s="319"/>
      <c r="AK1" s="319"/>
    </row>
    <row r="2" spans="1:37" s="40" customFormat="1" ht="19" customHeight="1" x14ac:dyDescent="0.25">
      <c r="A2" s="428" t="s">
        <v>756</v>
      </c>
      <c r="B2" s="425"/>
      <c r="C2" s="2"/>
      <c r="D2" s="2"/>
      <c r="E2" s="2"/>
      <c r="F2" s="92" t="s">
        <v>73</v>
      </c>
      <c r="G2" s="138"/>
      <c r="H2" s="227"/>
      <c r="I2" s="138"/>
      <c r="J2" s="227"/>
      <c r="K2" s="18"/>
      <c r="L2" s="115"/>
      <c r="M2" s="52"/>
      <c r="N2" s="18"/>
      <c r="O2" s="18" t="s">
        <v>2</v>
      </c>
      <c r="P2" s="65" t="s">
        <v>3</v>
      </c>
      <c r="Q2" s="65"/>
      <c r="R2" s="92" t="s">
        <v>73</v>
      </c>
      <c r="S2" s="57"/>
      <c r="T2" s="18"/>
      <c r="U2" s="18" t="s">
        <v>2</v>
      </c>
      <c r="V2" s="18" t="s">
        <v>1152</v>
      </c>
      <c r="W2" s="18"/>
      <c r="X2" s="18"/>
      <c r="Y2" s="18"/>
      <c r="Z2" s="18"/>
      <c r="AA2" s="52" t="s">
        <v>3</v>
      </c>
      <c r="AB2" s="52"/>
      <c r="AC2" s="52"/>
      <c r="AD2" s="52"/>
      <c r="AE2" s="225" t="s">
        <v>73</v>
      </c>
      <c r="AF2" s="52"/>
      <c r="AG2" s="92" t="s">
        <v>59</v>
      </c>
      <c r="AH2" s="227"/>
      <c r="AI2" s="227"/>
      <c r="AJ2" s="227"/>
      <c r="AK2" s="227"/>
    </row>
    <row r="3" spans="1:37" ht="117" customHeight="1" thickBot="1" x14ac:dyDescent="0.25">
      <c r="A3" s="426"/>
      <c r="B3" s="427"/>
      <c r="C3" s="31"/>
      <c r="D3" s="31"/>
      <c r="E3" s="31"/>
      <c r="F3" s="238" t="s">
        <v>812</v>
      </c>
      <c r="G3" s="238" t="s">
        <v>602</v>
      </c>
      <c r="H3" s="240" t="s">
        <v>777</v>
      </c>
      <c r="I3" s="238" t="s">
        <v>778</v>
      </c>
      <c r="J3" s="240" t="s">
        <v>800</v>
      </c>
      <c r="K3" s="240" t="s">
        <v>1082</v>
      </c>
      <c r="L3" s="194" t="s">
        <v>813</v>
      </c>
      <c r="M3" s="194" t="s">
        <v>814</v>
      </c>
      <c r="N3" s="299" t="s">
        <v>815</v>
      </c>
      <c r="O3" s="32" t="s">
        <v>808</v>
      </c>
      <c r="P3" s="66" t="s">
        <v>809</v>
      </c>
      <c r="Q3" s="66" t="s">
        <v>810</v>
      </c>
      <c r="R3" s="128" t="s">
        <v>1030</v>
      </c>
      <c r="S3" s="121" t="s">
        <v>1029</v>
      </c>
      <c r="T3" s="299" t="s">
        <v>993</v>
      </c>
      <c r="U3" s="187" t="s">
        <v>1151</v>
      </c>
      <c r="V3" s="187" t="s">
        <v>1063</v>
      </c>
      <c r="W3" s="299" t="s">
        <v>1031</v>
      </c>
      <c r="X3" s="187" t="s">
        <v>994</v>
      </c>
      <c r="Y3" s="299" t="s">
        <v>1149</v>
      </c>
      <c r="Z3" s="187" t="s">
        <v>1145</v>
      </c>
      <c r="AA3" s="53" t="s">
        <v>208</v>
      </c>
      <c r="AB3" s="53" t="s">
        <v>272</v>
      </c>
      <c r="AC3" s="54" t="s">
        <v>270</v>
      </c>
      <c r="AD3" s="53" t="s">
        <v>271</v>
      </c>
      <c r="AE3" s="315" t="s">
        <v>832</v>
      </c>
      <c r="AF3" s="53" t="s">
        <v>71</v>
      </c>
      <c r="AG3" s="237" t="s">
        <v>793</v>
      </c>
      <c r="AH3" s="242" t="s">
        <v>811</v>
      </c>
      <c r="AI3" s="242" t="s">
        <v>796</v>
      </c>
      <c r="AJ3" s="242" t="s">
        <v>797</v>
      </c>
      <c r="AK3" s="242" t="s">
        <v>798</v>
      </c>
    </row>
    <row r="4" spans="1:37" x14ac:dyDescent="0.2">
      <c r="A4" s="33"/>
      <c r="B4" s="33"/>
      <c r="C4" s="33"/>
      <c r="D4" s="33" t="s">
        <v>4</v>
      </c>
      <c r="E4" s="33"/>
      <c r="F4" s="58">
        <f>SUBTOTAL(109,F$15:INDEX(F:F,COUNTA($B:$B)+14-COUNTA($B$1:$B$14)))</f>
        <v>0</v>
      </c>
      <c r="G4" s="73">
        <f>SUBTOTAL(109,G$15:INDEX(G:G,COUNTA($B:$B)+14-COUNTA($B$1:$B$14)))</f>
        <v>0</v>
      </c>
      <c r="H4" s="311" t="str">
        <f>IF(SUM($F$4)=0,"",SUM($G$4)/$F$4)</f>
        <v/>
      </c>
      <c r="I4" s="73">
        <f>SUBTOTAL(109,I$15:INDEX(I:I,COUNTA($B:$B)+14-COUNTA($B$1:$B$14)))</f>
        <v>0</v>
      </c>
      <c r="J4" s="311" t="str">
        <f>IF(SUM($G$4)=0,"",SUM($I$4)/$G$4)</f>
        <v/>
      </c>
      <c r="K4" s="34"/>
      <c r="L4" s="158">
        <f>SUBTOTAL(109,L$15:INDEX(L:L,COUNTA($B:$B)+14-COUNTA($B$1:$B$14)))</f>
        <v>0</v>
      </c>
      <c r="M4" s="158">
        <f>SUBTOTAL(109,M$15:INDEX(M:M,COUNTA($B:$B)+14-COUNTA($B$1:$B$14)))</f>
        <v>0</v>
      </c>
      <c r="N4" s="34" t="str">
        <f>IF($F$4=0,"",$M$4/$F$4)</f>
        <v/>
      </c>
      <c r="O4" s="34" t="str">
        <f>IF($F$4=0,"",$P$4/$F$4)</f>
        <v/>
      </c>
      <c r="P4" s="67">
        <f>SUBTOTAL(109,P$15:INDEX(P:P,COUNTA($B:$B)+14-COUNTA($B$1:$B$14)))</f>
        <v>0</v>
      </c>
      <c r="Q4" s="67">
        <f>SUBTOTAL(109,Q$15:INDEX(Q:Q,COUNTA($B:$B)+14-COUNTA($B$1:$B$14)))</f>
        <v>0</v>
      </c>
      <c r="R4" s="93">
        <f>SUBTOTAL(109,R$15:INDEX(R:R,COUNTA($B:$B)+14-COUNTA($B$1:$B$14)))</f>
        <v>0</v>
      </c>
      <c r="S4" s="58">
        <f>SUBTOTAL(109,S$15:INDEX(S:S,COUNTA($B:$B)+14-COUNTA($B$1:$B$14)))</f>
        <v>0</v>
      </c>
      <c r="T4" s="189" t="str">
        <f>IF($L$4=0,"",$S$4/$L$4)</f>
        <v/>
      </c>
      <c r="U4" s="189" t="str">
        <f>IF($Q$4=0,"",$AA$4/$Q$4)</f>
        <v/>
      </c>
      <c r="V4" s="189"/>
      <c r="W4" s="189"/>
      <c r="X4" s="189" t="str">
        <f>IF($AA$4=0,"",$AB$4/$AA$4)</f>
        <v/>
      </c>
      <c r="Y4" s="189"/>
      <c r="Z4" s="189" t="str">
        <f>IF(SUM($AA$4,$AB$4)=0,"",SUM($AC$4)/(SUM($AA$4)-SUM($AB$4)))</f>
        <v/>
      </c>
      <c r="AA4" s="55">
        <f>SUBTOTAL(109,AA$15:INDEX(AA:AA,COUNTA($B:$B)+14-COUNTA($B$1:$B$14)))</f>
        <v>0</v>
      </c>
      <c r="AB4" s="55">
        <f>SUBTOTAL(109,AB$15:INDEX(AB:AB,COUNTA($B:$B)+14-COUNTA($B$1:$B$14)))</f>
        <v>0</v>
      </c>
      <c r="AC4" s="55">
        <f>SUBTOTAL(109,AC$15:INDEX(AC:AC,COUNTA($B:$B)+14-COUNTA($B$1:$B$14)))</f>
        <v>0</v>
      </c>
      <c r="AD4" s="55">
        <f>SUBTOTAL(109,AD$15:INDEX(AD:AD,COUNTA($B:$B)+14-COUNTA($B$1:$B$14)))</f>
        <v>0</v>
      </c>
      <c r="AE4" s="143" t="str">
        <f>IF($AC$4=0,"",$AF$4/$AC$4)</f>
        <v/>
      </c>
      <c r="AF4" s="55">
        <f>SUBTOTAL(109,AF$15:INDEX(AF:AF,COUNTA($B:$B)+14-COUNTA($B$1:$B$14)))</f>
        <v>0</v>
      </c>
      <c r="AG4" s="58">
        <f>SUBTOTAL(109,AG$15:INDEX(AG:AG,COUNTA($B:$B)+14-COUNTA($B$1:$B$14)))</f>
        <v>0</v>
      </c>
      <c r="AH4" s="321" t="e">
        <f>$AC$4/$AG$4</f>
        <v>#DIV/0!</v>
      </c>
      <c r="AI4" s="321"/>
      <c r="AJ4" s="321"/>
      <c r="AK4" s="321" t="str">
        <f>IF(COUNTIF(AK$15:INDEX(AK:AK,COUNTA($B:$B)+14-COUNTA($B$1:$B$14)),"&lt;0")&gt;0,"Negatives","")</f>
        <v/>
      </c>
    </row>
    <row r="5" spans="1:37" x14ac:dyDescent="0.2">
      <c r="A5" s="26" t="s">
        <v>98</v>
      </c>
      <c r="B5" s="26" t="s">
        <v>98</v>
      </c>
      <c r="C5" s="26" t="s">
        <v>98</v>
      </c>
      <c r="D5" s="26" t="s">
        <v>98</v>
      </c>
      <c r="E5" s="26" t="s">
        <v>98</v>
      </c>
      <c r="F5" s="59" t="s">
        <v>98</v>
      </c>
      <c r="G5" s="59" t="s">
        <v>98</v>
      </c>
      <c r="H5" s="20" t="s">
        <v>98</v>
      </c>
      <c r="I5" s="59" t="s">
        <v>98</v>
      </c>
      <c r="J5" s="20" t="s">
        <v>98</v>
      </c>
      <c r="K5" s="152" t="s">
        <v>98</v>
      </c>
      <c r="L5" s="88" t="s">
        <v>107</v>
      </c>
      <c r="M5" s="88" t="s">
        <v>107</v>
      </c>
      <c r="N5" s="20" t="s">
        <v>98</v>
      </c>
      <c r="O5" s="20" t="s">
        <v>98</v>
      </c>
      <c r="P5" s="68" t="s">
        <v>107</v>
      </c>
      <c r="Q5" s="68" t="s">
        <v>107</v>
      </c>
      <c r="R5" s="82" t="s">
        <v>109</v>
      </c>
      <c r="S5" s="59" t="s">
        <v>109</v>
      </c>
      <c r="T5" s="191" t="s">
        <v>98</v>
      </c>
      <c r="U5" s="191" t="s">
        <v>98</v>
      </c>
      <c r="V5" s="191" t="s">
        <v>98</v>
      </c>
      <c r="W5" s="191" t="s">
        <v>98</v>
      </c>
      <c r="X5" s="191" t="s">
        <v>98</v>
      </c>
      <c r="Y5" s="191" t="s">
        <v>98</v>
      </c>
      <c r="Z5" s="191" t="s">
        <v>98</v>
      </c>
      <c r="AA5" s="56" t="s">
        <v>98</v>
      </c>
      <c r="AB5" s="56" t="s">
        <v>109</v>
      </c>
      <c r="AC5" s="56" t="s">
        <v>109</v>
      </c>
      <c r="AD5" s="56" t="s">
        <v>109</v>
      </c>
      <c r="AE5" s="144" t="s">
        <v>98</v>
      </c>
      <c r="AF5" s="56" t="s">
        <v>98</v>
      </c>
      <c r="AG5" s="82" t="s">
        <v>98</v>
      </c>
      <c r="AH5" s="230" t="s">
        <v>98</v>
      </c>
      <c r="AI5" s="255" t="s">
        <v>98</v>
      </c>
      <c r="AJ5" s="255" t="s">
        <v>98</v>
      </c>
      <c r="AK5" s="255" t="s">
        <v>98</v>
      </c>
    </row>
    <row r="6" spans="1:37" x14ac:dyDescent="0.2">
      <c r="A6" s="26" t="s">
        <v>200</v>
      </c>
      <c r="B6" s="26" t="s">
        <v>200</v>
      </c>
      <c r="C6" s="26" t="s">
        <v>200</v>
      </c>
      <c r="D6" s="26" t="s">
        <v>200</v>
      </c>
      <c r="E6" s="26" t="s">
        <v>200</v>
      </c>
      <c r="F6" s="59" t="s">
        <v>93</v>
      </c>
      <c r="G6" s="59" t="s">
        <v>93</v>
      </c>
      <c r="H6" s="20" t="s">
        <v>93</v>
      </c>
      <c r="I6" s="59" t="s">
        <v>93</v>
      </c>
      <c r="J6" s="20" t="s">
        <v>93</v>
      </c>
      <c r="K6" s="35" t="s">
        <v>93</v>
      </c>
      <c r="L6" s="88" t="s">
        <v>92</v>
      </c>
      <c r="M6" s="88" t="s">
        <v>92</v>
      </c>
      <c r="N6" s="20" t="s">
        <v>93</v>
      </c>
      <c r="O6" s="20" t="s">
        <v>112</v>
      </c>
      <c r="P6" s="68" t="s">
        <v>92</v>
      </c>
      <c r="Q6" s="68" t="s">
        <v>92</v>
      </c>
      <c r="R6" s="82" t="s">
        <v>110</v>
      </c>
      <c r="S6" s="59" t="s">
        <v>110</v>
      </c>
      <c r="T6" s="191" t="s">
        <v>93</v>
      </c>
      <c r="U6" s="191" t="s">
        <v>112</v>
      </c>
      <c r="V6" s="191" t="s">
        <v>112</v>
      </c>
      <c r="W6" s="191" t="s">
        <v>111</v>
      </c>
      <c r="X6" s="191" t="s">
        <v>112</v>
      </c>
      <c r="Y6" s="191" t="s">
        <v>111</v>
      </c>
      <c r="Z6" s="191" t="s">
        <v>112</v>
      </c>
      <c r="AA6" s="56" t="s">
        <v>93</v>
      </c>
      <c r="AB6" s="56" t="s">
        <v>92</v>
      </c>
      <c r="AC6" s="56" t="s">
        <v>92</v>
      </c>
      <c r="AD6" s="56" t="s">
        <v>92</v>
      </c>
      <c r="AE6" s="144" t="s">
        <v>93</v>
      </c>
      <c r="AF6" s="56" t="s">
        <v>93</v>
      </c>
      <c r="AG6" s="82" t="s">
        <v>93</v>
      </c>
      <c r="AH6" s="230" t="s">
        <v>93</v>
      </c>
      <c r="AI6" s="255" t="s">
        <v>93</v>
      </c>
      <c r="AJ6" s="255" t="s">
        <v>93</v>
      </c>
      <c r="AK6" s="255" t="s">
        <v>93</v>
      </c>
    </row>
    <row r="7" spans="1:37" x14ac:dyDescent="0.2">
      <c r="A7" s="26" t="s">
        <v>108</v>
      </c>
      <c r="B7" s="26" t="s">
        <v>108</v>
      </c>
      <c r="C7" s="26" t="s">
        <v>108</v>
      </c>
      <c r="D7" s="26" t="s">
        <v>108</v>
      </c>
      <c r="E7" s="26" t="s">
        <v>108</v>
      </c>
      <c r="F7" s="59" t="s">
        <v>94</v>
      </c>
      <c r="G7" s="59" t="s">
        <v>94</v>
      </c>
      <c r="H7" s="20" t="s">
        <v>95</v>
      </c>
      <c r="I7" s="59" t="s">
        <v>94</v>
      </c>
      <c r="J7" s="20" t="s">
        <v>95</v>
      </c>
      <c r="K7" s="35" t="s">
        <v>95</v>
      </c>
      <c r="L7" s="88" t="s">
        <v>94</v>
      </c>
      <c r="M7" s="88" t="s">
        <v>94</v>
      </c>
      <c r="N7" s="20" t="s">
        <v>95</v>
      </c>
      <c r="O7" s="20" t="s">
        <v>95</v>
      </c>
      <c r="P7" s="68" t="s">
        <v>94</v>
      </c>
      <c r="Q7" s="68" t="s">
        <v>94</v>
      </c>
      <c r="R7" s="82" t="s">
        <v>94</v>
      </c>
      <c r="S7" s="59" t="s">
        <v>94</v>
      </c>
      <c r="T7" s="191" t="s">
        <v>95</v>
      </c>
      <c r="U7" s="191" t="s">
        <v>95</v>
      </c>
      <c r="V7" s="191" t="s">
        <v>95</v>
      </c>
      <c r="W7" s="191" t="s">
        <v>95</v>
      </c>
      <c r="X7" s="191" t="s">
        <v>95</v>
      </c>
      <c r="Y7" s="191" t="s">
        <v>95</v>
      </c>
      <c r="Z7" s="191" t="s">
        <v>95</v>
      </c>
      <c r="AA7" s="56" t="s">
        <v>94</v>
      </c>
      <c r="AB7" s="56" t="s">
        <v>94</v>
      </c>
      <c r="AC7" s="56" t="s">
        <v>94</v>
      </c>
      <c r="AD7" s="56" t="s">
        <v>94</v>
      </c>
      <c r="AE7" s="144" t="s">
        <v>95</v>
      </c>
      <c r="AF7" s="56" t="s">
        <v>94</v>
      </c>
      <c r="AG7" s="82" t="s">
        <v>94</v>
      </c>
      <c r="AH7" s="230" t="s">
        <v>95</v>
      </c>
      <c r="AI7" s="255" t="s">
        <v>95</v>
      </c>
      <c r="AJ7" s="255" t="s">
        <v>95</v>
      </c>
      <c r="AK7" s="255" t="s">
        <v>95</v>
      </c>
    </row>
    <row r="8" spans="1:37" x14ac:dyDescent="0.2">
      <c r="F8" s="59"/>
      <c r="G8" s="59"/>
      <c r="H8" s="20"/>
      <c r="I8" s="59"/>
      <c r="J8" s="20"/>
      <c r="K8" s="35"/>
      <c r="L8" s="273" t="s">
        <v>130</v>
      </c>
      <c r="M8" s="273" t="s">
        <v>131</v>
      </c>
      <c r="P8" s="276" t="s">
        <v>131</v>
      </c>
      <c r="Q8" s="276" t="s">
        <v>130</v>
      </c>
      <c r="R8" s="277" t="s">
        <v>597</v>
      </c>
      <c r="S8" s="275" t="s">
        <v>132</v>
      </c>
      <c r="AB8" s="272" t="s">
        <v>132</v>
      </c>
      <c r="AC8" s="272" t="s">
        <v>132</v>
      </c>
      <c r="AD8" s="272" t="s">
        <v>132</v>
      </c>
      <c r="AE8" s="144"/>
    </row>
    <row r="9" spans="1:37" x14ac:dyDescent="0.2">
      <c r="F9" s="59"/>
      <c r="G9" s="59"/>
      <c r="H9" s="20"/>
      <c r="I9" s="59"/>
      <c r="J9" s="20"/>
      <c r="K9" s="35"/>
      <c r="L9" s="273"/>
      <c r="M9" s="273"/>
      <c r="P9" s="276"/>
      <c r="Q9" s="276"/>
      <c r="R9" s="277" t="s">
        <v>598</v>
      </c>
      <c r="S9" s="275" t="s">
        <v>133</v>
      </c>
      <c r="AB9" s="272" t="s">
        <v>133</v>
      </c>
      <c r="AC9" s="272" t="s">
        <v>133</v>
      </c>
      <c r="AD9" s="272" t="s">
        <v>133</v>
      </c>
      <c r="AE9" s="144"/>
    </row>
    <row r="10" spans="1:37" x14ac:dyDescent="0.2">
      <c r="F10" s="59"/>
      <c r="G10" s="59"/>
      <c r="H10" s="20"/>
      <c r="I10" s="59"/>
      <c r="J10" s="20"/>
      <c r="K10" s="35"/>
      <c r="L10" s="273"/>
      <c r="M10" s="273"/>
      <c r="P10" s="276"/>
      <c r="Q10" s="276"/>
      <c r="R10" s="277"/>
      <c r="S10" s="275"/>
      <c r="AB10" s="272" t="s">
        <v>134</v>
      </c>
      <c r="AC10" s="272" t="s">
        <v>104</v>
      </c>
      <c r="AD10" s="272" t="s">
        <v>121</v>
      </c>
      <c r="AE10" s="144"/>
    </row>
    <row r="11" spans="1:37" x14ac:dyDescent="0.2">
      <c r="F11" s="59" t="s">
        <v>205</v>
      </c>
      <c r="G11" s="59" t="s">
        <v>205</v>
      </c>
      <c r="H11" s="20" t="s">
        <v>205</v>
      </c>
      <c r="I11" s="59" t="s">
        <v>205</v>
      </c>
      <c r="J11" s="20" t="s">
        <v>205</v>
      </c>
      <c r="K11" s="20" t="s">
        <v>205</v>
      </c>
      <c r="L11" s="88" t="s">
        <v>205</v>
      </c>
      <c r="M11" s="88" t="s">
        <v>205</v>
      </c>
      <c r="N11" s="20" t="s">
        <v>205</v>
      </c>
      <c r="O11" s="35" t="s">
        <v>205</v>
      </c>
      <c r="P11" s="68" t="s">
        <v>205</v>
      </c>
      <c r="Q11" s="68" t="s">
        <v>205</v>
      </c>
      <c r="R11" s="82" t="s">
        <v>205</v>
      </c>
      <c r="S11" s="59" t="s">
        <v>205</v>
      </c>
      <c r="T11" s="191" t="s">
        <v>205</v>
      </c>
      <c r="U11" s="191" t="s">
        <v>205</v>
      </c>
      <c r="V11" s="191" t="s">
        <v>205</v>
      </c>
      <c r="W11" s="191" t="s">
        <v>205</v>
      </c>
      <c r="X11" s="191" t="s">
        <v>205</v>
      </c>
      <c r="Y11" s="191" t="s">
        <v>205</v>
      </c>
      <c r="Z11" s="191" t="s">
        <v>205</v>
      </c>
      <c r="AA11" s="56" t="s">
        <v>205</v>
      </c>
      <c r="AB11" s="56" t="s">
        <v>205</v>
      </c>
      <c r="AC11" s="56" t="s">
        <v>205</v>
      </c>
      <c r="AD11" s="56" t="s">
        <v>205</v>
      </c>
      <c r="AE11" s="301" t="s">
        <v>205</v>
      </c>
      <c r="AF11" s="56" t="s">
        <v>205</v>
      </c>
      <c r="AG11" s="82" t="s">
        <v>205</v>
      </c>
      <c r="AH11" s="230" t="s">
        <v>205</v>
      </c>
      <c r="AI11" s="255" t="s">
        <v>205</v>
      </c>
      <c r="AJ11" s="255" t="s">
        <v>205</v>
      </c>
      <c r="AK11" s="255" t="s">
        <v>205</v>
      </c>
    </row>
    <row r="12" spans="1:37" x14ac:dyDescent="0.2">
      <c r="F12" s="59" t="s">
        <v>686</v>
      </c>
      <c r="G12" s="59" t="s">
        <v>686</v>
      </c>
      <c r="H12" s="20" t="s">
        <v>686</v>
      </c>
      <c r="I12" s="59" t="s">
        <v>686</v>
      </c>
      <c r="J12" s="20" t="s">
        <v>686</v>
      </c>
      <c r="K12" s="20" t="s">
        <v>686</v>
      </c>
      <c r="L12" s="88" t="s">
        <v>686</v>
      </c>
      <c r="M12" s="88" t="s">
        <v>686</v>
      </c>
      <c r="N12" s="20" t="s">
        <v>686</v>
      </c>
      <c r="O12" s="20" t="s">
        <v>686</v>
      </c>
      <c r="P12" s="68" t="s">
        <v>686</v>
      </c>
      <c r="Q12" s="68" t="s">
        <v>686</v>
      </c>
      <c r="R12" s="82" t="s">
        <v>686</v>
      </c>
      <c r="S12" s="59" t="s">
        <v>686</v>
      </c>
      <c r="T12" s="191" t="s">
        <v>686</v>
      </c>
      <c r="U12" s="191" t="s">
        <v>686</v>
      </c>
      <c r="V12" s="191" t="s">
        <v>686</v>
      </c>
      <c r="W12" s="191" t="s">
        <v>686</v>
      </c>
      <c r="X12" s="191" t="s">
        <v>686</v>
      </c>
      <c r="Y12" s="191" t="s">
        <v>686</v>
      </c>
      <c r="Z12" s="191" t="s">
        <v>686</v>
      </c>
      <c r="AA12" s="56" t="s">
        <v>686</v>
      </c>
      <c r="AB12" s="56" t="s">
        <v>686</v>
      </c>
      <c r="AC12" s="56" t="s">
        <v>686</v>
      </c>
      <c r="AD12" s="56" t="s">
        <v>686</v>
      </c>
      <c r="AE12" s="144" t="s">
        <v>686</v>
      </c>
      <c r="AF12" s="56" t="s">
        <v>686</v>
      </c>
      <c r="AG12" s="82" t="s">
        <v>686</v>
      </c>
      <c r="AH12" s="230" t="s">
        <v>686</v>
      </c>
      <c r="AI12" s="255" t="s">
        <v>686</v>
      </c>
      <c r="AJ12" s="255" t="s">
        <v>686</v>
      </c>
      <c r="AK12" s="255" t="s">
        <v>686</v>
      </c>
    </row>
    <row r="13" spans="1:37" x14ac:dyDescent="0.2">
      <c r="F13" s="59"/>
      <c r="G13" s="59"/>
      <c r="H13" s="20"/>
      <c r="I13" s="59"/>
      <c r="J13" s="20"/>
      <c r="K13" s="35"/>
      <c r="M13" s="88"/>
      <c r="R13" s="82"/>
      <c r="AE13" s="144"/>
    </row>
    <row r="14" spans="1:37" x14ac:dyDescent="0.2">
      <c r="A14" s="36" t="s">
        <v>583</v>
      </c>
      <c r="B14" s="36" t="s">
        <v>5</v>
      </c>
      <c r="C14" s="36" t="s">
        <v>35</v>
      </c>
      <c r="D14" s="36" t="s">
        <v>6</v>
      </c>
      <c r="E14" s="36" t="s">
        <v>75</v>
      </c>
      <c r="F14" s="76" t="s">
        <v>298</v>
      </c>
      <c r="G14" s="76" t="s">
        <v>299</v>
      </c>
      <c r="H14" s="192" t="s">
        <v>301</v>
      </c>
      <c r="I14" s="76" t="s">
        <v>302</v>
      </c>
      <c r="J14" s="192" t="s">
        <v>497</v>
      </c>
      <c r="K14" s="192" t="s">
        <v>1080</v>
      </c>
      <c r="L14" s="195" t="s">
        <v>329</v>
      </c>
      <c r="M14" s="195" t="s">
        <v>330</v>
      </c>
      <c r="N14" s="192" t="s">
        <v>538</v>
      </c>
      <c r="O14" s="192" t="s">
        <v>537</v>
      </c>
      <c r="P14" s="155" t="s">
        <v>332</v>
      </c>
      <c r="Q14" s="155" t="s">
        <v>331</v>
      </c>
      <c r="R14" s="157" t="s">
        <v>694</v>
      </c>
      <c r="S14" s="76" t="s">
        <v>695</v>
      </c>
      <c r="T14" s="192" t="s">
        <v>584</v>
      </c>
      <c r="U14" s="192" t="s">
        <v>536</v>
      </c>
      <c r="V14" s="192" t="s">
        <v>723</v>
      </c>
      <c r="W14" s="192" t="s">
        <v>707</v>
      </c>
      <c r="X14" s="192" t="s">
        <v>531</v>
      </c>
      <c r="Y14" s="192" t="s">
        <v>708</v>
      </c>
      <c r="Z14" s="192" t="s">
        <v>533</v>
      </c>
      <c r="AA14" s="155" t="s">
        <v>532</v>
      </c>
      <c r="AB14" s="155" t="s">
        <v>328</v>
      </c>
      <c r="AC14" s="155" t="s">
        <v>371</v>
      </c>
      <c r="AD14" s="155" t="s">
        <v>372</v>
      </c>
      <c r="AE14" s="317" t="s">
        <v>534</v>
      </c>
      <c r="AF14" s="155" t="s">
        <v>535</v>
      </c>
      <c r="AG14" s="157" t="s">
        <v>513</v>
      </c>
      <c r="AH14" s="231" t="s">
        <v>573</v>
      </c>
      <c r="AI14" s="231" t="s">
        <v>570</v>
      </c>
      <c r="AJ14" s="231" t="s">
        <v>572</v>
      </c>
      <c r="AK14" s="231" t="s">
        <v>575</v>
      </c>
    </row>
    <row r="15" spans="1:37" x14ac:dyDescent="0.2">
      <c r="E15" s="26" t="str">
        <f>B15&amp;"|"&amp;C15&amp;"|"&amp;D15</f>
        <v>||</v>
      </c>
      <c r="F15" s="63" t="str">
        <f>IF(LEFT($B15,4)="_Mil","",_xlfn.IFNA(INDEX(Cascade!$F:$F,MATCH($E15,Cascade!$E:$E,0)),""))</f>
        <v/>
      </c>
      <c r="G15" s="63" t="str">
        <f>IF(LEFT($B15,4)="_Mil","",_xlfn.IFNA(INDEX(Cascade!$H:$H,MATCH($E15,Cascade!$E:$E,0)),""))</f>
        <v/>
      </c>
      <c r="H15" s="2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88" t="str">
        <f>IF(LEFT($B15,4)="_Mil","",_xlfn.IFNA(ROUND(INDEX(Spectrum!$N:$N,MATCH(RIGHT($B15,13)&amp;"|"&amp;$C15&amp;"|"&amp;$D15&amp;"|"&amp;L$14&amp;"|"&amp;"CY2022Q3",Spectrum!$Q:$Q,0)),0),""))</f>
        <v/>
      </c>
      <c r="M15" s="88" t="str">
        <f>IF(LEFT($B15,4)="_Mil","",_xlfn.IFNA(ROUND(INDEX(Spectrum!$N:$N,MATCH(RIGHT($B15,13)&amp;"|"&amp;$C15&amp;"|"&amp;$D15&amp;"|"&amp;M$14&amp;"|"&amp;"CY2022Q3",Spectrum!$Q:$Q,0)),0),""))</f>
        <v/>
      </c>
      <c r="N15" s="20" t="str">
        <f>IF(OR(LEFT($B15,4)="_Mil",SUM($F15)=0),"",SUM($M15)/$F15)</f>
        <v/>
      </c>
      <c r="O15" s="20" t="str">
        <f>IF(OR(LEFT($B15,4)="_Mil",SUM($F15)=0),"",80%)</f>
        <v/>
      </c>
      <c r="P15" s="68" t="str">
        <f>IF(OR(LEFT($B15,4)="_Mil",SUM($F15)=0),"",ROUND(SUM($F15)*$O15,0))</f>
        <v/>
      </c>
      <c r="Q15" s="68" t="str">
        <f>IF(OR(LEFT($B15,4)="_Mil",SUM($P15)=0),"",ROUND(MAX($P15-SUM($M15),0),0))</f>
        <v/>
      </c>
      <c r="T15" s="20">
        <f>IF(LEFT($B15,4)="_Mil","",IF(SUM($S15)=0,0,IF(SUM($L15)=0,1,$S15/$L15)))</f>
        <v>0</v>
      </c>
      <c r="U15" s="20">
        <f>IF(LEFT($B15,4)="_Mil","",$T15)</f>
        <v>0</v>
      </c>
      <c r="V15" s="20" t="str">
        <f>IF(LEFT($B15,4)="_Mil",0,"")</f>
        <v/>
      </c>
      <c r="W15" s="20"/>
      <c r="X15" s="20" t="str">
        <f>IF($W15="","",$W15)</f>
        <v/>
      </c>
      <c r="Y15" s="20"/>
      <c r="Z15" s="20" t="str">
        <f>IF($Y15="","",$Y15)</f>
        <v/>
      </c>
      <c r="AA15" s="56">
        <f>IF(LEFT($B15,4)="_Mil",ROUND(SUM($S15)*(1+$V15),0),IF(SUM($Q15)=0,0,ROUND(SUM($Q15)*$U15,0)))</f>
        <v>0</v>
      </c>
      <c r="AB15" s="56">
        <f>IF(SUM($AA15)=0,0,ROUND(SUM($AA15)*$X15,0))</f>
        <v>0</v>
      </c>
      <c r="AC15" s="56">
        <f>IF(SUM($AA15)=0,0,ROUND(($AA15-SUM($AB15))*$Z15,0))</f>
        <v>0</v>
      </c>
      <c r="AD15" s="56">
        <f>IF(SUM($AA15)=0,0,$AA15-SUM($AB15)-SUM($AC15))</f>
        <v>0</v>
      </c>
      <c r="AE15" s="144" t="str">
        <f>IF(SUM($AC15)=0,"",_xlfn.IFNA(INDEX(Cascade!$BC:$BC,MATCH($E15,Cascade!$E:$E,0)),""))</f>
        <v/>
      </c>
      <c r="AF15" s="56">
        <f>IF(SUM($AC15)=0,0,ROUND($AC15*$AE15,0))</f>
        <v>0</v>
      </c>
      <c r="AG15" s="82" t="str">
        <f>_xlfn.IFNA(INDEX(Cascade!$CB:$CB,MATCH($E15,Cascade!$E:$E,0)),"")</f>
        <v/>
      </c>
      <c r="AH15" s="230" t="str">
        <f>IF(SUM($AC15)=0,"",$AC15/$AG15)</f>
        <v/>
      </c>
      <c r="AI15" s="230" t="str">
        <f>_xlfn.IFNA(INDEX(Cascade!$CJ:$CJ,MATCH($E15,Cascade!$E:$E,0)),"")</f>
        <v/>
      </c>
      <c r="AJ15" s="230" t="str">
        <f>_xlfn.IFNA(INDEX(Cascade!$CM:$CM,MATCH($E15,Cascade!$E:$E,0)),"")</f>
        <v/>
      </c>
      <c r="AK15" s="230" t="str">
        <f>_xlfn.IFNA(INDEX(Cascade!$CP:$CP,MATCH($E15,Cascade!$E:$E,0)),"")</f>
        <v/>
      </c>
    </row>
  </sheetData>
  <mergeCells count="1">
    <mergeCell ref="A2:B3"/>
  </mergeCells>
  <conditionalFormatting sqref="O1:O1048576">
    <cfRule type="expression" dxfId="135" priority="17">
      <formula>AND(ISNUMBER($O1),OR(ROUND($O1,2)&lt;0.8,ROUND($O1,2)&gt;1))</formula>
    </cfRule>
  </conditionalFormatting>
  <conditionalFormatting sqref="Z1:Z1048576">
    <cfRule type="expression" dxfId="134" priority="6">
      <formula>AND(ROW($Z1)&gt;14,$Z1="",SUM($AA1)&gt;0)</formula>
    </cfRule>
    <cfRule type="expression" dxfId="133" priority="7">
      <formula>AND(ROW($Z1)&gt;14,ROUND(SUM($Z1),2)&gt;0.01)</formula>
    </cfRule>
  </conditionalFormatting>
  <conditionalFormatting sqref="AG1:AK1048576">
    <cfRule type="expression" dxfId="124" priority="4">
      <formula>AND(ISNUMBER($AK1),ROUND($AK1,2)&lt;0)</formula>
    </cfRule>
    <cfRule type="expression" dxfId="123" priority="19">
      <formula>AND(ISNUMBER($AK1),ISERROR($AK1))</formula>
    </cfRule>
  </conditionalFormatting>
  <conditionalFormatting sqref="P1:P1048576">
    <cfRule type="expression" dxfId="132" priority="11">
      <formula>AND(ISNUMBER($P1),$P1&lt;$M1)</formula>
    </cfRule>
  </conditionalFormatting>
  <conditionalFormatting sqref="V1:V1048576">
    <cfRule type="expression" dxfId="131" priority="20">
      <formula>AND(ROW($V1)&gt;14,$E1&lt;&gt;"",LEFT($B1,4)&lt;&gt;"_Mil")</formula>
    </cfRule>
  </conditionalFormatting>
  <conditionalFormatting sqref="AE1:AE1048576">
    <cfRule type="expression" dxfId="130" priority="2164">
      <formula>AND(ISNUMBER($AE1),ROUND($AE1,2)&lt;95%)</formula>
    </cfRule>
  </conditionalFormatting>
  <conditionalFormatting sqref="L1:M1048576">
    <cfRule type="expression" dxfId="129" priority="27">
      <formula>AND(ISNUMBER($L1),ISNUMBER($M1),$M1&lt;$L1)</formula>
    </cfRule>
  </conditionalFormatting>
  <conditionalFormatting sqref="F1:Q1048576 T1:U1048576">
    <cfRule type="expression" dxfId="128" priority="16">
      <formula>LEFT($B1,4)="_Mil"</formula>
    </cfRule>
  </conditionalFormatting>
  <conditionalFormatting sqref="X1:X1048576">
    <cfRule type="expression" dxfId="127" priority="5">
      <formula>AND(ROW($X1)&gt;14,$X1="",SUM($AA1)&gt;0)</formula>
    </cfRule>
  </conditionalFormatting>
  <conditionalFormatting sqref="F1:G1048576 I1:I1048576 L1:M1048576 P1:S1048576 AA1:AD1048576 AF1:AG1048576">
    <cfRule type="expression" dxfId="126" priority="2">
      <formula>AND(ISNUMBER(F1),ROUND(F1,0)&lt;0)</formula>
    </cfRule>
  </conditionalFormatting>
  <conditionalFormatting sqref="H1:H1048576 J1:K1048576 N1:O1048576 T1:U1048576 W1:Z1048576 AE1:AE1048576 AH1:AK1048576">
    <cfRule type="expression" dxfId="125"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6" customWidth="1"/>
    <col min="6" max="6" width="11.83203125" style="56" customWidth="1"/>
    <col min="7" max="7" width="11.83203125" style="180" customWidth="1"/>
    <col min="8" max="8" width="11.83203125" style="378" customWidth="1"/>
    <col min="9" max="9" width="11.83203125" style="56" customWidth="1"/>
    <col min="10" max="10" width="11.83203125" style="378" customWidth="1"/>
    <col min="11" max="11" width="11.83203125" style="56" customWidth="1"/>
    <col min="12" max="12" width="11.83203125" style="378" customWidth="1"/>
    <col min="13" max="13" width="11.83203125" style="56" customWidth="1"/>
    <col min="14" max="14" width="11.83203125" style="378" customWidth="1"/>
    <col min="15" max="15" width="11.83203125" style="258" customWidth="1"/>
    <col min="16" max="17" width="11.83203125" style="56" customWidth="1"/>
    <col min="18" max="18" width="11.83203125" style="378" customWidth="1"/>
    <col min="19" max="21" width="11.83203125" style="257" customWidth="1"/>
    <col min="22" max="22" width="11.83203125" style="56" customWidth="1"/>
    <col min="23" max="23" width="11.83203125" style="381" customWidth="1"/>
    <col min="24" max="24" width="11.83203125" style="257" customWidth="1"/>
    <col min="25" max="25" width="11.83203125" style="56" customWidth="1"/>
    <col min="26" max="26" width="11.83203125" style="381" customWidth="1"/>
    <col min="27" max="27" width="11.83203125" style="56" customWidth="1"/>
    <col min="28" max="28" width="11.83203125" style="381" customWidth="1"/>
    <col min="29" max="32" width="11.83203125" style="258" customWidth="1"/>
    <col min="33" max="34" width="11.83203125" style="257" customWidth="1"/>
    <col min="35" max="36" width="11.83203125" style="56" customWidth="1"/>
    <col min="37" max="37" width="11.83203125" style="381" customWidth="1"/>
    <col min="38" max="38" width="11.83203125" style="56" customWidth="1"/>
    <col min="39" max="39" width="11.83203125" style="378" customWidth="1"/>
    <col min="40" max="40" width="11.83203125" style="56" customWidth="1"/>
  </cols>
  <sheetData>
    <row r="1" spans="1:40" s="41" customFormat="1" ht="31" customHeight="1" x14ac:dyDescent="0.3">
      <c r="A1" s="5" t="s">
        <v>477</v>
      </c>
      <c r="B1" s="5"/>
      <c r="C1" s="1"/>
      <c r="D1" s="1"/>
      <c r="E1" s="91" t="s">
        <v>43</v>
      </c>
      <c r="F1" s="51"/>
      <c r="G1" s="382"/>
      <c r="H1" s="91" t="s">
        <v>886</v>
      </c>
      <c r="I1" s="51"/>
      <c r="J1" s="91" t="s">
        <v>24</v>
      </c>
      <c r="K1" s="51"/>
      <c r="L1" s="91" t="s">
        <v>22</v>
      </c>
      <c r="M1" s="64"/>
      <c r="N1" s="91" t="s">
        <v>0</v>
      </c>
      <c r="O1" s="79"/>
      <c r="P1" s="51"/>
      <c r="Q1" s="51"/>
      <c r="R1" s="91" t="s">
        <v>1</v>
      </c>
      <c r="S1" s="372"/>
      <c r="T1" s="19"/>
      <c r="U1" s="19"/>
      <c r="V1" s="51"/>
      <c r="W1" s="224" t="s">
        <v>52</v>
      </c>
      <c r="X1" s="19"/>
      <c r="Y1" s="51"/>
      <c r="Z1" s="224" t="s">
        <v>51</v>
      </c>
      <c r="AA1" s="51"/>
      <c r="AB1" s="224" t="s">
        <v>248</v>
      </c>
      <c r="AC1" s="61"/>
      <c r="AD1" s="61"/>
      <c r="AE1" s="61"/>
      <c r="AF1" s="61"/>
      <c r="AG1" s="29"/>
      <c r="AH1" s="29"/>
      <c r="AI1" s="51"/>
      <c r="AJ1" s="51"/>
      <c r="AK1" s="224" t="s">
        <v>206</v>
      </c>
      <c r="AL1" s="51"/>
      <c r="AM1" s="91" t="s">
        <v>246</v>
      </c>
      <c r="AN1" s="51"/>
    </row>
    <row r="2" spans="1:40" s="40" customFormat="1" ht="19" x14ac:dyDescent="0.25">
      <c r="A2" s="2"/>
      <c r="B2" s="2"/>
      <c r="C2" s="2"/>
      <c r="D2" s="2"/>
      <c r="E2" s="212" t="s">
        <v>42</v>
      </c>
      <c r="F2" s="52"/>
      <c r="G2" s="177"/>
      <c r="H2" s="92" t="s">
        <v>73</v>
      </c>
      <c r="I2" s="52" t="s">
        <v>3</v>
      </c>
      <c r="J2" s="95" t="s">
        <v>73</v>
      </c>
      <c r="K2" s="52" t="s">
        <v>3</v>
      </c>
      <c r="L2" s="95" t="s">
        <v>73</v>
      </c>
      <c r="M2" s="65" t="s">
        <v>3</v>
      </c>
      <c r="N2" s="95" t="s">
        <v>73</v>
      </c>
      <c r="O2" s="78"/>
      <c r="P2" s="52" t="s">
        <v>3</v>
      </c>
      <c r="Q2" s="65"/>
      <c r="R2" s="95" t="s">
        <v>73</v>
      </c>
      <c r="S2" s="227" t="s">
        <v>2</v>
      </c>
      <c r="T2" s="18"/>
      <c r="U2" s="18"/>
      <c r="V2" s="52" t="s">
        <v>3</v>
      </c>
      <c r="W2" s="225" t="s">
        <v>2</v>
      </c>
      <c r="X2" s="18"/>
      <c r="Y2" s="52" t="s">
        <v>3</v>
      </c>
      <c r="Z2" s="225" t="s">
        <v>2</v>
      </c>
      <c r="AA2" s="52" t="s">
        <v>3</v>
      </c>
      <c r="AB2" s="225" t="s">
        <v>2</v>
      </c>
      <c r="AC2" s="57"/>
      <c r="AD2" s="57"/>
      <c r="AE2" s="57"/>
      <c r="AF2" s="57"/>
      <c r="AG2" s="18"/>
      <c r="AH2" s="18"/>
      <c r="AI2" s="52" t="s">
        <v>3</v>
      </c>
      <c r="AJ2" s="52"/>
      <c r="AK2" s="225" t="s">
        <v>2</v>
      </c>
      <c r="AL2" s="52" t="s">
        <v>3</v>
      </c>
      <c r="AM2" s="92" t="s">
        <v>73</v>
      </c>
      <c r="AN2" s="52" t="s">
        <v>3</v>
      </c>
    </row>
    <row r="3" spans="1:40" s="46" customFormat="1" ht="117" customHeight="1" x14ac:dyDescent="0.2">
      <c r="A3"/>
      <c r="B3"/>
      <c r="C3"/>
      <c r="D3" s="47"/>
      <c r="E3" s="217" t="s">
        <v>839</v>
      </c>
      <c r="F3" s="122" t="s">
        <v>840</v>
      </c>
      <c r="G3" s="178" t="s">
        <v>777</v>
      </c>
      <c r="H3" s="128" t="s">
        <v>888</v>
      </c>
      <c r="I3" s="122" t="s">
        <v>895</v>
      </c>
      <c r="J3" s="213" t="s">
        <v>889</v>
      </c>
      <c r="K3" s="122" t="s">
        <v>816</v>
      </c>
      <c r="L3" s="204" t="s">
        <v>890</v>
      </c>
      <c r="M3" s="123" t="s">
        <v>817</v>
      </c>
      <c r="N3" s="204" t="s">
        <v>894</v>
      </c>
      <c r="O3" s="130" t="s">
        <v>891</v>
      </c>
      <c r="P3" s="122" t="s">
        <v>818</v>
      </c>
      <c r="Q3" s="66" t="s">
        <v>819</v>
      </c>
      <c r="R3" s="204" t="s">
        <v>892</v>
      </c>
      <c r="S3" s="256" t="s">
        <v>820</v>
      </c>
      <c r="T3" s="187" t="s">
        <v>821</v>
      </c>
      <c r="U3" s="187" t="s">
        <v>822</v>
      </c>
      <c r="V3" s="122" t="s">
        <v>823</v>
      </c>
      <c r="W3" s="379" t="s">
        <v>824</v>
      </c>
      <c r="X3" s="313" t="s">
        <v>825</v>
      </c>
      <c r="Y3" s="122" t="s">
        <v>826</v>
      </c>
      <c r="Z3" s="379" t="s">
        <v>827</v>
      </c>
      <c r="AA3" s="122" t="s">
        <v>828</v>
      </c>
      <c r="AB3" s="338" t="s">
        <v>829</v>
      </c>
      <c r="AC3" s="121" t="s">
        <v>830</v>
      </c>
      <c r="AD3" s="121" t="s">
        <v>831</v>
      </c>
      <c r="AE3" s="121" t="s">
        <v>996</v>
      </c>
      <c r="AF3" s="121" t="s">
        <v>997</v>
      </c>
      <c r="AG3" s="187" t="s">
        <v>832</v>
      </c>
      <c r="AH3" s="187" t="s">
        <v>833</v>
      </c>
      <c r="AI3" s="122" t="s">
        <v>834</v>
      </c>
      <c r="AJ3" s="122" t="s">
        <v>835</v>
      </c>
      <c r="AK3" s="330" t="s">
        <v>836</v>
      </c>
      <c r="AL3" s="53" t="s">
        <v>837</v>
      </c>
      <c r="AM3" s="128" t="s">
        <v>893</v>
      </c>
      <c r="AN3" s="122" t="s">
        <v>838</v>
      </c>
    </row>
    <row r="4" spans="1:40" s="46" customFormat="1" x14ac:dyDescent="0.2">
      <c r="A4" s="49"/>
      <c r="B4" s="49"/>
      <c r="C4" s="49" t="s">
        <v>4</v>
      </c>
      <c r="D4" s="49"/>
      <c r="E4" s="214">
        <f>SUBTOTAL(109,E$15:INDEX(E:E,COUNTA($B:$B)+14-COUNTA($B$1:$B$14)))</f>
        <v>0</v>
      </c>
      <c r="F4" s="55">
        <f>SUBTOTAL(109,F$15:INDEX(F:F,COUNTA($B:$B)+14-COUNTA($B$1:$B$14)))</f>
        <v>0</v>
      </c>
      <c r="G4" s="179" t="str">
        <f>IF($E$4=0,"",$F$4/$E$4)</f>
        <v/>
      </c>
      <c r="H4" s="93">
        <f>SUBTOTAL(109,H$15:INDEX(H:H,COUNTA($B:$B)+14-COUNTA($B$1:$B$14)))</f>
        <v>0</v>
      </c>
      <c r="I4" s="55">
        <f>SUBTOTAL(109,I$15:INDEX(I:I,COUNTA($B:$B)+14-COUNTA($B$1:$B$14)))</f>
        <v>0</v>
      </c>
      <c r="J4" s="214">
        <f>SUBTOTAL(109,J$15:INDEX(J:J,COUNTA($B:$B)+14-COUNTA($B$1:$B$14)))</f>
        <v>0</v>
      </c>
      <c r="K4" s="55">
        <f>SUBTOTAL(109,K$15:INDEX(K:K,COUNTA($B:$B)+14-COUNTA($B$1:$B$14)))</f>
        <v>0</v>
      </c>
      <c r="L4" s="214">
        <f>SUBTOTAL(109,L$15:INDEX(L:L,COUNTA($B:$B)+14-COUNTA($B$1:$B$14)))</f>
        <v>0</v>
      </c>
      <c r="M4" s="55">
        <f>SUBTOTAL(109,M$15:INDEX(M:M,COUNTA($B:$B)+14-COUNTA($B$1:$B$14)))</f>
        <v>0</v>
      </c>
      <c r="N4" s="205">
        <f>SUBTOTAL(109,N$15:INDEX(N:N,COUNTA($B:$B)+14-COUNTA($B$1:$B$14)))</f>
        <v>0</v>
      </c>
      <c r="O4" s="202">
        <f>SUBTOTAL(109,O$15:INDEX(O:O,COUNTA($B:$B)+14-COUNTA($B$1:$B$14)))</f>
        <v>0</v>
      </c>
      <c r="P4" s="55">
        <f>SUBTOTAL(109,P$15:INDEX(P:P,COUNTA($B:$B)+14-COUNTA($B$1:$B$14)))</f>
        <v>0</v>
      </c>
      <c r="Q4" s="55">
        <f>SUBTOTAL(109,Q$15:INDEX(Q:Q,COUNTA($B:$B)+14-COUNTA($B$1:$B$14)))</f>
        <v>0</v>
      </c>
      <c r="R4" s="216">
        <f>SUBTOTAL(109,R$15:INDEX(R:R,COUNTA($B:$B)+14-COUNTA($B$1:$B$14)))</f>
        <v>0</v>
      </c>
      <c r="S4" s="321" t="str">
        <f>IF($Q$4=0,"",$V$4/$Q$4)</f>
        <v/>
      </c>
      <c r="T4" s="189"/>
      <c r="U4" s="189"/>
      <c r="V4" s="55">
        <f>SUBTOTAL(109,V$15:INDEX(V:V,COUNTA($B:$B)+14-COUNTA($B$1:$B$14)))</f>
        <v>0</v>
      </c>
      <c r="W4" s="380"/>
      <c r="X4" s="189"/>
      <c r="Y4" s="55">
        <f>SUBTOTAL(109,Y$15:INDEX(Y:Y,COUNTA($B:$B)+14-COUNTA($B$1:$B$14)))</f>
        <v>0</v>
      </c>
      <c r="Z4" s="380" t="str">
        <f>IF($Y$4=0,"",$AA$4/$Y$4)</f>
        <v/>
      </c>
      <c r="AA4" s="55">
        <f>SUBTOTAL(109,AA$15:INDEX(AA:AA,COUNTA($B:$B)+14-COUNTA($B$1:$B$14)))</f>
        <v>0</v>
      </c>
      <c r="AB4" s="143" t="str">
        <f>IF($V$4=0,"",$AC$4/$V$4)</f>
        <v/>
      </c>
      <c r="AC4" s="58">
        <f>SUBTOTAL(109,AC$15:INDEX(AC:AC,COUNTA($B:$B)+14-COUNTA($B$1:$B$14)))</f>
        <v>0</v>
      </c>
      <c r="AD4" s="58">
        <f>SUBTOTAL(109,AD$15:INDEX(AD:AD,COUNTA($B:$B)+14-COUNTA($B$1:$B$14)))</f>
        <v>0</v>
      </c>
      <c r="AE4" s="58">
        <f>SUBTOTAL(109,AE$15:INDEX(AE:AE,COUNTA($B:$B)+14-COUNTA($B$1:$B$14)))</f>
        <v>0</v>
      </c>
      <c r="AF4" s="58">
        <f>SUBTOTAL(109,AF$15:INDEX(AF:AF,COUNTA($B:$B)+14-COUNTA($B$1:$B$14)))</f>
        <v>0</v>
      </c>
      <c r="AG4" s="189" t="str">
        <f>IF($AI$4=0,"",$V$4/$AI$4)</f>
        <v/>
      </c>
      <c r="AH4" s="189" t="str">
        <f>IF(SUM($AI$4,$AJ$4)=0,"",$AI$4/SUM($AI$4,$AJ$4))</f>
        <v/>
      </c>
      <c r="AI4" s="55">
        <f>SUBTOTAL(109,AI$15:INDEX(AI:AI,COUNTA($B:$B)+14-COUNTA($B$1:$B$14)))</f>
        <v>0</v>
      </c>
      <c r="AJ4" s="55">
        <f>SUBTOTAL(109,AJ$15:INDEX(AJ:AJ,COUNTA($B:$B)+14-COUNTA($B$1:$B$14)))</f>
        <v>0</v>
      </c>
      <c r="AK4" s="380" t="str">
        <f>IF($AI$4=0,"",$AL$4/$AI$4)</f>
        <v/>
      </c>
      <c r="AL4" s="55">
        <f>SUBTOTAL(109,AL$15:INDEX(AL:AL,COUNTA($B:$B)+14-COUNTA($B$1:$B$14)))</f>
        <v>0</v>
      </c>
      <c r="AM4" s="93">
        <f>SUBTOTAL(109,AM$15:INDEX(AM:AM,COUNTA($B:$B)+14-COUNTA($B$1:$B$14)))</f>
        <v>0</v>
      </c>
      <c r="AN4" s="55">
        <f>SUBTOTAL(109,AN$15:INDEX(AN:AN,COUNTA($B:$B)+14-COUNTA($B$1:$B$14)))</f>
        <v>0</v>
      </c>
    </row>
    <row r="5" spans="1:40" s="46" customFormat="1" x14ac:dyDescent="0.2">
      <c r="A5" s="50" t="s">
        <v>98</v>
      </c>
      <c r="B5" s="50" t="s">
        <v>98</v>
      </c>
      <c r="C5" s="50" t="s">
        <v>98</v>
      </c>
      <c r="D5" s="50" t="s">
        <v>98</v>
      </c>
      <c r="E5" s="106" t="s">
        <v>106</v>
      </c>
      <c r="F5" s="56" t="s">
        <v>106</v>
      </c>
      <c r="G5" s="182" t="s">
        <v>106</v>
      </c>
      <c r="H5" s="82" t="s">
        <v>109</v>
      </c>
      <c r="I5" s="56" t="s">
        <v>109</v>
      </c>
      <c r="J5" s="215" t="s">
        <v>109</v>
      </c>
      <c r="K5" s="56" t="s">
        <v>109</v>
      </c>
      <c r="L5" s="215" t="s">
        <v>109</v>
      </c>
      <c r="M5" s="68" t="s">
        <v>109</v>
      </c>
      <c r="N5" s="206" t="s">
        <v>109</v>
      </c>
      <c r="O5" s="62" t="s">
        <v>109</v>
      </c>
      <c r="P5" s="56" t="s">
        <v>109</v>
      </c>
      <c r="Q5" s="56" t="s">
        <v>98</v>
      </c>
      <c r="R5" s="215" t="s">
        <v>109</v>
      </c>
      <c r="S5" s="255" t="s">
        <v>98</v>
      </c>
      <c r="T5" s="191" t="s">
        <v>98</v>
      </c>
      <c r="U5" s="191" t="s">
        <v>98</v>
      </c>
      <c r="V5" s="56" t="s">
        <v>109</v>
      </c>
      <c r="W5" s="376" t="s">
        <v>98</v>
      </c>
      <c r="X5" s="191" t="s">
        <v>98</v>
      </c>
      <c r="Y5" s="56" t="s">
        <v>109</v>
      </c>
      <c r="Z5" s="376" t="s">
        <v>98</v>
      </c>
      <c r="AA5" s="56" t="s">
        <v>109</v>
      </c>
      <c r="AB5" s="144" t="s">
        <v>98</v>
      </c>
      <c r="AC5" s="59" t="s">
        <v>98</v>
      </c>
      <c r="AD5" s="59" t="s">
        <v>98</v>
      </c>
      <c r="AE5" s="59" t="s">
        <v>109</v>
      </c>
      <c r="AF5" s="59" t="s">
        <v>109</v>
      </c>
      <c r="AG5" s="191" t="s">
        <v>98</v>
      </c>
      <c r="AH5" s="191" t="s">
        <v>98</v>
      </c>
      <c r="AI5" s="56" t="s">
        <v>109</v>
      </c>
      <c r="AJ5" s="56" t="s">
        <v>109</v>
      </c>
      <c r="AK5" s="376" t="s">
        <v>98</v>
      </c>
      <c r="AL5" s="56" t="s">
        <v>109</v>
      </c>
      <c r="AM5" s="82" t="s">
        <v>109</v>
      </c>
      <c r="AN5" s="56" t="s">
        <v>109</v>
      </c>
    </row>
    <row r="6" spans="1:40" s="46" customFormat="1" x14ac:dyDescent="0.2">
      <c r="A6" s="50" t="s">
        <v>200</v>
      </c>
      <c r="B6" s="50" t="s">
        <v>200</v>
      </c>
      <c r="C6" s="50" t="s">
        <v>200</v>
      </c>
      <c r="D6" s="50" t="s">
        <v>200</v>
      </c>
      <c r="E6" s="106" t="s">
        <v>92</v>
      </c>
      <c r="F6" s="56" t="s">
        <v>92</v>
      </c>
      <c r="G6" s="182" t="s">
        <v>92</v>
      </c>
      <c r="H6" s="82" t="s">
        <v>110</v>
      </c>
      <c r="I6" s="56" t="s">
        <v>92</v>
      </c>
      <c r="J6" s="215" t="s">
        <v>110</v>
      </c>
      <c r="K6" s="56" t="s">
        <v>92</v>
      </c>
      <c r="L6" s="215" t="s">
        <v>110</v>
      </c>
      <c r="M6" s="68" t="s">
        <v>92</v>
      </c>
      <c r="N6" s="206" t="s">
        <v>110</v>
      </c>
      <c r="O6" s="62" t="s">
        <v>110</v>
      </c>
      <c r="P6" s="56" t="s">
        <v>92</v>
      </c>
      <c r="Q6" s="56" t="s">
        <v>93</v>
      </c>
      <c r="R6" s="215" t="s">
        <v>110</v>
      </c>
      <c r="S6" s="255" t="s">
        <v>112</v>
      </c>
      <c r="T6" s="191" t="s">
        <v>112</v>
      </c>
      <c r="U6" s="191" t="s">
        <v>112</v>
      </c>
      <c r="V6" s="56" t="s">
        <v>92</v>
      </c>
      <c r="W6" s="376" t="s">
        <v>112</v>
      </c>
      <c r="X6" s="191" t="s">
        <v>112</v>
      </c>
      <c r="Y6" s="56" t="s">
        <v>92</v>
      </c>
      <c r="Z6" s="376" t="s">
        <v>112</v>
      </c>
      <c r="AA6" s="56" t="s">
        <v>92</v>
      </c>
      <c r="AB6" s="144" t="s">
        <v>93</v>
      </c>
      <c r="AC6" s="59" t="s">
        <v>93</v>
      </c>
      <c r="AD6" s="59" t="s">
        <v>93</v>
      </c>
      <c r="AE6" s="59" t="s">
        <v>110</v>
      </c>
      <c r="AF6" s="59" t="s">
        <v>110</v>
      </c>
      <c r="AG6" s="191" t="s">
        <v>112</v>
      </c>
      <c r="AH6" s="191" t="s">
        <v>112</v>
      </c>
      <c r="AI6" s="56" t="s">
        <v>92</v>
      </c>
      <c r="AJ6" s="56" t="s">
        <v>92</v>
      </c>
      <c r="AK6" s="376" t="s">
        <v>112</v>
      </c>
      <c r="AL6" s="56" t="s">
        <v>92</v>
      </c>
      <c r="AM6" s="82" t="s">
        <v>110</v>
      </c>
      <c r="AN6" s="56" t="s">
        <v>92</v>
      </c>
    </row>
    <row r="7" spans="1:40" s="46" customFormat="1" x14ac:dyDescent="0.2">
      <c r="A7" s="50" t="s">
        <v>108</v>
      </c>
      <c r="B7" s="50" t="s">
        <v>108</v>
      </c>
      <c r="C7" s="50" t="s">
        <v>108</v>
      </c>
      <c r="D7" s="50" t="s">
        <v>108</v>
      </c>
      <c r="E7" s="106" t="s">
        <v>94</v>
      </c>
      <c r="F7" s="56" t="s">
        <v>94</v>
      </c>
      <c r="G7" s="182" t="s">
        <v>95</v>
      </c>
      <c r="H7" s="82" t="s">
        <v>94</v>
      </c>
      <c r="I7" s="56" t="s">
        <v>94</v>
      </c>
      <c r="J7" s="215" t="s">
        <v>94</v>
      </c>
      <c r="K7" s="56" t="s">
        <v>94</v>
      </c>
      <c r="L7" s="215" t="s">
        <v>94</v>
      </c>
      <c r="M7" s="68" t="s">
        <v>94</v>
      </c>
      <c r="N7" s="206" t="s">
        <v>94</v>
      </c>
      <c r="O7" s="62" t="s">
        <v>94</v>
      </c>
      <c r="P7" s="56" t="s">
        <v>94</v>
      </c>
      <c r="Q7" s="56" t="s">
        <v>94</v>
      </c>
      <c r="R7" s="215" t="s">
        <v>94</v>
      </c>
      <c r="S7" s="255" t="s">
        <v>95</v>
      </c>
      <c r="T7" s="191" t="s">
        <v>95</v>
      </c>
      <c r="U7" s="191" t="s">
        <v>95</v>
      </c>
      <c r="V7" s="56" t="s">
        <v>94</v>
      </c>
      <c r="W7" s="376" t="s">
        <v>95</v>
      </c>
      <c r="X7" s="191" t="s">
        <v>95</v>
      </c>
      <c r="Y7" s="56" t="s">
        <v>94</v>
      </c>
      <c r="Z7" s="376" t="s">
        <v>95</v>
      </c>
      <c r="AA7" s="56" t="s">
        <v>94</v>
      </c>
      <c r="AB7" s="144" t="s">
        <v>95</v>
      </c>
      <c r="AC7" s="59" t="s">
        <v>94</v>
      </c>
      <c r="AD7" s="59" t="s">
        <v>94</v>
      </c>
      <c r="AE7" s="59" t="s">
        <v>94</v>
      </c>
      <c r="AF7" s="59" t="s">
        <v>94</v>
      </c>
      <c r="AG7" s="191" t="s">
        <v>95</v>
      </c>
      <c r="AH7" s="191" t="s">
        <v>95</v>
      </c>
      <c r="AI7" s="56" t="s">
        <v>94</v>
      </c>
      <c r="AJ7" s="56" t="s">
        <v>94</v>
      </c>
      <c r="AK7" s="376" t="s">
        <v>95</v>
      </c>
      <c r="AL7" s="56" t="s">
        <v>94</v>
      </c>
      <c r="AM7" s="82" t="s">
        <v>94</v>
      </c>
      <c r="AN7" s="56" t="s">
        <v>94</v>
      </c>
    </row>
    <row r="8" spans="1:40" s="46" customFormat="1" x14ac:dyDescent="0.2">
      <c r="A8" s="50"/>
      <c r="B8" s="50"/>
      <c r="C8" s="50"/>
      <c r="D8" s="50"/>
      <c r="E8" s="274" t="s">
        <v>176</v>
      </c>
      <c r="F8" s="272" t="s">
        <v>285</v>
      </c>
      <c r="G8" s="383" t="s">
        <v>286</v>
      </c>
      <c r="H8" s="277" t="s">
        <v>186</v>
      </c>
      <c r="I8" s="272" t="s">
        <v>1041</v>
      </c>
      <c r="J8" s="282" t="s">
        <v>188</v>
      </c>
      <c r="K8" s="272" t="s">
        <v>188</v>
      </c>
      <c r="L8" s="282" t="s">
        <v>177</v>
      </c>
      <c r="M8" s="276" t="s">
        <v>177</v>
      </c>
      <c r="N8" s="278" t="s">
        <v>763</v>
      </c>
      <c r="O8" s="283" t="s">
        <v>255</v>
      </c>
      <c r="P8" s="272" t="s">
        <v>255</v>
      </c>
      <c r="Q8" s="56"/>
      <c r="R8" s="282" t="s">
        <v>184</v>
      </c>
      <c r="S8" s="255"/>
      <c r="T8" s="191"/>
      <c r="U8" s="191"/>
      <c r="V8" s="272" t="s">
        <v>184</v>
      </c>
      <c r="W8" s="376"/>
      <c r="X8" s="191"/>
      <c r="Y8" s="272" t="s">
        <v>251</v>
      </c>
      <c r="Z8" s="376"/>
      <c r="AA8" s="272" t="s">
        <v>250</v>
      </c>
      <c r="AB8" s="144"/>
      <c r="AC8" s="59"/>
      <c r="AD8" s="59"/>
      <c r="AE8" s="275" t="s">
        <v>182</v>
      </c>
      <c r="AF8" s="275" t="s">
        <v>182</v>
      </c>
      <c r="AG8" s="191"/>
      <c r="AH8" s="191"/>
      <c r="AI8" s="272" t="s">
        <v>182</v>
      </c>
      <c r="AJ8" s="272" t="s">
        <v>182</v>
      </c>
      <c r="AK8" s="376"/>
      <c r="AL8" s="272" t="s">
        <v>247</v>
      </c>
      <c r="AM8" s="284" t="s">
        <v>269</v>
      </c>
      <c r="AN8" s="272" t="s">
        <v>269</v>
      </c>
    </row>
    <row r="9" spans="1:40" s="46" customFormat="1" x14ac:dyDescent="0.2">
      <c r="A9" s="50"/>
      <c r="B9" s="50"/>
      <c r="C9" s="50"/>
      <c r="D9" s="50"/>
      <c r="E9" s="274"/>
      <c r="F9" s="272"/>
      <c r="G9" s="383"/>
      <c r="H9" s="277" t="s">
        <v>187</v>
      </c>
      <c r="I9" s="272" t="s">
        <v>1042</v>
      </c>
      <c r="J9" s="282" t="s">
        <v>189</v>
      </c>
      <c r="K9" s="272" t="s">
        <v>189</v>
      </c>
      <c r="L9" s="282" t="s">
        <v>178</v>
      </c>
      <c r="M9" s="276" t="s">
        <v>178</v>
      </c>
      <c r="N9" s="278" t="s">
        <v>764</v>
      </c>
      <c r="O9" s="283" t="s">
        <v>256</v>
      </c>
      <c r="P9" s="272" t="s">
        <v>256</v>
      </c>
      <c r="Q9" s="56"/>
      <c r="R9" s="282" t="s">
        <v>185</v>
      </c>
      <c r="S9" s="255"/>
      <c r="T9" s="191"/>
      <c r="U9" s="191"/>
      <c r="V9" s="272" t="s">
        <v>185</v>
      </c>
      <c r="W9" s="376"/>
      <c r="X9" s="191"/>
      <c r="Y9" s="272" t="s">
        <v>252</v>
      </c>
      <c r="Z9" s="376"/>
      <c r="AA9" s="272" t="s">
        <v>249</v>
      </c>
      <c r="AB9" s="144"/>
      <c r="AC9" s="59"/>
      <c r="AD9" s="59"/>
      <c r="AE9" s="275" t="s">
        <v>183</v>
      </c>
      <c r="AF9" s="275" t="s">
        <v>183</v>
      </c>
      <c r="AG9" s="191"/>
      <c r="AH9" s="191"/>
      <c r="AI9" s="272" t="s">
        <v>183</v>
      </c>
      <c r="AJ9" s="272" t="s">
        <v>183</v>
      </c>
      <c r="AK9" s="376"/>
      <c r="AL9" s="272" t="s">
        <v>288</v>
      </c>
      <c r="AM9" s="284" t="s">
        <v>268</v>
      </c>
      <c r="AN9" s="272" t="s">
        <v>268</v>
      </c>
    </row>
    <row r="10" spans="1:40" s="46" customFormat="1" x14ac:dyDescent="0.2">
      <c r="A10" s="50"/>
      <c r="B10" s="50"/>
      <c r="C10" s="50"/>
      <c r="D10" s="50"/>
      <c r="E10" s="274"/>
      <c r="F10" s="272" t="s">
        <v>104</v>
      </c>
      <c r="G10" s="383" t="s">
        <v>104</v>
      </c>
      <c r="H10" s="277"/>
      <c r="I10" s="272"/>
      <c r="J10" s="282"/>
      <c r="K10" s="272"/>
      <c r="L10" s="282"/>
      <c r="M10" s="276"/>
      <c r="N10" s="278" t="s">
        <v>104</v>
      </c>
      <c r="O10" s="283" t="s">
        <v>104</v>
      </c>
      <c r="P10" s="272" t="s">
        <v>104</v>
      </c>
      <c r="Q10" s="56"/>
      <c r="R10" s="282" t="s">
        <v>104</v>
      </c>
      <c r="S10" s="255"/>
      <c r="T10" s="191"/>
      <c r="U10" s="191"/>
      <c r="V10" s="272" t="s">
        <v>104</v>
      </c>
      <c r="W10" s="376"/>
      <c r="X10" s="191"/>
      <c r="Y10" s="272" t="s">
        <v>104</v>
      </c>
      <c r="Z10" s="376"/>
      <c r="AA10" s="272" t="s">
        <v>104</v>
      </c>
      <c r="AB10" s="144"/>
      <c r="AC10" s="59"/>
      <c r="AD10" s="59"/>
      <c r="AE10" s="275" t="s">
        <v>104</v>
      </c>
      <c r="AF10" s="275" t="s">
        <v>121</v>
      </c>
      <c r="AG10" s="191"/>
      <c r="AH10" s="191"/>
      <c r="AI10" s="272" t="s">
        <v>104</v>
      </c>
      <c r="AJ10" s="272" t="s">
        <v>121</v>
      </c>
      <c r="AK10" s="376"/>
      <c r="AL10" s="272" t="s">
        <v>104</v>
      </c>
      <c r="AM10" s="284"/>
      <c r="AN10" s="272"/>
    </row>
    <row r="11" spans="1:40" s="46" customFormat="1" x14ac:dyDescent="0.2">
      <c r="A11" s="50"/>
      <c r="B11" s="50"/>
      <c r="C11" s="50"/>
      <c r="D11" s="50"/>
      <c r="E11" s="106"/>
      <c r="F11" s="103"/>
      <c r="G11" s="384"/>
      <c r="H11" s="82"/>
      <c r="I11" s="56"/>
      <c r="J11" s="215"/>
      <c r="K11" s="56"/>
      <c r="L11" s="215"/>
      <c r="M11" s="197"/>
      <c r="N11" s="207"/>
      <c r="O11" s="203"/>
      <c r="P11" s="56"/>
      <c r="Q11" s="56"/>
      <c r="R11" s="215"/>
      <c r="S11" s="255"/>
      <c r="T11" s="191"/>
      <c r="U11" s="191"/>
      <c r="V11" s="56"/>
      <c r="W11" s="376"/>
      <c r="X11" s="191"/>
      <c r="Y11" s="56"/>
      <c r="Z11" s="376"/>
      <c r="AA11" s="56"/>
      <c r="AB11" s="144"/>
      <c r="AC11" s="59"/>
      <c r="AD11" s="59"/>
      <c r="AE11" s="59"/>
      <c r="AF11" s="59"/>
      <c r="AG11" s="191"/>
      <c r="AH11" s="191"/>
      <c r="AI11" s="56"/>
      <c r="AJ11" s="56"/>
      <c r="AK11" s="376"/>
      <c r="AL11" s="56"/>
      <c r="AM11" s="82"/>
      <c r="AN11" s="56"/>
    </row>
    <row r="12" spans="1:40" s="46" customFormat="1" x14ac:dyDescent="0.2">
      <c r="A12" s="50"/>
      <c r="B12" s="50"/>
      <c r="C12" s="50"/>
      <c r="D12" s="50"/>
      <c r="E12" s="106"/>
      <c r="F12" s="56"/>
      <c r="G12" s="182"/>
      <c r="H12" s="82"/>
      <c r="I12" s="56"/>
      <c r="J12" s="215"/>
      <c r="K12" s="56"/>
      <c r="L12" s="215"/>
      <c r="M12" s="68"/>
      <c r="N12" s="206"/>
      <c r="O12" s="62"/>
      <c r="P12" s="56"/>
      <c r="Q12" s="56"/>
      <c r="R12" s="215"/>
      <c r="S12" s="255"/>
      <c r="T12" s="191"/>
      <c r="U12" s="191"/>
      <c r="V12" s="56"/>
      <c r="W12" s="376"/>
      <c r="X12" s="191"/>
      <c r="Y12" s="56"/>
      <c r="Z12" s="376"/>
      <c r="AA12" s="56"/>
      <c r="AB12" s="144"/>
      <c r="AC12" s="59"/>
      <c r="AD12" s="59"/>
      <c r="AE12" s="59"/>
      <c r="AF12" s="59"/>
      <c r="AG12" s="191"/>
      <c r="AH12" s="191"/>
      <c r="AI12" s="56"/>
      <c r="AJ12" s="56"/>
      <c r="AK12" s="376"/>
      <c r="AL12" s="56"/>
      <c r="AM12" s="82"/>
      <c r="AN12" s="56"/>
    </row>
    <row r="13" spans="1:40" s="46" customFormat="1" x14ac:dyDescent="0.2">
      <c r="A13" s="50"/>
      <c r="B13" s="50"/>
      <c r="C13" s="50"/>
      <c r="D13" s="50"/>
      <c r="E13" s="106" t="s">
        <v>693</v>
      </c>
      <c r="F13" s="56" t="s">
        <v>693</v>
      </c>
      <c r="G13" s="182" t="s">
        <v>693</v>
      </c>
      <c r="H13" s="82" t="s">
        <v>693</v>
      </c>
      <c r="I13" s="56" t="s">
        <v>693</v>
      </c>
      <c r="J13" s="215" t="s">
        <v>693</v>
      </c>
      <c r="K13" s="56" t="s">
        <v>693</v>
      </c>
      <c r="L13" s="215" t="s">
        <v>693</v>
      </c>
      <c r="M13" s="56" t="s">
        <v>693</v>
      </c>
      <c r="N13" s="206" t="s">
        <v>693</v>
      </c>
      <c r="O13" s="62" t="s">
        <v>693</v>
      </c>
      <c r="P13" s="56" t="s">
        <v>693</v>
      </c>
      <c r="Q13" s="56" t="s">
        <v>693</v>
      </c>
      <c r="R13" s="215" t="s">
        <v>693</v>
      </c>
      <c r="S13" s="255" t="s">
        <v>693</v>
      </c>
      <c r="T13" s="191" t="s">
        <v>693</v>
      </c>
      <c r="U13" s="191" t="s">
        <v>693</v>
      </c>
      <c r="V13" s="56" t="s">
        <v>693</v>
      </c>
      <c r="W13" s="376" t="s">
        <v>693</v>
      </c>
      <c r="X13" s="191" t="s">
        <v>693</v>
      </c>
      <c r="Y13" s="56" t="s">
        <v>693</v>
      </c>
      <c r="Z13" s="376" t="s">
        <v>693</v>
      </c>
      <c r="AA13" s="56" t="s">
        <v>693</v>
      </c>
      <c r="AB13" s="144" t="s">
        <v>693</v>
      </c>
      <c r="AC13" s="59" t="s">
        <v>693</v>
      </c>
      <c r="AD13" s="59" t="s">
        <v>693</v>
      </c>
      <c r="AE13" s="59" t="s">
        <v>693</v>
      </c>
      <c r="AF13" s="59" t="s">
        <v>693</v>
      </c>
      <c r="AG13" s="191" t="s">
        <v>693</v>
      </c>
      <c r="AH13" s="191" t="s">
        <v>693</v>
      </c>
      <c r="AI13" s="56" t="s">
        <v>693</v>
      </c>
      <c r="AJ13" s="56" t="s">
        <v>693</v>
      </c>
      <c r="AK13" s="376" t="s">
        <v>693</v>
      </c>
      <c r="AL13" s="56" t="s">
        <v>693</v>
      </c>
      <c r="AM13" s="82" t="s">
        <v>693</v>
      </c>
      <c r="AN13" s="56" t="s">
        <v>693</v>
      </c>
    </row>
    <row r="14" spans="1:40" s="46" customFormat="1" x14ac:dyDescent="0.2">
      <c r="A14" s="36" t="s">
        <v>583</v>
      </c>
      <c r="B14" s="36" t="s">
        <v>5</v>
      </c>
      <c r="C14" s="36" t="s">
        <v>72</v>
      </c>
      <c r="D14" s="36" t="s">
        <v>75</v>
      </c>
      <c r="E14" s="232" t="s">
        <v>773</v>
      </c>
      <c r="F14" s="155" t="s">
        <v>774</v>
      </c>
      <c r="G14" s="181" t="s">
        <v>775</v>
      </c>
      <c r="H14" s="157" t="s">
        <v>459</v>
      </c>
      <c r="I14" s="155" t="s">
        <v>896</v>
      </c>
      <c r="J14" s="157" t="s">
        <v>460</v>
      </c>
      <c r="K14" s="155" t="s">
        <v>461</v>
      </c>
      <c r="L14" s="157" t="s">
        <v>442</v>
      </c>
      <c r="M14" s="155" t="s">
        <v>443</v>
      </c>
      <c r="N14" s="157" t="s">
        <v>610</v>
      </c>
      <c r="O14" s="76" t="s">
        <v>611</v>
      </c>
      <c r="P14" s="155" t="s">
        <v>453</v>
      </c>
      <c r="Q14" s="155" t="s">
        <v>612</v>
      </c>
      <c r="R14" s="157" t="s">
        <v>451</v>
      </c>
      <c r="S14" s="231" t="s">
        <v>613</v>
      </c>
      <c r="T14" s="192" t="s">
        <v>615</v>
      </c>
      <c r="U14" s="192" t="s">
        <v>614</v>
      </c>
      <c r="V14" s="155" t="s">
        <v>452</v>
      </c>
      <c r="W14" s="317" t="s">
        <v>454</v>
      </c>
      <c r="X14" s="192" t="s">
        <v>455</v>
      </c>
      <c r="Y14" s="155" t="s">
        <v>456</v>
      </c>
      <c r="Z14" s="317" t="s">
        <v>457</v>
      </c>
      <c r="AA14" s="155" t="s">
        <v>458</v>
      </c>
      <c r="AB14" s="317" t="s">
        <v>616</v>
      </c>
      <c r="AC14" s="76" t="s">
        <v>617</v>
      </c>
      <c r="AD14" s="76" t="s">
        <v>618</v>
      </c>
      <c r="AE14" s="76" t="s">
        <v>729</v>
      </c>
      <c r="AF14" s="76" t="s">
        <v>730</v>
      </c>
      <c r="AG14" s="192" t="s">
        <v>619</v>
      </c>
      <c r="AH14" s="192" t="s">
        <v>620</v>
      </c>
      <c r="AI14" s="155" t="s">
        <v>446</v>
      </c>
      <c r="AJ14" s="155" t="s">
        <v>447</v>
      </c>
      <c r="AK14" s="317" t="s">
        <v>448</v>
      </c>
      <c r="AL14" s="155" t="s">
        <v>449</v>
      </c>
      <c r="AM14" s="157" t="s">
        <v>609</v>
      </c>
      <c r="AN14" s="155" t="s">
        <v>450</v>
      </c>
    </row>
    <row r="15" spans="1:40" s="24" customFormat="1" x14ac:dyDescent="0.2">
      <c r="A15" s="37"/>
      <c r="B15" s="37"/>
      <c r="C15" s="37"/>
      <c r="D15" s="37" t="str">
        <f>B15&amp;"|"&amp;C15</f>
        <v>|</v>
      </c>
      <c r="E15" s="106"/>
      <c r="F15" s="56"/>
      <c r="G15" s="182"/>
      <c r="H15" s="82"/>
      <c r="I15" s="56"/>
      <c r="J15" s="82"/>
      <c r="K15" s="56"/>
      <c r="L15" s="106"/>
      <c r="M15" s="68"/>
      <c r="N15" s="96"/>
      <c r="O15" s="63"/>
      <c r="P15" s="56"/>
      <c r="Q15" s="68" t="str">
        <f>IF(SUM($O15,$P15)=0,"",$P15-$O15)</f>
        <v/>
      </c>
      <c r="R15" s="96"/>
      <c r="S15" s="230" t="str">
        <f>IF(SUM($Q15)=0,"",100%)</f>
        <v/>
      </c>
      <c r="T15" s="20" t="str">
        <f>IF(SUM($P15)=0,"",98%)</f>
        <v/>
      </c>
      <c r="U15" s="20" t="str">
        <f>IF(SUM($P15)=0,"",98%)</f>
        <v/>
      </c>
      <c r="V15" s="56" t="str">
        <f>IF(SUM($P15)=0,"",ROUND(($P15-($O15*$T15))/$U15,0))</f>
        <v/>
      </c>
      <c r="W15" s="146" t="str">
        <f>IF(SUM($V15)=0,"",70%)</f>
        <v/>
      </c>
      <c r="X15" s="39" t="str">
        <f>IF(SUM($V15)=0,"",100%)</f>
        <v/>
      </c>
      <c r="Y15" s="56" t="str">
        <f>IF(SUM($V15,$O15)=0,"",ROUND(($V15*$W15+$O15)*$X15,0))</f>
        <v/>
      </c>
      <c r="Z15" s="146" t="str">
        <f>IF(SUM($Y15)=0,"",95%)</f>
        <v/>
      </c>
      <c r="AA15" s="56" t="str">
        <f>IF(SUM($Y15)=0,"",ROUND($Y15*$Z15,0))</f>
        <v/>
      </c>
      <c r="AB15" s="144" t="str">
        <f>IF(SUM($V15)=0,"",0%)</f>
        <v/>
      </c>
      <c r="AC15" s="59" t="str">
        <f>IF(OR(SUM($V15)=0,SUM($AB15)=0),"",ROUND($V15*$AB15,0))</f>
        <v/>
      </c>
      <c r="AD15" s="59" t="str">
        <f>IF(SUM($V15)=0,"",$V15-SUM($AC15))</f>
        <v/>
      </c>
      <c r="AE15" s="59"/>
      <c r="AF15" s="59"/>
      <c r="AG15" s="20" t="str">
        <f>IF(SUM($AD15)=0,"",95%)</f>
        <v/>
      </c>
      <c r="AH15" s="20"/>
      <c r="AI15" s="56" t="str">
        <f>IF(SUM($AD15)=0,"",ROUND($AD15/$AG15,0))</f>
        <v/>
      </c>
      <c r="AJ15" s="56" t="str">
        <f>IF(SUM($AI15)=0,"",ROUND($AI15/$AH15-$AI15,0))</f>
        <v/>
      </c>
      <c r="AK15" s="144" t="str">
        <f>IF(SUM($AI15)=0,"",100%)</f>
        <v/>
      </c>
      <c r="AL15" s="56" t="str">
        <f>IF(SUM($AI15)=0,"",ROUND($AI15*$AK15,0))</f>
        <v/>
      </c>
      <c r="AM15" s="82"/>
      <c r="AN15" s="56"/>
    </row>
  </sheetData>
  <conditionalFormatting sqref="X1:X1048576">
    <cfRule type="expression" dxfId="263" priority="31">
      <formula>AND(ISNUMBER($X1),ROUND(SUM($Y1),0)&gt;0,ROUND(SUM($X1),2)&lt;1)</formula>
    </cfRule>
  </conditionalFormatting>
  <conditionalFormatting sqref="Z1:Z1048576">
    <cfRule type="expression" dxfId="262" priority="32">
      <formula>AND(ISNUMBER($Z1),SUM($Y1)&gt;0,ROUND(SUM($Z1),2)&lt;95%)</formula>
    </cfRule>
  </conditionalFormatting>
  <conditionalFormatting sqref="AK1:AK1048576">
    <cfRule type="expression" dxfId="261" priority="30">
      <formula>AND(ISNUMBER($AK1),SUM($AI1)&gt;0,ROUND(SUM($AK1),2)&lt;1)</formula>
    </cfRule>
  </conditionalFormatting>
  <conditionalFormatting sqref="E1:G1048576">
    <cfRule type="expression" dxfId="260" priority="17">
      <formula>LEFT($B1,4)="_Mil"</formula>
    </cfRule>
  </conditionalFormatting>
  <conditionalFormatting sqref="W1:W1048576">
    <cfRule type="expression" dxfId="259" priority="11">
      <formula>AND(ISNUMBER($W1),ROUND(SUM($V1),0)&gt;0,ROUND(SUM($W1),2)&lt;70%)</formula>
    </cfRule>
  </conditionalFormatting>
  <conditionalFormatting sqref="AG1:AG1048576">
    <cfRule type="expression" dxfId="258" priority="10">
      <formula>AND(ISNUMBER($AG1),ROUND(SUM($V1),0)&gt;0,ROUND(SUM($AG1),2)&lt;95%)</formula>
    </cfRule>
  </conditionalFormatting>
  <conditionalFormatting sqref="U1:U1048576">
    <cfRule type="expression" dxfId="257" priority="8">
      <formula>AND(ISNUMBER($U1),SUM($V1)&gt;0,ROUND(SUM($U1),2)&lt;98%)</formula>
    </cfRule>
  </conditionalFormatting>
  <conditionalFormatting sqref="S1:S1048576">
    <cfRule type="expression" dxfId="256" priority="4">
      <formula>AND(ISNUMBER($S1),ROUND(SUM($S1),2)&lt;100%)</formula>
    </cfRule>
  </conditionalFormatting>
  <conditionalFormatting sqref="AB1:AB1048576">
    <cfRule type="expression" dxfId="255" priority="5">
      <formula>AND(ISNUMBER($AB1),ROUND(SUM($V1),0)&gt;0,ROUND(SUM($AB1),2)&gt;0)</formula>
    </cfRule>
  </conditionalFormatting>
  <conditionalFormatting sqref="E1:F1048576 H1:R1048576 V1:V1048576 Y1:Y1048576 AA1:AA1048576 AC1:AF1048576 AI1:AJ1048576 AL1:AN1048576">
    <cfRule type="expression" dxfId="254" priority="2">
      <formula>AND(ISNUMBER(E1),ROUND(E1,0)&lt;0)</formula>
    </cfRule>
  </conditionalFormatting>
  <conditionalFormatting sqref="G1:G1048576 S1:U1048576 W1:X1048576 Z1:Z1048576 AB1:AB1048576 AG1:AH1048576 AK1:AK1048576">
    <cfRule type="expression" dxfId="253" priority="1">
      <formula>AND(ISNUMBER(G1),OR(ROUND(G1,2)&lt;0,ROUND(G1,2)&gt;1))</formula>
    </cfRule>
  </conditionalFormatting>
  <conditionalFormatting sqref="T1:T1048576">
    <cfRule type="expression" dxfId="252"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AZ15" activePane="bottomRight" state="frozen"/>
      <selection pane="topRight"/>
      <selection pane="bottomLeft"/>
      <selection pane="bottomRight" activeCell="BC1" sqref="BC1:BC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77" customWidth="1"/>
    <col min="7" max="15" width="11.83203125" customWidth="1"/>
    <col min="16" max="16" width="11.83203125" style="377" customWidth="1"/>
    <col min="17" max="33" width="11.83203125" customWidth="1"/>
    <col min="34" max="34" width="11.83203125" style="377" customWidth="1"/>
    <col min="35" max="36" width="11.83203125" customWidth="1"/>
    <col min="37" max="37" width="11.83203125" style="377" customWidth="1"/>
    <col min="38" max="39" width="11.83203125" customWidth="1"/>
    <col min="40" max="40" width="11.83203125" style="377" customWidth="1"/>
    <col min="41" max="42" width="11.83203125" customWidth="1"/>
    <col min="43" max="43" width="11.83203125" style="377" customWidth="1"/>
    <col min="44" max="45" width="11.83203125" customWidth="1"/>
    <col min="46" max="46" width="11.83203125" style="377" customWidth="1"/>
    <col min="47" max="48" width="11.83203125" customWidth="1"/>
    <col min="49" max="49" width="11.83203125" style="377" customWidth="1"/>
    <col min="50" max="51" width="11.83203125" customWidth="1"/>
    <col min="52" max="52" width="11.83203125" style="377" customWidth="1"/>
    <col min="53" max="54" width="11.83203125" customWidth="1"/>
    <col min="55" max="55" width="11.83203125" style="377" customWidth="1"/>
    <col min="56" max="57" width="11.83203125" customWidth="1"/>
    <col min="58" max="58" width="11.83203125" style="377" customWidth="1"/>
    <col min="59" max="60" width="11.83203125" customWidth="1"/>
    <col min="61" max="61" width="11.83203125" style="377" customWidth="1"/>
    <col min="62" max="63" width="11.83203125" customWidth="1"/>
    <col min="64" max="64" width="11.83203125" style="377" customWidth="1"/>
    <col min="65" max="66" width="11.83203125" customWidth="1"/>
    <col min="67" max="67" width="11.83203125" style="377" customWidth="1"/>
    <col min="68" max="78" width="11.83203125" customWidth="1"/>
    <col min="79" max="79" width="11.83203125" style="377" customWidth="1"/>
    <col min="80" max="81" width="11.83203125" customWidth="1"/>
  </cols>
  <sheetData>
    <row r="1" spans="1:81" s="41" customFormat="1" ht="31" customHeight="1" thickBot="1" x14ac:dyDescent="0.35">
      <c r="A1" s="5" t="s">
        <v>10</v>
      </c>
      <c r="B1" s="5"/>
      <c r="C1" s="1"/>
      <c r="D1" s="1"/>
      <c r="E1" s="1"/>
      <c r="F1" s="224" t="s">
        <v>599</v>
      </c>
      <c r="G1" s="319"/>
      <c r="H1" s="114"/>
      <c r="I1" s="114"/>
      <c r="J1" s="114"/>
      <c r="K1" s="114"/>
      <c r="L1" s="114"/>
      <c r="M1" s="114"/>
      <c r="N1" s="114"/>
      <c r="O1" s="114"/>
      <c r="P1" s="224" t="s">
        <v>58</v>
      </c>
      <c r="Q1" s="226"/>
      <c r="R1" s="226"/>
      <c r="S1" s="226"/>
      <c r="T1" s="226"/>
      <c r="U1" s="226"/>
      <c r="V1" s="29"/>
      <c r="W1" s="29"/>
      <c r="X1" s="29"/>
      <c r="Y1" s="29"/>
      <c r="Z1" s="29"/>
      <c r="AA1" s="29"/>
      <c r="AB1" s="29"/>
      <c r="AC1" s="29"/>
      <c r="AD1" s="226"/>
      <c r="AE1" s="226"/>
      <c r="AF1" s="29"/>
      <c r="AG1" s="29"/>
      <c r="AH1" s="224" t="s">
        <v>62</v>
      </c>
      <c r="AI1" s="51"/>
      <c r="AJ1" s="51"/>
      <c r="AK1" s="224" t="s">
        <v>64</v>
      </c>
      <c r="AL1" s="51"/>
      <c r="AM1" s="51"/>
      <c r="AN1" s="224" t="s">
        <v>63</v>
      </c>
      <c r="AO1" s="51"/>
      <c r="AP1" s="51"/>
      <c r="AQ1" s="224" t="s">
        <v>65</v>
      </c>
      <c r="AR1" s="51"/>
      <c r="AS1" s="51"/>
      <c r="AT1" s="224" t="s">
        <v>61</v>
      </c>
      <c r="AU1" s="51"/>
      <c r="AV1" s="51"/>
      <c r="AW1" s="224" t="s">
        <v>67</v>
      </c>
      <c r="AX1" s="51"/>
      <c r="AY1" s="51"/>
      <c r="AZ1" s="224" t="s">
        <v>66</v>
      </c>
      <c r="BA1" s="51"/>
      <c r="BB1" s="51"/>
      <c r="BC1" s="224" t="s">
        <v>914</v>
      </c>
      <c r="BD1" s="51"/>
      <c r="BE1" s="51"/>
      <c r="BF1" s="224" t="s">
        <v>54</v>
      </c>
      <c r="BG1" s="51"/>
      <c r="BH1" s="51"/>
      <c r="BI1" s="224" t="s">
        <v>910</v>
      </c>
      <c r="BJ1" s="51"/>
      <c r="BK1" s="51"/>
      <c r="BL1" s="224" t="s">
        <v>60</v>
      </c>
      <c r="BM1" s="51"/>
      <c r="BN1" s="51"/>
      <c r="BO1" s="94" t="s">
        <v>254</v>
      </c>
      <c r="BP1" s="98"/>
      <c r="BQ1" s="98"/>
      <c r="BR1" s="98"/>
      <c r="BS1" s="98"/>
      <c r="BT1" s="98"/>
      <c r="BU1" s="98"/>
      <c r="BV1" s="98"/>
      <c r="BW1" s="98"/>
      <c r="BX1" s="98"/>
      <c r="BY1" s="98"/>
      <c r="BZ1" s="19"/>
      <c r="CA1" s="94" t="s">
        <v>53</v>
      </c>
      <c r="CB1" s="29"/>
      <c r="CC1" s="51"/>
    </row>
    <row r="2" spans="1:81" s="40" customFormat="1" ht="19" customHeight="1" x14ac:dyDescent="0.25">
      <c r="A2" s="428" t="s">
        <v>761</v>
      </c>
      <c r="B2" s="425"/>
      <c r="C2" s="2"/>
      <c r="D2" s="2"/>
      <c r="E2" s="2"/>
      <c r="F2" s="225" t="s">
        <v>73</v>
      </c>
      <c r="G2" s="227"/>
      <c r="H2" s="138"/>
      <c r="I2" s="138"/>
      <c r="J2" s="138"/>
      <c r="K2" s="138"/>
      <c r="L2" s="138"/>
      <c r="M2" s="138"/>
      <c r="N2" s="138"/>
      <c r="O2" s="138"/>
      <c r="P2" s="225" t="s">
        <v>73</v>
      </c>
      <c r="Q2" s="227"/>
      <c r="R2" s="227"/>
      <c r="S2" s="227"/>
      <c r="T2" s="227"/>
      <c r="U2" s="227"/>
      <c r="V2" s="18" t="s">
        <v>2</v>
      </c>
      <c r="W2" s="18"/>
      <c r="X2" s="18"/>
      <c r="Y2" s="18"/>
      <c r="Z2" s="18"/>
      <c r="AA2" s="18"/>
      <c r="AB2" s="18"/>
      <c r="AC2" s="18"/>
      <c r="AD2" s="227"/>
      <c r="AE2" s="227"/>
      <c r="AF2" s="18"/>
      <c r="AG2" s="18" t="s">
        <v>59</v>
      </c>
      <c r="AH2" s="225" t="s">
        <v>2</v>
      </c>
      <c r="AI2" s="52" t="s">
        <v>3</v>
      </c>
      <c r="AJ2" s="52"/>
      <c r="AK2" s="225" t="s">
        <v>2</v>
      </c>
      <c r="AL2" s="52" t="s">
        <v>3</v>
      </c>
      <c r="AM2" s="52"/>
      <c r="AN2" s="225" t="s">
        <v>2</v>
      </c>
      <c r="AO2" s="52" t="s">
        <v>3</v>
      </c>
      <c r="AP2" s="52"/>
      <c r="AQ2" s="225" t="s">
        <v>2</v>
      </c>
      <c r="AR2" s="52" t="s">
        <v>3</v>
      </c>
      <c r="AS2" s="52"/>
      <c r="AT2" s="225" t="s">
        <v>2</v>
      </c>
      <c r="AU2" s="52" t="s">
        <v>3</v>
      </c>
      <c r="AV2" s="52"/>
      <c r="AW2" s="225" t="s">
        <v>2</v>
      </c>
      <c r="AX2" s="52" t="s">
        <v>3</v>
      </c>
      <c r="AY2" s="52"/>
      <c r="AZ2" s="225" t="s">
        <v>2</v>
      </c>
      <c r="BA2" s="52" t="s">
        <v>3</v>
      </c>
      <c r="BB2" s="52"/>
      <c r="BC2" s="225" t="s">
        <v>2</v>
      </c>
      <c r="BD2" s="52" t="s">
        <v>3</v>
      </c>
      <c r="BE2" s="52"/>
      <c r="BF2" s="225" t="s">
        <v>2</v>
      </c>
      <c r="BG2" s="52" t="s">
        <v>3</v>
      </c>
      <c r="BH2" s="52"/>
      <c r="BI2" s="225" t="s">
        <v>2</v>
      </c>
      <c r="BJ2" s="52" t="s">
        <v>3</v>
      </c>
      <c r="BK2" s="52"/>
      <c r="BL2" s="225" t="s">
        <v>2</v>
      </c>
      <c r="BM2" s="52" t="s">
        <v>3</v>
      </c>
      <c r="BN2" s="52"/>
      <c r="BO2" s="95" t="s">
        <v>59</v>
      </c>
      <c r="BP2" s="251"/>
      <c r="BQ2" s="99"/>
      <c r="BR2" s="99" t="s">
        <v>73</v>
      </c>
      <c r="BS2" s="99"/>
      <c r="BT2" s="99"/>
      <c r="BU2" s="99"/>
      <c r="BV2" s="99"/>
      <c r="BW2" s="99"/>
      <c r="BX2" s="251" t="s">
        <v>3</v>
      </c>
      <c r="BY2" s="251"/>
      <c r="BZ2" s="18"/>
      <c r="CA2" s="92" t="s">
        <v>73</v>
      </c>
      <c r="CB2" s="18" t="s">
        <v>2</v>
      </c>
      <c r="CC2" s="52" t="s">
        <v>3</v>
      </c>
    </row>
    <row r="3" spans="1:81" s="24" customFormat="1" ht="117" customHeight="1" thickBot="1" x14ac:dyDescent="0.25">
      <c r="A3" s="426"/>
      <c r="B3" s="427"/>
      <c r="C3" s="31"/>
      <c r="D3" s="31"/>
      <c r="E3" s="31"/>
      <c r="F3" s="243" t="s">
        <v>800</v>
      </c>
      <c r="G3" s="242" t="s">
        <v>1082</v>
      </c>
      <c r="H3" s="241" t="s">
        <v>793</v>
      </c>
      <c r="I3" s="241" t="s">
        <v>1004</v>
      </c>
      <c r="J3" s="241" t="s">
        <v>1005</v>
      </c>
      <c r="K3" s="241" t="s">
        <v>841</v>
      </c>
      <c r="L3" s="241" t="s">
        <v>842</v>
      </c>
      <c r="M3" s="241" t="s">
        <v>843</v>
      </c>
      <c r="N3" s="241" t="s">
        <v>844</v>
      </c>
      <c r="O3" s="241" t="s">
        <v>845</v>
      </c>
      <c r="P3" s="243" t="s">
        <v>783</v>
      </c>
      <c r="Q3" s="242" t="s">
        <v>782</v>
      </c>
      <c r="R3" s="242" t="s">
        <v>727</v>
      </c>
      <c r="S3" s="242" t="s">
        <v>726</v>
      </c>
      <c r="T3" s="242" t="s">
        <v>725</v>
      </c>
      <c r="U3" s="242" t="s">
        <v>724</v>
      </c>
      <c r="V3" s="244" t="s">
        <v>83</v>
      </c>
      <c r="W3" s="244" t="s">
        <v>85</v>
      </c>
      <c r="X3" s="244" t="s">
        <v>84</v>
      </c>
      <c r="Y3" s="244" t="s">
        <v>86</v>
      </c>
      <c r="Z3" s="244" t="s">
        <v>82</v>
      </c>
      <c r="AA3" s="244" t="s">
        <v>88</v>
      </c>
      <c r="AB3" s="244" t="s">
        <v>87</v>
      </c>
      <c r="AC3" s="244" t="s">
        <v>998</v>
      </c>
      <c r="AD3" s="245" t="s">
        <v>80</v>
      </c>
      <c r="AE3" s="245" t="s">
        <v>999</v>
      </c>
      <c r="AF3" s="244" t="s">
        <v>81</v>
      </c>
      <c r="AG3" s="335" t="s">
        <v>89</v>
      </c>
      <c r="AH3" s="338" t="s">
        <v>55</v>
      </c>
      <c r="AI3" s="54" t="s">
        <v>56</v>
      </c>
      <c r="AJ3" s="53" t="s">
        <v>57</v>
      </c>
      <c r="AK3" s="338" t="s">
        <v>55</v>
      </c>
      <c r="AL3" s="54" t="s">
        <v>56</v>
      </c>
      <c r="AM3" s="53" t="s">
        <v>57</v>
      </c>
      <c r="AN3" s="338" t="s">
        <v>55</v>
      </c>
      <c r="AO3" s="54" t="s">
        <v>56</v>
      </c>
      <c r="AP3" s="53" t="s">
        <v>57</v>
      </c>
      <c r="AQ3" s="338" t="s">
        <v>55</v>
      </c>
      <c r="AR3" s="54" t="s">
        <v>56</v>
      </c>
      <c r="AS3" s="53" t="s">
        <v>57</v>
      </c>
      <c r="AT3" s="338" t="s">
        <v>55</v>
      </c>
      <c r="AU3" s="54" t="s">
        <v>56</v>
      </c>
      <c r="AV3" s="53" t="s">
        <v>57</v>
      </c>
      <c r="AW3" s="338" t="s">
        <v>55</v>
      </c>
      <c r="AX3" s="54" t="s">
        <v>56</v>
      </c>
      <c r="AY3" s="53" t="s">
        <v>57</v>
      </c>
      <c r="AZ3" s="338" t="s">
        <v>55</v>
      </c>
      <c r="BA3" s="54" t="s">
        <v>56</v>
      </c>
      <c r="BB3" s="53" t="s">
        <v>57</v>
      </c>
      <c r="BC3" s="338" t="s">
        <v>55</v>
      </c>
      <c r="BD3" s="54" t="s">
        <v>56</v>
      </c>
      <c r="BE3" s="53" t="s">
        <v>57</v>
      </c>
      <c r="BF3" s="338" t="s">
        <v>55</v>
      </c>
      <c r="BG3" s="54" t="s">
        <v>56</v>
      </c>
      <c r="BH3" s="53" t="s">
        <v>57</v>
      </c>
      <c r="BI3" s="338" t="s">
        <v>55</v>
      </c>
      <c r="BJ3" s="54" t="s">
        <v>56</v>
      </c>
      <c r="BK3" s="53" t="s">
        <v>57</v>
      </c>
      <c r="BL3" s="338" t="s">
        <v>55</v>
      </c>
      <c r="BM3" s="54" t="s">
        <v>56</v>
      </c>
      <c r="BN3" s="53" t="s">
        <v>57</v>
      </c>
      <c r="BO3" s="237" t="s">
        <v>1062</v>
      </c>
      <c r="BP3" s="235" t="s">
        <v>1009</v>
      </c>
      <c r="BQ3" s="100" t="s">
        <v>263</v>
      </c>
      <c r="BR3" s="241" t="s">
        <v>1002</v>
      </c>
      <c r="BS3" s="241" t="s">
        <v>1003</v>
      </c>
      <c r="BT3" s="241" t="s">
        <v>846</v>
      </c>
      <c r="BU3" s="241" t="s">
        <v>847</v>
      </c>
      <c r="BV3" s="241" t="s">
        <v>848</v>
      </c>
      <c r="BW3" s="241" t="s">
        <v>849</v>
      </c>
      <c r="BX3" s="235" t="s">
        <v>1061</v>
      </c>
      <c r="BY3" s="235" t="s">
        <v>1060</v>
      </c>
      <c r="BZ3" s="335" t="s">
        <v>1059</v>
      </c>
      <c r="CA3" s="128" t="s">
        <v>1032</v>
      </c>
      <c r="CB3" s="32" t="s">
        <v>260</v>
      </c>
      <c r="CC3" s="53" t="s">
        <v>850</v>
      </c>
    </row>
    <row r="4" spans="1:81" s="24" customFormat="1" x14ac:dyDescent="0.2">
      <c r="A4" s="33"/>
      <c r="B4" s="33"/>
      <c r="C4" s="33"/>
      <c r="D4" s="33" t="s">
        <v>4</v>
      </c>
      <c r="E4" s="33"/>
      <c r="F4" s="143"/>
      <c r="G4" s="229"/>
      <c r="H4" s="101">
        <f>SUBTOTAL(109,H$15:INDEX(H:H,COUNTA($B:$B)+14-COUNTA($B$1:$B$14)))</f>
        <v>0</v>
      </c>
      <c r="I4" s="101">
        <f>SUBTOTAL(109,I$15:INDEX(I:I,COUNTA($B:$B)+14-COUNTA($B$1:$B$14)))</f>
        <v>0</v>
      </c>
      <c r="J4" s="101">
        <f>SUBTOTAL(109,J$15:INDEX(J:J,COUNTA($B:$B)+14-COUNTA($B$1:$B$14)))</f>
        <v>0</v>
      </c>
      <c r="K4" s="101">
        <f>SUBTOTAL(109,K$15:INDEX(K:K,COUNTA($B:$B)+14-COUNTA($B$1:$B$14)))</f>
        <v>0</v>
      </c>
      <c r="L4" s="101">
        <f>SUBTOTAL(109,L$15:INDEX(L:L,COUNTA($B:$B)+14-COUNTA($B$1:$B$14)))</f>
        <v>0</v>
      </c>
      <c r="M4" s="101">
        <f>SUBTOTAL(109,M$15:INDEX(M:M,COUNTA($B:$B)+14-COUNTA($B$1:$B$14)))</f>
        <v>0</v>
      </c>
      <c r="N4" s="101">
        <f>SUBTOTAL(109,N$15:INDEX(N:N,COUNTA($B:$B)+14-COUNTA($B$1:$B$14)))</f>
        <v>0</v>
      </c>
      <c r="O4" s="101">
        <f>SUBTOTAL(109,O$15:INDEX(O:O,COUNTA($B:$B)+14-COUNTA($B$1:$B$14)))</f>
        <v>0</v>
      </c>
      <c r="P4" s="143" t="str">
        <f>IF(OR(SUM($I$4)=0,SUM($H$4)=0),"",SUM($I$4)/SUM($H$4))</f>
        <v/>
      </c>
      <c r="Q4" s="229" t="str">
        <f>IF(OR(SUM($J$4)=0,SUM($H$4)=0),"",SUM($J$4)/SUM($H$4))</f>
        <v/>
      </c>
      <c r="R4" s="229" t="str">
        <f>IF(OR(SUM($H$4)=0,SUM($K$4)=0),"",SUM($K$4)/SUM($H$4))</f>
        <v/>
      </c>
      <c r="S4" s="229" t="str">
        <f>IF(OR(SUM($H$4)=0,SUM($L$4)=0),"",SUM($L$4)/SUM($H$4))</f>
        <v/>
      </c>
      <c r="T4" s="229" t="str">
        <f>IF(OR(SUM($H$4)=0,SUM($M$4)=0),"",SUM($M$4)/SUM($H$4))</f>
        <v/>
      </c>
      <c r="U4" s="229" t="str">
        <f>IF(OR(SUM($H$4)=0,SUM($N$4)=0),"",SUM($N$4)/SUM($H$4))</f>
        <v/>
      </c>
      <c r="V4" s="34" t="str">
        <f>IF(OR(SUM($H$4)=0,SUM($AI$4)=0),"",SUM($AI$4)/SUM($H$4))</f>
        <v/>
      </c>
      <c r="W4" s="34" t="str">
        <f>IF(OR(SUM($H$4)=0,SUM($AL$4)=0),"",SUM($AL$4)/SUM($H$4))</f>
        <v/>
      </c>
      <c r="X4" s="34" t="str">
        <f>IF(OR(SUM($H$4)=0,SUM($AO$4)=0),"",SUM($AO$4)/SUM($H$4))</f>
        <v/>
      </c>
      <c r="Y4" s="34" t="str">
        <f>IF(OR(SUM($H$4)=0,SUM($AR$4)=0),"",SUM($AR$4)/SUM($H$4))</f>
        <v/>
      </c>
      <c r="Z4" s="34" t="str">
        <f>IF(OR(SUM($H$4)=0,SUM($AU$4)=0),"",SUM($AU$4)/SUM($H$4))</f>
        <v/>
      </c>
      <c r="AA4" s="34" t="str">
        <f>IF(OR(SUM($H$4)=0,SUM($AX$4)=0),"",SUM($AX$4)/SUM($H$4))</f>
        <v/>
      </c>
      <c r="AB4" s="34" t="str">
        <f>IF(OR(SUM($H$4)=0,SUM($BA$4)=0),"",SUM($BA$4)/SUM($H$4))</f>
        <v/>
      </c>
      <c r="AC4" s="34" t="str">
        <f>IF(OR(SUM($H$4)=0,SUM($BD$4)=0),"",SUM($BD$4)/SUM($H$4))</f>
        <v/>
      </c>
      <c r="AD4" s="229" t="str">
        <f>IF(OR(SUM($H$4)=0,SUM($BG$4)=0),"",SUM($BG$4)/SUM($H$4))</f>
        <v/>
      </c>
      <c r="AE4" s="229" t="str">
        <f>IF(OR(SUM($H$4)=0,SUM($BJ$4)=0),"",SUM($BJ$4)/SUM($H$4))</f>
        <v/>
      </c>
      <c r="AF4" s="34" t="str">
        <f>IF(OR(SUM($H$4)=0,SUM($BM$4)=0),"",SUM($BM$4)/SUM($H$4))</f>
        <v/>
      </c>
      <c r="AG4" s="34">
        <f>SUM($P4:$AF4)</f>
        <v>0</v>
      </c>
      <c r="AH4" s="143" t="str">
        <f>IF(SUM(AI4:AJ4)=0,"",AI4/(SUM(AI4:AJ4)))</f>
        <v/>
      </c>
      <c r="AI4" s="55">
        <f>SUBTOTAL(109,AI$15:INDEX(AI:AI,COUNTA($B:$B)+14-COUNTA($B$1:$B$14)))</f>
        <v>0</v>
      </c>
      <c r="AJ4" s="55">
        <f>SUBTOTAL(109,AJ$15:INDEX(AJ:AJ,COUNTA($B:$B)+14-COUNTA($B$1:$B$14)))</f>
        <v>0</v>
      </c>
      <c r="AK4" s="143" t="str">
        <f>IF(SUM(AL4:AM4)=0,"",AL4/(SUM(AL4:AM4)))</f>
        <v/>
      </c>
      <c r="AL4" s="55">
        <f>SUBTOTAL(109,AL$15:INDEX(AL:AL,COUNTA($B:$B)+14-COUNTA($B$1:$B$14)))</f>
        <v>0</v>
      </c>
      <c r="AM4" s="55">
        <f>SUBTOTAL(109,AM$15:INDEX(AM:AM,COUNTA($B:$B)+14-COUNTA($B$1:$B$14)))</f>
        <v>0</v>
      </c>
      <c r="AN4" s="143" t="str">
        <f>IF(SUM(AO4:AP4)=0,"",AO4/(SUM(AO4:AP4)))</f>
        <v/>
      </c>
      <c r="AO4" s="55">
        <f>SUBTOTAL(109,AO$15:INDEX(AO:AO,COUNTA($B:$B)+14-COUNTA($B$1:$B$14)))</f>
        <v>0</v>
      </c>
      <c r="AP4" s="55">
        <f>SUBTOTAL(109,AP$15:INDEX(AP:AP,COUNTA($B:$B)+14-COUNTA($B$1:$B$14)))</f>
        <v>0</v>
      </c>
      <c r="AQ4" s="143" t="str">
        <f>IF(SUM(AR4:AS4)=0,"",AR4/(SUM(AR4:AS4)))</f>
        <v/>
      </c>
      <c r="AR4" s="55">
        <f>SUBTOTAL(109,AR$15:INDEX(AR:AR,COUNTA($B:$B)+14-COUNTA($B$1:$B$14)))</f>
        <v>0</v>
      </c>
      <c r="AS4" s="55">
        <f>SUBTOTAL(109,AS$15:INDEX(AS:AS,COUNTA($B:$B)+14-COUNTA($B$1:$B$14)))</f>
        <v>0</v>
      </c>
      <c r="AT4" s="143" t="str">
        <f>IF(SUM(AU4:AV4)=0,"",AU4/(SUM(AU4:AV4)))</f>
        <v/>
      </c>
      <c r="AU4" s="55">
        <f>SUBTOTAL(109,AU$15:INDEX(AU:AU,COUNTA($B:$B)+14-COUNTA($B$1:$B$14)))</f>
        <v>0</v>
      </c>
      <c r="AV4" s="55">
        <f>SUBTOTAL(109,AV$15:INDEX(AV:AV,COUNTA($B:$B)+14-COUNTA($B$1:$B$14)))</f>
        <v>0</v>
      </c>
      <c r="AW4" s="143" t="str">
        <f>IF(SUM(AX4:AY4)=0,"",AX4/(SUM(AX4:AY4)))</f>
        <v/>
      </c>
      <c r="AX4" s="55">
        <f>SUBTOTAL(109,AX$15:INDEX(AX:AX,COUNTA($B:$B)+14-COUNTA($B$1:$B$14)))</f>
        <v>0</v>
      </c>
      <c r="AY4" s="55">
        <f>SUBTOTAL(109,AY$15:INDEX(AY:AY,COUNTA($B:$B)+14-COUNTA($B$1:$B$14)))</f>
        <v>0</v>
      </c>
      <c r="AZ4" s="143" t="str">
        <f>IF(SUM(BA4:BB4)=0,"",BA4/(SUM(BA4:BB4)))</f>
        <v/>
      </c>
      <c r="BA4" s="55">
        <f>SUBTOTAL(109,BA$15:INDEX(BA:BA,COUNTA($B:$B)+14-COUNTA($B$1:$B$14)))</f>
        <v>0</v>
      </c>
      <c r="BB4" s="55">
        <f>SUBTOTAL(109,BB$15:INDEX(BB:BB,COUNTA($B:$B)+14-COUNTA($B$1:$B$14)))</f>
        <v>0</v>
      </c>
      <c r="BC4" s="143" t="str">
        <f>IF(SUM(BD4:BE4)=0,"",BD4/(SUM(BD4:BE4)))</f>
        <v/>
      </c>
      <c r="BD4" s="55">
        <f>SUBTOTAL(109,BD$15:INDEX(BD:BD,COUNTA($B:$B)+14-COUNTA($B$1:$B$14)))</f>
        <v>0</v>
      </c>
      <c r="BE4" s="55">
        <f>SUBTOTAL(109,BE$15:INDEX(BE:BE,COUNTA($B:$B)+14-COUNTA($B$1:$B$14)))</f>
        <v>0</v>
      </c>
      <c r="BF4" s="143" t="str">
        <f>IF(SUM(BG4:BH4)=0,"",BG4/(SUM(BG4:BH4)))</f>
        <v/>
      </c>
      <c r="BG4" s="55">
        <f>SUBTOTAL(109,BG$15:INDEX(BG:BG,COUNTA($B:$B)+14-COUNTA($B$1:$B$14)))</f>
        <v>0</v>
      </c>
      <c r="BH4" s="55">
        <f>SUBTOTAL(109,BH$15:INDEX(BH:BH,COUNTA($B:$B)+14-COUNTA($B$1:$B$14)))</f>
        <v>0</v>
      </c>
      <c r="BI4" s="143" t="str">
        <f>IF(SUM(BJ4:BK4)=0,"",BJ4/(SUM(BJ4:BK4)))</f>
        <v/>
      </c>
      <c r="BJ4" s="55">
        <f>SUBTOTAL(109,BJ$15:INDEX(BJ:BJ,COUNTA($B:$B)+14-COUNTA($B$1:$B$14)))</f>
        <v>0</v>
      </c>
      <c r="BK4" s="55">
        <f>SUBTOTAL(109,BK$15:INDEX(BK:BK,COUNTA($B:$B)+14-COUNTA($B$1:$B$14)))</f>
        <v>0</v>
      </c>
      <c r="BL4" s="143" t="str">
        <f>IF(SUM(BM4:BN4)=0,"",BM4/(SUM(BM4:BN4)))</f>
        <v/>
      </c>
      <c r="BM4" s="55">
        <f>SUBTOTAL(109,BM$15:INDEX(BM:BM,COUNTA($B:$B)+14-COUNTA($B$1:$B$14)))</f>
        <v>0</v>
      </c>
      <c r="BN4" s="55">
        <f>SUBTOTAL(109,BN$15:INDEX(BN:BN,COUNTA($B:$B)+14-COUNTA($B$1:$B$14)))</f>
        <v>0</v>
      </c>
      <c r="BO4" s="93">
        <f>SUBTOTAL(109,BO$15:INDEX(BO:BO,COUNTA($B:$B)+14-COUNTA($B$1:$B$14)))</f>
        <v>0</v>
      </c>
      <c r="BP4" s="158">
        <f>SUBTOTAL(109,BP$15:INDEX(BP:BP,COUNTA($B:$B)+14-COUNTA($B$1:$B$14)))</f>
        <v>0</v>
      </c>
      <c r="BQ4" s="101">
        <f>SUBTOTAL(109,BQ$15:INDEX(BQ:BQ,COUNTA($B:$B)+14-COUNTA($B$1:$B$14)))</f>
        <v>0</v>
      </c>
      <c r="BR4" s="101">
        <f>SUBTOTAL(109,BR$15:INDEX(BR:BR,COUNTA($B:$B)+14-COUNTA($B$1:$B$14)))</f>
        <v>0</v>
      </c>
      <c r="BS4" s="101">
        <f>SUBTOTAL(109,BS$15:INDEX(BS:BS,COUNTA($B:$B)+14-COUNTA($B$1:$B$14)))</f>
        <v>0</v>
      </c>
      <c r="BT4" s="101">
        <f>SUBTOTAL(109,BT$15:INDEX(BT:BT,COUNTA($B:$B)+14-COUNTA($B$1:$B$14)))</f>
        <v>0</v>
      </c>
      <c r="BU4" s="101">
        <f>SUBTOTAL(109,BU$15:INDEX(BU:BU,COUNTA($B:$B)+14-COUNTA($B$1:$B$14)))</f>
        <v>0</v>
      </c>
      <c r="BV4" s="101">
        <f>SUBTOTAL(109,BV$15:INDEX(BV:BV,COUNTA($B:$B)+14-COUNTA($B$1:$B$14)))</f>
        <v>0</v>
      </c>
      <c r="BW4" s="101">
        <f>SUBTOTAL(109,BW$15:INDEX(BW:BW,COUNTA($B:$B)+14-COUNTA($B$1:$B$14)))</f>
        <v>0</v>
      </c>
      <c r="BX4" s="158">
        <f>SUBTOTAL(109,BX$15:INDEX(BX:BX,COUNTA($B:$B)+14-COUNTA($B$1:$B$14)))</f>
        <v>0</v>
      </c>
      <c r="BY4" s="55">
        <f>SUBTOTAL(109,BY$15:INDEX(BY:BY,COUNTA($B:$B)+14-COUNTA($B$1:$B$14)))</f>
        <v>0</v>
      </c>
      <c r="BZ4" s="34" t="str">
        <f>IF($BY$4=0,"",$BP$4/$BY$4)</f>
        <v/>
      </c>
      <c r="CA4" s="93">
        <f>SUBTOTAL(109,CA$15:INDEX(CA:CA,COUNTA($B:$B)+14-COUNTA($B$1:$B$14)))</f>
        <v>0</v>
      </c>
      <c r="CB4" s="34" t="str">
        <f>IF($CA$4=0,"",$CC$4/$CA$4-1)</f>
        <v/>
      </c>
      <c r="CC4" s="55">
        <f>SUBTOTAL(109,CC$15:INDEX(CC:CC,COUNTA($B:$B)+14-COUNTA($B$1:$B$14)))</f>
        <v>0</v>
      </c>
    </row>
    <row r="5" spans="1:81" s="24" customFormat="1" x14ac:dyDescent="0.2">
      <c r="A5" s="26" t="s">
        <v>98</v>
      </c>
      <c r="B5" s="26" t="s">
        <v>98</v>
      </c>
      <c r="C5" s="26" t="s">
        <v>98</v>
      </c>
      <c r="D5" s="26" t="s">
        <v>98</v>
      </c>
      <c r="E5" s="26" t="s">
        <v>98</v>
      </c>
      <c r="F5" s="144" t="s">
        <v>98</v>
      </c>
      <c r="G5" s="152" t="s">
        <v>98</v>
      </c>
      <c r="H5" s="81" t="s">
        <v>98</v>
      </c>
      <c r="I5" s="81" t="s">
        <v>98</v>
      </c>
      <c r="J5" s="81" t="s">
        <v>98</v>
      </c>
      <c r="K5" s="81" t="s">
        <v>98</v>
      </c>
      <c r="L5" s="81" t="s">
        <v>98</v>
      </c>
      <c r="M5" s="81" t="s">
        <v>98</v>
      </c>
      <c r="N5" s="81" t="s">
        <v>98</v>
      </c>
      <c r="O5" s="81" t="s">
        <v>98</v>
      </c>
      <c r="P5" s="144" t="s">
        <v>98</v>
      </c>
      <c r="Q5" s="20" t="s">
        <v>98</v>
      </c>
      <c r="R5" s="230" t="s">
        <v>98</v>
      </c>
      <c r="S5" s="20" t="s">
        <v>98</v>
      </c>
      <c r="T5" s="20" t="s">
        <v>98</v>
      </c>
      <c r="U5" s="20" t="s">
        <v>98</v>
      </c>
      <c r="V5" s="20" t="s">
        <v>98</v>
      </c>
      <c r="W5" s="20" t="s">
        <v>98</v>
      </c>
      <c r="X5" s="20" t="s">
        <v>98</v>
      </c>
      <c r="Y5" s="20" t="s">
        <v>98</v>
      </c>
      <c r="Z5" s="20" t="s">
        <v>98</v>
      </c>
      <c r="AA5" s="20" t="s">
        <v>98</v>
      </c>
      <c r="AB5" s="20" t="s">
        <v>98</v>
      </c>
      <c r="AC5" s="20" t="s">
        <v>98</v>
      </c>
      <c r="AD5" s="20" t="s">
        <v>98</v>
      </c>
      <c r="AE5" s="20" t="s">
        <v>98</v>
      </c>
      <c r="AF5" s="20" t="s">
        <v>98</v>
      </c>
      <c r="AG5" s="20" t="s">
        <v>98</v>
      </c>
      <c r="AH5" s="144" t="s">
        <v>98</v>
      </c>
      <c r="AI5" s="56" t="s">
        <v>109</v>
      </c>
      <c r="AJ5" s="56" t="s">
        <v>109</v>
      </c>
      <c r="AK5" s="144" t="s">
        <v>98</v>
      </c>
      <c r="AL5" s="56" t="s">
        <v>109</v>
      </c>
      <c r="AM5" s="56" t="s">
        <v>109</v>
      </c>
      <c r="AN5" s="144" t="s">
        <v>98</v>
      </c>
      <c r="AO5" s="56" t="s">
        <v>109</v>
      </c>
      <c r="AP5" s="56" t="s">
        <v>109</v>
      </c>
      <c r="AQ5" s="144" t="s">
        <v>98</v>
      </c>
      <c r="AR5" s="56" t="s">
        <v>109</v>
      </c>
      <c r="AS5" s="56" t="s">
        <v>109</v>
      </c>
      <c r="AT5" s="144" t="s">
        <v>98</v>
      </c>
      <c r="AU5" s="56" t="s">
        <v>109</v>
      </c>
      <c r="AV5" s="56" t="s">
        <v>109</v>
      </c>
      <c r="AW5" s="144" t="s">
        <v>98</v>
      </c>
      <c r="AX5" s="56" t="s">
        <v>109</v>
      </c>
      <c r="AY5" s="56" t="s">
        <v>109</v>
      </c>
      <c r="AZ5" s="144" t="s">
        <v>98</v>
      </c>
      <c r="BA5" s="56" t="s">
        <v>109</v>
      </c>
      <c r="BB5" s="56" t="s">
        <v>109</v>
      </c>
      <c r="BC5" s="144" t="s">
        <v>98</v>
      </c>
      <c r="BD5" s="56" t="s">
        <v>109</v>
      </c>
      <c r="BE5" s="56" t="s">
        <v>109</v>
      </c>
      <c r="BF5" s="144" t="s">
        <v>98</v>
      </c>
      <c r="BG5" s="56" t="s">
        <v>109</v>
      </c>
      <c r="BH5" s="56" t="s">
        <v>109</v>
      </c>
      <c r="BI5" s="144" t="s">
        <v>98</v>
      </c>
      <c r="BJ5" s="56" t="s">
        <v>109</v>
      </c>
      <c r="BK5" s="56" t="s">
        <v>109</v>
      </c>
      <c r="BL5" s="144" t="s">
        <v>98</v>
      </c>
      <c r="BM5" s="56" t="s">
        <v>109</v>
      </c>
      <c r="BN5" s="56" t="s">
        <v>109</v>
      </c>
      <c r="BO5" s="82" t="s">
        <v>98</v>
      </c>
      <c r="BP5" s="88" t="s">
        <v>98</v>
      </c>
      <c r="BQ5" s="81" t="s">
        <v>98</v>
      </c>
      <c r="BR5" s="81" t="s">
        <v>98</v>
      </c>
      <c r="BS5" s="81" t="s">
        <v>98</v>
      </c>
      <c r="BT5" s="81" t="s">
        <v>98</v>
      </c>
      <c r="BU5" s="81" t="s">
        <v>98</v>
      </c>
      <c r="BV5" s="81" t="s">
        <v>98</v>
      </c>
      <c r="BW5" s="81" t="s">
        <v>98</v>
      </c>
      <c r="BX5" s="88" t="s">
        <v>98</v>
      </c>
      <c r="BY5" s="56" t="s">
        <v>98</v>
      </c>
      <c r="BZ5" s="20" t="s">
        <v>98</v>
      </c>
      <c r="CA5" s="82" t="s">
        <v>109</v>
      </c>
      <c r="CB5" s="20" t="s">
        <v>98</v>
      </c>
      <c r="CC5" s="56" t="s">
        <v>109</v>
      </c>
    </row>
    <row r="6" spans="1:81" s="24" customFormat="1" x14ac:dyDescent="0.2">
      <c r="A6" s="26" t="s">
        <v>200</v>
      </c>
      <c r="B6" s="26" t="s">
        <v>200</v>
      </c>
      <c r="C6" s="26" t="s">
        <v>200</v>
      </c>
      <c r="D6" s="26" t="s">
        <v>200</v>
      </c>
      <c r="E6" s="26" t="s">
        <v>200</v>
      </c>
      <c r="F6" s="144" t="s">
        <v>93</v>
      </c>
      <c r="G6" s="152" t="s">
        <v>93</v>
      </c>
      <c r="H6" s="81" t="s">
        <v>93</v>
      </c>
      <c r="I6" s="81" t="s">
        <v>93</v>
      </c>
      <c r="J6" s="81" t="s">
        <v>93</v>
      </c>
      <c r="K6" s="81" t="s">
        <v>93</v>
      </c>
      <c r="L6" s="81" t="s">
        <v>93</v>
      </c>
      <c r="M6" s="81" t="s">
        <v>93</v>
      </c>
      <c r="N6" s="81" t="s">
        <v>93</v>
      </c>
      <c r="O6" s="81" t="s">
        <v>93</v>
      </c>
      <c r="P6" s="144" t="s">
        <v>93</v>
      </c>
      <c r="Q6" s="20" t="s">
        <v>93</v>
      </c>
      <c r="R6" s="230" t="s">
        <v>93</v>
      </c>
      <c r="S6" s="20" t="s">
        <v>93</v>
      </c>
      <c r="T6" s="20" t="s">
        <v>93</v>
      </c>
      <c r="U6" s="20" t="s">
        <v>93</v>
      </c>
      <c r="V6" s="20" t="s">
        <v>111</v>
      </c>
      <c r="W6" s="20" t="s">
        <v>111</v>
      </c>
      <c r="X6" s="20" t="s">
        <v>111</v>
      </c>
      <c r="Y6" s="20" t="s">
        <v>111</v>
      </c>
      <c r="Z6" s="20" t="s">
        <v>111</v>
      </c>
      <c r="AA6" s="20" t="s">
        <v>111</v>
      </c>
      <c r="AB6" s="20" t="s">
        <v>111</v>
      </c>
      <c r="AC6" s="20" t="s">
        <v>93</v>
      </c>
      <c r="AD6" s="20" t="s">
        <v>111</v>
      </c>
      <c r="AE6" s="20" t="s">
        <v>93</v>
      </c>
      <c r="AF6" s="20" t="s">
        <v>111</v>
      </c>
      <c r="AG6" s="20" t="s">
        <v>93</v>
      </c>
      <c r="AH6" s="144" t="s">
        <v>111</v>
      </c>
      <c r="AI6" s="56" t="s">
        <v>92</v>
      </c>
      <c r="AJ6" s="56" t="s">
        <v>92</v>
      </c>
      <c r="AK6" s="144" t="s">
        <v>111</v>
      </c>
      <c r="AL6" s="56" t="s">
        <v>92</v>
      </c>
      <c r="AM6" s="56" t="s">
        <v>92</v>
      </c>
      <c r="AN6" s="144" t="s">
        <v>111</v>
      </c>
      <c r="AO6" s="56" t="s">
        <v>92</v>
      </c>
      <c r="AP6" s="56" t="s">
        <v>92</v>
      </c>
      <c r="AQ6" s="144" t="s">
        <v>111</v>
      </c>
      <c r="AR6" s="56" t="s">
        <v>92</v>
      </c>
      <c r="AS6" s="56" t="s">
        <v>92</v>
      </c>
      <c r="AT6" s="144" t="s">
        <v>111</v>
      </c>
      <c r="AU6" s="56" t="s">
        <v>92</v>
      </c>
      <c r="AV6" s="56" t="s">
        <v>92</v>
      </c>
      <c r="AW6" s="144" t="s">
        <v>111</v>
      </c>
      <c r="AX6" s="56" t="s">
        <v>92</v>
      </c>
      <c r="AY6" s="56" t="s">
        <v>92</v>
      </c>
      <c r="AZ6" s="144" t="s">
        <v>111</v>
      </c>
      <c r="BA6" s="56" t="s">
        <v>92</v>
      </c>
      <c r="BB6" s="56" t="s">
        <v>92</v>
      </c>
      <c r="BC6" s="144" t="s">
        <v>112</v>
      </c>
      <c r="BD6" s="56" t="s">
        <v>92</v>
      </c>
      <c r="BE6" s="56" t="s">
        <v>92</v>
      </c>
      <c r="BF6" s="144" t="s">
        <v>111</v>
      </c>
      <c r="BG6" s="56" t="s">
        <v>92</v>
      </c>
      <c r="BH6" s="56" t="s">
        <v>92</v>
      </c>
      <c r="BI6" s="144" t="s">
        <v>112</v>
      </c>
      <c r="BJ6" s="56" t="s">
        <v>92</v>
      </c>
      <c r="BK6" s="56" t="s">
        <v>92</v>
      </c>
      <c r="BL6" s="144" t="s">
        <v>111</v>
      </c>
      <c r="BM6" s="56" t="s">
        <v>92</v>
      </c>
      <c r="BN6" s="56" t="s">
        <v>92</v>
      </c>
      <c r="BO6" s="82" t="s">
        <v>93</v>
      </c>
      <c r="BP6" s="88" t="s">
        <v>93</v>
      </c>
      <c r="BQ6" s="81" t="s">
        <v>93</v>
      </c>
      <c r="BR6" s="81" t="s">
        <v>93</v>
      </c>
      <c r="BS6" s="81" t="s">
        <v>93</v>
      </c>
      <c r="BT6" s="81" t="s">
        <v>93</v>
      </c>
      <c r="BU6" s="81" t="s">
        <v>93</v>
      </c>
      <c r="BV6" s="81" t="s">
        <v>93</v>
      </c>
      <c r="BW6" s="81" t="s">
        <v>93</v>
      </c>
      <c r="BX6" s="88" t="s">
        <v>93</v>
      </c>
      <c r="BY6" s="56" t="s">
        <v>93</v>
      </c>
      <c r="BZ6" s="20" t="s">
        <v>93</v>
      </c>
      <c r="CA6" s="82" t="s">
        <v>110</v>
      </c>
      <c r="CB6" s="20" t="s">
        <v>112</v>
      </c>
      <c r="CC6" s="56" t="s">
        <v>92</v>
      </c>
    </row>
    <row r="7" spans="1:81" s="24" customFormat="1" x14ac:dyDescent="0.2">
      <c r="A7" s="26" t="s">
        <v>108</v>
      </c>
      <c r="B7" s="26" t="s">
        <v>108</v>
      </c>
      <c r="C7" s="26" t="s">
        <v>108</v>
      </c>
      <c r="D7" s="26" t="s">
        <v>108</v>
      </c>
      <c r="E7" s="26" t="s">
        <v>108</v>
      </c>
      <c r="F7" s="144" t="s">
        <v>95</v>
      </c>
      <c r="G7" s="152" t="s">
        <v>95</v>
      </c>
      <c r="H7" s="81" t="s">
        <v>94</v>
      </c>
      <c r="I7" s="81" t="s">
        <v>94</v>
      </c>
      <c r="J7" s="81" t="s">
        <v>94</v>
      </c>
      <c r="K7" s="81" t="s">
        <v>94</v>
      </c>
      <c r="L7" s="81" t="s">
        <v>94</v>
      </c>
      <c r="M7" s="81" t="s">
        <v>94</v>
      </c>
      <c r="N7" s="81" t="s">
        <v>94</v>
      </c>
      <c r="O7" s="81" t="s">
        <v>94</v>
      </c>
      <c r="P7" s="144" t="s">
        <v>95</v>
      </c>
      <c r="Q7" s="20" t="s">
        <v>95</v>
      </c>
      <c r="R7" s="230" t="s">
        <v>95</v>
      </c>
      <c r="S7" s="20" t="s">
        <v>95</v>
      </c>
      <c r="T7" s="20" t="s">
        <v>95</v>
      </c>
      <c r="U7" s="20" t="s">
        <v>95</v>
      </c>
      <c r="V7" s="20" t="s">
        <v>95</v>
      </c>
      <c r="W7" s="20" t="s">
        <v>95</v>
      </c>
      <c r="X7" s="20" t="s">
        <v>95</v>
      </c>
      <c r="Y7" s="20" t="s">
        <v>95</v>
      </c>
      <c r="Z7" s="20" t="s">
        <v>95</v>
      </c>
      <c r="AA7" s="20" t="s">
        <v>95</v>
      </c>
      <c r="AB7" s="20" t="s">
        <v>95</v>
      </c>
      <c r="AC7" s="20" t="s">
        <v>95</v>
      </c>
      <c r="AD7" s="20" t="s">
        <v>95</v>
      </c>
      <c r="AE7" s="20" t="s">
        <v>95</v>
      </c>
      <c r="AF7" s="20" t="s">
        <v>95</v>
      </c>
      <c r="AG7" s="20" t="s">
        <v>95</v>
      </c>
      <c r="AH7" s="144" t="s">
        <v>95</v>
      </c>
      <c r="AI7" s="56" t="s">
        <v>94</v>
      </c>
      <c r="AJ7" s="56" t="s">
        <v>94</v>
      </c>
      <c r="AK7" s="144" t="s">
        <v>95</v>
      </c>
      <c r="AL7" s="56" t="s">
        <v>94</v>
      </c>
      <c r="AM7" s="56" t="s">
        <v>94</v>
      </c>
      <c r="AN7" s="144" t="s">
        <v>95</v>
      </c>
      <c r="AO7" s="56" t="s">
        <v>94</v>
      </c>
      <c r="AP7" s="56" t="s">
        <v>94</v>
      </c>
      <c r="AQ7" s="144" t="s">
        <v>95</v>
      </c>
      <c r="AR7" s="56" t="s">
        <v>94</v>
      </c>
      <c r="AS7" s="56" t="s">
        <v>94</v>
      </c>
      <c r="AT7" s="144" t="s">
        <v>95</v>
      </c>
      <c r="AU7" s="56" t="s">
        <v>94</v>
      </c>
      <c r="AV7" s="56" t="s">
        <v>94</v>
      </c>
      <c r="AW7" s="144" t="s">
        <v>95</v>
      </c>
      <c r="AX7" s="56" t="s">
        <v>94</v>
      </c>
      <c r="AY7" s="56" t="s">
        <v>94</v>
      </c>
      <c r="AZ7" s="144" t="s">
        <v>95</v>
      </c>
      <c r="BA7" s="56" t="s">
        <v>94</v>
      </c>
      <c r="BB7" s="56" t="s">
        <v>94</v>
      </c>
      <c r="BC7" s="144" t="s">
        <v>95</v>
      </c>
      <c r="BD7" s="56" t="s">
        <v>94</v>
      </c>
      <c r="BE7" s="56" t="s">
        <v>94</v>
      </c>
      <c r="BF7" s="144" t="s">
        <v>95</v>
      </c>
      <c r="BG7" s="56" t="s">
        <v>94</v>
      </c>
      <c r="BH7" s="56" t="s">
        <v>94</v>
      </c>
      <c r="BI7" s="144" t="s">
        <v>95</v>
      </c>
      <c r="BJ7" s="56" t="s">
        <v>94</v>
      </c>
      <c r="BK7" s="56" t="s">
        <v>94</v>
      </c>
      <c r="BL7" s="144" t="s">
        <v>95</v>
      </c>
      <c r="BM7" s="56" t="s">
        <v>94</v>
      </c>
      <c r="BN7" s="56" t="s">
        <v>94</v>
      </c>
      <c r="BO7" s="82" t="s">
        <v>94</v>
      </c>
      <c r="BP7" s="88" t="s">
        <v>94</v>
      </c>
      <c r="BQ7" s="81" t="s">
        <v>94</v>
      </c>
      <c r="BR7" s="81" t="s">
        <v>94</v>
      </c>
      <c r="BS7" s="81" t="s">
        <v>94</v>
      </c>
      <c r="BT7" s="81" t="s">
        <v>94</v>
      </c>
      <c r="BU7" s="81" t="s">
        <v>94</v>
      </c>
      <c r="BV7" s="81" t="s">
        <v>94</v>
      </c>
      <c r="BW7" s="81" t="s">
        <v>94</v>
      </c>
      <c r="BX7" s="88" t="s">
        <v>94</v>
      </c>
      <c r="BY7" s="56" t="s">
        <v>94</v>
      </c>
      <c r="BZ7" s="20" t="s">
        <v>95</v>
      </c>
      <c r="CA7" s="82" t="s">
        <v>94</v>
      </c>
      <c r="CB7" s="20" t="s">
        <v>95</v>
      </c>
      <c r="CC7" s="56" t="s">
        <v>94</v>
      </c>
    </row>
    <row r="8" spans="1:81" s="24" customFormat="1" x14ac:dyDescent="0.2">
      <c r="A8" s="26"/>
      <c r="B8" s="26"/>
      <c r="C8" s="26"/>
      <c r="D8" s="26"/>
      <c r="E8" s="26"/>
      <c r="F8" s="144"/>
      <c r="G8" s="152"/>
      <c r="H8" s="81"/>
      <c r="I8" s="81"/>
      <c r="J8" s="81"/>
      <c r="K8" s="81"/>
      <c r="L8" s="81"/>
      <c r="M8" s="81"/>
      <c r="N8" s="81"/>
      <c r="O8" s="81"/>
      <c r="P8" s="144"/>
      <c r="Q8" s="20"/>
      <c r="R8" s="230"/>
      <c r="S8" s="20"/>
      <c r="T8" s="20"/>
      <c r="U8" s="20"/>
      <c r="V8" s="20"/>
      <c r="W8" s="20"/>
      <c r="X8" s="20"/>
      <c r="Y8" s="20"/>
      <c r="Z8" s="20"/>
      <c r="AA8" s="20"/>
      <c r="AB8" s="20"/>
      <c r="AC8" s="20"/>
      <c r="AD8" s="20"/>
      <c r="AE8" s="20"/>
      <c r="AF8" s="20"/>
      <c r="AG8" s="20"/>
      <c r="AH8" s="144"/>
      <c r="AI8" s="272" t="s">
        <v>154</v>
      </c>
      <c r="AJ8" s="272" t="s">
        <v>154</v>
      </c>
      <c r="AK8" s="294"/>
      <c r="AL8" s="272" t="s">
        <v>158</v>
      </c>
      <c r="AM8" s="272" t="s">
        <v>158</v>
      </c>
      <c r="AN8" s="294"/>
      <c r="AO8" s="272" t="s">
        <v>156</v>
      </c>
      <c r="AP8" s="272" t="s">
        <v>156</v>
      </c>
      <c r="AQ8" s="144"/>
      <c r="AR8" s="272" t="s">
        <v>160</v>
      </c>
      <c r="AS8" s="272" t="s">
        <v>160</v>
      </c>
      <c r="AT8" s="294"/>
      <c r="AU8" s="272" t="s">
        <v>152</v>
      </c>
      <c r="AV8" s="272" t="s">
        <v>152</v>
      </c>
      <c r="AW8" s="294"/>
      <c r="AX8" s="272" t="s">
        <v>164</v>
      </c>
      <c r="AY8" s="272" t="s">
        <v>164</v>
      </c>
      <c r="AZ8" s="294"/>
      <c r="BA8" s="272" t="s">
        <v>162</v>
      </c>
      <c r="BB8" s="272" t="s">
        <v>162</v>
      </c>
      <c r="BC8" s="144"/>
      <c r="BD8" s="272" t="s">
        <v>1043</v>
      </c>
      <c r="BE8" s="272" t="s">
        <v>1043</v>
      </c>
      <c r="BF8" s="144"/>
      <c r="BG8" s="272" t="s">
        <v>148</v>
      </c>
      <c r="BH8" s="272" t="s">
        <v>148</v>
      </c>
      <c r="BI8" s="144"/>
      <c r="BJ8" s="272" t="s">
        <v>1045</v>
      </c>
      <c r="BK8" s="272" t="s">
        <v>1045</v>
      </c>
      <c r="BL8" s="144"/>
      <c r="BM8" s="272" t="s">
        <v>150</v>
      </c>
      <c r="BN8" s="272" t="s">
        <v>150</v>
      </c>
      <c r="BO8" s="82"/>
      <c r="BP8" s="88"/>
      <c r="BQ8" s="81"/>
      <c r="BR8" s="81"/>
      <c r="BS8" s="81"/>
      <c r="BT8" s="81"/>
      <c r="BU8" s="81"/>
      <c r="BV8" s="81"/>
      <c r="BW8" s="81"/>
      <c r="BX8" s="88"/>
      <c r="BY8" s="56"/>
      <c r="BZ8" s="20"/>
      <c r="CA8" s="281" t="s">
        <v>266</v>
      </c>
      <c r="CB8" s="20"/>
      <c r="CC8" s="272" t="s">
        <v>266</v>
      </c>
    </row>
    <row r="9" spans="1:81" s="24" customFormat="1" x14ac:dyDescent="0.2">
      <c r="A9" s="26"/>
      <c r="B9" s="26"/>
      <c r="C9" s="26"/>
      <c r="D9" s="26"/>
      <c r="E9" s="26"/>
      <c r="F9" s="144"/>
      <c r="G9" s="152"/>
      <c r="H9" s="81"/>
      <c r="I9" s="81"/>
      <c r="J9" s="81"/>
      <c r="K9" s="81"/>
      <c r="L9" s="81"/>
      <c r="M9" s="81"/>
      <c r="N9" s="81"/>
      <c r="O9" s="81"/>
      <c r="P9" s="144"/>
      <c r="Q9" s="20"/>
      <c r="R9" s="230"/>
      <c r="S9" s="20"/>
      <c r="T9" s="20"/>
      <c r="U9" s="20"/>
      <c r="V9" s="20"/>
      <c r="W9" s="20"/>
      <c r="X9" s="20"/>
      <c r="Y9" s="20"/>
      <c r="Z9" s="20"/>
      <c r="AA9" s="20"/>
      <c r="AB9" s="20"/>
      <c r="AC9" s="20"/>
      <c r="AD9" s="20"/>
      <c r="AE9" s="20"/>
      <c r="AF9" s="20"/>
      <c r="AG9" s="20"/>
      <c r="AH9" s="144"/>
      <c r="AI9" s="272" t="s">
        <v>155</v>
      </c>
      <c r="AJ9" s="272" t="s">
        <v>155</v>
      </c>
      <c r="AK9" s="294"/>
      <c r="AL9" s="272" t="s">
        <v>159</v>
      </c>
      <c r="AM9" s="272" t="s">
        <v>159</v>
      </c>
      <c r="AN9" s="294"/>
      <c r="AO9" s="272" t="s">
        <v>157</v>
      </c>
      <c r="AP9" s="272" t="s">
        <v>157</v>
      </c>
      <c r="AQ9" s="144"/>
      <c r="AR9" s="272" t="s">
        <v>161</v>
      </c>
      <c r="AS9" s="272" t="s">
        <v>161</v>
      </c>
      <c r="AT9" s="294"/>
      <c r="AU9" s="272" t="s">
        <v>153</v>
      </c>
      <c r="AV9" s="272" t="s">
        <v>153</v>
      </c>
      <c r="AW9" s="294"/>
      <c r="AX9" s="272" t="s">
        <v>165</v>
      </c>
      <c r="AY9" s="272" t="s">
        <v>165</v>
      </c>
      <c r="AZ9" s="294"/>
      <c r="BA9" s="272" t="s">
        <v>163</v>
      </c>
      <c r="BB9" s="272" t="s">
        <v>163</v>
      </c>
      <c r="BC9" s="144"/>
      <c r="BD9" s="272" t="s">
        <v>1044</v>
      </c>
      <c r="BE9" s="272" t="s">
        <v>1044</v>
      </c>
      <c r="BF9" s="144"/>
      <c r="BG9" s="272" t="s">
        <v>149</v>
      </c>
      <c r="BH9" s="272" t="s">
        <v>149</v>
      </c>
      <c r="BI9" s="144"/>
      <c r="BJ9" s="272" t="s">
        <v>1046</v>
      </c>
      <c r="BK9" s="272" t="s">
        <v>1046</v>
      </c>
      <c r="BL9" s="144"/>
      <c r="BM9" s="272" t="s">
        <v>151</v>
      </c>
      <c r="BN9" s="272" t="s">
        <v>151</v>
      </c>
      <c r="BO9" s="82"/>
      <c r="BP9" s="88"/>
      <c r="BQ9" s="81"/>
      <c r="BR9" s="81"/>
      <c r="BS9" s="81"/>
      <c r="BT9" s="81"/>
      <c r="BU9" s="81"/>
      <c r="BV9" s="81"/>
      <c r="BW9" s="81"/>
      <c r="BX9" s="88"/>
      <c r="BY9" s="56"/>
      <c r="BZ9" s="20"/>
      <c r="CA9" s="281" t="s">
        <v>267</v>
      </c>
      <c r="CB9" s="20"/>
      <c r="CC9" s="272" t="s">
        <v>267</v>
      </c>
    </row>
    <row r="10" spans="1:81" s="24" customFormat="1" x14ac:dyDescent="0.2">
      <c r="A10" s="26"/>
      <c r="B10" s="26"/>
      <c r="C10" s="26"/>
      <c r="D10" s="26"/>
      <c r="E10" s="26"/>
      <c r="F10" s="144"/>
      <c r="G10" s="152"/>
      <c r="H10" s="81"/>
      <c r="I10" s="81"/>
      <c r="J10" s="81"/>
      <c r="K10" s="81"/>
      <c r="L10" s="81"/>
      <c r="M10" s="81"/>
      <c r="N10" s="81"/>
      <c r="O10" s="81"/>
      <c r="P10" s="144"/>
      <c r="Q10" s="20"/>
      <c r="R10" s="230"/>
      <c r="S10" s="20"/>
      <c r="T10" s="20"/>
      <c r="U10" s="20"/>
      <c r="V10" s="20"/>
      <c r="W10" s="20"/>
      <c r="X10" s="20"/>
      <c r="Y10" s="20"/>
      <c r="Z10" s="20"/>
      <c r="AA10" s="20"/>
      <c r="AB10" s="20"/>
      <c r="AC10" s="20"/>
      <c r="AD10" s="20"/>
      <c r="AE10" s="20"/>
      <c r="AF10" s="20"/>
      <c r="AG10" s="20"/>
      <c r="AH10" s="144"/>
      <c r="AI10" s="272" t="s">
        <v>104</v>
      </c>
      <c r="AJ10" s="272" t="s">
        <v>121</v>
      </c>
      <c r="AK10" s="294"/>
      <c r="AL10" s="272" t="s">
        <v>104</v>
      </c>
      <c r="AM10" s="272" t="s">
        <v>121</v>
      </c>
      <c r="AN10" s="294"/>
      <c r="AO10" s="272" t="s">
        <v>104</v>
      </c>
      <c r="AP10" s="272" t="s">
        <v>121</v>
      </c>
      <c r="AQ10" s="144"/>
      <c r="AR10" s="272" t="s">
        <v>104</v>
      </c>
      <c r="AS10" s="272" t="s">
        <v>121</v>
      </c>
      <c r="AT10" s="294"/>
      <c r="AU10" s="272" t="s">
        <v>104</v>
      </c>
      <c r="AV10" s="272" t="s">
        <v>121</v>
      </c>
      <c r="AW10" s="294"/>
      <c r="AX10" s="272" t="s">
        <v>104</v>
      </c>
      <c r="AY10" s="272" t="s">
        <v>121</v>
      </c>
      <c r="AZ10" s="294"/>
      <c r="BA10" s="272" t="s">
        <v>104</v>
      </c>
      <c r="BB10" s="272" t="s">
        <v>121</v>
      </c>
      <c r="BC10" s="144"/>
      <c r="BD10" s="272" t="s">
        <v>104</v>
      </c>
      <c r="BE10" s="272" t="s">
        <v>121</v>
      </c>
      <c r="BF10" s="144"/>
      <c r="BG10" s="272" t="s">
        <v>104</v>
      </c>
      <c r="BH10" s="272" t="s">
        <v>121</v>
      </c>
      <c r="BI10" s="144"/>
      <c r="BJ10" s="272" t="s">
        <v>104</v>
      </c>
      <c r="BK10" s="272" t="s">
        <v>121</v>
      </c>
      <c r="BL10" s="144"/>
      <c r="BM10" s="272" t="s">
        <v>104</v>
      </c>
      <c r="BN10" s="272" t="s">
        <v>121</v>
      </c>
      <c r="BO10" s="82"/>
      <c r="BP10" s="88"/>
      <c r="BQ10" s="81"/>
      <c r="BR10" s="81"/>
      <c r="BS10" s="81"/>
      <c r="BT10" s="81"/>
      <c r="BU10" s="81"/>
      <c r="BV10" s="81"/>
      <c r="BW10" s="81"/>
      <c r="BX10" s="88"/>
      <c r="BY10" s="56"/>
      <c r="BZ10" s="20"/>
      <c r="CA10" s="277"/>
      <c r="CB10" s="20"/>
      <c r="CC10" s="272"/>
    </row>
    <row r="11" spans="1:81" s="24" customFormat="1" x14ac:dyDescent="0.2">
      <c r="A11" s="26"/>
      <c r="B11" s="26"/>
      <c r="C11" s="26"/>
      <c r="D11" s="26"/>
      <c r="E11" s="26"/>
      <c r="F11" s="144" t="s">
        <v>1024</v>
      </c>
      <c r="G11" s="230" t="s">
        <v>205</v>
      </c>
      <c r="H11" s="81" t="s">
        <v>1024</v>
      </c>
      <c r="I11" s="81" t="s">
        <v>1024</v>
      </c>
      <c r="J11" s="81" t="s">
        <v>1024</v>
      </c>
      <c r="K11" s="81" t="s">
        <v>1025</v>
      </c>
      <c r="L11" s="81" t="s">
        <v>1025</v>
      </c>
      <c r="M11" s="81" t="s">
        <v>1024</v>
      </c>
      <c r="N11" s="81" t="s">
        <v>1026</v>
      </c>
      <c r="O11" s="81" t="s">
        <v>1024</v>
      </c>
      <c r="P11" s="144" t="s">
        <v>1024</v>
      </c>
      <c r="Q11" s="20" t="s">
        <v>1024</v>
      </c>
      <c r="R11" s="230" t="s">
        <v>1025</v>
      </c>
      <c r="S11" s="20" t="s">
        <v>1025</v>
      </c>
      <c r="T11" s="20" t="s">
        <v>1024</v>
      </c>
      <c r="U11" s="20" t="s">
        <v>1026</v>
      </c>
      <c r="V11" s="20" t="s">
        <v>1024</v>
      </c>
      <c r="W11" s="20" t="s">
        <v>687</v>
      </c>
      <c r="X11" s="20" t="s">
        <v>687</v>
      </c>
      <c r="Y11" s="20" t="s">
        <v>1024</v>
      </c>
      <c r="Z11" s="20" t="s">
        <v>1024</v>
      </c>
      <c r="AA11" s="20" t="s">
        <v>1024</v>
      </c>
      <c r="AB11" s="20" t="s">
        <v>1024</v>
      </c>
      <c r="AC11" s="20" t="s">
        <v>1024</v>
      </c>
      <c r="AD11" s="20" t="s">
        <v>1024</v>
      </c>
      <c r="AE11" s="20" t="s">
        <v>1024</v>
      </c>
      <c r="AF11" s="20" t="s">
        <v>1024</v>
      </c>
      <c r="AG11" s="20" t="s">
        <v>1024</v>
      </c>
      <c r="AH11" s="144" t="s">
        <v>1024</v>
      </c>
      <c r="AI11" s="56" t="s">
        <v>1024</v>
      </c>
      <c r="AJ11" s="56" t="s">
        <v>1024</v>
      </c>
      <c r="AK11" s="144" t="s">
        <v>687</v>
      </c>
      <c r="AL11" s="97" t="s">
        <v>687</v>
      </c>
      <c r="AM11" s="97" t="s">
        <v>687</v>
      </c>
      <c r="AN11" s="144" t="s">
        <v>687</v>
      </c>
      <c r="AO11" s="97" t="s">
        <v>687</v>
      </c>
      <c r="AP11" s="97" t="s">
        <v>687</v>
      </c>
      <c r="AQ11" s="144" t="s">
        <v>1024</v>
      </c>
      <c r="AR11" s="56" t="s">
        <v>1024</v>
      </c>
      <c r="AS11" s="56" t="s">
        <v>1024</v>
      </c>
      <c r="AT11" s="144" t="s">
        <v>1024</v>
      </c>
      <c r="AU11" s="56" t="s">
        <v>1024</v>
      </c>
      <c r="AV11" s="56" t="s">
        <v>1024</v>
      </c>
      <c r="AW11" s="144" t="s">
        <v>1024</v>
      </c>
      <c r="AX11" s="56" t="s">
        <v>1024</v>
      </c>
      <c r="AY11" s="56" t="s">
        <v>1024</v>
      </c>
      <c r="AZ11" s="144" t="s">
        <v>1024</v>
      </c>
      <c r="BA11" s="56" t="s">
        <v>1024</v>
      </c>
      <c r="BB11" s="56" t="s">
        <v>1024</v>
      </c>
      <c r="BC11" s="144" t="s">
        <v>1024</v>
      </c>
      <c r="BD11" s="56" t="s">
        <v>1024</v>
      </c>
      <c r="BE11" s="56" t="s">
        <v>1024</v>
      </c>
      <c r="BF11" s="144" t="s">
        <v>1024</v>
      </c>
      <c r="BG11" s="56" t="s">
        <v>1024</v>
      </c>
      <c r="BH11" s="56" t="s">
        <v>1024</v>
      </c>
      <c r="BI11" s="144" t="s">
        <v>1024</v>
      </c>
      <c r="BJ11" s="56" t="s">
        <v>1024</v>
      </c>
      <c r="BK11" s="56" t="s">
        <v>1024</v>
      </c>
      <c r="BL11" s="144" t="s">
        <v>1024</v>
      </c>
      <c r="BM11" s="56" t="s">
        <v>1024</v>
      </c>
      <c r="BN11" s="56" t="s">
        <v>1024</v>
      </c>
      <c r="BO11" s="82" t="s">
        <v>1024</v>
      </c>
      <c r="BP11" s="88" t="s">
        <v>1024</v>
      </c>
      <c r="BQ11" s="81" t="s">
        <v>1024</v>
      </c>
      <c r="BR11" s="81" t="s">
        <v>1024</v>
      </c>
      <c r="BS11" s="81" t="s">
        <v>1024</v>
      </c>
      <c r="BT11" s="81" t="s">
        <v>1025</v>
      </c>
      <c r="BU11" s="81" t="s">
        <v>1025</v>
      </c>
      <c r="BV11" s="81" t="s">
        <v>1024</v>
      </c>
      <c r="BW11" s="81" t="s">
        <v>1026</v>
      </c>
      <c r="BX11" s="88" t="s">
        <v>1024</v>
      </c>
      <c r="BY11" s="56" t="s">
        <v>1024</v>
      </c>
      <c r="BZ11" s="20" t="s">
        <v>1024</v>
      </c>
      <c r="CA11" s="82" t="s">
        <v>1025</v>
      </c>
      <c r="CB11" s="20" t="s">
        <v>1025</v>
      </c>
      <c r="CC11" s="56" t="s">
        <v>1025</v>
      </c>
    </row>
    <row r="12" spans="1:81" s="24" customFormat="1" x14ac:dyDescent="0.2">
      <c r="A12" s="26"/>
      <c r="B12" s="26"/>
      <c r="C12" s="26"/>
      <c r="D12" s="26"/>
      <c r="E12" s="26"/>
      <c r="F12" s="144" t="s">
        <v>201</v>
      </c>
      <c r="G12" s="230" t="s">
        <v>686</v>
      </c>
      <c r="H12" s="81" t="s">
        <v>201</v>
      </c>
      <c r="I12" s="81" t="s">
        <v>201</v>
      </c>
      <c r="J12" s="81" t="s">
        <v>201</v>
      </c>
      <c r="K12" s="81" t="s">
        <v>685</v>
      </c>
      <c r="L12" s="81" t="s">
        <v>685</v>
      </c>
      <c r="M12" s="81" t="s">
        <v>201</v>
      </c>
      <c r="N12" s="81" t="s">
        <v>686</v>
      </c>
      <c r="O12" s="81" t="s">
        <v>201</v>
      </c>
      <c r="P12" s="144" t="s">
        <v>201</v>
      </c>
      <c r="Q12" s="20" t="s">
        <v>201</v>
      </c>
      <c r="R12" s="230" t="s">
        <v>685</v>
      </c>
      <c r="S12" s="20" t="s">
        <v>685</v>
      </c>
      <c r="T12" s="20" t="s">
        <v>201</v>
      </c>
      <c r="U12" s="20" t="s">
        <v>686</v>
      </c>
      <c r="V12" s="20" t="s">
        <v>201</v>
      </c>
      <c r="W12" s="20" t="s">
        <v>201</v>
      </c>
      <c r="X12" s="20" t="s">
        <v>201</v>
      </c>
      <c r="Y12" s="20" t="s">
        <v>201</v>
      </c>
      <c r="Z12" s="20" t="s">
        <v>201</v>
      </c>
      <c r="AA12" s="20" t="s">
        <v>201</v>
      </c>
      <c r="AB12" s="20" t="s">
        <v>201</v>
      </c>
      <c r="AC12" s="20" t="s">
        <v>201</v>
      </c>
      <c r="AD12" s="20" t="s">
        <v>201</v>
      </c>
      <c r="AE12" s="20" t="s">
        <v>201</v>
      </c>
      <c r="AF12" s="20" t="s">
        <v>201</v>
      </c>
      <c r="AG12" s="20" t="s">
        <v>201</v>
      </c>
      <c r="AH12" s="144" t="s">
        <v>201</v>
      </c>
      <c r="AI12" s="56" t="s">
        <v>201</v>
      </c>
      <c r="AJ12" s="56" t="s">
        <v>201</v>
      </c>
      <c r="AK12" s="144" t="s">
        <v>201</v>
      </c>
      <c r="AL12" s="56" t="s">
        <v>201</v>
      </c>
      <c r="AM12" s="56" t="s">
        <v>201</v>
      </c>
      <c r="AN12" s="144" t="s">
        <v>201</v>
      </c>
      <c r="AO12" s="56" t="s">
        <v>201</v>
      </c>
      <c r="AP12" s="56" t="s">
        <v>201</v>
      </c>
      <c r="AQ12" s="144" t="s">
        <v>201</v>
      </c>
      <c r="AR12" s="56" t="s">
        <v>201</v>
      </c>
      <c r="AS12" s="56" t="s">
        <v>201</v>
      </c>
      <c r="AT12" s="144" t="s">
        <v>201</v>
      </c>
      <c r="AU12" s="56" t="s">
        <v>201</v>
      </c>
      <c r="AV12" s="56" t="s">
        <v>201</v>
      </c>
      <c r="AW12" s="144" t="s">
        <v>201</v>
      </c>
      <c r="AX12" s="56" t="s">
        <v>201</v>
      </c>
      <c r="AY12" s="56" t="s">
        <v>201</v>
      </c>
      <c r="AZ12" s="144" t="s">
        <v>201</v>
      </c>
      <c r="BA12" s="56" t="s">
        <v>201</v>
      </c>
      <c r="BB12" s="56" t="s">
        <v>201</v>
      </c>
      <c r="BC12" s="144" t="s">
        <v>201</v>
      </c>
      <c r="BD12" s="56" t="s">
        <v>201</v>
      </c>
      <c r="BE12" s="56" t="s">
        <v>201</v>
      </c>
      <c r="BF12" s="144" t="s">
        <v>201</v>
      </c>
      <c r="BG12" s="56" t="s">
        <v>201</v>
      </c>
      <c r="BH12" s="56" t="s">
        <v>201</v>
      </c>
      <c r="BI12" s="144" t="s">
        <v>201</v>
      </c>
      <c r="BJ12" s="56" t="s">
        <v>201</v>
      </c>
      <c r="BK12" s="56" t="s">
        <v>201</v>
      </c>
      <c r="BL12" s="144" t="s">
        <v>201</v>
      </c>
      <c r="BM12" s="56" t="s">
        <v>201</v>
      </c>
      <c r="BN12" s="56" t="s">
        <v>201</v>
      </c>
      <c r="BO12" s="82" t="s">
        <v>201</v>
      </c>
      <c r="BP12" s="88" t="s">
        <v>201</v>
      </c>
      <c r="BQ12" s="81" t="s">
        <v>201</v>
      </c>
      <c r="BR12" s="81" t="s">
        <v>201</v>
      </c>
      <c r="BS12" s="81" t="s">
        <v>201</v>
      </c>
      <c r="BT12" s="81" t="s">
        <v>685</v>
      </c>
      <c r="BU12" s="81" t="s">
        <v>685</v>
      </c>
      <c r="BV12" s="81" t="s">
        <v>201</v>
      </c>
      <c r="BW12" s="81" t="s">
        <v>686</v>
      </c>
      <c r="BX12" s="88" t="s">
        <v>201</v>
      </c>
      <c r="BY12" s="56" t="s">
        <v>201</v>
      </c>
      <c r="BZ12" s="20" t="s">
        <v>201</v>
      </c>
      <c r="CA12" s="82" t="s">
        <v>201</v>
      </c>
      <c r="CB12" s="20" t="s">
        <v>201</v>
      </c>
      <c r="CC12" s="56" t="s">
        <v>201</v>
      </c>
    </row>
    <row r="13" spans="1:81" s="24" customFormat="1" x14ac:dyDescent="0.2">
      <c r="A13" s="26"/>
      <c r="B13" s="26"/>
      <c r="C13" s="26"/>
      <c r="D13" s="26"/>
      <c r="E13" s="26"/>
      <c r="F13" s="144"/>
      <c r="G13" s="152"/>
      <c r="H13" s="81"/>
      <c r="I13" s="81"/>
      <c r="J13" s="81"/>
      <c r="K13" s="81"/>
      <c r="L13" s="81"/>
      <c r="M13" s="81"/>
      <c r="N13" s="81"/>
      <c r="O13" s="81"/>
      <c r="P13" s="144"/>
      <c r="Q13" s="20"/>
      <c r="R13" s="230"/>
      <c r="S13" s="20"/>
      <c r="T13" s="20"/>
      <c r="U13" s="20"/>
      <c r="V13" s="20"/>
      <c r="W13" s="20"/>
      <c r="X13" s="20"/>
      <c r="Y13" s="20"/>
      <c r="Z13" s="20"/>
      <c r="AA13" s="20"/>
      <c r="AB13" s="20"/>
      <c r="AC13" s="20"/>
      <c r="AD13" s="20"/>
      <c r="AE13" s="20"/>
      <c r="AF13" s="20"/>
      <c r="AG13" s="20"/>
      <c r="AH13" s="144"/>
      <c r="AI13" s="56"/>
      <c r="AJ13" s="56"/>
      <c r="AK13" s="144"/>
      <c r="AL13" s="56"/>
      <c r="AM13" s="56"/>
      <c r="AN13" s="144"/>
      <c r="AO13" s="56"/>
      <c r="AP13" s="56"/>
      <c r="AQ13" s="144"/>
      <c r="AR13" s="56"/>
      <c r="AS13" s="56"/>
      <c r="AT13" s="144"/>
      <c r="AU13" s="56"/>
      <c r="AV13" s="56"/>
      <c r="AW13" s="144"/>
      <c r="AX13" s="56"/>
      <c r="AY13" s="56"/>
      <c r="AZ13" s="144"/>
      <c r="BA13" s="56"/>
      <c r="BB13" s="56"/>
      <c r="BC13" s="144"/>
      <c r="BD13" s="56"/>
      <c r="BE13" s="56"/>
      <c r="BF13" s="144"/>
      <c r="BG13" s="56"/>
      <c r="BH13" s="56"/>
      <c r="BI13" s="144"/>
      <c r="BJ13" s="56"/>
      <c r="BK13" s="56"/>
      <c r="BL13" s="144"/>
      <c r="BM13" s="56"/>
      <c r="BN13" s="56"/>
      <c r="BO13" s="82"/>
      <c r="BP13" s="88"/>
      <c r="BQ13" s="81"/>
      <c r="BR13" s="81"/>
      <c r="BS13" s="81"/>
      <c r="BT13" s="81"/>
      <c r="BU13" s="81"/>
      <c r="BV13" s="81"/>
      <c r="BW13" s="81"/>
      <c r="BX13" s="88"/>
      <c r="BY13" s="56"/>
      <c r="BZ13" s="20"/>
      <c r="CA13" s="82"/>
      <c r="CB13" s="20"/>
      <c r="CC13" s="56"/>
    </row>
    <row r="14" spans="1:81" s="24" customFormat="1" x14ac:dyDescent="0.2">
      <c r="A14" s="36" t="s">
        <v>583</v>
      </c>
      <c r="B14" s="36" t="s">
        <v>5</v>
      </c>
      <c r="C14" s="38" t="s">
        <v>35</v>
      </c>
      <c r="D14" s="38" t="s">
        <v>6</v>
      </c>
      <c r="E14" s="38" t="s">
        <v>75</v>
      </c>
      <c r="F14" s="317" t="s">
        <v>497</v>
      </c>
      <c r="G14" s="231" t="s">
        <v>1080</v>
      </c>
      <c r="H14" s="159" t="s">
        <v>513</v>
      </c>
      <c r="I14" s="159" t="s">
        <v>336</v>
      </c>
      <c r="J14" s="159" t="s">
        <v>338</v>
      </c>
      <c r="K14" s="159" t="s">
        <v>367</v>
      </c>
      <c r="L14" s="159" t="s">
        <v>369</v>
      </c>
      <c r="M14" s="159" t="s">
        <v>365</v>
      </c>
      <c r="N14" s="159" t="s">
        <v>371</v>
      </c>
      <c r="O14" s="159" t="s">
        <v>569</v>
      </c>
      <c r="P14" s="317" t="s">
        <v>340</v>
      </c>
      <c r="Q14" s="192" t="s">
        <v>341</v>
      </c>
      <c r="R14" s="192" t="s">
        <v>346</v>
      </c>
      <c r="S14" s="192" t="s">
        <v>347</v>
      </c>
      <c r="T14" s="192" t="s">
        <v>345</v>
      </c>
      <c r="U14" s="192" t="s">
        <v>348</v>
      </c>
      <c r="V14" s="192" t="s">
        <v>342</v>
      </c>
      <c r="W14" s="192" t="s">
        <v>343</v>
      </c>
      <c r="X14" s="192" t="s">
        <v>344</v>
      </c>
      <c r="Y14" s="192" t="s">
        <v>349</v>
      </c>
      <c r="Z14" s="192" t="s">
        <v>350</v>
      </c>
      <c r="AA14" s="192" t="s">
        <v>351</v>
      </c>
      <c r="AB14" s="192" t="s">
        <v>352</v>
      </c>
      <c r="AC14" s="192" t="s">
        <v>905</v>
      </c>
      <c r="AD14" s="192" t="s">
        <v>353</v>
      </c>
      <c r="AE14" s="192" t="s">
        <v>1000</v>
      </c>
      <c r="AF14" s="192" t="s">
        <v>354</v>
      </c>
      <c r="AG14" s="192" t="s">
        <v>355</v>
      </c>
      <c r="AH14" s="317" t="s">
        <v>356</v>
      </c>
      <c r="AI14" s="76" t="s">
        <v>357</v>
      </c>
      <c r="AJ14" s="155" t="s">
        <v>358</v>
      </c>
      <c r="AK14" s="317" t="s">
        <v>359</v>
      </c>
      <c r="AL14" s="76" t="s">
        <v>360</v>
      </c>
      <c r="AM14" s="155" t="s">
        <v>361</v>
      </c>
      <c r="AN14" s="317" t="s">
        <v>362</v>
      </c>
      <c r="AO14" s="76" t="s">
        <v>363</v>
      </c>
      <c r="AP14" s="155" t="s">
        <v>364</v>
      </c>
      <c r="AQ14" s="317" t="s">
        <v>373</v>
      </c>
      <c r="AR14" s="76" t="s">
        <v>374</v>
      </c>
      <c r="AS14" s="155" t="s">
        <v>375</v>
      </c>
      <c r="AT14" s="317" t="s">
        <v>376</v>
      </c>
      <c r="AU14" s="76" t="s">
        <v>377</v>
      </c>
      <c r="AV14" s="155" t="s">
        <v>378</v>
      </c>
      <c r="AW14" s="317" t="s">
        <v>379</v>
      </c>
      <c r="AX14" s="76" t="s">
        <v>380</v>
      </c>
      <c r="AY14" s="155" t="s">
        <v>381</v>
      </c>
      <c r="AZ14" s="317" t="s">
        <v>382</v>
      </c>
      <c r="BA14" s="76" t="s">
        <v>383</v>
      </c>
      <c r="BB14" s="155" t="s">
        <v>384</v>
      </c>
      <c r="BC14" s="317" t="s">
        <v>1001</v>
      </c>
      <c r="BD14" s="76" t="s">
        <v>906</v>
      </c>
      <c r="BE14" s="155" t="s">
        <v>907</v>
      </c>
      <c r="BF14" s="317" t="s">
        <v>385</v>
      </c>
      <c r="BG14" s="76" t="s">
        <v>386</v>
      </c>
      <c r="BH14" s="155" t="s">
        <v>387</v>
      </c>
      <c r="BI14" s="317" t="s">
        <v>911</v>
      </c>
      <c r="BJ14" s="76" t="s">
        <v>912</v>
      </c>
      <c r="BK14" s="155" t="s">
        <v>913</v>
      </c>
      <c r="BL14" s="317" t="s">
        <v>388</v>
      </c>
      <c r="BM14" s="76" t="s">
        <v>389</v>
      </c>
      <c r="BN14" s="155" t="s">
        <v>390</v>
      </c>
      <c r="BO14" s="157" t="s">
        <v>391</v>
      </c>
      <c r="BP14" s="155" t="s">
        <v>392</v>
      </c>
      <c r="BQ14" s="76" t="s">
        <v>393</v>
      </c>
      <c r="BR14" s="76" t="s">
        <v>337</v>
      </c>
      <c r="BS14" s="76" t="s">
        <v>339</v>
      </c>
      <c r="BT14" s="76" t="s">
        <v>368</v>
      </c>
      <c r="BU14" s="76" t="s">
        <v>370</v>
      </c>
      <c r="BV14" s="76" t="s">
        <v>366</v>
      </c>
      <c r="BW14" s="76" t="s">
        <v>372</v>
      </c>
      <c r="BX14" s="155" t="s">
        <v>394</v>
      </c>
      <c r="BY14" s="155" t="s">
        <v>395</v>
      </c>
      <c r="BZ14" s="192" t="s">
        <v>396</v>
      </c>
      <c r="CA14" s="157" t="s">
        <v>696</v>
      </c>
      <c r="CB14" s="192" t="s">
        <v>397</v>
      </c>
      <c r="CC14" s="155" t="s">
        <v>398</v>
      </c>
    </row>
    <row r="15" spans="1:81" s="24" customFormat="1" x14ac:dyDescent="0.2">
      <c r="A15" s="26"/>
      <c r="B15" s="26"/>
      <c r="C15" s="26"/>
      <c r="D15" s="26"/>
      <c r="E15" s="26" t="str">
        <f>B15&amp;"|"&amp;C15&amp;"|"&amp;D15</f>
        <v>||</v>
      </c>
      <c r="F15" s="144" t="str" cm="1">
        <f t="array" ref="F15">IFERROR(1/(1/IF($C15="50+",SUM(SUMIFS(Cascade!$BU:$BU,Cascade!$B:$B,$B15,Cascade!$C:$C,{"50-54","55-59","60-64","65+"},Cascade!$D:$D,$D15)),INDEX(Cascade!$BU:$BU,MATCH($E15,Cascade!$E:$E,0)))),"")</f>
        <v/>
      </c>
      <c r="G15" s="230" t="str" cm="1">
        <f t="array" ref="G15">IFERROR(1/(1/IF($C15="50+",SUM(SUMIFS(Cascade!$AL:$AL,Cascade!$B:$B,$B15,Cascade!$C:$C,{"50-54","55-59","60-64","65+"},Cascade!$D:$D,$D15)),INDEX(Cascade!$AL:$AL,MATCH($E15,Cascade!$E:$E,0)))),"")</f>
        <v/>
      </c>
      <c r="H15" s="102" t="str" cm="1">
        <f t="array" ref="H15">IFERROR(1/(1/IF($C15="50+",SUM(SUMIFS(Cascade!$CB:$CB,Cascade!$B:$B,$B15,Cascade!$C:$C,{"50-54","55-59","60-64","65+"},Cascade!$D:$D,$D15)),INDEX(Cascade!$CB:$CB,MATCH($E15,Cascade!$E:$E,0)))),"")</f>
        <v/>
      </c>
      <c r="I15" s="102" t="str" cm="1">
        <f t="array" ref="I15">IFERROR(1/(1/IF($C15="50+",SUM(SUMIFS(Cascade!$CT:$CT,Cascade!$B:$B,$B15,Cascade!$C:$C,{"50-54","55-59","60-64","65+"},Cascade!$D:$D,$D15)),INDEX(Cascade!$CT:$CT,MATCH($E15,Cascade!$E:$E,0)))),"")</f>
        <v/>
      </c>
      <c r="J15" s="102" t="str" cm="1">
        <f t="array" ref="J15">IFERROR(1/(1/IF($C15="50+",SUM(SUMIFS(Cascade!$CV:$CV,Cascade!$B:$B,$B15,Cascade!$C:$C,{"50-54","55-59","60-64","65+"},Cascade!$D:$D,$D15)),INDEX(Cascade!$CV:$CV,MATCH($E15,Cascade!$E:$E,0)))),"")</f>
        <v/>
      </c>
      <c r="K15" s="102" t="str" cm="1">
        <f t="array" ref="K15">IFERROR(1/(1/IF($C15="50+",SUM(SUMIFS(PMTCT!$AF:$AF,PMTCT!$B:$B,$B15,PMTCT!$C:$C,{"50-54","55-59","60-64","65+"},PMTCT!$D:$D,$D15)),INDEX(PMTCT!$AF:$AF,MATCH($E15,PMTCT!$E:$E,0)))),"")</f>
        <v/>
      </c>
      <c r="L15" s="102" t="str" cm="1">
        <f t="array" ref="L15">IFERROR(1/(1/IF($C15="50+",SUM(SUMIFS(PMTCT!$AV:$AV,PMTCT!$B:$B,$B15,PMTCT!$C:$C,{"50-54","55-59","60-64","65+"},PMTCT!$D:$D,$D15)),INDEX(PMTCT!$AV:$AV,MATCH($E15,PMTCT!$E:$E,0)))),"")</f>
        <v/>
      </c>
      <c r="M15" s="102" t="str" cm="1">
        <f t="array" ref="M15">IFERROR(1/(1/IF($C15="50+",SUM(SUMIFS(TB!$Q:$Q,TB!$B:$B,$B15,TB!$C:$C,{"50-54","55-59","60-64","65+"},TB!$D:$D,$D15)),INDEX(TB!$Q:$Q,MATCH($E15,TB!$E:$E,0)))),"")</f>
        <v/>
      </c>
      <c r="N15" s="102" t="str" cm="1">
        <f t="array" ref="N15">IFERROR(1/(1/IF($C15="50+",SUM(SUMIFS(VMMC!$AC:$AC,VMMC!$B:$B,$B15,VMMC!$C:$C,{"50-54","55-59","60-64","65+"},VMMC!$D:$D,$D15)),INDEX(VMMC!$AC:$AC,MATCH($E15,VMMC!$E:$E,0)))),"")</f>
        <v/>
      </c>
      <c r="O15" s="102" t="str" cm="1">
        <f t="array" ref="O15">IFERROR(1/(1/IF($C15="50+",SUM(SUMIFS(Cascade!$CI:$CI,Cascade!$B:$B,$B15,Cascade!$C:$C,{"50-54","55-59","60-64","65+"},Cascade!$D:$D,$D15)),INDEX(Cascade!$CI:$CI,MATCH($E15,Cascade!$E:$E,0)))),"")</f>
        <v/>
      </c>
      <c r="P15" s="144" t="str">
        <f>IF(OR(SUM($I15)=0,SUM($H15)=0),"",SUM($I15)/SUM($H15))</f>
        <v/>
      </c>
      <c r="Q15" s="230" t="str">
        <f>IF(OR(SUM($J15)=0,SUM($H15)=0),"",SUM($J15)/SUM($H15))</f>
        <v/>
      </c>
      <c r="R15" s="230" t="str">
        <f>IF(OR(SUM($H15)=0,SUM($K15)=0),"",SUM($K15)/SUM($H15))</f>
        <v/>
      </c>
      <c r="S15" s="230" t="str">
        <f>IF(OR(SUM($H15)=0,SUM($L15)=0),"",SUM($L15)/SUM($H15))</f>
        <v/>
      </c>
      <c r="T15" s="230" t="str">
        <f>IF(OR(SUM($H15)=0,SUM($M15)=0),"",SUM($M15)/SUM($H15))</f>
        <v/>
      </c>
      <c r="U15" s="230" t="str">
        <f>IF(OR(SUM($H15)=0,SUM($N15)=0),"",SUM($N15)/SUM($H15))</f>
        <v/>
      </c>
      <c r="V15" s="20"/>
      <c r="W15" s="20"/>
      <c r="X15" s="20"/>
      <c r="Y15" s="20"/>
      <c r="Z15" s="20"/>
      <c r="AA15" s="20"/>
      <c r="AB15" s="20"/>
      <c r="AC15" s="20"/>
      <c r="AD15" s="20"/>
      <c r="AE15" s="20"/>
      <c r="AF15" s="20"/>
      <c r="AG15" s="20" t="str">
        <f>IF(SUM($H15)=0,"",SUM($P15:$AF15))</f>
        <v/>
      </c>
      <c r="AH15" s="144"/>
      <c r="AI15" s="56" t="str">
        <f>IF(OR(SUM($V15)=0,SUM($H15)=0),"",ROUND($H15*$V15,0))</f>
        <v/>
      </c>
      <c r="AJ15" s="56" t="str">
        <f>IF($AI15="","",IF(SUM($AH15)=0,"ENTER VALID YIELD!",ROUND($AI15/$AH15,0)-$AI15))</f>
        <v/>
      </c>
      <c r="AK15" s="144"/>
      <c r="AL15" s="56" t="str">
        <f>IF(OR(SUM($W15)=0,SUM($H15)=0),"",ROUND($H15*$W15,0))</f>
        <v/>
      </c>
      <c r="AM15" s="56" t="str">
        <f>IF($AL15="","",IF(SUM($AK15)=0,"ENTER VALID YIELD!",ROUND($AL15/$AK15,0)-$AL15))</f>
        <v/>
      </c>
      <c r="AN15" s="144"/>
      <c r="AO15" s="56" t="str">
        <f>IF(OR(SUM($X15)=0,SUM($H15)=0),"",ROUND($H15*$X15,0))</f>
        <v/>
      </c>
      <c r="AP15" s="56" t="str">
        <f>IF($AO15="","",IF(SUM($AN15)=0,"ENTER VALID YIELD!",ROUND($AO15/$AN15,0)-$AO15))</f>
        <v/>
      </c>
      <c r="AQ15" s="144"/>
      <c r="AR15" s="56" t="str">
        <f>IF(OR(SUM($Y15)=0,SUM($H15)=0),"",ROUND($H15*$Y15,0))</f>
        <v/>
      </c>
      <c r="AS15" s="56" t="str">
        <f>IF($AR15="","",IF(SUM($AQ15)=0,"ENTER VALID YIELD!",ROUND($AR15/$AQ15,0)-$AR15))</f>
        <v/>
      </c>
      <c r="AT15" s="144"/>
      <c r="AU15" s="56" t="str">
        <f>IF(OR(SUM($Z15)=0,SUM($H15)=0),"",ROUND($H15*$Z15,0))</f>
        <v/>
      </c>
      <c r="AV15" s="56" t="str">
        <f>IF($AU15="","",IF(SUM($AT15)=0,"ENTER VALID YIELD!",ROUND($AU15/$AT15,0)-$AU15))</f>
        <v/>
      </c>
      <c r="AW15" s="144"/>
      <c r="AX15" s="56" t="str">
        <f>IF(OR(SUM($AA15)=0,SUM($H15)=0),"",ROUND($H15*$AA15,0))</f>
        <v/>
      </c>
      <c r="AY15" s="56" t="str">
        <f>IF($AX15="","",IF(SUM($AW15)=0,"ENTER VALID YIELD!",ROUND($AX15/$AW15,0)-$AX15))</f>
        <v/>
      </c>
      <c r="AZ15" s="144"/>
      <c r="BA15" s="56" t="str">
        <f>IF(OR(SUM($AB15)=0,SUM($H15)=0),"",ROUND($H15*$AB15,0))</f>
        <v/>
      </c>
      <c r="BB15" s="56" t="str">
        <f>IF($BA15="","",IF(SUM($AZ15)=0,"ENTER VALID YIELD!",ROUND($BA15/$AZ15,0)-$BA15))</f>
        <v/>
      </c>
      <c r="BC15" s="144" t="str">
        <f>IF(OR(SUM($H15)=0,SUM($AC15)=0),"",5%)</f>
        <v/>
      </c>
      <c r="BD15" s="56" t="str">
        <f>IF(OR(SUM($AC15)=0,SUM($H15)=0),"",ROUND($H15*$AC15,0))</f>
        <v/>
      </c>
      <c r="BE15" s="56" t="str">
        <f>IF($BD15="","",IF(SUM($BC15)=0,"ENTER VALID YIELD!",ROUND($BD15/$BC15,0)-$BD15))</f>
        <v/>
      </c>
      <c r="BF15" s="144"/>
      <c r="BG15" s="56" t="str">
        <f>IF(OR(SUM($AD15)=0,SUM($H15)=0),"",ROUND($H15*$AD15,0))</f>
        <v/>
      </c>
      <c r="BH15" s="56" t="str">
        <f>IF($BG15="","",IF(SUM($BF15)=0,"ENTER VALID YIELD!",ROUND($BG15/$BF15,0)-$BG15))</f>
        <v/>
      </c>
      <c r="BI15" s="144" t="str">
        <f>IF(OR(SUM($H15)=0,SUM($AE15)=0),"",5%)</f>
        <v/>
      </c>
      <c r="BJ15" s="56" t="str">
        <f>IF(OR(SUM($AE15)=0,SUM($H15)=0),"",ROUND($H15*$AE15,0))</f>
        <v/>
      </c>
      <c r="BK15" s="56" t="str">
        <f>IF($BJ15="","",IF(SUM($BI15)=0,"ENTER VALID YIELD!",ROUND($BJ15/$BI15,0)-$BJ15))</f>
        <v/>
      </c>
      <c r="BL15" s="144"/>
      <c r="BM15" s="56" t="str">
        <f>IF(OR(SUM($AF15)=0,SUM($H15)=0),"",ROUND($H15*$AF15,0))</f>
        <v/>
      </c>
      <c r="BN15" s="56" t="str">
        <f>IF($BM15="","",IF(SUM($BL15)=0,"ENTER VALID YIELD!",ROUND($BM15/$BL15,0)-$BM15))</f>
        <v/>
      </c>
      <c r="BO15" s="96" t="str">
        <f>IF(SUM($H15)=0,"",$H15)</f>
        <v/>
      </c>
      <c r="BP15" s="199" t="str">
        <f>IF(SUM($H15)=0,"",SUM($I15:$N15,$AI15,$AL15,$AO15,$AR15,$AU15,$AX15,$BA15,$BD15,$BG15,$BJ15,$BM15))</f>
        <v/>
      </c>
      <c r="BQ15" s="102" t="str">
        <f>IF(AND(SUM($BP15)=0,SUM($BO15)=0),"",SUM($BP15)-SUM($BO15))</f>
        <v/>
      </c>
      <c r="BR15" s="102" t="str" cm="1">
        <f t="array" ref="BR15">IFERROR(1/(1/IF($C15="50+",SUM(SUMIFS(Cascade!$CU:$CU,Cascade!$B:$B,$B15,Cascade!$C:$C,{"50-54","55-59","60-64","65+"},Cascade!$D:$D,$D15)),INDEX(Cascade!$CU:$CU,MATCH($E15,Cascade!$E:$E,0)))),"")</f>
        <v/>
      </c>
      <c r="BS15" s="102" t="str" cm="1">
        <f t="array" ref="BS15">IFERROR(1/(1/IF($C15="50+",SUM(SUMIFS(Cascade!$CW:$CW,Cascade!$B:$B,$B15,Cascade!$C:$C,{"50-54","55-59","60-64","65+"},Cascade!$D:$D,$D15)),INDEX(Cascade!$CW:$CW,MATCH($E15,Cascade!$E:$E,0)))),"")</f>
        <v/>
      </c>
      <c r="BT15" s="102" t="str" cm="1">
        <f t="array" ref="BT15">IFERROR(1/(1/IF($C15="50+",SUM(SUMIFS(PMTCT!$AG:$AG,PMTCT!$B:$B,$B15,PMTCT!$C:$C,{"50-54","55-59","60-64","65+"},PMTCT!$D:$D,$D15)),INDEX(PMTCT!$AG:$AG,MATCH($E15,PMTCT!$E:$E,0)))),"")</f>
        <v/>
      </c>
      <c r="BU15" s="102" t="str" cm="1">
        <f t="array" ref="BU15">IFERROR(1/(1/IF($C15="50+",SUM(SUMIFS(PMTCT!$AW:$AW,PMTCT!$B:$B,$B15,PMTCT!$C:$C,{"50-54","55-59","60-64","65+"},PMTCT!$D:$D,$D15)),INDEX(PMTCT!$AW:$AW,MATCH($E15,PMTCT!$E:$E,0)))),"")</f>
        <v/>
      </c>
      <c r="BV15" s="102" t="str" cm="1">
        <f t="array" ref="BV15">IFERROR(1/(1/IF($C15="50+",SUM(SUMIFS(TB!$R:$R,TB!$B:$B,$B15,TB!$C:$C,{"50-54","55-59","60-64","65+"},TB!$D:$D,$D15)),INDEX(TB!$R:$R,MATCH($E15,TB!$E:$E,0)))),"")</f>
        <v/>
      </c>
      <c r="BW15" s="102" t="str" cm="1">
        <f t="array" ref="BW15">IFERROR(1/(1/IF($C15="50+",SUM(SUMIFS(VMMC!$AD:$AD,VMMC!$B:$B,$B15,VMMC!$C:$C,{"50-54","55-59","60-64","65+"},VMMC!$D:$D,$D15)),INDEX(VMMC!$AD:$AD,MATCH($E15,VMMC!$E:$E,0)))),"")</f>
        <v/>
      </c>
      <c r="BX15" s="199" t="str">
        <f>IFERROR(1/(1/SUM($AJ15,$AM15,$AP15,$AS15,$AV15,$AY15,$BB15,$BE15,$BH15,$BK15,$BN15,$BR15:$BW15)),"")</f>
        <v/>
      </c>
      <c r="BY15" s="199" t="str">
        <f>IFERROR(1/(1/SUM($BX15,$BP15)),"")</f>
        <v/>
      </c>
      <c r="BZ15" s="20" t="str">
        <f>IF(AND(SUM($BP15)=0,SUM($BY15)=0),"",$BP15/$BY15)</f>
        <v/>
      </c>
      <c r="CA15" s="82"/>
      <c r="CB15" s="20" t="str">
        <f>IF(OR($C15="01-04",$C15="05-09",SUM($CA15)=0),"",0%)</f>
        <v/>
      </c>
      <c r="CC15" s="56" t="str">
        <f>IF(OR($C15="01-04",$C15="05-09",SUM($CA15)=0),"",ROUND($CA15*(1+$CB15),0))</f>
        <v/>
      </c>
    </row>
  </sheetData>
  <mergeCells count="1">
    <mergeCell ref="A2:B3"/>
  </mergeCells>
  <conditionalFormatting sqref="N1:N1048576 U1:U1048576 BW1:BW1048576">
    <cfRule type="expression" dxfId="122" priority="25">
      <formula>OR($D1="Female",$C1="01-04",$C1="05-09",$C1="10-14")</formula>
    </cfRule>
  </conditionalFormatting>
  <conditionalFormatting sqref="W1:X1048576 AK1:AP1048576">
    <cfRule type="expression" dxfId="121" priority="355">
      <formula>AND(ROW(W1)&gt;14,$B1&lt;&gt;"",$C1&lt;&gt;"01-04")</formula>
    </cfRule>
  </conditionalFormatting>
  <conditionalFormatting sqref="CA1:CC1048576">
    <cfRule type="expression" dxfId="120" priority="197">
      <formula>OR($C1="01-04",$C1="05-09")</formula>
    </cfRule>
  </conditionalFormatting>
  <conditionalFormatting sqref="K1:L1048576 R1:S1048576 BT1:BU1048576">
    <cfRule type="expression" dxfId="119" priority="34">
      <formula>OR($D1="Male",$C1="01-04",$C1="05-09")</formula>
    </cfRule>
  </conditionalFormatting>
  <conditionalFormatting sqref="BQ1:BQ1048576">
    <cfRule type="expression" dxfId="118" priority="680">
      <formula>AND(ISNUMBER($BQ1),ROUND(SUM($BQ1),0)&lt;&gt;0)</formula>
    </cfRule>
  </conditionalFormatting>
  <conditionalFormatting sqref="AH1:AH1048576 AQ1:AQ1048576 AT1:AT1048576 AW1:AW1048576 AZ1:AZ1048576">
    <cfRule type="expression" dxfId="117"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16" priority="26" operator="containsText" text="ENTER YIELD!">
      <formula>NOT(ISERROR(SEARCH("ENTER YIELD!",AJ1)))</formula>
    </cfRule>
  </conditionalFormatting>
  <conditionalFormatting sqref="AF1:AF1048576">
    <cfRule type="expression" dxfId="115" priority="2165">
      <formula>AND(ISNUMBER($AF1),ROUND(SUM($F1),2)&gt;=80%,(SUM($H1)*SUM($AF1))&gt;0)</formula>
    </cfRule>
  </conditionalFormatting>
  <conditionalFormatting sqref="P1:AG1048576">
    <cfRule type="expression" dxfId="114" priority="2168">
      <formula>AND(ISNUMBER($AG1),ROUND($AG1,2)&lt;&gt;1,ROUND($H1,0)&lt;&gt;0)</formula>
    </cfRule>
  </conditionalFormatting>
  <conditionalFormatting sqref="BM1:BN1048576">
    <cfRule type="expression" dxfId="113" priority="2170">
      <formula>AND(ISNUMBER(BM1),SUM($F1)&gt;=80%,SUM(BM1)&gt;0)</formula>
    </cfRule>
  </conditionalFormatting>
  <conditionalFormatting sqref="F1:G1048576">
    <cfRule type="expression" dxfId="112"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111"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10"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96" customWidth="1"/>
    <col min="7" max="8" width="11.83203125" style="63" customWidth="1"/>
    <col min="9" max="10" width="11.83203125" style="20" customWidth="1"/>
    <col min="11" max="11" width="11.83203125" style="56" customWidth="1"/>
    <col min="12" max="16384" width="10.83203125" style="24"/>
  </cols>
  <sheetData>
    <row r="1" spans="1:11" s="41" customFormat="1" ht="31" customHeight="1" thickBot="1" x14ac:dyDescent="0.35">
      <c r="A1" s="5" t="s">
        <v>7</v>
      </c>
      <c r="B1" s="5"/>
      <c r="C1" s="1"/>
      <c r="D1" s="1"/>
      <c r="E1" s="1"/>
      <c r="F1" s="94" t="s">
        <v>15</v>
      </c>
      <c r="G1" s="64"/>
      <c r="H1" s="64"/>
      <c r="I1" s="29"/>
      <c r="J1" s="29"/>
      <c r="K1" s="51"/>
    </row>
    <row r="2" spans="1:11" s="40" customFormat="1" ht="19" customHeight="1" x14ac:dyDescent="0.25">
      <c r="A2" s="428" t="s">
        <v>755</v>
      </c>
      <c r="B2" s="425"/>
      <c r="C2" s="2"/>
      <c r="D2" s="2"/>
      <c r="E2" s="2"/>
      <c r="F2" s="95" t="s">
        <v>73</v>
      </c>
      <c r="G2" s="78"/>
      <c r="H2" s="78"/>
      <c r="I2" s="18"/>
      <c r="J2" s="18" t="s">
        <v>2</v>
      </c>
      <c r="K2" s="52" t="s">
        <v>3</v>
      </c>
    </row>
    <row r="3" spans="1:11" ht="117" customHeight="1" thickBot="1" x14ac:dyDescent="0.25">
      <c r="A3" s="426"/>
      <c r="B3" s="427"/>
      <c r="C3" s="31"/>
      <c r="D3" s="31"/>
      <c r="E3" s="31"/>
      <c r="F3" s="128" t="s">
        <v>1064</v>
      </c>
      <c r="G3" s="121" t="s">
        <v>1065</v>
      </c>
      <c r="H3" s="238" t="s">
        <v>780</v>
      </c>
      <c r="I3" s="385" t="s">
        <v>854</v>
      </c>
      <c r="J3" s="32" t="s">
        <v>1008</v>
      </c>
      <c r="K3" s="53" t="s">
        <v>853</v>
      </c>
    </row>
    <row r="4" spans="1:11" x14ac:dyDescent="0.2">
      <c r="A4" s="33"/>
      <c r="B4" s="33"/>
      <c r="C4" s="33"/>
      <c r="D4" s="33" t="s">
        <v>4</v>
      </c>
      <c r="E4" s="33"/>
      <c r="F4" s="93">
        <f>SUBTOTAL(109,F$15:INDEX(F:F,COUNTA($B:$B)+14-COUNTA($B$1:$B$14)))</f>
        <v>0</v>
      </c>
      <c r="G4" s="58">
        <f>SUBTOTAL(109,G$15:INDEX(G:G,COUNTA($B:$B)+14-COUNTA($B$1:$B$14)))</f>
        <v>0</v>
      </c>
      <c r="H4" s="58">
        <f>SUBTOTAL(109,H$15:INDEX(H:H,COUNTA($B:$B)+14-COUNTA($B$1:$B$14)))</f>
        <v>0</v>
      </c>
      <c r="I4" s="34"/>
      <c r="J4" s="34" t="str">
        <f>IF($I$4=0,"",$K$4/$I$4)</f>
        <v/>
      </c>
      <c r="K4" s="55">
        <f>SUBTOTAL(109,K$15:INDEX(K:K,COUNTA($B:$B)+14-COUNTA($B$1:$B$14)))</f>
        <v>0</v>
      </c>
    </row>
    <row r="5" spans="1:11" x14ac:dyDescent="0.2">
      <c r="A5" s="26" t="s">
        <v>98</v>
      </c>
      <c r="B5" s="26" t="s">
        <v>98</v>
      </c>
      <c r="C5" s="26" t="s">
        <v>98</v>
      </c>
      <c r="D5" s="26" t="s">
        <v>98</v>
      </c>
      <c r="E5" s="26" t="s">
        <v>98</v>
      </c>
      <c r="F5" s="96" t="s">
        <v>109</v>
      </c>
      <c r="G5" s="63" t="s">
        <v>109</v>
      </c>
      <c r="H5" s="63" t="s">
        <v>98</v>
      </c>
      <c r="I5" s="20" t="s">
        <v>98</v>
      </c>
      <c r="J5" s="20" t="s">
        <v>98</v>
      </c>
      <c r="K5" s="56" t="s">
        <v>109</v>
      </c>
    </row>
    <row r="6" spans="1:11" x14ac:dyDescent="0.2">
      <c r="A6" s="26" t="s">
        <v>200</v>
      </c>
      <c r="B6" s="26" t="s">
        <v>200</v>
      </c>
      <c r="C6" s="26" t="s">
        <v>200</v>
      </c>
      <c r="D6" s="26" t="s">
        <v>200</v>
      </c>
      <c r="E6" s="26" t="s">
        <v>200</v>
      </c>
      <c r="F6" s="96" t="s">
        <v>110</v>
      </c>
      <c r="G6" s="63" t="s">
        <v>110</v>
      </c>
      <c r="H6" s="63" t="s">
        <v>93</v>
      </c>
      <c r="I6" s="20" t="s">
        <v>111</v>
      </c>
      <c r="J6" s="20" t="s">
        <v>112</v>
      </c>
      <c r="K6" s="56" t="s">
        <v>92</v>
      </c>
    </row>
    <row r="7" spans="1:11" x14ac:dyDescent="0.2">
      <c r="A7" s="26" t="s">
        <v>108</v>
      </c>
      <c r="B7" s="26" t="s">
        <v>108</v>
      </c>
      <c r="C7" s="26" t="s">
        <v>108</v>
      </c>
      <c r="D7" s="26" t="s">
        <v>108</v>
      </c>
      <c r="E7" s="26" t="s">
        <v>108</v>
      </c>
      <c r="F7" s="96" t="s">
        <v>94</v>
      </c>
      <c r="G7" s="63" t="s">
        <v>94</v>
      </c>
      <c r="H7" s="63" t="s">
        <v>94</v>
      </c>
      <c r="I7" s="20" t="s">
        <v>95</v>
      </c>
      <c r="J7" s="20" t="s">
        <v>95</v>
      </c>
      <c r="K7" s="56" t="s">
        <v>94</v>
      </c>
    </row>
    <row r="8" spans="1:11" x14ac:dyDescent="0.2">
      <c r="F8" s="279" t="s">
        <v>478</v>
      </c>
      <c r="G8" s="275" t="s">
        <v>142</v>
      </c>
      <c r="K8" s="272" t="s">
        <v>142</v>
      </c>
    </row>
    <row r="9" spans="1:11" x14ac:dyDescent="0.2">
      <c r="F9" s="279" t="s">
        <v>479</v>
      </c>
      <c r="G9" s="275" t="s">
        <v>143</v>
      </c>
      <c r="K9" s="272" t="s">
        <v>143</v>
      </c>
    </row>
    <row r="10" spans="1:11" x14ac:dyDescent="0.2">
      <c r="F10" s="277" t="s">
        <v>104</v>
      </c>
      <c r="G10" s="275" t="s">
        <v>104</v>
      </c>
      <c r="K10" s="272" t="s">
        <v>104</v>
      </c>
    </row>
    <row r="11" spans="1:11" x14ac:dyDescent="0.2">
      <c r="F11" s="96" t="s">
        <v>204</v>
      </c>
      <c r="G11" s="63" t="s">
        <v>204</v>
      </c>
      <c r="H11" s="63" t="s">
        <v>204</v>
      </c>
      <c r="I11" s="20" t="s">
        <v>204</v>
      </c>
      <c r="J11" s="20" t="s">
        <v>204</v>
      </c>
      <c r="K11" s="56" t="s">
        <v>204</v>
      </c>
    </row>
    <row r="12" spans="1:11" x14ac:dyDescent="0.2">
      <c r="F12" s="96" t="s">
        <v>685</v>
      </c>
      <c r="G12" s="63" t="s">
        <v>685</v>
      </c>
      <c r="H12" s="63" t="s">
        <v>685</v>
      </c>
      <c r="I12" s="20" t="s">
        <v>685</v>
      </c>
      <c r="J12" s="20" t="s">
        <v>685</v>
      </c>
      <c r="K12" s="56" t="s">
        <v>685</v>
      </c>
    </row>
    <row r="14" spans="1:11" x14ac:dyDescent="0.2">
      <c r="A14" s="36" t="s">
        <v>583</v>
      </c>
      <c r="B14" s="36" t="s">
        <v>5</v>
      </c>
      <c r="C14" s="36" t="s">
        <v>35</v>
      </c>
      <c r="D14" s="36" t="s">
        <v>6</v>
      </c>
      <c r="E14" s="36" t="s">
        <v>75</v>
      </c>
      <c r="F14" s="157" t="s">
        <v>539</v>
      </c>
      <c r="G14" s="76" t="s">
        <v>540</v>
      </c>
      <c r="H14" s="76" t="s">
        <v>313</v>
      </c>
      <c r="I14" s="192" t="s">
        <v>541</v>
      </c>
      <c r="J14" s="192" t="s">
        <v>542</v>
      </c>
      <c r="K14" s="155" t="s">
        <v>399</v>
      </c>
    </row>
    <row r="15" spans="1:11" x14ac:dyDescent="0.2">
      <c r="E15" s="26" t="str">
        <f>B15&amp;"|"&amp;C15&amp;"|"&amp;D15</f>
        <v>||</v>
      </c>
      <c r="H15" s="63" t="str">
        <f>IFERROR(1/(1/INDEX(Cascade!$BQ:$BQ,MATCH($E15,Cascade!$E:$E,0))),"")</f>
        <v/>
      </c>
      <c r="J15" s="20">
        <v>0.5</v>
      </c>
      <c r="K15" s="56" t="str">
        <f>IF(SUM($H15)=0,"",ROUND($J15*$H15,0))</f>
        <v/>
      </c>
    </row>
  </sheetData>
  <mergeCells count="1">
    <mergeCell ref="A2:B3"/>
  </mergeCells>
  <conditionalFormatting sqref="J1:J1048576">
    <cfRule type="expression" dxfId="251" priority="6">
      <formula>AND(ISNUMBER($J1),ROUND($J1,2)&lt;0.5)</formula>
    </cfRule>
  </conditionalFormatting>
  <conditionalFormatting sqref="I1:J1048576">
    <cfRule type="expression" dxfId="250" priority="2">
      <formula>AND(ISNUMBER(I1),OR(ROUND(I1,2)&gt;1,ROUND(I1,2)&lt;0))</formula>
    </cfRule>
  </conditionalFormatting>
  <conditionalFormatting sqref="F1:H1048576 K1:K1048576">
    <cfRule type="expression" dxfId="249"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1.83203125" style="28" hidden="1" customWidth="1"/>
    <col min="6" max="6" width="11.83203125" style="144" customWidth="1"/>
    <col min="7" max="7" width="11.83203125" style="56" customWidth="1"/>
    <col min="8" max="8" width="11.83203125" style="144" customWidth="1"/>
    <col min="9" max="9" width="11.83203125" style="56" customWidth="1"/>
    <col min="10" max="10" width="11.83203125" style="144" customWidth="1"/>
    <col min="11" max="11" width="11.83203125" style="56" customWidth="1"/>
    <col min="12" max="12" width="11.83203125" style="144" customWidth="1"/>
    <col min="13" max="13" width="11.83203125" style="56" customWidth="1"/>
    <col min="14" max="14" width="11.83203125" style="144" customWidth="1"/>
    <col min="15" max="15" width="11.83203125" style="56" customWidth="1"/>
    <col min="16" max="16" width="11.83203125" style="144" customWidth="1"/>
    <col min="17" max="17" width="11.83203125" style="56" customWidth="1"/>
    <col min="18" max="18" width="11.83203125" style="144" customWidth="1"/>
    <col min="19" max="19" width="11.83203125" style="56" customWidth="1"/>
    <col min="20" max="20" width="11.83203125" style="144" customWidth="1"/>
    <col min="21" max="21" width="11.83203125" style="56" customWidth="1"/>
    <col min="22" max="22" width="11.83203125" style="144" customWidth="1"/>
    <col min="23" max="23" width="11.83203125" style="56" customWidth="1"/>
    <col min="24" max="24" width="11.83203125" style="144" customWidth="1"/>
    <col min="25" max="25" width="11.83203125" style="56" customWidth="1"/>
    <col min="26" max="26" width="11.83203125" style="144" customWidth="1"/>
    <col min="27" max="27" width="11.83203125" style="56" customWidth="1"/>
    <col min="28" max="28" width="11.83203125" style="144" customWidth="1"/>
    <col min="29" max="29" width="11.83203125" style="56" customWidth="1"/>
    <col min="30" max="30" width="11.83203125" style="144" customWidth="1"/>
    <col min="31" max="31" width="11.83203125" style="56" customWidth="1"/>
    <col min="32" max="32" width="11.83203125" style="144" customWidth="1"/>
    <col min="33" max="33" width="11.83203125" style="56" customWidth="1"/>
    <col min="34" max="34" width="11.83203125" style="144" customWidth="1"/>
    <col min="35" max="35" width="11.83203125" style="56" customWidth="1"/>
    <col min="36" max="36" width="11.83203125" style="96" customWidth="1"/>
    <col min="37" max="37" width="11.83203125" style="249" customWidth="1"/>
    <col min="38" max="38" width="11.83203125" style="230" customWidth="1"/>
    <col min="39" max="16384" width="10.83203125" style="24"/>
  </cols>
  <sheetData>
    <row r="1" spans="1:38" s="41" customFormat="1" ht="31" customHeight="1" x14ac:dyDescent="0.3">
      <c r="A1" s="236" t="s">
        <v>206</v>
      </c>
      <c r="B1" s="5"/>
      <c r="C1" s="1"/>
      <c r="D1" s="1"/>
      <c r="E1" s="267"/>
      <c r="F1" s="224" t="s">
        <v>216</v>
      </c>
      <c r="G1" s="51"/>
      <c r="H1" s="224" t="s">
        <v>217</v>
      </c>
      <c r="I1" s="51"/>
      <c r="J1" s="224" t="s">
        <v>218</v>
      </c>
      <c r="K1" s="51"/>
      <c r="L1" s="224" t="s">
        <v>219</v>
      </c>
      <c r="M1" s="51"/>
      <c r="N1" s="224" t="s">
        <v>215</v>
      </c>
      <c r="O1" s="51"/>
      <c r="P1" s="224" t="s">
        <v>214</v>
      </c>
      <c r="Q1" s="51"/>
      <c r="R1" s="224" t="s">
        <v>62</v>
      </c>
      <c r="S1" s="51"/>
      <c r="T1" s="224" t="s">
        <v>65</v>
      </c>
      <c r="U1" s="51"/>
      <c r="V1" s="224" t="s">
        <v>61</v>
      </c>
      <c r="W1" s="51"/>
      <c r="X1" s="224" t="s">
        <v>67</v>
      </c>
      <c r="Y1" s="51"/>
      <c r="Z1" s="224" t="s">
        <v>66</v>
      </c>
      <c r="AA1" s="51"/>
      <c r="AB1" s="224" t="s">
        <v>914</v>
      </c>
      <c r="AC1" s="51"/>
      <c r="AD1" s="224" t="s">
        <v>54</v>
      </c>
      <c r="AE1" s="51"/>
      <c r="AF1" s="224" t="s">
        <v>910</v>
      </c>
      <c r="AG1" s="51"/>
      <c r="AH1" s="224" t="s">
        <v>60</v>
      </c>
      <c r="AI1" s="51"/>
      <c r="AJ1" s="94" t="s">
        <v>253</v>
      </c>
      <c r="AK1" s="302"/>
      <c r="AL1" s="226"/>
    </row>
    <row r="2" spans="1:38" s="40" customFormat="1" ht="19" x14ac:dyDescent="0.25">
      <c r="B2" s="2"/>
      <c r="C2" s="2"/>
      <c r="D2" s="2"/>
      <c r="E2" s="268"/>
      <c r="F2" s="225" t="s">
        <v>2</v>
      </c>
      <c r="G2" s="52" t="s">
        <v>3</v>
      </c>
      <c r="H2" s="225" t="s">
        <v>2</v>
      </c>
      <c r="I2" s="52" t="s">
        <v>3</v>
      </c>
      <c r="J2" s="225" t="s">
        <v>2</v>
      </c>
      <c r="K2" s="52" t="s">
        <v>3</v>
      </c>
      <c r="L2" s="225" t="s">
        <v>2</v>
      </c>
      <c r="M2" s="52" t="s">
        <v>3</v>
      </c>
      <c r="N2" s="225" t="s">
        <v>2</v>
      </c>
      <c r="O2" s="52" t="s">
        <v>3</v>
      </c>
      <c r="P2" s="225" t="s">
        <v>2</v>
      </c>
      <c r="Q2" s="52" t="s">
        <v>3</v>
      </c>
      <c r="R2" s="225" t="s">
        <v>2</v>
      </c>
      <c r="S2" s="52" t="s">
        <v>3</v>
      </c>
      <c r="T2" s="225" t="s">
        <v>2</v>
      </c>
      <c r="U2" s="52" t="s">
        <v>3</v>
      </c>
      <c r="V2" s="225" t="s">
        <v>2</v>
      </c>
      <c r="W2" s="52" t="s">
        <v>3</v>
      </c>
      <c r="X2" s="225" t="s">
        <v>2</v>
      </c>
      <c r="Y2" s="52" t="s">
        <v>3</v>
      </c>
      <c r="Z2" s="225" t="s">
        <v>2</v>
      </c>
      <c r="AA2" s="52" t="s">
        <v>3</v>
      </c>
      <c r="AB2" s="225" t="s">
        <v>2</v>
      </c>
      <c r="AC2" s="52" t="s">
        <v>3</v>
      </c>
      <c r="AD2" s="225" t="s">
        <v>2</v>
      </c>
      <c r="AE2" s="52" t="s">
        <v>3</v>
      </c>
      <c r="AF2" s="225" t="s">
        <v>2</v>
      </c>
      <c r="AG2" s="52" t="s">
        <v>3</v>
      </c>
      <c r="AH2" s="225" t="s">
        <v>2</v>
      </c>
      <c r="AI2" s="52" t="s">
        <v>3</v>
      </c>
      <c r="AJ2" s="95" t="s">
        <v>59</v>
      </c>
      <c r="AK2" s="99"/>
      <c r="AL2" s="227"/>
    </row>
    <row r="3" spans="1:38" ht="117" customHeight="1" x14ac:dyDescent="0.2">
      <c r="B3"/>
      <c r="C3"/>
      <c r="D3" s="31"/>
      <c r="E3" s="269"/>
      <c r="F3" s="246" t="s">
        <v>207</v>
      </c>
      <c r="G3" s="53" t="s">
        <v>213</v>
      </c>
      <c r="H3" s="246" t="s">
        <v>207</v>
      </c>
      <c r="I3" s="53" t="s">
        <v>213</v>
      </c>
      <c r="J3" s="246" t="s">
        <v>207</v>
      </c>
      <c r="K3" s="53" t="s">
        <v>213</v>
      </c>
      <c r="L3" s="246" t="s">
        <v>207</v>
      </c>
      <c r="M3" s="53" t="s">
        <v>213</v>
      </c>
      <c r="N3" s="246" t="s">
        <v>207</v>
      </c>
      <c r="O3" s="53" t="s">
        <v>213</v>
      </c>
      <c r="P3" s="246" t="s">
        <v>207</v>
      </c>
      <c r="Q3" s="53" t="s">
        <v>213</v>
      </c>
      <c r="R3" s="246" t="s">
        <v>207</v>
      </c>
      <c r="S3" s="53" t="s">
        <v>213</v>
      </c>
      <c r="T3" s="246" t="s">
        <v>207</v>
      </c>
      <c r="U3" s="53" t="s">
        <v>213</v>
      </c>
      <c r="V3" s="246" t="s">
        <v>207</v>
      </c>
      <c r="W3" s="53" t="s">
        <v>213</v>
      </c>
      <c r="X3" s="246" t="s">
        <v>207</v>
      </c>
      <c r="Y3" s="53" t="s">
        <v>213</v>
      </c>
      <c r="Z3" s="246" t="s">
        <v>207</v>
      </c>
      <c r="AA3" s="53" t="s">
        <v>213</v>
      </c>
      <c r="AB3" s="246" t="s">
        <v>207</v>
      </c>
      <c r="AC3" s="53" t="s">
        <v>213</v>
      </c>
      <c r="AD3" s="246" t="s">
        <v>207</v>
      </c>
      <c r="AE3" s="53" t="s">
        <v>213</v>
      </c>
      <c r="AF3" s="246" t="s">
        <v>207</v>
      </c>
      <c r="AG3" s="53" t="s">
        <v>213</v>
      </c>
      <c r="AH3" s="246" t="s">
        <v>207</v>
      </c>
      <c r="AI3" s="53" t="s">
        <v>213</v>
      </c>
      <c r="AJ3" s="120" t="s">
        <v>1067</v>
      </c>
      <c r="AK3" s="370" t="s">
        <v>1009</v>
      </c>
      <c r="AL3" s="228" t="s">
        <v>1066</v>
      </c>
    </row>
    <row r="4" spans="1:38" x14ac:dyDescent="0.2">
      <c r="B4" s="33"/>
      <c r="C4" s="33"/>
      <c r="D4" s="33" t="s">
        <v>4</v>
      </c>
      <c r="E4" s="270"/>
      <c r="F4" s="143"/>
      <c r="G4" s="55">
        <f>SUBTOTAL(109,G$15:INDEX(G:G,COUNTA($B:$B)+14-COUNTA($B$1:$B$14)))</f>
        <v>0</v>
      </c>
      <c r="H4" s="143"/>
      <c r="I4" s="55">
        <f>SUBTOTAL(109,I$15:INDEX(I:I,COUNTA($B:$B)+14-COUNTA($B$1:$B$14)))</f>
        <v>0</v>
      </c>
      <c r="J4" s="143"/>
      <c r="K4" s="55">
        <f>SUBTOTAL(109,K$15:INDEX(K:K,COUNTA($B:$B)+14-COUNTA($B$1:$B$14)))</f>
        <v>0</v>
      </c>
      <c r="L4" s="143"/>
      <c r="M4" s="55">
        <f>SUBTOTAL(109,M$15:INDEX(M:M,COUNTA($B:$B)+14-COUNTA($B$1:$B$14)))</f>
        <v>0</v>
      </c>
      <c r="N4" s="143"/>
      <c r="O4" s="55">
        <f>SUBTOTAL(109,O$15:INDEX(O:O,COUNTA($B:$B)+14-COUNTA($B$1:$B$14)))</f>
        <v>0</v>
      </c>
      <c r="P4" s="143"/>
      <c r="Q4" s="55">
        <f>SUBTOTAL(109,Q$15:INDEX(Q:Q,COUNTA($B:$B)+14-COUNTA($B$1:$B$14)))</f>
        <v>0</v>
      </c>
      <c r="R4" s="143"/>
      <c r="S4" s="55">
        <f>SUBTOTAL(109,S$15:INDEX(S:S,COUNTA($B:$B)+14-COUNTA($B$1:$B$14)))</f>
        <v>0</v>
      </c>
      <c r="T4" s="143"/>
      <c r="U4" s="55">
        <f>SUBTOTAL(109,U$15:INDEX(U:U,COUNTA($B:$B)+14-COUNTA($B$1:$B$14)))</f>
        <v>0</v>
      </c>
      <c r="V4" s="143"/>
      <c r="W4" s="55">
        <f>SUBTOTAL(109,W$15:INDEX(W:W,COUNTA($B:$B)+14-COUNTA($B$1:$B$14)))</f>
        <v>0</v>
      </c>
      <c r="X4" s="143"/>
      <c r="Y4" s="55">
        <f>SUBTOTAL(109,Y$15:INDEX(Y:Y,COUNTA($B:$B)+14-COUNTA($B$1:$B$14)))</f>
        <v>0</v>
      </c>
      <c r="Z4" s="143"/>
      <c r="AA4" s="55">
        <f>SUBTOTAL(109,AA$15:INDEX(AA:AA,COUNTA($B:$B)+14-COUNTA($B$1:$B$14)))</f>
        <v>0</v>
      </c>
      <c r="AB4" s="143"/>
      <c r="AC4" s="55">
        <f>SUBTOTAL(109,AC$15:INDEX(AC:AC,COUNTA($B:$B)+14-COUNTA($B$1:$B$14)))</f>
        <v>0</v>
      </c>
      <c r="AD4" s="143"/>
      <c r="AE4" s="55">
        <f>SUBTOTAL(109,AE$15:INDEX(AE:AE,COUNTA($B:$B)+14-COUNTA($B$1:$B$14)))</f>
        <v>0</v>
      </c>
      <c r="AF4" s="143"/>
      <c r="AG4" s="55">
        <f>SUBTOTAL(109,AG$15:INDEX(AG:AG,COUNTA($B:$B)+14-COUNTA($B$1:$B$14)))</f>
        <v>0</v>
      </c>
      <c r="AH4" s="143"/>
      <c r="AI4" s="55">
        <f>SUBTOTAL(109,AI$15:INDEX(AI:AI,COUNTA($B:$B)+14-COUNTA($B$1:$B$14)))</f>
        <v>0</v>
      </c>
      <c r="AJ4" s="93">
        <f>SUBTOTAL(109,AJ$15:INDEX(AJ:AJ,COUNTA($B:$B)+14-COUNTA($B$1:$B$14)))</f>
        <v>0</v>
      </c>
      <c r="AK4" s="101">
        <f>SUBTOTAL(109,AK$15:INDEX(AK:AK,COUNTA($B:$B)+14-COUNTA($B$1:$B$14)))</f>
        <v>0</v>
      </c>
      <c r="AL4" s="229" t="str">
        <f>IF(SUM($AK4)=0,"",$AJ4/$AK4)</f>
        <v/>
      </c>
    </row>
    <row r="5" spans="1:38" x14ac:dyDescent="0.2">
      <c r="A5" s="24" t="s">
        <v>98</v>
      </c>
      <c r="B5" s="26" t="s">
        <v>98</v>
      </c>
      <c r="C5" s="26" t="s">
        <v>98</v>
      </c>
      <c r="D5" s="26" t="s">
        <v>98</v>
      </c>
      <c r="E5" s="28" t="s">
        <v>98</v>
      </c>
      <c r="F5" s="144" t="s">
        <v>98</v>
      </c>
      <c r="G5" s="56" t="s">
        <v>109</v>
      </c>
      <c r="H5" s="144" t="s">
        <v>98</v>
      </c>
      <c r="I5" s="56" t="s">
        <v>109</v>
      </c>
      <c r="J5" s="144" t="s">
        <v>98</v>
      </c>
      <c r="K5" s="56" t="s">
        <v>109</v>
      </c>
      <c r="L5" s="144" t="s">
        <v>98</v>
      </c>
      <c r="M5" s="56" t="s">
        <v>109</v>
      </c>
      <c r="N5" s="144" t="s">
        <v>98</v>
      </c>
      <c r="O5" s="56" t="s">
        <v>109</v>
      </c>
      <c r="P5" s="144" t="s">
        <v>98</v>
      </c>
      <c r="Q5" s="56" t="s">
        <v>109</v>
      </c>
      <c r="R5" s="144" t="s">
        <v>98</v>
      </c>
      <c r="S5" s="56" t="s">
        <v>109</v>
      </c>
      <c r="T5" s="144" t="s">
        <v>98</v>
      </c>
      <c r="U5" s="56" t="s">
        <v>109</v>
      </c>
      <c r="V5" s="144" t="s">
        <v>98</v>
      </c>
      <c r="W5" s="56" t="s">
        <v>109</v>
      </c>
      <c r="X5" s="144" t="s">
        <v>98</v>
      </c>
      <c r="Y5" s="56" t="s">
        <v>109</v>
      </c>
      <c r="Z5" s="144" t="s">
        <v>98</v>
      </c>
      <c r="AA5" s="56" t="s">
        <v>109</v>
      </c>
      <c r="AB5" s="144" t="s">
        <v>98</v>
      </c>
      <c r="AC5" s="56" t="s">
        <v>109</v>
      </c>
      <c r="AD5" s="144" t="s">
        <v>98</v>
      </c>
      <c r="AE5" s="56" t="s">
        <v>109</v>
      </c>
      <c r="AF5" s="144" t="s">
        <v>98</v>
      </c>
      <c r="AG5" s="56" t="s">
        <v>109</v>
      </c>
      <c r="AH5" s="144" t="s">
        <v>98</v>
      </c>
      <c r="AI5" s="56" t="s">
        <v>109</v>
      </c>
      <c r="AJ5" s="82" t="s">
        <v>98</v>
      </c>
      <c r="AK5" s="59" t="s">
        <v>98</v>
      </c>
      <c r="AL5" s="20" t="s">
        <v>98</v>
      </c>
    </row>
    <row r="6" spans="1:38" x14ac:dyDescent="0.2">
      <c r="A6" s="24" t="s">
        <v>200</v>
      </c>
      <c r="B6" s="26" t="s">
        <v>200</v>
      </c>
      <c r="C6" s="26" t="s">
        <v>200</v>
      </c>
      <c r="D6" s="26" t="s">
        <v>200</v>
      </c>
      <c r="E6" s="28" t="s">
        <v>200</v>
      </c>
      <c r="F6" s="144" t="s">
        <v>112</v>
      </c>
      <c r="G6" s="56" t="s">
        <v>92</v>
      </c>
      <c r="H6" s="144" t="s">
        <v>112</v>
      </c>
      <c r="I6" s="56" t="s">
        <v>92</v>
      </c>
      <c r="J6" s="144" t="s">
        <v>112</v>
      </c>
      <c r="K6" s="56" t="s">
        <v>92</v>
      </c>
      <c r="L6" s="144" t="s">
        <v>112</v>
      </c>
      <c r="M6" s="56" t="s">
        <v>92</v>
      </c>
      <c r="N6" s="144" t="s">
        <v>112</v>
      </c>
      <c r="O6" s="56" t="s">
        <v>92</v>
      </c>
      <c r="P6" s="144" t="s">
        <v>112</v>
      </c>
      <c r="Q6" s="56" t="s">
        <v>92</v>
      </c>
      <c r="R6" s="144" t="s">
        <v>112</v>
      </c>
      <c r="S6" s="56" t="s">
        <v>92</v>
      </c>
      <c r="T6" s="144" t="s">
        <v>112</v>
      </c>
      <c r="U6" s="56" t="s">
        <v>92</v>
      </c>
      <c r="V6" s="144" t="s">
        <v>112</v>
      </c>
      <c r="W6" s="56" t="s">
        <v>92</v>
      </c>
      <c r="X6" s="144" t="s">
        <v>112</v>
      </c>
      <c r="Y6" s="56" t="s">
        <v>92</v>
      </c>
      <c r="Z6" s="144" t="s">
        <v>112</v>
      </c>
      <c r="AA6" s="56" t="s">
        <v>92</v>
      </c>
      <c r="AB6" s="144" t="s">
        <v>112</v>
      </c>
      <c r="AC6" s="56" t="s">
        <v>92</v>
      </c>
      <c r="AD6" s="144" t="s">
        <v>112</v>
      </c>
      <c r="AE6" s="56" t="s">
        <v>92</v>
      </c>
      <c r="AF6" s="144" t="s">
        <v>112</v>
      </c>
      <c r="AG6" s="56" t="s">
        <v>92</v>
      </c>
      <c r="AH6" s="144" t="s">
        <v>112</v>
      </c>
      <c r="AI6" s="56" t="s">
        <v>92</v>
      </c>
      <c r="AJ6" s="82" t="s">
        <v>93</v>
      </c>
      <c r="AK6" s="59" t="s">
        <v>93</v>
      </c>
      <c r="AL6" s="20" t="s">
        <v>93</v>
      </c>
    </row>
    <row r="7" spans="1:38" x14ac:dyDescent="0.2">
      <c r="A7" s="24" t="s">
        <v>108</v>
      </c>
      <c r="B7" s="26" t="s">
        <v>108</v>
      </c>
      <c r="C7" s="26" t="s">
        <v>108</v>
      </c>
      <c r="D7" s="26" t="s">
        <v>108</v>
      </c>
      <c r="E7" s="28" t="s">
        <v>108</v>
      </c>
      <c r="F7" s="144" t="s">
        <v>95</v>
      </c>
      <c r="G7" s="56" t="s">
        <v>94</v>
      </c>
      <c r="H7" s="144" t="s">
        <v>95</v>
      </c>
      <c r="I7" s="56" t="s">
        <v>94</v>
      </c>
      <c r="J7" s="144" t="s">
        <v>95</v>
      </c>
      <c r="K7" s="56" t="s">
        <v>94</v>
      </c>
      <c r="L7" s="144" t="s">
        <v>95</v>
      </c>
      <c r="M7" s="56" t="s">
        <v>94</v>
      </c>
      <c r="N7" s="144" t="s">
        <v>95</v>
      </c>
      <c r="O7" s="56" t="s">
        <v>94</v>
      </c>
      <c r="P7" s="144" t="s">
        <v>95</v>
      </c>
      <c r="Q7" s="56" t="s">
        <v>94</v>
      </c>
      <c r="R7" s="144" t="s">
        <v>95</v>
      </c>
      <c r="S7" s="56" t="s">
        <v>94</v>
      </c>
      <c r="T7" s="144" t="s">
        <v>95</v>
      </c>
      <c r="U7" s="56" t="s">
        <v>94</v>
      </c>
      <c r="V7" s="144" t="s">
        <v>95</v>
      </c>
      <c r="W7" s="56" t="s">
        <v>94</v>
      </c>
      <c r="X7" s="144" t="s">
        <v>95</v>
      </c>
      <c r="Y7" s="56" t="s">
        <v>94</v>
      </c>
      <c r="Z7" s="144" t="s">
        <v>95</v>
      </c>
      <c r="AA7" s="56" t="s">
        <v>94</v>
      </c>
      <c r="AB7" s="144" t="s">
        <v>95</v>
      </c>
      <c r="AC7" s="56" t="s">
        <v>94</v>
      </c>
      <c r="AD7" s="144" t="s">
        <v>95</v>
      </c>
      <c r="AE7" s="56" t="s">
        <v>94</v>
      </c>
      <c r="AF7" s="144" t="s">
        <v>95</v>
      </c>
      <c r="AG7" s="56" t="s">
        <v>94</v>
      </c>
      <c r="AH7" s="144" t="s">
        <v>95</v>
      </c>
      <c r="AI7" s="56" t="s">
        <v>94</v>
      </c>
      <c r="AJ7" s="82" t="s">
        <v>94</v>
      </c>
      <c r="AK7" s="59" t="s">
        <v>94</v>
      </c>
      <c r="AL7" s="20" t="s">
        <v>95</v>
      </c>
    </row>
    <row r="8" spans="1:38" s="291" customFormat="1" x14ac:dyDescent="0.2">
      <c r="B8" s="292"/>
      <c r="C8" s="292"/>
      <c r="D8" s="292"/>
      <c r="E8" s="293"/>
      <c r="F8" s="294"/>
      <c r="G8" s="272" t="s">
        <v>224</v>
      </c>
      <c r="H8" s="294"/>
      <c r="I8" s="272" t="s">
        <v>225</v>
      </c>
      <c r="J8" s="294"/>
      <c r="K8" s="272" t="s">
        <v>227</v>
      </c>
      <c r="L8" s="294"/>
      <c r="M8" s="272" t="s">
        <v>229</v>
      </c>
      <c r="N8" s="294"/>
      <c r="O8" s="272" t="s">
        <v>231</v>
      </c>
      <c r="P8" s="294"/>
      <c r="Q8" s="272" t="s">
        <v>221</v>
      </c>
      <c r="R8" s="294"/>
      <c r="S8" s="386" t="s">
        <v>223</v>
      </c>
      <c r="T8" s="294"/>
      <c r="U8" s="272" t="s">
        <v>226</v>
      </c>
      <c r="V8" s="294"/>
      <c r="W8" s="272" t="s">
        <v>222</v>
      </c>
      <c r="X8" s="294"/>
      <c r="Y8" s="272" t="s">
        <v>230</v>
      </c>
      <c r="Z8" s="294"/>
      <c r="AA8" s="272" t="s">
        <v>228</v>
      </c>
      <c r="AB8" s="294"/>
      <c r="AC8" s="272" t="s">
        <v>1047</v>
      </c>
      <c r="AD8" s="294"/>
      <c r="AE8" s="272" t="s">
        <v>232</v>
      </c>
      <c r="AF8" s="294"/>
      <c r="AG8" s="272" t="s">
        <v>1049</v>
      </c>
      <c r="AH8" s="294"/>
      <c r="AI8" s="272" t="s">
        <v>233</v>
      </c>
      <c r="AJ8" s="196"/>
      <c r="AK8" s="156"/>
      <c r="AL8" s="295"/>
    </row>
    <row r="9" spans="1:38" s="291" customFormat="1" x14ac:dyDescent="0.2">
      <c r="B9" s="292"/>
      <c r="C9" s="292"/>
      <c r="D9" s="292"/>
      <c r="E9" s="293"/>
      <c r="F9" s="294"/>
      <c r="G9" s="272" t="s">
        <v>236</v>
      </c>
      <c r="H9" s="294"/>
      <c r="I9" s="272" t="s">
        <v>237</v>
      </c>
      <c r="J9" s="294"/>
      <c r="K9" s="272" t="s">
        <v>239</v>
      </c>
      <c r="L9" s="294"/>
      <c r="M9" s="272" t="s">
        <v>241</v>
      </c>
      <c r="N9" s="294"/>
      <c r="O9" s="272" t="s">
        <v>243</v>
      </c>
      <c r="P9" s="294"/>
      <c r="Q9" s="272" t="s">
        <v>220</v>
      </c>
      <c r="R9" s="294"/>
      <c r="S9" s="272" t="s">
        <v>235</v>
      </c>
      <c r="T9" s="294"/>
      <c r="U9" s="272" t="s">
        <v>238</v>
      </c>
      <c r="V9" s="294"/>
      <c r="W9" s="272" t="s">
        <v>234</v>
      </c>
      <c r="X9" s="294"/>
      <c r="Y9" s="272" t="s">
        <v>242</v>
      </c>
      <c r="Z9" s="294"/>
      <c r="AA9" s="272" t="s">
        <v>240</v>
      </c>
      <c r="AB9" s="294"/>
      <c r="AC9" s="272" t="s">
        <v>1048</v>
      </c>
      <c r="AD9" s="294"/>
      <c r="AE9" s="272" t="s">
        <v>244</v>
      </c>
      <c r="AF9" s="294"/>
      <c r="AG9" s="272" t="s">
        <v>1050</v>
      </c>
      <c r="AH9" s="294"/>
      <c r="AI9" s="272" t="s">
        <v>245</v>
      </c>
      <c r="AJ9" s="196"/>
      <c r="AK9" s="156"/>
      <c r="AL9" s="295"/>
    </row>
    <row r="10" spans="1:38" s="291" customFormat="1" x14ac:dyDescent="0.2">
      <c r="B10" s="292"/>
      <c r="C10" s="292"/>
      <c r="D10" s="292"/>
      <c r="E10" s="293"/>
      <c r="F10" s="294"/>
      <c r="G10" s="272" t="s">
        <v>104</v>
      </c>
      <c r="H10" s="294"/>
      <c r="I10" s="272" t="s">
        <v>104</v>
      </c>
      <c r="J10" s="294"/>
      <c r="K10" s="272" t="s">
        <v>104</v>
      </c>
      <c r="L10" s="294"/>
      <c r="M10" s="272" t="s">
        <v>104</v>
      </c>
      <c r="N10" s="294"/>
      <c r="O10" s="272" t="s">
        <v>104</v>
      </c>
      <c r="P10" s="294"/>
      <c r="Q10" s="272" t="s">
        <v>104</v>
      </c>
      <c r="R10" s="294"/>
      <c r="S10" s="272" t="s">
        <v>104</v>
      </c>
      <c r="T10" s="294"/>
      <c r="U10" s="272" t="s">
        <v>104</v>
      </c>
      <c r="V10" s="294"/>
      <c r="W10" s="272" t="s">
        <v>104</v>
      </c>
      <c r="X10" s="294"/>
      <c r="Y10" s="272" t="s">
        <v>104</v>
      </c>
      <c r="Z10" s="294"/>
      <c r="AA10" s="272" t="s">
        <v>104</v>
      </c>
      <c r="AB10" s="294"/>
      <c r="AC10" s="272" t="s">
        <v>104</v>
      </c>
      <c r="AD10" s="294"/>
      <c r="AE10" s="272" t="s">
        <v>104</v>
      </c>
      <c r="AF10" s="294"/>
      <c r="AG10" s="272" t="s">
        <v>104</v>
      </c>
      <c r="AH10" s="294"/>
      <c r="AI10" s="272" t="s">
        <v>104</v>
      </c>
      <c r="AJ10" s="196"/>
      <c r="AK10" s="156"/>
      <c r="AL10" s="295"/>
    </row>
    <row r="11" spans="1:38" x14ac:dyDescent="0.2">
      <c r="F11" s="144" t="s">
        <v>1026</v>
      </c>
      <c r="G11" s="56" t="s">
        <v>1026</v>
      </c>
      <c r="H11" s="144" t="s">
        <v>1026</v>
      </c>
      <c r="I11" s="56" t="s">
        <v>1026</v>
      </c>
      <c r="J11" s="144" t="s">
        <v>1026</v>
      </c>
      <c r="K11" s="56" t="s">
        <v>1026</v>
      </c>
      <c r="L11" s="144" t="s">
        <v>1026</v>
      </c>
      <c r="M11" s="56" t="s">
        <v>1026</v>
      </c>
      <c r="N11" s="144" t="s">
        <v>1026</v>
      </c>
      <c r="O11" s="56" t="s">
        <v>1026</v>
      </c>
      <c r="P11" s="144" t="s">
        <v>1026</v>
      </c>
      <c r="Q11" s="56" t="s">
        <v>1026</v>
      </c>
      <c r="R11" s="144" t="s">
        <v>1026</v>
      </c>
      <c r="S11" s="56" t="s">
        <v>1026</v>
      </c>
      <c r="T11" s="144" t="s">
        <v>1026</v>
      </c>
      <c r="U11" s="56" t="s">
        <v>1026</v>
      </c>
      <c r="V11" s="144" t="s">
        <v>1026</v>
      </c>
      <c r="W11" s="56" t="s">
        <v>1026</v>
      </c>
      <c r="X11" s="144" t="s">
        <v>1026</v>
      </c>
      <c r="Y11" s="56" t="s">
        <v>1026</v>
      </c>
      <c r="Z11" s="144" t="s">
        <v>1026</v>
      </c>
      <c r="AA11" s="56" t="s">
        <v>1026</v>
      </c>
      <c r="AB11" s="144" t="s">
        <v>1026</v>
      </c>
      <c r="AC11" s="56" t="s">
        <v>1026</v>
      </c>
      <c r="AD11" s="144" t="s">
        <v>1026</v>
      </c>
      <c r="AE11" s="56" t="s">
        <v>1026</v>
      </c>
      <c r="AF11" s="144" t="s">
        <v>1026</v>
      </c>
      <c r="AG11" s="56" t="s">
        <v>1026</v>
      </c>
      <c r="AH11" s="144" t="s">
        <v>1026</v>
      </c>
      <c r="AI11" s="56" t="s">
        <v>1026</v>
      </c>
      <c r="AJ11" s="82" t="s">
        <v>1026</v>
      </c>
      <c r="AK11" s="59" t="s">
        <v>1026</v>
      </c>
      <c r="AL11" s="20" t="s">
        <v>1026</v>
      </c>
    </row>
    <row r="12" spans="1:38" x14ac:dyDescent="0.2">
      <c r="F12" s="144" t="s">
        <v>685</v>
      </c>
      <c r="G12" s="56" t="s">
        <v>685</v>
      </c>
      <c r="H12" s="144" t="s">
        <v>685</v>
      </c>
      <c r="I12" s="56" t="s">
        <v>685</v>
      </c>
      <c r="J12" s="144" t="s">
        <v>201</v>
      </c>
      <c r="K12" s="56" t="s">
        <v>201</v>
      </c>
      <c r="L12" s="144" t="s">
        <v>686</v>
      </c>
      <c r="M12" s="56" t="s">
        <v>686</v>
      </c>
      <c r="N12" s="144" t="s">
        <v>201</v>
      </c>
      <c r="O12" s="56" t="s">
        <v>201</v>
      </c>
      <c r="P12" s="144" t="s">
        <v>201</v>
      </c>
      <c r="Q12" s="56" t="s">
        <v>201</v>
      </c>
      <c r="R12" s="144" t="s">
        <v>201</v>
      </c>
      <c r="S12" s="56" t="s">
        <v>201</v>
      </c>
      <c r="T12" s="144" t="s">
        <v>201</v>
      </c>
      <c r="U12" s="56" t="s">
        <v>201</v>
      </c>
      <c r="V12" s="144" t="s">
        <v>201</v>
      </c>
      <c r="W12" s="56" t="s">
        <v>201</v>
      </c>
      <c r="X12" s="144" t="s">
        <v>201</v>
      </c>
      <c r="Y12" s="56" t="s">
        <v>201</v>
      </c>
      <c r="Z12" s="144" t="s">
        <v>201</v>
      </c>
      <c r="AA12" s="56" t="s">
        <v>201</v>
      </c>
      <c r="AB12" s="144" t="s">
        <v>201</v>
      </c>
      <c r="AC12" s="56" t="s">
        <v>201</v>
      </c>
      <c r="AD12" s="144" t="s">
        <v>201</v>
      </c>
      <c r="AE12" s="56" t="s">
        <v>201</v>
      </c>
      <c r="AF12" s="144" t="s">
        <v>201</v>
      </c>
      <c r="AG12" s="56" t="s">
        <v>201</v>
      </c>
      <c r="AH12" s="144" t="s">
        <v>201</v>
      </c>
      <c r="AI12" s="56" t="s">
        <v>201</v>
      </c>
      <c r="AJ12" s="82" t="s">
        <v>201</v>
      </c>
      <c r="AK12" s="59" t="s">
        <v>201</v>
      </c>
      <c r="AL12" s="20" t="s">
        <v>201</v>
      </c>
    </row>
    <row r="13" spans="1:38" x14ac:dyDescent="0.2">
      <c r="AJ13" s="82"/>
      <c r="AK13" s="59"/>
      <c r="AL13" s="20"/>
    </row>
    <row r="14" spans="1:38" x14ac:dyDescent="0.2">
      <c r="A14" s="36" t="s">
        <v>583</v>
      </c>
      <c r="B14" s="36" t="s">
        <v>5</v>
      </c>
      <c r="C14" s="38" t="s">
        <v>35</v>
      </c>
      <c r="D14" s="38" t="s">
        <v>6</v>
      </c>
      <c r="E14" s="271" t="s">
        <v>75</v>
      </c>
      <c r="F14" s="317" t="s">
        <v>543</v>
      </c>
      <c r="G14" s="155" t="s">
        <v>544</v>
      </c>
      <c r="H14" s="317" t="s">
        <v>408</v>
      </c>
      <c r="I14" s="155" t="s">
        <v>409</v>
      </c>
      <c r="J14" s="317" t="s">
        <v>406</v>
      </c>
      <c r="K14" s="155" t="s">
        <v>407</v>
      </c>
      <c r="L14" s="317" t="s">
        <v>410</v>
      </c>
      <c r="M14" s="155" t="s">
        <v>411</v>
      </c>
      <c r="N14" s="317" t="s">
        <v>400</v>
      </c>
      <c r="O14" s="155" t="s">
        <v>401</v>
      </c>
      <c r="P14" s="317" t="s">
        <v>402</v>
      </c>
      <c r="Q14" s="155" t="s">
        <v>403</v>
      </c>
      <c r="R14" s="317" t="s">
        <v>404</v>
      </c>
      <c r="S14" s="155" t="s">
        <v>405</v>
      </c>
      <c r="T14" s="317" t="s">
        <v>412</v>
      </c>
      <c r="U14" s="155" t="s">
        <v>413</v>
      </c>
      <c r="V14" s="317" t="s">
        <v>414</v>
      </c>
      <c r="W14" s="155" t="s">
        <v>415</v>
      </c>
      <c r="X14" s="317" t="s">
        <v>416</v>
      </c>
      <c r="Y14" s="155" t="s">
        <v>417</v>
      </c>
      <c r="Z14" s="317" t="s">
        <v>418</v>
      </c>
      <c r="AA14" s="155" t="s">
        <v>419</v>
      </c>
      <c r="AB14" s="317" t="s">
        <v>908</v>
      </c>
      <c r="AC14" s="155" t="s">
        <v>909</v>
      </c>
      <c r="AD14" s="317" t="s">
        <v>420</v>
      </c>
      <c r="AE14" s="155" t="s">
        <v>421</v>
      </c>
      <c r="AF14" s="317" t="s">
        <v>915</v>
      </c>
      <c r="AG14" s="155" t="s">
        <v>916</v>
      </c>
      <c r="AH14" s="317" t="s">
        <v>422</v>
      </c>
      <c r="AI14" s="155" t="s">
        <v>423</v>
      </c>
      <c r="AJ14" s="157" t="s">
        <v>424</v>
      </c>
      <c r="AK14" s="76" t="s">
        <v>392</v>
      </c>
      <c r="AL14" s="192" t="s">
        <v>545</v>
      </c>
    </row>
    <row r="15" spans="1:38" x14ac:dyDescent="0.2">
      <c r="E15" s="28" t="str">
        <f>$B15&amp;"|"&amp;$C15&amp;"|"&amp;$D15</f>
        <v>||</v>
      </c>
      <c r="F15" s="144" t="str">
        <f>IF($D15="Female",100%,"")</f>
        <v/>
      </c>
      <c r="G15" s="56" t="str" cm="1">
        <f t="array" ref="G15">IFERROR(ROUND($F15*IF($C15="50+",SUM(SUMIFS(PMTCT!$AF:$AF,PMTCT!$B:$B,$B15,PMTCT!$C:$C,{"50-54","55-59","60-64","65+"},PMTCT!$D:$D,$D15)),INDEX(PMTCT!$AF:$AF,MATCH($E15,PMTCT!$E:$E,0))),0),"")</f>
        <v/>
      </c>
      <c r="H15" s="144" t="str">
        <f>IF($D15="Female",100%,"")</f>
        <v/>
      </c>
      <c r="I15" s="56" t="str" cm="1">
        <f t="array" ref="I15">IFERROR(ROUND($H15*IF($C15="50+",SUM(SUMIFS(PMTCT!$AV:$AV,PMTCT!$B:$B,$B15,PMTCT!$C:$C,{"50-54","55-59","60-64","65+"},PMTCT!$D:$D,$D15)),INDEX(PMTCT!$AV:$AV,MATCH($E15,PMTCT!$E:$E,0))),0),"")</f>
        <v/>
      </c>
      <c r="J15" s="144">
        <v>1</v>
      </c>
      <c r="K15" s="56" cm="1">
        <f t="array" ref="K15">IFERROR(ROUND($J15*IF($C15="50+",SUM(SUMIFS(TB!$Q:$Q,TB!$B:$B,$B15,TB!$C:$C,{"50-54","55-59","60-64","65+"},TB!$D:$D,$D15)),INDEX(TB!$Q:$Q,MATCH($E15,TB!$E:$E,0))),0),"")</f>
        <v>0</v>
      </c>
      <c r="L15" s="144" t="str">
        <f>IF($D15="Male",100%,"")</f>
        <v/>
      </c>
      <c r="M15" s="71" t="str" cm="1">
        <f t="array" ref="M15">IFERROR(ROUND($L14*IF($C14="50+",SUM(SUMIFS(VMMC!$AC:$AC,VMMC!$B:$B,$B14,VMMC!$C:$C,{"50-54","55-59","60-64","65+"},VMMC!$D:$D,$D14)),INDEX(VMMC!$AC:$AC,MATCH($E14,VMMC!$E:$E,0))),0),"")</f>
        <v/>
      </c>
      <c r="N15" s="144">
        <v>1</v>
      </c>
      <c r="O15" s="56" t="str" cm="1">
        <f t="array" ref="O15">IFERROR(ROUND($N15*IF($C15="50+",SUM(SUMIFS(Cascade!$CT:$CT,Cascade!$B:$B,$B15,Cascade!$C:$C,{"50-54","55-59","60-64","65+"},Cascade!$D:$D,$D15)),INDEX(Cascade!$CT:$CT,MATCH($E15,Cascade!$E:$E,0))),0),"")</f>
        <v/>
      </c>
      <c r="P15" s="144">
        <v>1</v>
      </c>
      <c r="Q15" s="56" t="str" cm="1">
        <f t="array" ref="Q15">IFERROR(ROUND($P15*IF($C15="50+",SUM(SUMIFS(Cascade!$CV:$CV,Cascade!$B:$B,$B15,Cascade!$C:$C,{"50-54","55-59","60-64","65+"},Cascade!$D:$D,$D15)),INDEX(Cascade!$CV:$CV,MATCH($E15,Cascade!$E:$E,0))),0),"")</f>
        <v/>
      </c>
      <c r="R15" s="144">
        <v>1</v>
      </c>
      <c r="S15" s="56" t="str">
        <f>IFERROR(ROUND($R15*INDEX(HTS!$AI:$AI,MATCH($E15,HTS!$E:$E,0)),0),"")</f>
        <v/>
      </c>
      <c r="T15" s="144">
        <v>1</v>
      </c>
      <c r="U15" s="56" t="str">
        <f>IFERROR(ROUND($T15*INDEX(HTS!$AR:$AR,MATCH($E15,HTS!$E:$E,0)),0),"")</f>
        <v/>
      </c>
      <c r="V15" s="144">
        <v>1</v>
      </c>
      <c r="W15" s="56" t="str">
        <f>IFERROR(ROUND($V15*INDEX(HTS!$AU:$AU,MATCH($E15,HTS!$E:$E,0)),0),"")</f>
        <v/>
      </c>
      <c r="X15" s="144">
        <v>1</v>
      </c>
      <c r="Y15" s="56" t="str">
        <f>IFERROR(ROUND($X15*INDEX(HTS!$AX:$AX,MATCH($E15,HTS!$E:$E,0)),0),"")</f>
        <v/>
      </c>
      <c r="Z15" s="144">
        <v>1</v>
      </c>
      <c r="AA15" s="56" t="str">
        <f>IFERROR(ROUND($Z15*INDEX(HTS!$BA:$BA,MATCH($E15,HTS!$E:$E,0)),0),"")</f>
        <v/>
      </c>
      <c r="AB15" s="144">
        <v>1</v>
      </c>
      <c r="AC15" s="56" t="str">
        <f>IFERROR(ROUND($AB15*INDEX(HTS!$BD:$BD,MATCH($E15,HTS!$E:$E,0)),0),"")</f>
        <v/>
      </c>
      <c r="AD15" s="144">
        <v>1</v>
      </c>
      <c r="AE15" s="56" t="str">
        <f>IFERROR(ROUND($AD15*INDEX(HTS!$BG:$BG,MATCH($E15,HTS!$E:$E,0)),0),"")</f>
        <v/>
      </c>
      <c r="AF15" s="144">
        <v>1</v>
      </c>
      <c r="AG15" s="56" t="str">
        <f>IFERROR(ROUND($AF15*INDEX(HTS!$BJ:$BJ,MATCH($E15,HTS!$E:$E,0)),0),"")</f>
        <v/>
      </c>
      <c r="AH15" s="144">
        <v>1</v>
      </c>
      <c r="AI15" s="56" t="str">
        <f>IFERROR(ROUND($AH15*INDEX(HTS!$BM:$BM,MATCH($E15,HTS!$E:$E,0)),0),"")</f>
        <v/>
      </c>
      <c r="AJ15" s="96">
        <f>SUM($G15,$I15,$K15,$M15,$O15,$Q15,$S15,$U15,$W15,$Y15,$AA15,$AC15,$AE15,$AG15,$AI15)</f>
        <v>0</v>
      </c>
      <c r="AK15" s="249" t="str">
        <f>INDEX(HTS!$BP:$BP,MATCH($E15,HTS!$E:$E,0))</f>
        <v/>
      </c>
      <c r="AL15" s="230" t="str">
        <f>IF(SUM($AK15)=0,"",$AJ15/$AK15)</f>
        <v/>
      </c>
    </row>
    <row r="16" spans="1:38" x14ac:dyDescent="0.2">
      <c r="M16" s="71"/>
    </row>
  </sheetData>
  <conditionalFormatting sqref="F1:I1048576">
    <cfRule type="expression" dxfId="248" priority="6">
      <formula>$D1="Male"</formula>
    </cfRule>
  </conditionalFormatting>
  <conditionalFormatting sqref="L1:M1048576">
    <cfRule type="expression" dxfId="247"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46" priority="2">
      <formula>AND(ISNUMBER(F1),OR(ROUND(F1,2)&gt;1,ROUND(F1,2)&lt;0))</formula>
    </cfRule>
    <cfRule type="expression" dxfId="245"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244"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59" customWidth="1"/>
    <col min="8" max="11" width="11.83203125" style="20" customWidth="1"/>
    <col min="12" max="15" width="11.83203125" style="56" customWidth="1"/>
    <col min="16" max="16" width="11.83203125" style="82" customWidth="1"/>
    <col min="17" max="17" width="11.83203125" style="81" customWidth="1"/>
    <col min="18" max="18" width="11.83203125" style="59" customWidth="1"/>
    <col min="19" max="19" width="11.83203125" style="230" customWidth="1"/>
    <col min="20" max="20" width="11.83203125" style="102" customWidth="1"/>
    <col min="21" max="21" width="11.83203125" style="230" customWidth="1"/>
    <col min="22" max="22" width="11.83203125" style="20" customWidth="1"/>
    <col min="23" max="24" width="11.83203125" style="56" customWidth="1"/>
    <col min="25" max="25" width="11.83203125" style="144" customWidth="1"/>
    <col min="26" max="27" width="11.83203125" style="56" customWidth="1"/>
    <col min="28" max="29" width="11.83203125" style="20" customWidth="1"/>
    <col min="30" max="16384" width="10.83203125" style="24"/>
  </cols>
  <sheetData>
    <row r="1" spans="1:29" s="41" customFormat="1" ht="31" customHeight="1" x14ac:dyDescent="0.3">
      <c r="A1" s="5" t="s">
        <v>90</v>
      </c>
      <c r="B1" s="5"/>
      <c r="C1" s="1"/>
      <c r="D1" s="1"/>
      <c r="E1" s="1"/>
      <c r="F1" s="91" t="s">
        <v>19</v>
      </c>
      <c r="G1" s="61"/>
      <c r="H1" s="29"/>
      <c r="I1" s="29"/>
      <c r="J1" s="29"/>
      <c r="K1" s="29"/>
      <c r="L1" s="51"/>
      <c r="M1" s="51"/>
      <c r="N1" s="51"/>
      <c r="O1" s="51"/>
      <c r="P1" s="91" t="s">
        <v>20</v>
      </c>
      <c r="Q1" s="98"/>
      <c r="R1" s="64"/>
      <c r="S1" s="226"/>
      <c r="T1" s="98"/>
      <c r="U1" s="226"/>
      <c r="V1" s="29"/>
      <c r="W1" s="51"/>
      <c r="X1" s="51"/>
      <c r="Y1" s="224" t="s">
        <v>41</v>
      </c>
      <c r="Z1" s="51"/>
      <c r="AA1" s="51"/>
      <c r="AB1" s="19"/>
      <c r="AC1" s="19"/>
    </row>
    <row r="2" spans="1:29" s="40" customFormat="1" ht="19" x14ac:dyDescent="0.25">
      <c r="A2" s="2"/>
      <c r="B2" s="2"/>
      <c r="C2" s="2"/>
      <c r="D2" s="2"/>
      <c r="E2" s="2"/>
      <c r="F2" s="92" t="s">
        <v>73</v>
      </c>
      <c r="G2" s="57"/>
      <c r="H2" s="18" t="s">
        <v>2</v>
      </c>
      <c r="I2" s="18"/>
      <c r="J2" s="18"/>
      <c r="K2" s="18"/>
      <c r="L2" s="52" t="s">
        <v>3</v>
      </c>
      <c r="M2" s="52"/>
      <c r="N2" s="52"/>
      <c r="O2" s="52"/>
      <c r="P2" s="92" t="s">
        <v>73</v>
      </c>
      <c r="Q2" s="99"/>
      <c r="R2" s="78"/>
      <c r="S2" s="227"/>
      <c r="T2" s="99"/>
      <c r="U2" s="227" t="s">
        <v>2</v>
      </c>
      <c r="V2" s="18"/>
      <c r="W2" s="52" t="s">
        <v>3</v>
      </c>
      <c r="X2" s="52"/>
      <c r="Y2" s="225" t="s">
        <v>2</v>
      </c>
      <c r="Z2" s="52" t="s">
        <v>3</v>
      </c>
      <c r="AA2" s="52"/>
      <c r="AB2" s="18" t="s">
        <v>73</v>
      </c>
      <c r="AC2" s="18"/>
    </row>
    <row r="3" spans="1:29" ht="117" customHeight="1" x14ac:dyDescent="0.2">
      <c r="A3" s="31"/>
      <c r="B3" s="31"/>
      <c r="C3" s="31"/>
      <c r="D3" s="31"/>
      <c r="E3" s="31"/>
      <c r="F3" s="237" t="s">
        <v>779</v>
      </c>
      <c r="G3" s="238" t="s">
        <v>1010</v>
      </c>
      <c r="H3" s="32" t="s">
        <v>1058</v>
      </c>
      <c r="I3" s="32" t="s">
        <v>1057</v>
      </c>
      <c r="J3" s="32" t="s">
        <v>1056</v>
      </c>
      <c r="K3" s="32" t="s">
        <v>1055</v>
      </c>
      <c r="L3" s="53" t="s">
        <v>91</v>
      </c>
      <c r="M3" s="53" t="s">
        <v>36</v>
      </c>
      <c r="N3" s="53" t="s">
        <v>37</v>
      </c>
      <c r="O3" s="53" t="s">
        <v>40</v>
      </c>
      <c r="P3" s="128" t="s">
        <v>1153</v>
      </c>
      <c r="Q3" s="100" t="s">
        <v>1155</v>
      </c>
      <c r="R3" s="129" t="s">
        <v>1156</v>
      </c>
      <c r="S3" s="316" t="s">
        <v>1219</v>
      </c>
      <c r="T3" s="100" t="s">
        <v>1184</v>
      </c>
      <c r="U3" s="316" t="s">
        <v>1226</v>
      </c>
      <c r="V3" s="32" t="s">
        <v>1227</v>
      </c>
      <c r="W3" s="53" t="s">
        <v>32</v>
      </c>
      <c r="X3" s="53" t="s">
        <v>33</v>
      </c>
      <c r="Y3" s="338" t="s">
        <v>1054</v>
      </c>
      <c r="Z3" s="53" t="s">
        <v>32</v>
      </c>
      <c r="AA3" s="53" t="s">
        <v>33</v>
      </c>
      <c r="AB3" s="335" t="s">
        <v>261</v>
      </c>
      <c r="AC3" s="335" t="s">
        <v>262</v>
      </c>
    </row>
    <row r="4" spans="1:29" x14ac:dyDescent="0.2">
      <c r="A4" s="33"/>
      <c r="B4" s="33"/>
      <c r="C4" s="33"/>
      <c r="D4" s="33" t="s">
        <v>4</v>
      </c>
      <c r="E4" s="33"/>
      <c r="F4" s="93">
        <f>SUBTOTAL(109,F$15:INDEX(F:F,COUNTA($B:$B)+14-COUNTA($B$1:$B$14)))</f>
        <v>0</v>
      </c>
      <c r="G4" s="58">
        <f>SUBTOTAL(109,G$15:INDEX(G:G,COUNTA($B:$B)+14-COUNTA($B$1:$B$14)))</f>
        <v>0</v>
      </c>
      <c r="H4" s="34" t="str">
        <f>IF(SUM($F$4)=0,"",SUM($L$4,$M$4)/$F$4)</f>
        <v/>
      </c>
      <c r="I4" s="34" t="str">
        <f>IF(SUM($G$4)=0,"",SUM($N$4,$O$4)/$G$4)</f>
        <v/>
      </c>
      <c r="J4" s="34" t="str">
        <f>IF(SUM($L$4,$M$4)=0,"",$L$4/SUM($L$4,$M$4))</f>
        <v/>
      </c>
      <c r="K4" s="34" t="str">
        <f>IF(SUM($N$4,$O$4)=0,"",$N$4/SUM($N$4,$O$4))</f>
        <v/>
      </c>
      <c r="L4" s="55">
        <f>SUBTOTAL(109,L$15:INDEX(L:L,COUNTA($B:$B)+14-COUNTA($B$1:$B$14)))</f>
        <v>0</v>
      </c>
      <c r="M4" s="55">
        <f>SUBTOTAL(109,M$15:INDEX(M:M,COUNTA($B:$B)+14-COUNTA($B$1:$B$14)))</f>
        <v>0</v>
      </c>
      <c r="N4" s="55">
        <f>SUBTOTAL(109,N$15:INDEX(N:N,COUNTA($B:$B)+14-COUNTA($B$1:$B$14)))</f>
        <v>0</v>
      </c>
      <c r="O4" s="55">
        <f>SUBTOTAL(109,O$15:INDEX(O:O,COUNTA($B:$B)+14-COUNTA($B$1:$B$14)))</f>
        <v>0</v>
      </c>
      <c r="P4" s="93">
        <f>SUBTOTAL(109,P$15:INDEX(P:P,COUNTA($B:$B)+14-COUNTA($B$1:$B$14)))</f>
        <v>0</v>
      </c>
      <c r="Q4" s="101">
        <f>SUBTOTAL(109,Q$15:INDEX(Q:Q,COUNTA($B:$B)+14-COUNTA($B$1:$B$14)))</f>
        <v>0</v>
      </c>
      <c r="R4" s="58">
        <f>SUBTOTAL(109,R$15:INDEX(R:R,COUNTA($B:$B)+14-COUNTA($B$1:$B$14)))</f>
        <v>0</v>
      </c>
      <c r="S4" s="229" t="str">
        <f>IF(SUM($G4)=0,"",MIN(SUM($P4,$Q4,$R4)/$G4,1))</f>
        <v/>
      </c>
      <c r="T4" s="300">
        <f>SUBTOTAL(109,T$15:INDEX(T:T,COUNTA($B:$B)+14-COUNTA($B$1:$B$14)))</f>
        <v>0</v>
      </c>
      <c r="U4" s="229" t="str">
        <f>IF(SUM($M$4)=0,"",$W$4/$M$4)</f>
        <v/>
      </c>
      <c r="V4" s="34" t="str">
        <f>IF(SUM($O$4)=0,"",$X$4/$T$4)</f>
        <v/>
      </c>
      <c r="W4" s="55">
        <f>SUBTOTAL(109,W$15:INDEX(W:W,COUNTA($B:$B)+14-COUNTA($B$1:$B$14)))</f>
        <v>0</v>
      </c>
      <c r="X4" s="55">
        <f>SUBTOTAL(109,X$15:INDEX(X:X,COUNTA($B:$B)+14-COUNTA($B$1:$B$14)))</f>
        <v>0</v>
      </c>
      <c r="Y4" s="143" t="str">
        <f>IF(SUM($W$4,$X$4)=0,"",SUM($Z$4,$AA$4)/SUM($W$4,$X$4))</f>
        <v/>
      </c>
      <c r="Z4" s="55">
        <f>SUBTOTAL(109,Z$15:INDEX(Z:Z,COUNTA($B:$B)+14-COUNTA($B$1:$B$14)))</f>
        <v>0</v>
      </c>
      <c r="AA4" s="55">
        <f>SUBTOTAL(109,AA$15:INDEX(AA:AA,COUNTA($B:$B)+14-COUNTA($B$1:$B$14)))</f>
        <v>0</v>
      </c>
      <c r="AB4" s="34" t="str">
        <f>IF(SUM($Q4)=0,"",(SUM($Z4)-$Q4)/$Q4)</f>
        <v/>
      </c>
      <c r="AC4" s="34" t="str">
        <f>IF(SUM($R4)=0,"",(SUM($AA4)-$R4)/$R4)</f>
        <v/>
      </c>
    </row>
    <row r="5" spans="1:29" x14ac:dyDescent="0.2">
      <c r="A5" s="26" t="s">
        <v>98</v>
      </c>
      <c r="B5" s="26" t="s">
        <v>98</v>
      </c>
      <c r="C5" s="26" t="s">
        <v>98</v>
      </c>
      <c r="D5" s="26" t="s">
        <v>98</v>
      </c>
      <c r="E5" s="26" t="s">
        <v>98</v>
      </c>
      <c r="F5" s="82" t="s">
        <v>98</v>
      </c>
      <c r="G5" s="59" t="s">
        <v>98</v>
      </c>
      <c r="H5" s="20" t="s">
        <v>98</v>
      </c>
      <c r="I5" s="20" t="s">
        <v>98</v>
      </c>
      <c r="J5" s="20" t="s">
        <v>98</v>
      </c>
      <c r="K5" s="20" t="s">
        <v>98</v>
      </c>
      <c r="L5" s="56" t="s">
        <v>109</v>
      </c>
      <c r="M5" s="56" t="s">
        <v>109</v>
      </c>
      <c r="N5" s="56" t="s">
        <v>109</v>
      </c>
      <c r="O5" s="56" t="s">
        <v>109</v>
      </c>
      <c r="P5" s="82" t="s">
        <v>98</v>
      </c>
      <c r="Q5" s="81" t="s">
        <v>109</v>
      </c>
      <c r="R5" s="59" t="s">
        <v>109</v>
      </c>
      <c r="S5" s="230" t="s">
        <v>98</v>
      </c>
      <c r="T5" s="102" t="s">
        <v>98</v>
      </c>
      <c r="U5" s="230" t="s">
        <v>98</v>
      </c>
      <c r="V5" s="20" t="s">
        <v>98</v>
      </c>
      <c r="W5" s="56" t="s">
        <v>109</v>
      </c>
      <c r="X5" s="56" t="s">
        <v>109</v>
      </c>
      <c r="Y5" s="144" t="s">
        <v>98</v>
      </c>
      <c r="Z5" s="56" t="s">
        <v>109</v>
      </c>
      <c r="AA5" s="56" t="s">
        <v>109</v>
      </c>
      <c r="AB5" s="20" t="s">
        <v>98</v>
      </c>
      <c r="AC5" s="20" t="s">
        <v>98</v>
      </c>
    </row>
    <row r="6" spans="1:29" x14ac:dyDescent="0.2">
      <c r="A6" s="26" t="s">
        <v>200</v>
      </c>
      <c r="B6" s="26" t="s">
        <v>200</v>
      </c>
      <c r="C6" s="26" t="s">
        <v>200</v>
      </c>
      <c r="D6" s="26" t="s">
        <v>200</v>
      </c>
      <c r="E6" s="26" t="s">
        <v>200</v>
      </c>
      <c r="F6" s="82" t="s">
        <v>93</v>
      </c>
      <c r="G6" s="59" t="s">
        <v>93</v>
      </c>
      <c r="H6" s="20" t="s">
        <v>112</v>
      </c>
      <c r="I6" s="20" t="s">
        <v>112</v>
      </c>
      <c r="J6" s="20" t="s">
        <v>111</v>
      </c>
      <c r="K6" s="20" t="s">
        <v>111</v>
      </c>
      <c r="L6" s="56" t="s">
        <v>92</v>
      </c>
      <c r="M6" s="56" t="s">
        <v>92</v>
      </c>
      <c r="N6" s="56" t="s">
        <v>92</v>
      </c>
      <c r="O6" s="56" t="s">
        <v>92</v>
      </c>
      <c r="P6" s="82" t="s">
        <v>111</v>
      </c>
      <c r="Q6" s="81" t="s">
        <v>110</v>
      </c>
      <c r="R6" s="59" t="s">
        <v>110</v>
      </c>
      <c r="S6" s="230" t="s">
        <v>93</v>
      </c>
      <c r="T6" s="102" t="s">
        <v>93</v>
      </c>
      <c r="U6" s="230" t="s">
        <v>112</v>
      </c>
      <c r="V6" s="20" t="s">
        <v>112</v>
      </c>
      <c r="W6" s="56" t="s">
        <v>92</v>
      </c>
      <c r="X6" s="56" t="s">
        <v>92</v>
      </c>
      <c r="Y6" s="144" t="s">
        <v>112</v>
      </c>
      <c r="Z6" s="56" t="s">
        <v>92</v>
      </c>
      <c r="AA6" s="56" t="s">
        <v>92</v>
      </c>
      <c r="AB6" s="20" t="s">
        <v>93</v>
      </c>
      <c r="AC6" s="20" t="s">
        <v>93</v>
      </c>
    </row>
    <row r="7" spans="1:29" x14ac:dyDescent="0.2">
      <c r="A7" s="26" t="s">
        <v>108</v>
      </c>
      <c r="B7" s="26" t="s">
        <v>108</v>
      </c>
      <c r="C7" s="26" t="s">
        <v>108</v>
      </c>
      <c r="D7" s="26" t="s">
        <v>108</v>
      </c>
      <c r="E7" s="26" t="s">
        <v>108</v>
      </c>
      <c r="F7" s="82" t="s">
        <v>94</v>
      </c>
      <c r="G7" s="59" t="s">
        <v>94</v>
      </c>
      <c r="H7" s="20" t="s">
        <v>95</v>
      </c>
      <c r="I7" s="20" t="s">
        <v>95</v>
      </c>
      <c r="J7" s="20" t="s">
        <v>95</v>
      </c>
      <c r="K7" s="20" t="s">
        <v>95</v>
      </c>
      <c r="L7" s="56" t="s">
        <v>94</v>
      </c>
      <c r="M7" s="56" t="s">
        <v>94</v>
      </c>
      <c r="N7" s="56" t="s">
        <v>94</v>
      </c>
      <c r="O7" s="56" t="s">
        <v>94</v>
      </c>
      <c r="P7" s="82" t="s">
        <v>94</v>
      </c>
      <c r="Q7" s="81" t="s">
        <v>94</v>
      </c>
      <c r="R7" s="59" t="s">
        <v>94</v>
      </c>
      <c r="S7" s="230" t="s">
        <v>95</v>
      </c>
      <c r="T7" s="102" t="s">
        <v>94</v>
      </c>
      <c r="U7" s="230" t="s">
        <v>95</v>
      </c>
      <c r="V7" s="20" t="s">
        <v>95</v>
      </c>
      <c r="W7" s="56" t="s">
        <v>94</v>
      </c>
      <c r="X7" s="56" t="s">
        <v>94</v>
      </c>
      <c r="Y7" s="144" t="s">
        <v>95</v>
      </c>
      <c r="Z7" s="56" t="s">
        <v>94</v>
      </c>
      <c r="AA7" s="56" t="s">
        <v>94</v>
      </c>
      <c r="AB7" s="20" t="s">
        <v>95</v>
      </c>
      <c r="AC7" s="20" t="s">
        <v>95</v>
      </c>
    </row>
    <row r="8" spans="1:29" x14ac:dyDescent="0.2">
      <c r="L8" s="272" t="s">
        <v>166</v>
      </c>
      <c r="M8" s="272" t="s">
        <v>166</v>
      </c>
      <c r="N8" s="272" t="s">
        <v>166</v>
      </c>
      <c r="O8" s="272" t="s">
        <v>166</v>
      </c>
      <c r="P8" s="196"/>
      <c r="Q8" s="345" t="s">
        <v>211</v>
      </c>
      <c r="R8" s="275" t="s">
        <v>211</v>
      </c>
      <c r="W8" s="272" t="s">
        <v>210</v>
      </c>
      <c r="X8" s="272" t="s">
        <v>210</v>
      </c>
      <c r="Z8" s="272" t="s">
        <v>211</v>
      </c>
      <c r="AA8" s="272" t="s">
        <v>211</v>
      </c>
    </row>
    <row r="9" spans="1:29" x14ac:dyDescent="0.2">
      <c r="L9" s="272" t="s">
        <v>167</v>
      </c>
      <c r="M9" s="272" t="s">
        <v>167</v>
      </c>
      <c r="N9" s="272" t="s">
        <v>167</v>
      </c>
      <c r="O9" s="272" t="s">
        <v>167</v>
      </c>
      <c r="P9" s="196"/>
      <c r="Q9" s="345" t="s">
        <v>212</v>
      </c>
      <c r="R9" s="275" t="s">
        <v>212</v>
      </c>
      <c r="W9" s="272" t="s">
        <v>209</v>
      </c>
      <c r="X9" s="272" t="s">
        <v>209</v>
      </c>
      <c r="Z9" s="272" t="s">
        <v>212</v>
      </c>
      <c r="AA9" s="272" t="s">
        <v>212</v>
      </c>
    </row>
    <row r="10" spans="1:29" x14ac:dyDescent="0.2">
      <c r="L10" s="272" t="s">
        <v>168</v>
      </c>
      <c r="M10" s="272" t="s">
        <v>169</v>
      </c>
      <c r="N10" s="272" t="s">
        <v>170</v>
      </c>
      <c r="O10" s="272" t="s">
        <v>171</v>
      </c>
      <c r="P10" s="196"/>
      <c r="Q10" s="345" t="s">
        <v>119</v>
      </c>
      <c r="R10" s="275" t="s">
        <v>120</v>
      </c>
      <c r="W10" s="272" t="s">
        <v>119</v>
      </c>
      <c r="X10" s="272" t="s">
        <v>120</v>
      </c>
      <c r="Z10" s="272" t="s">
        <v>119</v>
      </c>
      <c r="AA10" s="272" t="s">
        <v>120</v>
      </c>
    </row>
    <row r="11" spans="1:29" x14ac:dyDescent="0.2">
      <c r="F11" s="82" t="s">
        <v>688</v>
      </c>
      <c r="G11" s="59" t="s">
        <v>688</v>
      </c>
      <c r="H11" s="20" t="s">
        <v>688</v>
      </c>
      <c r="I11" s="20" t="s">
        <v>688</v>
      </c>
      <c r="J11" s="20" t="s">
        <v>688</v>
      </c>
      <c r="K11" s="20" t="s">
        <v>688</v>
      </c>
      <c r="L11" s="56" t="s">
        <v>688</v>
      </c>
      <c r="M11" s="56" t="s">
        <v>688</v>
      </c>
      <c r="N11" s="56" t="s">
        <v>688</v>
      </c>
      <c r="O11" s="56" t="s">
        <v>688</v>
      </c>
      <c r="P11" s="82" t="s">
        <v>688</v>
      </c>
      <c r="Q11" s="81" t="s">
        <v>688</v>
      </c>
      <c r="R11" s="59" t="s">
        <v>688</v>
      </c>
      <c r="S11" s="230" t="s">
        <v>688</v>
      </c>
      <c r="T11" s="102" t="s">
        <v>688</v>
      </c>
      <c r="U11" s="230" t="s">
        <v>688</v>
      </c>
      <c r="V11" s="20" t="s">
        <v>688</v>
      </c>
      <c r="W11" s="56" t="s">
        <v>688</v>
      </c>
      <c r="X11" s="56" t="s">
        <v>688</v>
      </c>
      <c r="Y11" s="144" t="s">
        <v>688</v>
      </c>
      <c r="Z11" s="56" t="s">
        <v>688</v>
      </c>
      <c r="AA11" s="56" t="s">
        <v>688</v>
      </c>
      <c r="AB11" s="20" t="s">
        <v>688</v>
      </c>
      <c r="AC11" s="20" t="s">
        <v>688</v>
      </c>
    </row>
    <row r="12" spans="1:29" x14ac:dyDescent="0.2">
      <c r="F12" s="82" t="s">
        <v>201</v>
      </c>
      <c r="G12" s="59" t="s">
        <v>201</v>
      </c>
      <c r="H12" s="20" t="s">
        <v>201</v>
      </c>
      <c r="I12" s="20" t="s">
        <v>201</v>
      </c>
      <c r="J12" s="20" t="s">
        <v>201</v>
      </c>
      <c r="K12" s="20" t="s">
        <v>201</v>
      </c>
      <c r="L12" s="56" t="s">
        <v>201</v>
      </c>
      <c r="M12" s="56" t="s">
        <v>201</v>
      </c>
      <c r="N12" s="56" t="s">
        <v>201</v>
      </c>
      <c r="O12" s="56" t="s">
        <v>201</v>
      </c>
      <c r="P12" s="82" t="s">
        <v>201</v>
      </c>
      <c r="Q12" s="81" t="s">
        <v>201</v>
      </c>
      <c r="R12" s="59" t="s">
        <v>201</v>
      </c>
      <c r="S12" s="230" t="s">
        <v>201</v>
      </c>
      <c r="T12" s="102" t="s">
        <v>201</v>
      </c>
      <c r="U12" s="230" t="s">
        <v>201</v>
      </c>
      <c r="V12" s="20" t="s">
        <v>201</v>
      </c>
      <c r="W12" s="56" t="s">
        <v>201</v>
      </c>
      <c r="X12" s="56" t="s">
        <v>201</v>
      </c>
      <c r="Y12" s="144" t="s">
        <v>201</v>
      </c>
      <c r="Z12" s="56" t="s">
        <v>201</v>
      </c>
      <c r="AA12" s="56" t="s">
        <v>201</v>
      </c>
      <c r="AB12" s="20" t="s">
        <v>201</v>
      </c>
      <c r="AC12" s="20" t="s">
        <v>201</v>
      </c>
    </row>
    <row r="14" spans="1:29" x14ac:dyDescent="0.2">
      <c r="A14" s="36" t="s">
        <v>583</v>
      </c>
      <c r="B14" s="36" t="s">
        <v>5</v>
      </c>
      <c r="C14" s="38" t="s">
        <v>35</v>
      </c>
      <c r="D14" s="38" t="s">
        <v>6</v>
      </c>
      <c r="E14" s="38" t="s">
        <v>75</v>
      </c>
      <c r="F14" s="157" t="s">
        <v>314</v>
      </c>
      <c r="G14" s="76" t="s">
        <v>312</v>
      </c>
      <c r="H14" s="192" t="s">
        <v>1011</v>
      </c>
      <c r="I14" s="192" t="s">
        <v>1012</v>
      </c>
      <c r="J14" s="192" t="s">
        <v>425</v>
      </c>
      <c r="K14" s="192" t="s">
        <v>426</v>
      </c>
      <c r="L14" s="155" t="s">
        <v>427</v>
      </c>
      <c r="M14" s="155" t="s">
        <v>428</v>
      </c>
      <c r="N14" s="155" t="s">
        <v>429</v>
      </c>
      <c r="O14" s="155" t="s">
        <v>430</v>
      </c>
      <c r="P14" s="157" t="s">
        <v>1154</v>
      </c>
      <c r="Q14" s="159" t="s">
        <v>435</v>
      </c>
      <c r="R14" s="76" t="s">
        <v>436</v>
      </c>
      <c r="S14" s="231" t="s">
        <v>1185</v>
      </c>
      <c r="T14" s="159" t="s">
        <v>1183</v>
      </c>
      <c r="U14" s="231" t="s">
        <v>431</v>
      </c>
      <c r="V14" s="192" t="s">
        <v>432</v>
      </c>
      <c r="W14" s="155" t="s">
        <v>433</v>
      </c>
      <c r="X14" s="155" t="s">
        <v>434</v>
      </c>
      <c r="Y14" s="317" t="s">
        <v>437</v>
      </c>
      <c r="Z14" s="155" t="s">
        <v>438</v>
      </c>
      <c r="AA14" s="155" t="s">
        <v>439</v>
      </c>
      <c r="AB14" s="192" t="s">
        <v>440</v>
      </c>
      <c r="AC14" s="192" t="s">
        <v>441</v>
      </c>
    </row>
    <row r="15" spans="1:29" x14ac:dyDescent="0.2">
      <c r="E15" s="26" t="str">
        <f>B15&amp;"|"&amp;C15&amp;"|"&amp;D15</f>
        <v>||</v>
      </c>
      <c r="F15" s="82" t="str" cm="1">
        <f t="array" ref="F15">IFERROR(1/(1/IF($C15="&lt;15",SUM(SUMIFS(Cascade!$BN:$BN,Cascade!$B:$B,$B15,Cascade!$C:$C,{"=&lt;01","01-04","05-09","10-14"},Cascade!$D:$D,$D15)),SUM(SUMIFS(Cascade!$BN:$BN,Cascade!$B:$B,$B15,Cascade!$C:$C,{"15-19","20-24","25-29","30-34","35-39","40-44","45-49","50-54","55-59","60-64","65+"},Cascade!$D:$D,$D15)))),"")</f>
        <v/>
      </c>
      <c r="G15" s="59" t="str" cm="1">
        <f t="array" ref="G15">IFERROR(1/(1/IF($C15="&lt;15",SUM(SUMIFS(Cascade!$AG:$AG,Cascade!$B:$B,$B15,Cascade!$C:$C,{"=&lt;01","01-04","05-09","10-14"},Cascade!$D:$D,$D15)),SUM(SUMIFS(Cascade!$AG:$AG,Cascade!$B:$B,$B15,Cascade!$C:$C,{"15-19","20-24","25-29","30-34","35-39","40-44","45-49","50-54","55-59","60-64","65+"},Cascade!$D:$D,$D15)))),"")</f>
        <v/>
      </c>
      <c r="H15" s="20">
        <v>1</v>
      </c>
      <c r="I15" s="20">
        <v>1</v>
      </c>
      <c r="L15" s="56">
        <f>IF(SUM($F15)=0,0,ROUND($F15*$H15*$J15,0))</f>
        <v>0</v>
      </c>
      <c r="M15" s="56">
        <f>IF(SUM($F15)=0,0,ROUND($F15*$H15,0)-$L15)</f>
        <v>0</v>
      </c>
      <c r="N15" s="56">
        <f>IF(SUM($G15)=0,0,ROUND($G15*$I15*$K15,0))</f>
        <v>0</v>
      </c>
      <c r="O15" s="56">
        <f>IF(SUM($G15)=0,0,ROUND($G15*$I15,0)-$N15)</f>
        <v>0</v>
      </c>
      <c r="S15" s="230" t="str">
        <f>IF(SUM($G15)=0,"",MIN(SUM($P15,$Q15,$R15)/$G15,1))</f>
        <v/>
      </c>
      <c r="T15" s="102" t="str">
        <f>IF(SUM($O15)=0,"",MAX($O15-ROUND(SUM($G15)*SUM($I15)*$S15,0),0))</f>
        <v/>
      </c>
      <c r="U15" s="230">
        <v>1</v>
      </c>
      <c r="V15" s="20">
        <v>1</v>
      </c>
      <c r="W15" s="56">
        <f>ROUND(SUM($M15)*$U15,0)</f>
        <v>0</v>
      </c>
      <c r="X15" s="56">
        <f>ROUND(SUM($T15)*$V15,0)</f>
        <v>0</v>
      </c>
      <c r="Y15" s="144">
        <v>0.9</v>
      </c>
      <c r="Z15" s="56">
        <f>ROUND(SUM($W15)*$Y15,0)</f>
        <v>0</v>
      </c>
      <c r="AA15" s="56">
        <f>ROUND(SUM($X15)*$Y15,0)</f>
        <v>0</v>
      </c>
      <c r="AB15" s="20" t="str">
        <f>IF(SUM($Q15)=0,"",(SUM($Z15)-$Q15)/$Q15)</f>
        <v/>
      </c>
      <c r="AC15" s="20" t="str">
        <f>IF(SUM($R15)=0,"",(SUM($AA15)-$R15)/$R15)</f>
        <v/>
      </c>
    </row>
  </sheetData>
  <conditionalFormatting sqref="V1:V1048576 Y1:Y1048576">
    <cfRule type="expression" dxfId="175" priority="7">
      <formula>AND(ISNUMBER(V1),ROUND(SUM(V1),2)&lt;90%)</formula>
    </cfRule>
  </conditionalFormatting>
  <conditionalFormatting sqref="H1:K1048576 U1:V1048576 Y1:Y1048576">
    <cfRule type="expression" dxfId="174" priority="3">
      <formula>AND(ISNUMBER(H1),OR(ROUND(SUM(H1),2)&gt;1,ROUND(SUM(H1),2)&lt;0))</formula>
    </cfRule>
  </conditionalFormatting>
  <conditionalFormatting sqref="H1:H1048576 J1:J1048576">
    <cfRule type="expression" dxfId="173" priority="2164">
      <formula>AND(SUM($F1)&lt;&gt;0,H1="",ROW(H1)&gt;14)</formula>
    </cfRule>
  </conditionalFormatting>
  <conditionalFormatting sqref="I1:I1048576 K1:K1048576">
    <cfRule type="expression" dxfId="172" priority="2166">
      <formula>AND(SUM($G1)&gt;0,I1="",ROW(I1)&gt;14)</formula>
    </cfRule>
  </conditionalFormatting>
  <conditionalFormatting sqref="H1:I1048576 U1:U1048576">
    <cfRule type="expression" dxfId="171" priority="4">
      <formula>AND(ISNUMBER(H1),ROUND(SUM(H1),2)&lt;100%)</formula>
    </cfRule>
  </conditionalFormatting>
  <conditionalFormatting sqref="F1:G1048576 L1:P1048576">
    <cfRule type="expression" dxfId="167" priority="1">
      <formula>AND(ISNUMBER(F1),ROUND(SUM(F1),2)&lt;0)</formula>
    </cfRule>
  </conditionalFormatting>
  <conditionalFormatting sqref="W1:X1048576 Z1:AA1048576">
    <cfRule type="expression" dxfId="170" priority="3284">
      <formula>AND(ISNUMBER(C1),ROUND(SUM(C1),2)&lt;0)</formula>
    </cfRule>
  </conditionalFormatting>
  <conditionalFormatting sqref="R1:S1048576">
    <cfRule type="expression" dxfId="169" priority="3286">
      <formula>AND(ISNUMBER(A1),ROUND(SUM(A1),2)&lt;0)</formula>
    </cfRule>
  </conditionalFormatting>
  <conditionalFormatting sqref="Q1:Q1048576 T1:T1048576">
    <cfRule type="expression" dxfId="16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20" customWidth="1"/>
    <col min="8" max="8" width="11.83203125" style="56" customWidth="1"/>
    <col min="9" max="16384" width="10.83203125" style="24"/>
  </cols>
  <sheetData>
    <row r="1" spans="1:8" s="41" customFormat="1" ht="31" customHeight="1" x14ac:dyDescent="0.3">
      <c r="A1" s="5" t="s">
        <v>12</v>
      </c>
      <c r="B1" s="5"/>
      <c r="C1" s="1"/>
      <c r="D1" s="1"/>
      <c r="E1" s="1"/>
      <c r="F1" s="91" t="s">
        <v>47</v>
      </c>
      <c r="G1" s="29"/>
      <c r="H1" s="51"/>
    </row>
    <row r="2" spans="1:8" s="40" customFormat="1" ht="19" x14ac:dyDescent="0.25">
      <c r="A2" s="2"/>
      <c r="B2" s="2"/>
      <c r="C2" s="2"/>
      <c r="D2" s="2"/>
      <c r="E2" s="2"/>
      <c r="F2" s="92" t="s">
        <v>73</v>
      </c>
      <c r="G2" s="18" t="s">
        <v>2</v>
      </c>
      <c r="H2" s="52" t="s">
        <v>3</v>
      </c>
    </row>
    <row r="3" spans="1:8" ht="117" customHeight="1" x14ac:dyDescent="0.2">
      <c r="A3" s="31"/>
      <c r="B3" s="31"/>
      <c r="C3" s="31"/>
      <c r="D3" s="31"/>
      <c r="E3" s="31"/>
      <c r="F3" s="128" t="s">
        <v>855</v>
      </c>
      <c r="G3" s="32" t="s">
        <v>258</v>
      </c>
      <c r="H3" s="53" t="s">
        <v>856</v>
      </c>
    </row>
    <row r="4" spans="1:8" x14ac:dyDescent="0.2">
      <c r="A4" s="33"/>
      <c r="B4" s="33"/>
      <c r="C4" s="33"/>
      <c r="D4" s="33" t="s">
        <v>4</v>
      </c>
      <c r="E4" s="33"/>
      <c r="F4" s="93">
        <f>SUBTOTAL(109,F$15:INDEX(F:F,COUNTA($B:$B)+14-COUNTA($B$1:$B$14)))</f>
        <v>0</v>
      </c>
      <c r="G4" s="34" t="str">
        <f>IF($F$4=0,"",$H$4/$F$4-1)</f>
        <v/>
      </c>
      <c r="H4" s="55">
        <f>SUBTOTAL(109,H$15:INDEX(H:H,COUNTA($B:$B)+14-COUNTA($B$1:$B$14)))</f>
        <v>0</v>
      </c>
    </row>
    <row r="5" spans="1:8" x14ac:dyDescent="0.2">
      <c r="A5" s="26" t="s">
        <v>98</v>
      </c>
      <c r="B5" s="26" t="s">
        <v>98</v>
      </c>
      <c r="C5" s="26" t="s">
        <v>98</v>
      </c>
      <c r="D5" s="26" t="s">
        <v>98</v>
      </c>
      <c r="E5" s="26" t="s">
        <v>98</v>
      </c>
      <c r="F5" s="82" t="s">
        <v>109</v>
      </c>
      <c r="G5" s="20" t="s">
        <v>98</v>
      </c>
      <c r="H5" s="56" t="s">
        <v>109</v>
      </c>
    </row>
    <row r="6" spans="1:8" x14ac:dyDescent="0.2">
      <c r="A6" s="26" t="s">
        <v>200</v>
      </c>
      <c r="B6" s="26" t="s">
        <v>200</v>
      </c>
      <c r="C6" s="26" t="s">
        <v>200</v>
      </c>
      <c r="D6" s="26" t="s">
        <v>200</v>
      </c>
      <c r="E6" s="26" t="s">
        <v>200</v>
      </c>
      <c r="F6" s="82" t="s">
        <v>110</v>
      </c>
      <c r="G6" s="20" t="s">
        <v>112</v>
      </c>
      <c r="H6" s="56" t="s">
        <v>92</v>
      </c>
    </row>
    <row r="7" spans="1:8" x14ac:dyDescent="0.2">
      <c r="A7" s="26" t="s">
        <v>108</v>
      </c>
      <c r="B7" s="26" t="s">
        <v>108</v>
      </c>
      <c r="C7" s="26" t="s">
        <v>108</v>
      </c>
      <c r="D7" s="26" t="s">
        <v>108</v>
      </c>
      <c r="E7" s="26" t="s">
        <v>108</v>
      </c>
      <c r="F7" s="82" t="s">
        <v>94</v>
      </c>
      <c r="G7" s="20" t="s">
        <v>95</v>
      </c>
      <c r="H7" s="56" t="s">
        <v>94</v>
      </c>
    </row>
    <row r="8" spans="1:8" x14ac:dyDescent="0.2">
      <c r="F8" s="277" t="s">
        <v>190</v>
      </c>
      <c r="H8" s="272" t="s">
        <v>190</v>
      </c>
    </row>
    <row r="9" spans="1:8" x14ac:dyDescent="0.2">
      <c r="F9" s="277" t="s">
        <v>191</v>
      </c>
      <c r="H9" s="272" t="s">
        <v>191</v>
      </c>
    </row>
    <row r="10" spans="1:8" x14ac:dyDescent="0.2">
      <c r="F10" s="277"/>
      <c r="H10" s="272"/>
    </row>
    <row r="11" spans="1:8" x14ac:dyDescent="0.2">
      <c r="F11" s="82" t="s">
        <v>1025</v>
      </c>
      <c r="G11" s="35" t="s">
        <v>1025</v>
      </c>
      <c r="H11" s="56" t="s">
        <v>1025</v>
      </c>
    </row>
    <row r="12" spans="1:8" x14ac:dyDescent="0.2">
      <c r="F12" s="82" t="s">
        <v>201</v>
      </c>
      <c r="G12" s="20" t="s">
        <v>201</v>
      </c>
      <c r="H12" s="56" t="s">
        <v>201</v>
      </c>
    </row>
    <row r="14" spans="1:8" x14ac:dyDescent="0.2">
      <c r="A14" s="38" t="s">
        <v>583</v>
      </c>
      <c r="B14" s="38" t="s">
        <v>5</v>
      </c>
      <c r="C14" s="38" t="s">
        <v>35</v>
      </c>
      <c r="D14" s="38" t="s">
        <v>6</v>
      </c>
      <c r="E14" s="38" t="s">
        <v>75</v>
      </c>
      <c r="F14" s="157" t="s">
        <v>462</v>
      </c>
      <c r="G14" s="192" t="s">
        <v>547</v>
      </c>
      <c r="H14" s="155" t="s">
        <v>463</v>
      </c>
    </row>
    <row r="15" spans="1:8" x14ac:dyDescent="0.2">
      <c r="E15" s="26" t="str">
        <f>B15&amp;"|"&amp;C15&amp;"|"&amp;D15</f>
        <v>||</v>
      </c>
      <c r="G15" s="20" t="str">
        <f>IF(SUM($F15)=0,"",0%)</f>
        <v/>
      </c>
      <c r="H15" s="56" t="str">
        <f>IF(SUM($F15)=0,"",ROUND($F15*(1+$G15),0))</f>
        <v/>
      </c>
    </row>
  </sheetData>
  <conditionalFormatting sqref="F1:F1048576 H1:H1048576">
    <cfRule type="expression" dxfId="243"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1" customFormat="1" ht="31" customHeight="1" x14ac:dyDescent="0.3">
      <c r="A1" s="5" t="s">
        <v>11</v>
      </c>
      <c r="B1" s="5"/>
      <c r="C1" s="1"/>
      <c r="D1" s="1"/>
      <c r="E1" s="1"/>
      <c r="F1" s="126" t="s">
        <v>46</v>
      </c>
      <c r="G1" s="126"/>
      <c r="H1" s="126"/>
      <c r="I1" s="51"/>
      <c r="J1" s="29"/>
      <c r="K1" s="29"/>
      <c r="L1" s="29"/>
      <c r="M1" s="29"/>
      <c r="N1" s="29"/>
      <c r="O1" s="51"/>
      <c r="P1" s="51"/>
      <c r="Q1" s="51"/>
      <c r="R1" s="51"/>
      <c r="S1" s="51"/>
      <c r="T1" s="224" t="s">
        <v>48</v>
      </c>
      <c r="U1" s="51"/>
    </row>
    <row r="2" spans="1:21" s="40" customFormat="1" ht="19" x14ac:dyDescent="0.25">
      <c r="A2" s="2"/>
      <c r="B2" s="2"/>
      <c r="C2" s="2"/>
      <c r="D2" s="2"/>
      <c r="E2" s="2"/>
      <c r="F2" s="166" t="s">
        <v>73</v>
      </c>
      <c r="G2" s="166"/>
      <c r="H2" s="166"/>
      <c r="I2" s="57"/>
      <c r="J2" s="18" t="s">
        <v>2</v>
      </c>
      <c r="K2" s="18"/>
      <c r="L2" s="18"/>
      <c r="M2" s="18"/>
      <c r="N2" s="18"/>
      <c r="O2" s="52" t="s">
        <v>3</v>
      </c>
      <c r="P2" s="52"/>
      <c r="Q2" s="52"/>
      <c r="R2" s="52"/>
      <c r="S2" s="52"/>
      <c r="T2" s="225" t="s">
        <v>2</v>
      </c>
      <c r="U2" s="52" t="s">
        <v>3</v>
      </c>
    </row>
    <row r="3" spans="1:21" s="24" customFormat="1" ht="117" customHeight="1" x14ac:dyDescent="0.2">
      <c r="A3" s="31"/>
      <c r="B3" s="31"/>
      <c r="C3" s="31"/>
      <c r="D3" s="31"/>
      <c r="E3" s="31"/>
      <c r="F3" s="238" t="s">
        <v>602</v>
      </c>
      <c r="G3" s="121" t="s">
        <v>494</v>
      </c>
      <c r="H3" s="121" t="s">
        <v>857</v>
      </c>
      <c r="I3" s="121" t="s">
        <v>855</v>
      </c>
      <c r="J3" s="32" t="s">
        <v>257</v>
      </c>
      <c r="K3" s="32" t="s">
        <v>1068</v>
      </c>
      <c r="L3" s="32" t="s">
        <v>1069</v>
      </c>
      <c r="M3" s="335" t="s">
        <v>1070</v>
      </c>
      <c r="N3" s="32" t="s">
        <v>1071</v>
      </c>
      <c r="O3" s="53" t="s">
        <v>275</v>
      </c>
      <c r="P3" s="53" t="s">
        <v>491</v>
      </c>
      <c r="Q3" s="53" t="s">
        <v>492</v>
      </c>
      <c r="R3" s="53" t="s">
        <v>580</v>
      </c>
      <c r="S3" s="53" t="s">
        <v>581</v>
      </c>
      <c r="T3" s="338" t="s">
        <v>1157</v>
      </c>
      <c r="U3" s="53" t="s">
        <v>1072</v>
      </c>
    </row>
    <row r="4" spans="1:21" s="24" customFormat="1" x14ac:dyDescent="0.2">
      <c r="A4" s="33"/>
      <c r="B4" s="33"/>
      <c r="C4" s="33"/>
      <c r="D4" s="33" t="s">
        <v>4</v>
      </c>
      <c r="E4" s="33"/>
      <c r="F4" s="73">
        <f>SUBTOTAL(109,F$15:INDEX(F:F,COUNTA($B:$B)+14-COUNTA($B$1:$B$14)))</f>
        <v>0</v>
      </c>
      <c r="G4" s="164"/>
      <c r="H4" s="58">
        <f>SUBTOTAL(109,H$15:INDEX(H:H,COUNTA($B:$B)+14-COUNTA($B$1:$B$14)))</f>
        <v>0</v>
      </c>
      <c r="I4" s="58">
        <f>SUBTOTAL(109,I$15:INDEX(I:I,COUNTA($B:$B)+14-COUNTA($B$1:$B$14)))</f>
        <v>0</v>
      </c>
      <c r="J4" s="34" t="str">
        <f>IF($I$4=0,"",$O$4/$I$4-1)</f>
        <v/>
      </c>
      <c r="K4" s="34" t="str">
        <f>IF($O$4=0,"",$P$4/$O$4)</f>
        <v/>
      </c>
      <c r="L4" s="34" t="str">
        <f>IF($O$4=0,"",$Q$4/$O$4)</f>
        <v/>
      </c>
      <c r="M4" s="34" t="str">
        <f>IF($O$4=0,"",SUM($R$4,$S$4)/$O$4)</f>
        <v/>
      </c>
      <c r="N4" s="34" t="str">
        <f>IF(SUM($R$4,$S$4)=0,"",$R$4/SUM($R$4,$S$4))</f>
        <v/>
      </c>
      <c r="O4" s="55">
        <f>SUBTOTAL(109,O$15:INDEX(O:O,COUNTA($B:$B)+14-COUNTA($B$1:$B$14)))</f>
        <v>0</v>
      </c>
      <c r="P4" s="55">
        <f>SUBTOTAL(109,P$15:INDEX(P:P,COUNTA($B:$B)+14-COUNTA($B$1:$B$14)))</f>
        <v>0</v>
      </c>
      <c r="Q4" s="55">
        <f>SUBTOTAL(109,Q$15:INDEX(Q:Q,COUNTA($B:$B)+14-COUNTA($B$1:$B$14)))</f>
        <v>0</v>
      </c>
      <c r="R4" s="55">
        <f>SUBTOTAL(109,R$15:INDEX(R:R,COUNTA($B:$B)+14-COUNTA($B$1:$B$14)))</f>
        <v>0</v>
      </c>
      <c r="S4" s="55">
        <f>SUBTOTAL(109,S$15:INDEX(S:S,COUNTA($B:$B)+14-COUNTA($B$1:$B$14)))</f>
        <v>0</v>
      </c>
      <c r="T4" s="143" t="str">
        <f>IF(SUM($R$4,$S$4)=0,"",$U$4/SUM($R$4,$S$4))</f>
        <v/>
      </c>
      <c r="U4" s="55">
        <f>SUBTOTAL(109,U$15:INDEX(U:U,COUNTA($B:$B)+14-COUNTA($B$1:$B$14)))</f>
        <v>0</v>
      </c>
    </row>
    <row r="5" spans="1:21" s="24" customFormat="1" x14ac:dyDescent="0.2">
      <c r="A5" s="26" t="s">
        <v>98</v>
      </c>
      <c r="B5" s="26" t="s">
        <v>98</v>
      </c>
      <c r="C5" s="26" t="s">
        <v>98</v>
      </c>
      <c r="D5" s="26" t="s">
        <v>98</v>
      </c>
      <c r="E5" s="26" t="s">
        <v>98</v>
      </c>
      <c r="F5" s="193" t="s">
        <v>98</v>
      </c>
      <c r="G5" s="193" t="s">
        <v>98</v>
      </c>
      <c r="H5" s="193" t="s">
        <v>98</v>
      </c>
      <c r="I5" s="193" t="s">
        <v>98</v>
      </c>
      <c r="J5" s="20" t="s">
        <v>98</v>
      </c>
      <c r="K5" s="20" t="s">
        <v>98</v>
      </c>
      <c r="L5" s="20" t="s">
        <v>98</v>
      </c>
      <c r="M5" s="20" t="s">
        <v>98</v>
      </c>
      <c r="N5" s="20" t="s">
        <v>98</v>
      </c>
      <c r="O5" s="56" t="s">
        <v>98</v>
      </c>
      <c r="P5" s="56" t="s">
        <v>109</v>
      </c>
      <c r="Q5" s="56" t="s">
        <v>109</v>
      </c>
      <c r="R5" s="56" t="s">
        <v>109</v>
      </c>
      <c r="S5" s="56" t="s">
        <v>109</v>
      </c>
      <c r="T5" s="144" t="s">
        <v>98</v>
      </c>
      <c r="U5" s="56" t="s">
        <v>109</v>
      </c>
    </row>
    <row r="6" spans="1:21" s="24" customFormat="1" x14ac:dyDescent="0.2">
      <c r="A6" s="26" t="s">
        <v>200</v>
      </c>
      <c r="B6" s="26" t="s">
        <v>200</v>
      </c>
      <c r="C6" s="26" t="s">
        <v>200</v>
      </c>
      <c r="D6" s="26" t="s">
        <v>200</v>
      </c>
      <c r="E6" s="26" t="s">
        <v>200</v>
      </c>
      <c r="F6" s="193" t="s">
        <v>93</v>
      </c>
      <c r="G6" s="193" t="s">
        <v>111</v>
      </c>
      <c r="H6" s="193" t="s">
        <v>111</v>
      </c>
      <c r="I6" s="193" t="s">
        <v>111</v>
      </c>
      <c r="J6" s="20" t="s">
        <v>112</v>
      </c>
      <c r="K6" s="20" t="s">
        <v>112</v>
      </c>
      <c r="L6" s="20" t="s">
        <v>112</v>
      </c>
      <c r="M6" s="20" t="s">
        <v>112</v>
      </c>
      <c r="N6" s="20" t="s">
        <v>112</v>
      </c>
      <c r="O6" s="56" t="s">
        <v>93</v>
      </c>
      <c r="P6" s="56" t="s">
        <v>92</v>
      </c>
      <c r="Q6" s="56" t="s">
        <v>92</v>
      </c>
      <c r="R6" s="56" t="s">
        <v>92</v>
      </c>
      <c r="S6" s="56" t="s">
        <v>92</v>
      </c>
      <c r="T6" s="144" t="s">
        <v>112</v>
      </c>
      <c r="U6" s="56" t="s">
        <v>92</v>
      </c>
    </row>
    <row r="7" spans="1:21" s="24" customFormat="1" x14ac:dyDescent="0.2">
      <c r="A7" s="26" t="s">
        <v>108</v>
      </c>
      <c r="B7" s="26" t="s">
        <v>108</v>
      </c>
      <c r="C7" s="26" t="s">
        <v>108</v>
      </c>
      <c r="D7" s="26" t="s">
        <v>108</v>
      </c>
      <c r="E7" s="26" t="s">
        <v>108</v>
      </c>
      <c r="F7" s="193" t="s">
        <v>94</v>
      </c>
      <c r="G7" s="193" t="s">
        <v>108</v>
      </c>
      <c r="H7" s="193" t="s">
        <v>94</v>
      </c>
      <c r="I7" s="59" t="s">
        <v>94</v>
      </c>
      <c r="J7" s="20" t="s">
        <v>95</v>
      </c>
      <c r="K7" s="20" t="s">
        <v>95</v>
      </c>
      <c r="L7" s="20" t="s">
        <v>95</v>
      </c>
      <c r="M7" s="20" t="s">
        <v>95</v>
      </c>
      <c r="N7" s="20" t="s">
        <v>95</v>
      </c>
      <c r="O7" s="56" t="s">
        <v>94</v>
      </c>
      <c r="P7" s="56" t="s">
        <v>94</v>
      </c>
      <c r="Q7" s="56" t="s">
        <v>94</v>
      </c>
      <c r="R7" s="56" t="s">
        <v>94</v>
      </c>
      <c r="S7" s="56" t="s">
        <v>94</v>
      </c>
      <c r="T7" s="144" t="s">
        <v>95</v>
      </c>
      <c r="U7" s="56" t="s">
        <v>94</v>
      </c>
    </row>
    <row r="8" spans="1:21" s="24" customFormat="1" x14ac:dyDescent="0.2">
      <c r="A8" s="26"/>
      <c r="B8" s="26"/>
      <c r="C8" s="26"/>
      <c r="D8" s="26"/>
      <c r="E8" s="26"/>
      <c r="F8" s="193"/>
      <c r="G8" s="164"/>
      <c r="H8" s="288" t="s">
        <v>1033</v>
      </c>
      <c r="I8" s="280" t="s">
        <v>1034</v>
      </c>
      <c r="J8" s="20"/>
      <c r="K8" s="20"/>
      <c r="L8" s="20"/>
      <c r="M8" s="20"/>
      <c r="N8" s="20"/>
      <c r="O8" s="56"/>
      <c r="P8" s="290" t="s">
        <v>699</v>
      </c>
      <c r="Q8" s="290" t="s">
        <v>697</v>
      </c>
      <c r="R8" s="272" t="s">
        <v>701</v>
      </c>
      <c r="S8" s="272" t="s">
        <v>701</v>
      </c>
      <c r="T8" s="294"/>
      <c r="U8" s="272" t="s">
        <v>174</v>
      </c>
    </row>
    <row r="9" spans="1:21" s="24" customFormat="1" x14ac:dyDescent="0.2">
      <c r="A9" s="26"/>
      <c r="B9" s="26"/>
      <c r="C9" s="26"/>
      <c r="D9" s="26"/>
      <c r="E9" s="26"/>
      <c r="F9" s="193"/>
      <c r="G9" s="164"/>
      <c r="H9" s="288" t="s">
        <v>1035</v>
      </c>
      <c r="I9" s="280" t="s">
        <v>1036</v>
      </c>
      <c r="J9" s="20"/>
      <c r="K9" s="20"/>
      <c r="L9" s="20"/>
      <c r="M9" s="20"/>
      <c r="N9" s="20"/>
      <c r="O9" s="56"/>
      <c r="P9" s="290" t="s">
        <v>700</v>
      </c>
      <c r="Q9" s="290" t="s">
        <v>698</v>
      </c>
      <c r="R9" s="272" t="s">
        <v>702</v>
      </c>
      <c r="S9" s="272" t="s">
        <v>702</v>
      </c>
      <c r="T9" s="294"/>
      <c r="U9" s="272" t="s">
        <v>175</v>
      </c>
    </row>
    <row r="10" spans="1:21" s="24" customFormat="1" x14ac:dyDescent="0.2">
      <c r="A10" s="26"/>
      <c r="B10" s="26"/>
      <c r="C10" s="26"/>
      <c r="D10" s="26"/>
      <c r="E10" s="26"/>
      <c r="F10" s="193"/>
      <c r="G10" s="164"/>
      <c r="H10" s="289"/>
      <c r="I10" s="275"/>
      <c r="J10" s="20"/>
      <c r="K10" s="20"/>
      <c r="L10" s="20"/>
      <c r="M10" s="20"/>
      <c r="N10" s="20"/>
      <c r="O10" s="56"/>
      <c r="P10" s="272"/>
      <c r="Q10" s="272"/>
      <c r="R10" s="272" t="s">
        <v>173</v>
      </c>
      <c r="S10" s="272" t="s">
        <v>172</v>
      </c>
      <c r="T10" s="294"/>
      <c r="U10" s="272"/>
    </row>
    <row r="11" spans="1:21" s="24" customFormat="1" x14ac:dyDescent="0.2">
      <c r="A11" s="26"/>
      <c r="B11" s="26"/>
      <c r="C11" s="26"/>
      <c r="D11" s="26"/>
      <c r="E11" s="26"/>
      <c r="F11" s="193" t="s">
        <v>689</v>
      </c>
      <c r="G11" s="164"/>
      <c r="H11" s="193" t="s">
        <v>689</v>
      </c>
      <c r="I11" s="59" t="s">
        <v>689</v>
      </c>
      <c r="J11" s="35" t="s">
        <v>689</v>
      </c>
      <c r="K11" s="35" t="s">
        <v>690</v>
      </c>
      <c r="L11" s="35" t="s">
        <v>691</v>
      </c>
      <c r="M11" s="35" t="s">
        <v>689</v>
      </c>
      <c r="N11" s="20" t="s">
        <v>689</v>
      </c>
      <c r="O11" s="56" t="s">
        <v>689</v>
      </c>
      <c r="P11" s="56" t="s">
        <v>690</v>
      </c>
      <c r="Q11" s="56" t="s">
        <v>691</v>
      </c>
      <c r="R11" s="56" t="s">
        <v>689</v>
      </c>
      <c r="S11" s="56" t="s">
        <v>689</v>
      </c>
      <c r="T11" s="144" t="s">
        <v>692</v>
      </c>
      <c r="U11" s="56" t="s">
        <v>692</v>
      </c>
    </row>
    <row r="12" spans="1:21" s="24" customFormat="1" x14ac:dyDescent="0.2">
      <c r="A12" s="26"/>
      <c r="B12" s="26"/>
      <c r="C12" s="26"/>
      <c r="D12" s="26"/>
      <c r="E12" s="26"/>
      <c r="F12" s="193" t="s">
        <v>201</v>
      </c>
      <c r="G12" s="164"/>
      <c r="H12" s="193" t="s">
        <v>201</v>
      </c>
      <c r="I12" s="59" t="s">
        <v>201</v>
      </c>
      <c r="J12" s="35" t="s">
        <v>201</v>
      </c>
      <c r="K12" s="35" t="s">
        <v>685</v>
      </c>
      <c r="L12" s="35" t="s">
        <v>201</v>
      </c>
      <c r="M12" s="35" t="s">
        <v>201</v>
      </c>
      <c r="N12" s="20" t="s">
        <v>201</v>
      </c>
      <c r="O12" s="56" t="s">
        <v>201</v>
      </c>
      <c r="P12" s="56" t="s">
        <v>685</v>
      </c>
      <c r="Q12" s="56" t="s">
        <v>201</v>
      </c>
      <c r="R12" s="56" t="s">
        <v>201</v>
      </c>
      <c r="S12" s="56" t="s">
        <v>201</v>
      </c>
      <c r="T12" s="144" t="s">
        <v>201</v>
      </c>
      <c r="U12" s="56" t="s">
        <v>201</v>
      </c>
    </row>
    <row r="13" spans="1:21" s="24" customFormat="1" x14ac:dyDescent="0.2">
      <c r="A13" s="26"/>
      <c r="B13" s="26"/>
      <c r="C13" s="26"/>
      <c r="D13" s="26"/>
      <c r="E13" s="26"/>
      <c r="F13" s="193"/>
      <c r="G13" s="164"/>
      <c r="H13" s="193"/>
      <c r="I13" s="59"/>
      <c r="J13" s="20"/>
      <c r="K13" s="20"/>
      <c r="L13" s="20"/>
      <c r="M13" s="20"/>
      <c r="N13" s="20"/>
      <c r="O13" s="56"/>
      <c r="P13" s="56"/>
      <c r="Q13" s="56"/>
      <c r="R13" s="56"/>
      <c r="S13" s="56"/>
      <c r="T13" s="144"/>
      <c r="U13" s="56"/>
    </row>
    <row r="14" spans="1:21" s="24" customFormat="1" x14ac:dyDescent="0.2">
      <c r="A14" s="36" t="s">
        <v>583</v>
      </c>
      <c r="B14" s="36" t="s">
        <v>5</v>
      </c>
      <c r="C14" s="36" t="s">
        <v>35</v>
      </c>
      <c r="D14" s="36" t="s">
        <v>6</v>
      </c>
      <c r="E14" s="36" t="s">
        <v>75</v>
      </c>
      <c r="F14" s="162" t="s">
        <v>299</v>
      </c>
      <c r="G14" s="165" t="s">
        <v>551</v>
      </c>
      <c r="H14" s="162" t="s">
        <v>579</v>
      </c>
      <c r="I14" s="76" t="s">
        <v>464</v>
      </c>
      <c r="J14" s="192" t="s">
        <v>554</v>
      </c>
      <c r="K14" s="192" t="s">
        <v>555</v>
      </c>
      <c r="L14" s="192" t="s">
        <v>557</v>
      </c>
      <c r="M14" s="192" t="s">
        <v>556</v>
      </c>
      <c r="N14" s="192" t="s">
        <v>558</v>
      </c>
      <c r="O14" s="155" t="s">
        <v>560</v>
      </c>
      <c r="P14" s="155" t="s">
        <v>493</v>
      </c>
      <c r="Q14" s="155" t="s">
        <v>561</v>
      </c>
      <c r="R14" s="155" t="s">
        <v>559</v>
      </c>
      <c r="S14" s="155" t="s">
        <v>465</v>
      </c>
      <c r="T14" s="317" t="s">
        <v>562</v>
      </c>
      <c r="U14" s="155" t="s">
        <v>466</v>
      </c>
    </row>
    <row r="15" spans="1:21" s="24" customFormat="1" x14ac:dyDescent="0.2">
      <c r="A15" s="26"/>
      <c r="B15" s="26"/>
      <c r="C15" s="26"/>
      <c r="D15" s="26"/>
      <c r="E15" s="26" t="str">
        <f>B15&amp;"|"&amp;C15&amp;"|"&amp;D15</f>
        <v>||</v>
      </c>
      <c r="F15" s="59" t="str" cm="1">
        <f t="array" ref="F15">IFERROR(1/(1/IF(OR($C15="15-17",$C15="18-20"),ROUND(INDEX(Cascade!$H:$H,MATCH($B15&amp;"|"&amp;"15-19"&amp;"|"&amp;$D15,Cascade!$E:$E,0))/2,0),IF($C15="18+",SUM(SUMIFS(Cascade!$H:$H,Cascade!$B:$B,$B15,Cascade!$C:$C,{"20-24","25-29","30-34","35-39","40-44","45-49","50-54","55-59","60-64","65+"},Cascade!$D:$D,$D15)),INDEX(Cascade!$H:$H,MATCH($E15,Cascade!$E:$E,0))))),"")</f>
        <v/>
      </c>
      <c r="G15" s="164"/>
      <c r="H15" s="164"/>
      <c r="I15" s="59"/>
      <c r="J15" s="20" t="str">
        <f>IF(SUM($I15)=0,"",0%)</f>
        <v/>
      </c>
      <c r="K15" s="20"/>
      <c r="L15" s="20"/>
      <c r="M15" s="20">
        <f>1-IF(NOT(AND($D15="Female",OR($C15="10-14",$C15="15-17"))),0,$K15)-IF(NOT(OR($C15="05-09",$C15="10-14")),0,$L15)</f>
        <v>1</v>
      </c>
      <c r="N15" s="20">
        <f>IF(SUM($M15)=0,"",20%)</f>
        <v>0.2</v>
      </c>
      <c r="O15" s="56" t="str">
        <f>IF(SUM($I15)&lt;=0,"",ROUND($I15*(1+$J15),0))</f>
        <v/>
      </c>
      <c r="P15" s="56" t="str">
        <f>IF(OR(AND(SUM($K15)=0,SUM($O15)=0),NOT(AND($D15="Female",$G15="Y",OR($C15="10-14",$C15="15-17")))),"",ROUND($O15*$K15,0))</f>
        <v/>
      </c>
      <c r="Q15" s="56" t="str">
        <f>IF(OR(AND(SUM($L15)=0,SUM($O15)=0),NOT(OR($C15="10-14",$C15="05-09"))),"",ROUND($O15*$L15,0))</f>
        <v/>
      </c>
      <c r="R15" s="56" t="str">
        <f>IF(SUM($O15)=0,"",ROUND($O15*$M15*$N15,0))</f>
        <v/>
      </c>
      <c r="S15" s="56" t="str">
        <f>IF(SUM($O15)=0,"",($O15*$M15)-$R15)</f>
        <v/>
      </c>
      <c r="T15" s="144" t="str">
        <f>IF(OR($C15="18+",$C15="18-20",SUM($O15)=0),"",100%)</f>
        <v/>
      </c>
      <c r="U15" s="68" t="str">
        <f>IF(OR($C15="18+",$C15="18-20",(SUM($R15,$S15)=0)),"",ROUND(SUM($R15,$S15)*$T15,0))</f>
        <v/>
      </c>
    </row>
  </sheetData>
  <conditionalFormatting sqref="T1:U1048576">
    <cfRule type="expression" dxfId="242" priority="26">
      <formula>OR($C1="18-20",$C1="18+")</formula>
    </cfRule>
  </conditionalFormatting>
  <conditionalFormatting sqref="N1:N1048576">
    <cfRule type="expression" dxfId="241" priority="24">
      <formula>AND(ISNUMBER($N1),ROUND(SUM($N1),2)&lt;20%)</formula>
    </cfRule>
  </conditionalFormatting>
  <conditionalFormatting sqref="K1:K1048576 P1:P1048576">
    <cfRule type="expression" dxfId="240" priority="18">
      <formula>AND($B1&lt;&gt;"",ROW(K1)&gt;14,NOT(AND($D1="Female",$G1="Y",OR($C1="10-14",$C1="15-17"))))</formula>
    </cfRule>
  </conditionalFormatting>
  <conditionalFormatting sqref="Q1:Q1048576 L1:L1048576">
    <cfRule type="expression" dxfId="239" priority="17">
      <formula>AND($E1&lt;&gt;"",ROW(L1)&gt;14,NOT(OR($C1="05-09",$C1="10-14")))</formula>
    </cfRule>
  </conditionalFormatting>
  <conditionalFormatting sqref="F1:F1048576">
    <cfRule type="expression" dxfId="238" priority="4">
      <formula>AND(ROW(F1)&gt;14,LEFT(B1,4)="_Mil")</formula>
    </cfRule>
  </conditionalFormatting>
  <conditionalFormatting sqref="F1:F1048576 H1:I1048576 O1:S1048576 U1:U1048576">
    <cfRule type="expression" dxfId="237" priority="2">
      <formula>AND(ISNUMBER(F1),ROUND(SUM(F1),0)&lt;0)</formula>
    </cfRule>
  </conditionalFormatting>
  <conditionalFormatting sqref="K1:N1048576 T1:T1048576">
    <cfRule type="expression" dxfId="236" priority="1">
      <formula>AND(ISNUMBER(K1),OR(ROUND(SUM(K1),2)&lt;0,ROUND(SUM(K1),2)&gt;1))</formula>
    </cfRule>
  </conditionalFormatting>
  <conditionalFormatting sqref="T1:T1048576">
    <cfRule type="expression" dxfId="235"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6" customWidth="1"/>
    <col min="2" max="2" width="52.33203125" style="26" customWidth="1"/>
    <col min="3" max="3" width="11.83203125" style="82" customWidth="1"/>
    <col min="4" max="4" width="11.83203125" style="59" customWidth="1"/>
    <col min="5" max="6" width="11.83203125" style="20" customWidth="1"/>
    <col min="7" max="8" width="11.83203125" style="56" customWidth="1"/>
    <col min="9" max="16384" width="10.83203125" style="24"/>
  </cols>
  <sheetData>
    <row r="1" spans="1:8" s="21" customFormat="1" ht="31" customHeight="1" x14ac:dyDescent="0.2">
      <c r="A1" s="30" t="s">
        <v>14</v>
      </c>
      <c r="B1" s="30"/>
      <c r="C1" s="388" t="s">
        <v>25</v>
      </c>
      <c r="D1" s="126"/>
      <c r="E1" s="387"/>
      <c r="F1" s="387"/>
      <c r="G1" s="126"/>
      <c r="H1" s="126"/>
    </row>
    <row r="2" spans="1:8" s="22" customFormat="1" ht="19" x14ac:dyDescent="0.25">
      <c r="A2" s="7"/>
      <c r="B2" s="7"/>
      <c r="C2" s="92" t="s">
        <v>73</v>
      </c>
      <c r="D2" s="57"/>
      <c r="E2" s="18" t="s">
        <v>2</v>
      </c>
      <c r="F2" s="18"/>
      <c r="G2" s="52" t="s">
        <v>3</v>
      </c>
      <c r="H2" s="52"/>
    </row>
    <row r="3" spans="1:8" ht="117" customHeight="1" x14ac:dyDescent="0.2">
      <c r="C3" s="128" t="s">
        <v>860</v>
      </c>
      <c r="D3" s="121" t="s">
        <v>861</v>
      </c>
      <c r="E3" s="32" t="s">
        <v>1013</v>
      </c>
      <c r="F3" s="32" t="s">
        <v>1014</v>
      </c>
      <c r="G3" s="53" t="s">
        <v>858</v>
      </c>
      <c r="H3" s="53" t="s">
        <v>859</v>
      </c>
    </row>
    <row r="4" spans="1:8" x14ac:dyDescent="0.2">
      <c r="A4" s="33"/>
      <c r="B4" s="33" t="s">
        <v>4</v>
      </c>
      <c r="C4" s="82">
        <f>SUBTOTAL(109,C$15:INDEX(C:C,COUNTA($B:$B)+14-COUNTA($B$1:$B$14)))</f>
        <v>0</v>
      </c>
      <c r="D4" s="59">
        <f>SUBTOTAL(109,D$15:INDEX(D:D,COUNTA($B:$B)+14-COUNTA($B$1:$B$14)))</f>
        <v>0</v>
      </c>
      <c r="E4" s="20" t="str">
        <f>IF($C$4=0,"",$G$4/$C$4-1)</f>
        <v/>
      </c>
      <c r="F4" s="20" t="str">
        <f>IF($D$4=0,"",$H$4/$D$4-1)</f>
        <v/>
      </c>
      <c r="G4" s="56">
        <f>SUBTOTAL(109,G$15:INDEX(G:G,COUNTA($B:$B)+14-COUNTA($B$1:$B$14)))</f>
        <v>0</v>
      </c>
      <c r="H4" s="56">
        <f>SUBTOTAL(109,H$15:INDEX(H:H,COUNTA($B:$B)+14-COUNTA($B$1:$B$14)))</f>
        <v>0</v>
      </c>
    </row>
    <row r="5" spans="1:8" x14ac:dyDescent="0.2">
      <c r="A5" s="33" t="s">
        <v>98</v>
      </c>
      <c r="B5" s="33" t="s">
        <v>98</v>
      </c>
      <c r="C5" s="82" t="s">
        <v>109</v>
      </c>
      <c r="D5" s="59" t="s">
        <v>109</v>
      </c>
      <c r="E5" s="20" t="s">
        <v>98</v>
      </c>
      <c r="F5" s="20" t="s">
        <v>98</v>
      </c>
      <c r="G5" s="56" t="s">
        <v>109</v>
      </c>
      <c r="H5" s="56" t="s">
        <v>109</v>
      </c>
    </row>
    <row r="6" spans="1:8" x14ac:dyDescent="0.2">
      <c r="A6" s="33" t="s">
        <v>200</v>
      </c>
      <c r="B6" s="33" t="s">
        <v>200</v>
      </c>
      <c r="C6" s="82" t="s">
        <v>110</v>
      </c>
      <c r="D6" s="59" t="s">
        <v>110</v>
      </c>
      <c r="E6" s="20" t="s">
        <v>112</v>
      </c>
      <c r="F6" s="20" t="s">
        <v>112</v>
      </c>
      <c r="G6" s="56" t="s">
        <v>92</v>
      </c>
      <c r="H6" s="56" t="s">
        <v>92</v>
      </c>
    </row>
    <row r="7" spans="1:8" x14ac:dyDescent="0.2">
      <c r="A7" s="33" t="s">
        <v>108</v>
      </c>
      <c r="B7" s="33" t="s">
        <v>108</v>
      </c>
      <c r="C7" s="82" t="s">
        <v>94</v>
      </c>
      <c r="D7" s="59" t="s">
        <v>94</v>
      </c>
      <c r="E7" s="20" t="s">
        <v>95</v>
      </c>
      <c r="F7" s="20" t="s">
        <v>95</v>
      </c>
      <c r="G7" s="56" t="s">
        <v>94</v>
      </c>
      <c r="H7" s="56" t="s">
        <v>94</v>
      </c>
    </row>
    <row r="8" spans="1:8" x14ac:dyDescent="0.2">
      <c r="A8" s="33"/>
      <c r="B8" s="33"/>
      <c r="C8" s="277" t="s">
        <v>196</v>
      </c>
      <c r="D8" s="275" t="s">
        <v>196</v>
      </c>
      <c r="G8" s="272" t="s">
        <v>196</v>
      </c>
      <c r="H8" s="272" t="s">
        <v>196</v>
      </c>
    </row>
    <row r="9" spans="1:8" x14ac:dyDescent="0.2">
      <c r="A9" s="33"/>
      <c r="B9" s="33"/>
      <c r="C9" s="277" t="s">
        <v>197</v>
      </c>
      <c r="D9" s="275" t="s">
        <v>197</v>
      </c>
      <c r="G9" s="272" t="s">
        <v>197</v>
      </c>
      <c r="H9" s="272" t="s">
        <v>197</v>
      </c>
    </row>
    <row r="10" spans="1:8" x14ac:dyDescent="0.2">
      <c r="A10" s="33"/>
      <c r="B10" s="33"/>
      <c r="C10" s="277" t="s">
        <v>198</v>
      </c>
      <c r="D10" s="275" t="s">
        <v>199</v>
      </c>
      <c r="G10" s="272" t="s">
        <v>198</v>
      </c>
      <c r="H10" s="272" t="s">
        <v>199</v>
      </c>
    </row>
    <row r="11" spans="1:8" x14ac:dyDescent="0.2">
      <c r="A11" s="33"/>
      <c r="B11" s="33"/>
    </row>
    <row r="12" spans="1:8" x14ac:dyDescent="0.2">
      <c r="A12" s="33"/>
      <c r="B12" s="33"/>
    </row>
    <row r="13" spans="1:8" x14ac:dyDescent="0.2">
      <c r="A13" s="33"/>
      <c r="B13" s="33"/>
    </row>
    <row r="14" spans="1:8" x14ac:dyDescent="0.2">
      <c r="A14" s="36" t="s">
        <v>583</v>
      </c>
      <c r="B14" s="36" t="s">
        <v>5</v>
      </c>
      <c r="C14" s="157" t="s">
        <v>470</v>
      </c>
      <c r="D14" s="359" t="s">
        <v>471</v>
      </c>
      <c r="E14" s="361" t="s">
        <v>549</v>
      </c>
      <c r="F14" s="361" t="s">
        <v>550</v>
      </c>
      <c r="G14" s="347" t="s">
        <v>472</v>
      </c>
      <c r="H14" s="347" t="s">
        <v>473</v>
      </c>
    </row>
    <row r="15" spans="1:8" x14ac:dyDescent="0.2">
      <c r="E15" s="20" t="str">
        <f>IF(SUM($C15)=0,"",0%)</f>
        <v/>
      </c>
      <c r="F15" s="20" t="str">
        <f>IF(SUM($D15)=0,"",0%)</f>
        <v/>
      </c>
      <c r="G15" s="56" t="str">
        <f>IF(SUM($C15)=0,"",ROUND($C15*(1+$E15),0))</f>
        <v/>
      </c>
      <c r="H15" s="56" t="str">
        <f>IF(SUM($D15)=0,"",ROUND($D15*(1+$F15),0))</f>
        <v/>
      </c>
    </row>
  </sheetData>
  <conditionalFormatting sqref="G1:H1048576 C1:D1048576">
    <cfRule type="expression" dxfId="234"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33203125" style="26" hidden="1" customWidth="1"/>
    <col min="6" max="6" width="11.83203125" style="82" customWidth="1"/>
    <col min="7" max="17" width="11.83203125" style="59" customWidth="1"/>
    <col min="18" max="20" width="11.83203125" style="191" customWidth="1"/>
    <col min="21" max="22" width="12.6640625" style="56" customWidth="1"/>
    <col min="23" max="16384" width="10.83203125" style="24"/>
  </cols>
  <sheetData>
    <row r="1" spans="1:22" s="41" customFormat="1" ht="31" customHeight="1" thickBot="1" x14ac:dyDescent="0.35">
      <c r="A1" s="5" t="s">
        <v>480</v>
      </c>
      <c r="B1" s="5"/>
      <c r="C1" s="1"/>
      <c r="D1" s="1"/>
      <c r="E1" s="1"/>
      <c r="F1" s="91" t="s">
        <v>481</v>
      </c>
      <c r="G1" s="61"/>
      <c r="H1" s="369"/>
      <c r="I1" s="369"/>
      <c r="J1" s="369"/>
      <c r="K1" s="369"/>
      <c r="L1" s="369"/>
      <c r="M1" s="61"/>
      <c r="N1" s="61"/>
      <c r="O1" s="61"/>
      <c r="P1" s="61"/>
      <c r="Q1" s="61"/>
      <c r="R1" s="19"/>
      <c r="S1" s="19"/>
      <c r="T1" s="19"/>
      <c r="U1" s="51"/>
      <c r="V1" s="51"/>
    </row>
    <row r="2" spans="1:22" s="40" customFormat="1" ht="19" x14ac:dyDescent="0.25">
      <c r="A2" s="428" t="s">
        <v>1015</v>
      </c>
      <c r="B2" s="425"/>
      <c r="C2" s="2"/>
      <c r="D2" s="2"/>
      <c r="E2" s="2"/>
      <c r="F2" s="92" t="s">
        <v>73</v>
      </c>
      <c r="G2" s="57"/>
      <c r="H2" s="138"/>
      <c r="I2" s="138"/>
      <c r="J2" s="138"/>
      <c r="K2" s="138"/>
      <c r="L2" s="138"/>
      <c r="M2" s="57"/>
      <c r="N2" s="57"/>
      <c r="O2" s="57"/>
      <c r="P2" s="57"/>
      <c r="Q2" s="57"/>
      <c r="R2" s="18"/>
      <c r="S2" s="18" t="s">
        <v>2</v>
      </c>
      <c r="T2" s="18"/>
      <c r="U2" s="52" t="s">
        <v>3</v>
      </c>
      <c r="V2" s="52"/>
    </row>
    <row r="3" spans="1:22" ht="117" customHeight="1" thickBot="1" x14ac:dyDescent="0.25">
      <c r="A3" s="426"/>
      <c r="B3" s="427"/>
      <c r="C3" s="31"/>
      <c r="D3" s="31"/>
      <c r="E3" s="31"/>
      <c r="F3" s="391" t="s">
        <v>799</v>
      </c>
      <c r="G3" s="60" t="s">
        <v>1224</v>
      </c>
      <c r="H3" s="304" t="s">
        <v>862</v>
      </c>
      <c r="I3" s="304" t="s">
        <v>1016</v>
      </c>
      <c r="J3" s="304" t="s">
        <v>863</v>
      </c>
      <c r="K3" s="304" t="s">
        <v>1017</v>
      </c>
      <c r="L3" s="304" t="s">
        <v>1018</v>
      </c>
      <c r="M3" s="121" t="s">
        <v>864</v>
      </c>
      <c r="N3" s="121" t="s">
        <v>865</v>
      </c>
      <c r="O3" s="121" t="s">
        <v>866</v>
      </c>
      <c r="P3" s="121" t="s">
        <v>867</v>
      </c>
      <c r="Q3" s="121" t="s">
        <v>868</v>
      </c>
      <c r="R3" s="299" t="s">
        <v>869</v>
      </c>
      <c r="S3" s="187" t="s">
        <v>1075</v>
      </c>
      <c r="T3" s="187" t="s">
        <v>870</v>
      </c>
      <c r="U3" s="53" t="s">
        <v>1073</v>
      </c>
      <c r="V3" s="53" t="s">
        <v>1074</v>
      </c>
    </row>
    <row r="4" spans="1:22"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8">
        <f>SUBTOTAL(109,L$15:INDEX(L:L,COUNTA($B:$B)+14-COUNTA($B$1:$B$14)))</f>
        <v>0</v>
      </c>
      <c r="M4" s="58">
        <f>SUBTOTAL(109,M$15:INDEX(M:M,COUNTA($B:$B)+14-COUNTA($B$1:$B$14)))</f>
        <v>0</v>
      </c>
      <c r="N4" s="58">
        <f>SUBTOTAL(109,N$15:INDEX(N:N,COUNTA($B:$B)+14-COUNTA($B$1:$B$14)))</f>
        <v>0</v>
      </c>
      <c r="O4" s="58">
        <f>SUBTOTAL(109,O$15:INDEX(O:O,COUNTA($B:$B)+14-COUNTA($B$1:$B$14)))</f>
        <v>0</v>
      </c>
      <c r="P4" s="58">
        <f>SUBTOTAL(109,P$15:INDEX(P:P,COUNTA($B:$B)+14-COUNTA($B$1:$B$14)))</f>
        <v>0</v>
      </c>
      <c r="Q4" s="58">
        <f>SUBTOTAL(109,Q$15:INDEX(Q:Q,COUNTA($B:$B)+14-COUNTA($B$1:$B$14)))</f>
        <v>0</v>
      </c>
      <c r="R4" s="189" t="str">
        <f>IF($Q$4=0,"",SUM($O$4,$P$4)/$Q$4)</f>
        <v/>
      </c>
      <c r="S4" s="189" t="str">
        <f>IF($U$4=0,"",$V$4/$U$4)</f>
        <v/>
      </c>
      <c r="T4" s="189" t="str">
        <f>IF($Q$4=0,"",$U$4/$Q$4-1)</f>
        <v/>
      </c>
      <c r="U4" s="55">
        <f>SUBTOTAL(109,U$15:INDEX(U:U,COUNTA($B:$B)+14-COUNTA($B$1:$B$14)))</f>
        <v>0</v>
      </c>
      <c r="V4" s="55">
        <f>SUBTOTAL(109,V$15:INDEX(V:V,COUNTA($B:$B)+14-COUNTA($B$1:$B$14)))</f>
        <v>0</v>
      </c>
    </row>
    <row r="5" spans="1:22" x14ac:dyDescent="0.2">
      <c r="A5" s="26" t="s">
        <v>98</v>
      </c>
      <c r="B5" s="26" t="s">
        <v>98</v>
      </c>
      <c r="C5" s="26" t="s">
        <v>98</v>
      </c>
      <c r="D5" s="26" t="s">
        <v>98</v>
      </c>
      <c r="E5" s="26" t="s">
        <v>98</v>
      </c>
      <c r="F5" s="82" t="s">
        <v>98</v>
      </c>
      <c r="G5" s="59" t="s">
        <v>98</v>
      </c>
      <c r="H5" s="59" t="s">
        <v>98</v>
      </c>
      <c r="I5" s="59" t="s">
        <v>98</v>
      </c>
      <c r="J5" s="59" t="s">
        <v>98</v>
      </c>
      <c r="K5" s="59" t="s">
        <v>98</v>
      </c>
      <c r="L5" s="59" t="s">
        <v>98</v>
      </c>
      <c r="M5" s="59" t="s">
        <v>109</v>
      </c>
      <c r="N5" s="59" t="s">
        <v>109</v>
      </c>
      <c r="O5" s="59" t="s">
        <v>109</v>
      </c>
      <c r="P5" s="59" t="s">
        <v>109</v>
      </c>
      <c r="Q5" s="59" t="s">
        <v>98</v>
      </c>
      <c r="R5" s="191" t="s">
        <v>98</v>
      </c>
      <c r="S5" s="191" t="s">
        <v>98</v>
      </c>
      <c r="T5" s="191" t="s">
        <v>98</v>
      </c>
      <c r="U5" s="56" t="s">
        <v>109</v>
      </c>
      <c r="V5" s="56" t="s">
        <v>109</v>
      </c>
    </row>
    <row r="6" spans="1:22" x14ac:dyDescent="0.2">
      <c r="A6" s="26" t="s">
        <v>200</v>
      </c>
      <c r="B6" s="26" t="s">
        <v>200</v>
      </c>
      <c r="C6" s="26" t="s">
        <v>200</v>
      </c>
      <c r="D6" s="26" t="s">
        <v>200</v>
      </c>
      <c r="E6" s="26" t="s">
        <v>200</v>
      </c>
      <c r="F6" s="82" t="s">
        <v>93</v>
      </c>
      <c r="G6" s="59" t="s">
        <v>112</v>
      </c>
      <c r="H6" s="59" t="s">
        <v>93</v>
      </c>
      <c r="I6" s="59" t="s">
        <v>93</v>
      </c>
      <c r="J6" s="59" t="s">
        <v>93</v>
      </c>
      <c r="K6" s="59" t="s">
        <v>93</v>
      </c>
      <c r="L6" s="59" t="s">
        <v>93</v>
      </c>
      <c r="M6" s="59" t="s">
        <v>110</v>
      </c>
      <c r="N6" s="59" t="s">
        <v>110</v>
      </c>
      <c r="O6" s="59" t="s">
        <v>110</v>
      </c>
      <c r="P6" s="59" t="s">
        <v>110</v>
      </c>
      <c r="Q6" s="59" t="s">
        <v>93</v>
      </c>
      <c r="R6" s="191" t="s">
        <v>93</v>
      </c>
      <c r="S6" s="191" t="s">
        <v>112</v>
      </c>
      <c r="T6" s="191" t="s">
        <v>112</v>
      </c>
      <c r="U6" s="56" t="s">
        <v>92</v>
      </c>
      <c r="V6" s="56" t="s">
        <v>92</v>
      </c>
    </row>
    <row r="7" spans="1:22" x14ac:dyDescent="0.2">
      <c r="A7" s="26" t="s">
        <v>108</v>
      </c>
      <c r="B7" s="26" t="s">
        <v>108</v>
      </c>
      <c r="C7" s="26" t="s">
        <v>108</v>
      </c>
      <c r="D7" s="26" t="s">
        <v>108</v>
      </c>
      <c r="E7" s="26" t="s">
        <v>108</v>
      </c>
      <c r="F7" s="82" t="s">
        <v>94</v>
      </c>
      <c r="G7" s="59" t="s">
        <v>94</v>
      </c>
      <c r="H7" s="59" t="s">
        <v>94</v>
      </c>
      <c r="I7" s="59" t="s">
        <v>94</v>
      </c>
      <c r="J7" s="59" t="s">
        <v>94</v>
      </c>
      <c r="K7" s="59" t="s">
        <v>94</v>
      </c>
      <c r="L7" s="59" t="s">
        <v>94</v>
      </c>
      <c r="M7" s="59" t="s">
        <v>94</v>
      </c>
      <c r="N7" s="59" t="s">
        <v>94</v>
      </c>
      <c r="O7" s="59" t="s">
        <v>94</v>
      </c>
      <c r="P7" s="59" t="s">
        <v>94</v>
      </c>
      <c r="Q7" s="59" t="s">
        <v>94</v>
      </c>
      <c r="R7" s="191" t="s">
        <v>95</v>
      </c>
      <c r="S7" s="191" t="s">
        <v>95</v>
      </c>
      <c r="T7" s="191" t="s">
        <v>95</v>
      </c>
      <c r="U7" s="56" t="s">
        <v>94</v>
      </c>
      <c r="V7" s="56" t="s">
        <v>94</v>
      </c>
    </row>
    <row r="8" spans="1:22" x14ac:dyDescent="0.2">
      <c r="M8" s="275" t="s">
        <v>486</v>
      </c>
      <c r="N8" s="275" t="s">
        <v>485</v>
      </c>
      <c r="O8" s="275" t="s">
        <v>484</v>
      </c>
      <c r="P8" s="275" t="s">
        <v>483</v>
      </c>
      <c r="Q8" s="156"/>
      <c r="R8" s="390"/>
      <c r="U8" s="272" t="s">
        <v>703</v>
      </c>
      <c r="V8" s="272" t="s">
        <v>704</v>
      </c>
    </row>
    <row r="9" spans="1:22" x14ac:dyDescent="0.2">
      <c r="F9" s="196"/>
      <c r="G9" s="156"/>
      <c r="H9" s="156"/>
      <c r="I9" s="156"/>
      <c r="J9" s="156"/>
      <c r="K9" s="156"/>
      <c r="L9" s="156"/>
      <c r="M9" s="280"/>
      <c r="N9" s="280"/>
      <c r="O9" s="280"/>
      <c r="P9" s="280"/>
      <c r="Q9" s="198"/>
      <c r="R9" s="389"/>
      <c r="U9" s="272"/>
      <c r="V9" s="272"/>
    </row>
    <row r="10" spans="1:22" x14ac:dyDescent="0.2">
      <c r="F10" s="196"/>
      <c r="G10" s="156"/>
      <c r="H10" s="156"/>
      <c r="I10" s="156"/>
      <c r="J10" s="156"/>
      <c r="K10" s="156"/>
      <c r="L10" s="156"/>
      <c r="M10" s="275" t="s">
        <v>1022</v>
      </c>
      <c r="N10" s="275" t="s">
        <v>1020</v>
      </c>
      <c r="O10" s="275" t="s">
        <v>1023</v>
      </c>
      <c r="P10" s="275" t="s">
        <v>1021</v>
      </c>
      <c r="Q10" s="156"/>
      <c r="R10" s="390"/>
      <c r="S10" s="390"/>
      <c r="T10" s="390"/>
      <c r="U10" s="272" t="s">
        <v>714</v>
      </c>
      <c r="V10" s="272" t="s">
        <v>715</v>
      </c>
    </row>
    <row r="11" spans="1:22" x14ac:dyDescent="0.2">
      <c r="F11" s="82" t="s">
        <v>482</v>
      </c>
      <c r="G11" s="59" t="s">
        <v>482</v>
      </c>
      <c r="H11" s="59" t="s">
        <v>607</v>
      </c>
      <c r="I11" s="59" t="s">
        <v>607</v>
      </c>
      <c r="J11" s="59" t="s">
        <v>482</v>
      </c>
      <c r="K11" s="59" t="s">
        <v>482</v>
      </c>
      <c r="L11" s="59" t="s">
        <v>482</v>
      </c>
      <c r="M11" s="59" t="s">
        <v>482</v>
      </c>
      <c r="N11" s="59" t="s">
        <v>482</v>
      </c>
      <c r="O11" s="59" t="s">
        <v>482</v>
      </c>
      <c r="P11" s="59" t="s">
        <v>482</v>
      </c>
      <c r="Q11" s="59" t="s">
        <v>482</v>
      </c>
      <c r="R11" s="191" t="s">
        <v>482</v>
      </c>
      <c r="S11" s="35" t="s">
        <v>482</v>
      </c>
      <c r="T11" s="35" t="s">
        <v>482</v>
      </c>
      <c r="U11" s="56" t="s">
        <v>482</v>
      </c>
      <c r="V11" s="56" t="s">
        <v>482</v>
      </c>
    </row>
    <row r="12" spans="1:22" x14ac:dyDescent="0.2">
      <c r="F12" s="82" t="s">
        <v>685</v>
      </c>
      <c r="G12" s="59" t="s">
        <v>685</v>
      </c>
      <c r="H12" s="59" t="s">
        <v>685</v>
      </c>
      <c r="I12" s="59" t="s">
        <v>685</v>
      </c>
      <c r="J12" s="59" t="s">
        <v>685</v>
      </c>
      <c r="K12" s="59" t="s">
        <v>685</v>
      </c>
      <c r="L12" s="59" t="s">
        <v>685</v>
      </c>
      <c r="M12" s="59" t="s">
        <v>685</v>
      </c>
      <c r="N12" s="59" t="s">
        <v>685</v>
      </c>
      <c r="O12" s="59" t="s">
        <v>685</v>
      </c>
      <c r="P12" s="59" t="s">
        <v>685</v>
      </c>
      <c r="Q12" s="59" t="s">
        <v>685</v>
      </c>
      <c r="R12" s="191" t="s">
        <v>685</v>
      </c>
      <c r="S12" s="35" t="s">
        <v>685</v>
      </c>
      <c r="T12" s="35" t="s">
        <v>685</v>
      </c>
      <c r="U12" s="56" t="s">
        <v>685</v>
      </c>
      <c r="V12" s="56" t="s">
        <v>685</v>
      </c>
    </row>
    <row r="14" spans="1:22" x14ac:dyDescent="0.2">
      <c r="A14" s="38" t="s">
        <v>583</v>
      </c>
      <c r="B14" s="38" t="s">
        <v>5</v>
      </c>
      <c r="C14" s="38" t="s">
        <v>35</v>
      </c>
      <c r="D14" s="38" t="s">
        <v>6</v>
      </c>
      <c r="E14" s="38" t="s">
        <v>75</v>
      </c>
      <c r="F14" s="157" t="s">
        <v>298</v>
      </c>
      <c r="G14" s="76" t="s">
        <v>552</v>
      </c>
      <c r="H14" s="76" t="s">
        <v>468</v>
      </c>
      <c r="I14" s="76" t="s">
        <v>887</v>
      </c>
      <c r="J14" s="76" t="s">
        <v>463</v>
      </c>
      <c r="K14" s="76" t="s">
        <v>369</v>
      </c>
      <c r="L14" s="76" t="s">
        <v>370</v>
      </c>
      <c r="M14" s="76" t="s">
        <v>487</v>
      </c>
      <c r="N14" s="76" t="s">
        <v>488</v>
      </c>
      <c r="O14" s="76" t="s">
        <v>489</v>
      </c>
      <c r="P14" s="76" t="s">
        <v>490</v>
      </c>
      <c r="Q14" s="76" t="s">
        <v>720</v>
      </c>
      <c r="R14" s="192" t="s">
        <v>719</v>
      </c>
      <c r="S14" s="192" t="s">
        <v>553</v>
      </c>
      <c r="T14" s="192" t="s">
        <v>721</v>
      </c>
      <c r="U14" s="155" t="s">
        <v>495</v>
      </c>
      <c r="V14" s="155" t="s">
        <v>496</v>
      </c>
    </row>
    <row r="15" spans="1:22" x14ac:dyDescent="0.2">
      <c r="E15" s="26" t="str">
        <f>B15&amp;"|"&amp;C15&amp;"|"&amp;D15</f>
        <v>||</v>
      </c>
      <c r="F15" s="82" t="str" cm="1">
        <f t="array" ref="F15">IFERROR(1/(1/IF($C15="50+",SUM(SUMIFS(Cascade!$F:$F,Cascade!$B:$B,$B15,Cascade!$C:$C,{"50-54","55-59","60-64","65+"},Cascade!$D:$D,$D15)),INDEX(Cascade!$F:$F,MATCH($E15,Cascade!$E:$E,0)))),"")</f>
        <v/>
      </c>
      <c r="H15" s="59">
        <f>_xlfn.IFNA(INDEX(PrEP!$L:$L,MATCH($E15,PrEP!$E:$E,0)),"")</f>
        <v>0</v>
      </c>
      <c r="I15" s="59">
        <f>_xlfn.IFNA(INDEX(PrEP!$O:$O,MATCH($E15,PrEP!$E:$E,0)),"")</f>
        <v>0</v>
      </c>
      <c r="J15" s="59" t="str">
        <f>_xlfn.IFNA(INDEX(PP!$H:$H,MATCH($E15,PP!$E:$E,0)),"")</f>
        <v/>
      </c>
      <c r="K15" s="59" t="str">
        <f>_xlfn.IFNA(INDEX(HTS!$BP:$BP,MATCH($E15,HTS!$E:$E,0)),"")</f>
        <v/>
      </c>
      <c r="L15" s="59" t="str">
        <f>_xlfn.IFNA(INDEX(HTS!$BX:$BX,MATCH($E15,HTS!$E:$E,0)),"")</f>
        <v/>
      </c>
      <c r="Q15" s="59" t="str">
        <f>IF(SUM($M15:$P15)=0,"",SUM($M15:$P15))</f>
        <v/>
      </c>
      <c r="R15" s="191" t="str">
        <f>IF(SUM($Q15)=0,"",SUM($O15,$P15)/SUM($Q15))</f>
        <v/>
      </c>
      <c r="S15" s="191" t="str">
        <f>IF(SUM($Q15)=0,"",MAX(60%,SUM($R15)))</f>
        <v/>
      </c>
      <c r="T15" s="191" t="str">
        <f>IF(SUM($Q15)=0,"",0%)</f>
        <v/>
      </c>
      <c r="U15" s="56" t="str">
        <f>IF(SUM($Q15)=0,"",SUM($Q15)*(1+$T15))</f>
        <v/>
      </c>
      <c r="V15" s="56" t="str">
        <f>IF(SUM($U15)=0,"",ROUND(SUM($U15)*S15,0))</f>
        <v/>
      </c>
    </row>
  </sheetData>
  <mergeCells count="1">
    <mergeCell ref="A2:B3"/>
  </mergeCells>
  <phoneticPr fontId="21" type="noConversion"/>
  <conditionalFormatting sqref="V1:V1048576">
    <cfRule type="expression" dxfId="233" priority="14">
      <formula>AND(ISNUMBER(V1),SUM($V1)&gt;SUM($U1))</formula>
    </cfRule>
  </conditionalFormatting>
  <conditionalFormatting sqref="H1:I1048576">
    <cfRule type="expression" dxfId="232" priority="6">
      <formula>AND(ROW(H1)&gt;14,$C1="10-14")</formula>
    </cfRule>
  </conditionalFormatting>
  <conditionalFormatting sqref="F1:G1048576">
    <cfRule type="expression" dxfId="231" priority="3">
      <formula>AND(ROW(F1)&gt;14,LEFT(B1,4)="_Mil")</formula>
    </cfRule>
  </conditionalFormatting>
  <conditionalFormatting sqref="U1:V1048576 F1:N1048576">
    <cfRule type="expression" dxfId="230" priority="2">
      <formula>AND(ISNUMBER(F1),ROUND(SUM(F1),0)&lt;0)</formula>
    </cfRule>
  </conditionalFormatting>
  <conditionalFormatting sqref="R1:S1048576">
    <cfRule type="expression" dxfId="229" priority="1">
      <formula>AND(ISNUMBER(R1),OR(ROUND(SUM(R1),2)&lt;0,ROUND(SUM(R1),2)&gt;1))</formula>
    </cfRule>
  </conditionalFormatting>
  <conditionalFormatting sqref="S1:S1048576">
    <cfRule type="expression" dxfId="22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11" width="11.83203125" style="59" customWidth="1"/>
    <col min="12" max="12" width="11.83203125" style="56" customWidth="1"/>
    <col min="13" max="13" width="11.83203125" style="82" customWidth="1"/>
    <col min="14" max="14" width="11.83203125" style="59" customWidth="1"/>
    <col min="15" max="15" width="11.83203125" style="56" customWidth="1"/>
    <col min="16" max="16384" width="10.83203125" style="24"/>
  </cols>
  <sheetData>
    <row r="1" spans="1:15" s="41" customFormat="1" ht="31" customHeight="1" x14ac:dyDescent="0.3">
      <c r="A1" s="5" t="s">
        <v>13</v>
      </c>
      <c r="B1" s="5"/>
      <c r="C1" s="1"/>
      <c r="D1" s="1"/>
      <c r="E1" s="1"/>
      <c r="F1" s="91" t="s">
        <v>24</v>
      </c>
      <c r="G1" s="51"/>
      <c r="H1" s="51"/>
      <c r="I1" s="51"/>
      <c r="J1" s="51"/>
      <c r="K1" s="51"/>
      <c r="L1" s="51"/>
      <c r="M1" s="91" t="s">
        <v>886</v>
      </c>
      <c r="N1" s="51"/>
      <c r="O1" s="51"/>
    </row>
    <row r="2" spans="1:15" s="40" customFormat="1" ht="19" x14ac:dyDescent="0.25">
      <c r="A2" s="2"/>
      <c r="B2" s="2"/>
      <c r="C2" s="2"/>
      <c r="D2" s="2"/>
      <c r="E2" s="2"/>
      <c r="F2" s="92" t="s">
        <v>73</v>
      </c>
      <c r="G2" s="57"/>
      <c r="H2" s="57"/>
      <c r="I2" s="57"/>
      <c r="J2" s="57"/>
      <c r="K2" s="57"/>
      <c r="L2" s="52" t="s">
        <v>3</v>
      </c>
      <c r="M2" s="92" t="s">
        <v>73</v>
      </c>
      <c r="N2" s="57"/>
      <c r="O2" s="52" t="s">
        <v>3</v>
      </c>
    </row>
    <row r="3" spans="1:15" ht="117" customHeight="1" x14ac:dyDescent="0.2">
      <c r="A3" s="31"/>
      <c r="B3" s="31"/>
      <c r="C3" s="31"/>
      <c r="D3" s="31"/>
      <c r="E3" s="31"/>
      <c r="F3" s="237" t="s">
        <v>602</v>
      </c>
      <c r="G3" s="238" t="s">
        <v>871</v>
      </c>
      <c r="H3" s="238" t="s">
        <v>872</v>
      </c>
      <c r="I3" s="238" t="s">
        <v>873</v>
      </c>
      <c r="J3" s="121" t="s">
        <v>876</v>
      </c>
      <c r="K3" s="121" t="s">
        <v>874</v>
      </c>
      <c r="L3" s="122" t="s">
        <v>862</v>
      </c>
      <c r="M3" s="128" t="s">
        <v>877</v>
      </c>
      <c r="N3" s="121" t="s">
        <v>875</v>
      </c>
      <c r="O3" s="122" t="s">
        <v>1085</v>
      </c>
    </row>
    <row r="4" spans="1:15"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5">
        <f>SUBTOTAL(109,L$15:INDEX(L:L,COUNTA($B:$B)+14-COUNTA($B$1:$B$14)))</f>
        <v>0</v>
      </c>
      <c r="M4" s="93">
        <f>SUBTOTAL(109,M$15:INDEX(M:M,COUNTA($B:$B)+14-COUNTA($B$1:$B$14)))</f>
        <v>0</v>
      </c>
      <c r="N4" s="58">
        <f>SUBTOTAL(109,N$15:INDEX(N:N,COUNTA($B:$B)+14-COUNTA($B$1:$B$14)))</f>
        <v>0</v>
      </c>
      <c r="O4" s="55">
        <f>SUBTOTAL(109,O$15:INDEX(O:O,COUNTA($B:$B)+14-COUNTA($B$1:$B$14)))</f>
        <v>0</v>
      </c>
    </row>
    <row r="5" spans="1:15" x14ac:dyDescent="0.2">
      <c r="A5" s="26" t="s">
        <v>98</v>
      </c>
      <c r="B5" s="26" t="s">
        <v>98</v>
      </c>
      <c r="C5" s="26" t="s">
        <v>98</v>
      </c>
      <c r="D5" s="26" t="s">
        <v>98</v>
      </c>
      <c r="E5" s="26" t="s">
        <v>98</v>
      </c>
      <c r="F5" s="82" t="s">
        <v>98</v>
      </c>
      <c r="G5" s="59" t="s">
        <v>98</v>
      </c>
      <c r="H5" s="59" t="s">
        <v>98</v>
      </c>
      <c r="I5" s="59" t="s">
        <v>98</v>
      </c>
      <c r="J5" s="59" t="s">
        <v>109</v>
      </c>
      <c r="K5" s="59" t="s">
        <v>109</v>
      </c>
      <c r="L5" s="56" t="s">
        <v>109</v>
      </c>
      <c r="M5" s="82" t="s">
        <v>109</v>
      </c>
      <c r="N5" s="59" t="s">
        <v>109</v>
      </c>
      <c r="O5" s="56" t="s">
        <v>109</v>
      </c>
    </row>
    <row r="6" spans="1:15" x14ac:dyDescent="0.2">
      <c r="A6" s="26" t="s">
        <v>200</v>
      </c>
      <c r="B6" s="26" t="s">
        <v>200</v>
      </c>
      <c r="C6" s="26" t="s">
        <v>200</v>
      </c>
      <c r="D6" s="26" t="s">
        <v>200</v>
      </c>
      <c r="E6" s="26" t="s">
        <v>200</v>
      </c>
      <c r="F6" s="82" t="s">
        <v>93</v>
      </c>
      <c r="G6" s="59" t="s">
        <v>93</v>
      </c>
      <c r="H6" s="59" t="s">
        <v>93</v>
      </c>
      <c r="I6" s="59" t="s">
        <v>93</v>
      </c>
      <c r="J6" s="59" t="s">
        <v>110</v>
      </c>
      <c r="K6" s="59" t="s">
        <v>110</v>
      </c>
      <c r="L6" s="56" t="s">
        <v>92</v>
      </c>
      <c r="M6" s="82" t="s">
        <v>110</v>
      </c>
      <c r="N6" s="59" t="s">
        <v>110</v>
      </c>
      <c r="O6" s="56" t="s">
        <v>92</v>
      </c>
    </row>
    <row r="7" spans="1:15" x14ac:dyDescent="0.2">
      <c r="A7" s="26" t="s">
        <v>108</v>
      </c>
      <c r="B7" s="26" t="s">
        <v>108</v>
      </c>
      <c r="C7" s="26" t="s">
        <v>108</v>
      </c>
      <c r="D7" s="26" t="s">
        <v>108</v>
      </c>
      <c r="E7" s="26" t="s">
        <v>108</v>
      </c>
      <c r="F7" s="82" t="s">
        <v>94</v>
      </c>
      <c r="G7" s="59" t="s">
        <v>94</v>
      </c>
      <c r="H7" s="59" t="s">
        <v>94</v>
      </c>
      <c r="I7" s="59" t="s">
        <v>94</v>
      </c>
      <c r="J7" s="59" t="s">
        <v>94</v>
      </c>
      <c r="K7" s="59" t="s">
        <v>94</v>
      </c>
      <c r="L7" s="56" t="s">
        <v>94</v>
      </c>
      <c r="M7" s="82" t="s">
        <v>94</v>
      </c>
      <c r="N7" s="59" t="s">
        <v>94</v>
      </c>
      <c r="O7" s="56" t="s">
        <v>94</v>
      </c>
    </row>
    <row r="8" spans="1:15" x14ac:dyDescent="0.2">
      <c r="J8" s="280" t="s">
        <v>593</v>
      </c>
      <c r="K8" s="275" t="s">
        <v>192</v>
      </c>
      <c r="L8" s="272" t="s">
        <v>192</v>
      </c>
      <c r="M8" s="281" t="s">
        <v>595</v>
      </c>
      <c r="N8" s="275" t="s">
        <v>194</v>
      </c>
      <c r="O8" s="272" t="s">
        <v>1039</v>
      </c>
    </row>
    <row r="9" spans="1:15" x14ac:dyDescent="0.2">
      <c r="J9" s="280" t="s">
        <v>594</v>
      </c>
      <c r="K9" s="275" t="s">
        <v>193</v>
      </c>
      <c r="L9" s="272" t="s">
        <v>193</v>
      </c>
      <c r="M9" s="281" t="s">
        <v>596</v>
      </c>
      <c r="N9" s="275" t="s">
        <v>195</v>
      </c>
      <c r="O9" s="272" t="s">
        <v>1040</v>
      </c>
    </row>
    <row r="10" spans="1:15" x14ac:dyDescent="0.2">
      <c r="J10" s="275"/>
      <c r="K10" s="275"/>
      <c r="L10" s="272"/>
      <c r="M10" s="277"/>
      <c r="N10" s="275"/>
      <c r="O10" s="272"/>
    </row>
    <row r="11" spans="1:15" x14ac:dyDescent="0.2">
      <c r="F11" s="82" t="s">
        <v>1026</v>
      </c>
      <c r="G11" s="59" t="s">
        <v>1026</v>
      </c>
      <c r="H11" s="59" t="s">
        <v>607</v>
      </c>
      <c r="I11" s="59" t="s">
        <v>607</v>
      </c>
      <c r="J11" s="59" t="s">
        <v>1026</v>
      </c>
      <c r="K11" s="59" t="s">
        <v>1026</v>
      </c>
      <c r="L11" s="56" t="s">
        <v>1026</v>
      </c>
      <c r="M11" s="82" t="s">
        <v>1026</v>
      </c>
      <c r="N11" s="59" t="s">
        <v>1026</v>
      </c>
      <c r="O11" s="56" t="s">
        <v>1026</v>
      </c>
    </row>
    <row r="12" spans="1:15" x14ac:dyDescent="0.2">
      <c r="F12" s="82" t="s">
        <v>201</v>
      </c>
      <c r="G12" s="59" t="s">
        <v>201</v>
      </c>
      <c r="H12" s="59" t="s">
        <v>685</v>
      </c>
      <c r="I12" s="59" t="s">
        <v>685</v>
      </c>
      <c r="J12" s="59" t="s">
        <v>201</v>
      </c>
      <c r="K12" s="59" t="s">
        <v>201</v>
      </c>
      <c r="L12" s="56" t="s">
        <v>201</v>
      </c>
      <c r="M12" s="82" t="s">
        <v>201</v>
      </c>
      <c r="N12" s="59" t="s">
        <v>201</v>
      </c>
      <c r="O12" s="56" t="s">
        <v>201</v>
      </c>
    </row>
    <row r="14" spans="1:15" x14ac:dyDescent="0.2">
      <c r="A14" s="38" t="s">
        <v>583</v>
      </c>
      <c r="B14" s="38" t="s">
        <v>5</v>
      </c>
      <c r="C14" s="38" t="s">
        <v>35</v>
      </c>
      <c r="D14" s="38" t="s">
        <v>6</v>
      </c>
      <c r="E14" s="38" t="s">
        <v>75</v>
      </c>
      <c r="F14" s="157" t="s">
        <v>299</v>
      </c>
      <c r="G14" s="76" t="s">
        <v>548</v>
      </c>
      <c r="H14" s="76" t="s">
        <v>495</v>
      </c>
      <c r="I14" s="76" t="s">
        <v>496</v>
      </c>
      <c r="J14" s="76" t="s">
        <v>586</v>
      </c>
      <c r="K14" s="76" t="s">
        <v>467</v>
      </c>
      <c r="L14" s="155" t="s">
        <v>468</v>
      </c>
      <c r="M14" s="157" t="s">
        <v>587</v>
      </c>
      <c r="N14" s="76" t="s">
        <v>469</v>
      </c>
      <c r="O14" s="155" t="s">
        <v>887</v>
      </c>
    </row>
    <row r="15" spans="1:15" x14ac:dyDescent="0.2">
      <c r="E15" s="26" t="str">
        <f>B15&amp;"|"&amp;C15&amp;"|"&amp;D15</f>
        <v>||</v>
      </c>
      <c r="F15" s="82" t="str" cm="1">
        <f t="array" ref="F15">IFERROR(1/(1/IF($C15="50+",SUM(SUMIFS(Cascade!$H:$H,Cascade!$B:$B,$B15,Cascade!$C:$C,{"50-54","55-59","60-64","65+"},Cascade!$D:$D,$D15)),INDEX(Cascade!$H:$H,MATCH($E15,Cascade!$E:$E,0)))),"")</f>
        <v/>
      </c>
      <c r="G15" s="59" t="str">
        <f>_xlfn.IFNA(INDEX(HTS!$BX:$BX,MATCH($E15,HTS!$E:$E,0)),"")</f>
        <v/>
      </c>
      <c r="H15" s="59" t="str">
        <f>_xlfn.IFNA(INDEX(AGYW!$U:$U,MATCH($E15,AGYW!$E:$E,0)),"")</f>
        <v/>
      </c>
      <c r="I15" s="59" t="str">
        <f>_xlfn.IFNA(INDEX(AGYW!$V:$V,MATCH($E15,AGYW!$E:$E,0)),"")</f>
        <v/>
      </c>
    </row>
  </sheetData>
  <conditionalFormatting sqref="H1:I1048576">
    <cfRule type="expression" dxfId="227" priority="3">
      <formula>AND(ROW(H1)&gt;14,$E1&lt;&gt;"",NOT(OR($C1="15-19",$C1="20-24",$C1="25-29")))</formula>
    </cfRule>
    <cfRule type="expression" dxfId="226" priority="4">
      <formula>AND(ROW(H1)&gt;14,$E1&lt;&gt;"",$D1&lt;&gt;"Females")</formula>
    </cfRule>
  </conditionalFormatting>
  <conditionalFormatting sqref="F1:F1048576">
    <cfRule type="expression" dxfId="225" priority="2">
      <formula>AND(ROW(F1)&gt;14,LEFT(B1,4)="_Mil")</formula>
    </cfRule>
  </conditionalFormatting>
  <conditionalFormatting sqref="F1:O1048576">
    <cfRule type="expression" dxfId="224"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K5" sqref="K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78" customWidth="1"/>
    <col min="6" max="6" width="11.83203125" style="258" customWidth="1"/>
    <col min="7" max="9" width="11.83203125" style="257" customWidth="1"/>
    <col min="10" max="11" width="11.83203125" style="56" customWidth="1"/>
  </cols>
  <sheetData>
    <row r="1" spans="1:11" ht="31" customHeight="1" x14ac:dyDescent="0.2">
      <c r="A1" s="5" t="s">
        <v>23</v>
      </c>
      <c r="B1" s="5"/>
      <c r="C1" s="1"/>
      <c r="D1" s="1"/>
      <c r="E1" s="91" t="s">
        <v>23</v>
      </c>
      <c r="F1" s="51"/>
      <c r="G1" s="27"/>
      <c r="H1" s="29"/>
      <c r="I1" s="29"/>
      <c r="J1" s="51"/>
      <c r="K1" s="51"/>
    </row>
    <row r="2" spans="1:11" ht="19" x14ac:dyDescent="0.25">
      <c r="A2" s="2"/>
      <c r="B2" s="2"/>
      <c r="C2" s="2"/>
      <c r="D2" s="2"/>
      <c r="E2" s="95" t="s">
        <v>73</v>
      </c>
      <c r="F2" s="78"/>
      <c r="G2" s="18"/>
      <c r="H2" s="18" t="s">
        <v>2</v>
      </c>
      <c r="I2" s="18"/>
      <c r="J2" s="52" t="s">
        <v>3</v>
      </c>
      <c r="K2" s="52"/>
    </row>
    <row r="3" spans="1:11" ht="117" customHeight="1" x14ac:dyDescent="0.2">
      <c r="D3" s="47"/>
      <c r="E3" s="392" t="s">
        <v>881</v>
      </c>
      <c r="F3" s="131" t="s">
        <v>882</v>
      </c>
      <c r="G3" s="186" t="s">
        <v>883</v>
      </c>
      <c r="H3" s="187" t="s">
        <v>878</v>
      </c>
      <c r="I3" s="187" t="s">
        <v>1019</v>
      </c>
      <c r="J3" s="53" t="s">
        <v>879</v>
      </c>
      <c r="K3" s="53" t="s">
        <v>880</v>
      </c>
    </row>
    <row r="4" spans="1:11" x14ac:dyDescent="0.2">
      <c r="A4" s="49"/>
      <c r="B4" s="49"/>
      <c r="C4" s="49" t="s">
        <v>4</v>
      </c>
      <c r="D4" s="49"/>
      <c r="E4" s="93">
        <f>SUBTOTAL(109,E$15:INDEX(E:E,COUNTA($B:$B)+14-COUNTA($B$1:$B$14)))</f>
        <v>0</v>
      </c>
      <c r="F4" s="124">
        <f>SUBTOTAL(109,F$15:INDEX(F:F,COUNTA($B:$B)+14-COUNTA($B$1:$B$14)))</f>
        <v>0</v>
      </c>
      <c r="G4" s="188" t="str">
        <f>IF($E$4=0,"",$F$4/$E$4)</f>
        <v/>
      </c>
      <c r="H4" s="189" t="str">
        <f>IF($K$4=0,"",$J$4/$K$4)</f>
        <v/>
      </c>
      <c r="I4" s="189" t="str">
        <f>IF($F$4=0,"",$J$4/$F$4-1)</f>
        <v/>
      </c>
      <c r="J4" s="55">
        <f>SUBTOTAL(109,J$15:INDEX(J:J,COUNTA($B:$B)+14-COUNTA($B$1:$B$14)))</f>
        <v>0</v>
      </c>
      <c r="K4" s="55">
        <f>SUBTOTAL(109,K$15:INDEX(K:K,COUNTA($B:$B)+14-COUNTA($B$1:$B$14)))</f>
        <v>0</v>
      </c>
    </row>
    <row r="5" spans="1:11" x14ac:dyDescent="0.2">
      <c r="A5" s="50" t="s">
        <v>98</v>
      </c>
      <c r="B5" s="50" t="s">
        <v>98</v>
      </c>
      <c r="C5" s="50" t="s">
        <v>98</v>
      </c>
      <c r="D5" s="50" t="s">
        <v>98</v>
      </c>
      <c r="E5" s="82" t="s">
        <v>107</v>
      </c>
      <c r="F5" s="125" t="s">
        <v>109</v>
      </c>
      <c r="G5" s="190" t="s">
        <v>98</v>
      </c>
      <c r="H5" s="191" t="s">
        <v>98</v>
      </c>
      <c r="I5" s="191" t="s">
        <v>98</v>
      </c>
      <c r="J5" s="56" t="s">
        <v>109</v>
      </c>
      <c r="K5" s="56" t="s">
        <v>107</v>
      </c>
    </row>
    <row r="6" spans="1:11" x14ac:dyDescent="0.2">
      <c r="A6" s="50" t="s">
        <v>200</v>
      </c>
      <c r="B6" s="50" t="s">
        <v>200</v>
      </c>
      <c r="C6" s="50" t="s">
        <v>200</v>
      </c>
      <c r="D6" s="50" t="s">
        <v>200</v>
      </c>
      <c r="E6" s="82" t="s">
        <v>92</v>
      </c>
      <c r="F6" s="125" t="s">
        <v>110</v>
      </c>
      <c r="G6" s="190" t="s">
        <v>93</v>
      </c>
      <c r="H6" s="191" t="s">
        <v>112</v>
      </c>
      <c r="I6" s="191" t="s">
        <v>112</v>
      </c>
      <c r="J6" s="56" t="s">
        <v>92</v>
      </c>
      <c r="K6" s="56" t="s">
        <v>92</v>
      </c>
    </row>
    <row r="7" spans="1:11" x14ac:dyDescent="0.2">
      <c r="A7" s="50" t="s">
        <v>108</v>
      </c>
      <c r="B7" s="50" t="s">
        <v>108</v>
      </c>
      <c r="C7" s="50" t="s">
        <v>108</v>
      </c>
      <c r="D7" s="50" t="s">
        <v>108</v>
      </c>
      <c r="E7" s="82" t="s">
        <v>94</v>
      </c>
      <c r="F7" s="125" t="s">
        <v>94</v>
      </c>
      <c r="G7" s="190" t="s">
        <v>95</v>
      </c>
      <c r="H7" s="191" t="s">
        <v>95</v>
      </c>
      <c r="I7" s="191" t="s">
        <v>95</v>
      </c>
      <c r="J7" s="56" t="s">
        <v>94</v>
      </c>
      <c r="K7" s="56" t="s">
        <v>94</v>
      </c>
    </row>
    <row r="8" spans="1:11" x14ac:dyDescent="0.2">
      <c r="A8" s="50"/>
      <c r="B8" s="50"/>
      <c r="C8" s="50"/>
      <c r="D8" s="50"/>
      <c r="E8" s="277" t="s">
        <v>179</v>
      </c>
      <c r="F8" s="285" t="s">
        <v>180</v>
      </c>
      <c r="G8" s="190"/>
      <c r="H8" s="191"/>
      <c r="I8" s="191"/>
      <c r="J8" s="272" t="s">
        <v>180</v>
      </c>
      <c r="K8" s="272" t="s">
        <v>179</v>
      </c>
    </row>
    <row r="9" spans="1:11" x14ac:dyDescent="0.2">
      <c r="A9" s="50"/>
      <c r="B9" s="50"/>
      <c r="C9" s="50"/>
      <c r="D9" s="50"/>
      <c r="E9" s="277"/>
      <c r="F9" s="285" t="s">
        <v>181</v>
      </c>
      <c r="G9" s="190"/>
      <c r="H9" s="191"/>
      <c r="I9" s="191"/>
      <c r="J9" s="272" t="s">
        <v>181</v>
      </c>
      <c r="K9" s="272"/>
    </row>
    <row r="10" spans="1:11" x14ac:dyDescent="0.2">
      <c r="A10" s="50"/>
      <c r="B10" s="50"/>
      <c r="C10" s="50"/>
      <c r="D10" s="50"/>
      <c r="E10" s="277"/>
      <c r="F10" s="285"/>
      <c r="G10" s="190"/>
      <c r="H10" s="191"/>
      <c r="I10" s="191"/>
      <c r="J10" s="272"/>
      <c r="K10" s="272"/>
    </row>
    <row r="11" spans="1:11" x14ac:dyDescent="0.2">
      <c r="A11" s="50"/>
      <c r="B11" s="50"/>
      <c r="C11" s="50"/>
      <c r="D11" s="50"/>
      <c r="E11" s="82"/>
      <c r="F11" s="125"/>
      <c r="G11" s="190"/>
      <c r="H11" s="191"/>
      <c r="I11" s="191"/>
    </row>
    <row r="12" spans="1:11" x14ac:dyDescent="0.2">
      <c r="A12" s="50"/>
      <c r="B12" s="50"/>
      <c r="C12" s="50"/>
      <c r="D12" s="50"/>
      <c r="E12" s="82" t="s">
        <v>201</v>
      </c>
      <c r="F12" s="125" t="s">
        <v>201</v>
      </c>
      <c r="G12" s="190" t="s">
        <v>201</v>
      </c>
      <c r="H12" s="191" t="s">
        <v>201</v>
      </c>
      <c r="I12" s="191" t="s">
        <v>201</v>
      </c>
      <c r="J12" s="56" t="s">
        <v>201</v>
      </c>
      <c r="K12" s="56" t="s">
        <v>201</v>
      </c>
    </row>
    <row r="13" spans="1:11" x14ac:dyDescent="0.2">
      <c r="A13" s="50"/>
      <c r="B13" s="50"/>
      <c r="C13" s="50"/>
      <c r="D13" s="50"/>
      <c r="E13" s="82"/>
      <c r="F13" s="125"/>
      <c r="G13" s="190"/>
      <c r="H13" s="191"/>
      <c r="I13" s="191"/>
    </row>
    <row r="14" spans="1:11" x14ac:dyDescent="0.2">
      <c r="A14" s="36" t="s">
        <v>583</v>
      </c>
      <c r="B14" s="36" t="s">
        <v>5</v>
      </c>
      <c r="C14" s="36" t="s">
        <v>6</v>
      </c>
      <c r="D14" s="36" t="s">
        <v>75</v>
      </c>
      <c r="E14" s="157" t="s">
        <v>546</v>
      </c>
      <c r="F14" s="76" t="s">
        <v>444</v>
      </c>
      <c r="G14" s="192" t="s">
        <v>565</v>
      </c>
      <c r="H14" s="192" t="s">
        <v>576</v>
      </c>
      <c r="I14" s="192" t="s">
        <v>577</v>
      </c>
      <c r="J14" s="155" t="s">
        <v>445</v>
      </c>
      <c r="K14" s="155" t="s">
        <v>566</v>
      </c>
    </row>
    <row r="15" spans="1:11" s="24" customFormat="1" x14ac:dyDescent="0.2">
      <c r="A15" s="37"/>
      <c r="B15" s="37"/>
      <c r="C15" s="37"/>
      <c r="D15" s="37" t="str">
        <f>B15&amp;"|"&amp;C15</f>
        <v>|</v>
      </c>
      <c r="E15" s="96"/>
      <c r="F15" s="59"/>
      <c r="G15" s="35" t="str">
        <f>IF(SUM($E15)=0,"",SUM($F15)/$E15)</f>
        <v/>
      </c>
      <c r="H15" s="20" t="str">
        <f>IF(SUM($G15)=0,"",$G15)</f>
        <v/>
      </c>
      <c r="I15" s="20" t="str">
        <f>IF(SUM($F15)=0,"",0%)</f>
        <v/>
      </c>
      <c r="J15" s="56" t="str">
        <f>IF(SUM($F15)=0,"",$F15*(1+SUM($I15)))</f>
        <v/>
      </c>
      <c r="K15" s="56" t="str">
        <f>IF(SUM($H15)=0,"",SUM($J15)/$H15)</f>
        <v/>
      </c>
    </row>
  </sheetData>
  <conditionalFormatting sqref="E1:E1048576 G1:H1048576 K1:K1048576">
    <cfRule type="expression" dxfId="223" priority="7">
      <formula>LEFT($B1,4)="_Mil"</formula>
    </cfRule>
  </conditionalFormatting>
  <conditionalFormatting sqref="H1:H1048576">
    <cfRule type="expression" dxfId="222" priority="3">
      <formula>AND(ISNUMBER(H1),H1&lt;&gt;G1)</formula>
    </cfRule>
  </conditionalFormatting>
  <conditionalFormatting sqref="J1:K1048576 E1:F1048576">
    <cfRule type="expression" dxfId="221" priority="2">
      <formula>AND(ISNUMBER(E1),ROUND(SUM(E1),0)&lt;0)</formula>
    </cfRule>
  </conditionalFormatting>
  <conditionalFormatting sqref="G1:H1048576">
    <cfRule type="expression" dxfId="220"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K15" activePane="bottomRight" state="frozen"/>
      <selection pane="topRight"/>
      <selection pane="bottomLeft"/>
      <selection pane="bottomRight"/>
    </sheetView>
  </sheetViews>
  <sheetFormatPr baseColWidth="10" defaultRowHeight="16" x14ac:dyDescent="0.2"/>
  <cols>
    <col min="1" max="1" width="16.1640625" style="50" customWidth="1"/>
    <col min="2" max="2" width="30.83203125" style="50" customWidth="1"/>
    <col min="3" max="3" width="11.83203125" style="206" customWidth="1"/>
    <col min="4" max="4" width="11.83203125" style="249" customWidth="1"/>
    <col min="5" max="5" width="11.83203125" style="221" customWidth="1"/>
    <col min="6" max="6" width="11.83203125" style="211" customWidth="1"/>
    <col min="7" max="8" width="11.83203125" style="88" customWidth="1"/>
    <col min="9" max="10" width="11.83203125" style="56" customWidth="1"/>
    <col min="11" max="11" width="11.83203125" style="206" customWidth="1"/>
    <col min="12" max="12" width="11.83203125" style="249" customWidth="1"/>
    <col min="13" max="13" width="11.83203125" style="221" customWidth="1"/>
    <col min="14" max="14" width="11.83203125" style="211" customWidth="1"/>
    <col min="15" max="16" width="11.83203125" style="88" customWidth="1"/>
    <col min="17" max="18" width="11.83203125" style="56" customWidth="1"/>
    <col min="19" max="19" width="11.83203125" style="206" customWidth="1"/>
    <col min="20" max="20" width="11.83203125" style="221" customWidth="1"/>
    <col min="21" max="21" width="11.83203125" style="211" customWidth="1"/>
    <col min="22" max="23" width="11.83203125" style="88" customWidth="1"/>
    <col min="24" max="25" width="11.83203125" style="56" customWidth="1"/>
    <col min="26" max="26" width="11.83203125" style="206" customWidth="1"/>
    <col min="27" max="27" width="11.83203125" style="221" customWidth="1"/>
    <col min="28" max="28" width="11.83203125" style="211" customWidth="1"/>
    <col min="29" max="30" width="11.83203125" style="88" customWidth="1"/>
    <col min="31" max="32" width="11.83203125" style="56" customWidth="1"/>
    <col min="33" max="33" width="11.83203125" style="206" customWidth="1"/>
    <col min="34" max="34" width="11.83203125" style="221" customWidth="1"/>
    <col min="35" max="35" width="11.83203125" style="211" customWidth="1"/>
    <col min="36" max="37" width="11.83203125" style="88" customWidth="1"/>
    <col min="38" max="39" width="11.83203125" style="56" customWidth="1"/>
    <col min="40" max="40" width="11.83203125" style="206" customWidth="1"/>
    <col min="41" max="41" width="11.83203125" style="221" customWidth="1"/>
    <col min="42" max="42" width="11.83203125" style="211" customWidth="1"/>
    <col min="43" max="44" width="11.83203125" style="88" customWidth="1"/>
    <col min="45" max="46" width="11.83203125" style="56" customWidth="1"/>
    <col min="47" max="47" width="11.83203125" style="206" customWidth="1"/>
    <col min="48" max="48" width="11.83203125" style="221" customWidth="1"/>
    <col min="49" max="49" width="11.83203125" style="211" customWidth="1"/>
    <col min="50" max="51" width="11.83203125" style="88" customWidth="1"/>
    <col min="52" max="53" width="11.83203125" style="56" customWidth="1"/>
    <col min="54" max="54" width="11.83203125" style="206" customWidth="1"/>
    <col min="55" max="55" width="11.83203125" style="221" customWidth="1"/>
    <col min="56" max="56" width="11.83203125" style="211" customWidth="1"/>
    <col min="57" max="58" width="11.83203125" style="88" customWidth="1"/>
    <col min="59" max="60" width="11.83203125" style="56" customWidth="1"/>
    <col min="61" max="61" width="11.83203125" style="206" customWidth="1"/>
    <col min="62" max="62" width="11.83203125" style="221" customWidth="1"/>
    <col min="63" max="63" width="11.83203125" style="211" customWidth="1"/>
    <col min="64" max="65" width="11.83203125" style="88" customWidth="1"/>
    <col min="66" max="67" width="11.83203125" style="56" customWidth="1"/>
    <col min="68" max="68" width="11.83203125" style="206" customWidth="1"/>
    <col min="69" max="69" width="11.83203125" style="221" customWidth="1"/>
    <col min="70" max="70" width="11.83203125" style="211" customWidth="1"/>
    <col min="71" max="72" width="11.83203125" style="88" customWidth="1"/>
    <col min="73" max="74" width="11.83203125" style="56" customWidth="1"/>
    <col min="75" max="16384" width="10.83203125" style="46"/>
  </cols>
  <sheetData>
    <row r="1" spans="1:74" s="41" customFormat="1" ht="31" customHeight="1" thickBot="1" x14ac:dyDescent="0.35">
      <c r="A1" s="5" t="s">
        <v>772</v>
      </c>
      <c r="B1" s="5"/>
      <c r="C1" s="91" t="s">
        <v>886</v>
      </c>
      <c r="D1" s="114"/>
      <c r="E1" s="218"/>
      <c r="F1" s="208"/>
      <c r="G1" s="114"/>
      <c r="H1" s="114"/>
      <c r="I1" s="51"/>
      <c r="J1" s="51"/>
      <c r="K1" s="91" t="s">
        <v>24</v>
      </c>
      <c r="L1" s="114"/>
      <c r="M1" s="218"/>
      <c r="N1" s="208"/>
      <c r="O1" s="114"/>
      <c r="P1" s="114"/>
      <c r="Q1" s="51"/>
      <c r="R1" s="51"/>
      <c r="S1" s="91" t="s">
        <v>0</v>
      </c>
      <c r="T1" s="218"/>
      <c r="U1" s="208"/>
      <c r="V1" s="114"/>
      <c r="W1" s="114"/>
      <c r="X1" s="51"/>
      <c r="Y1" s="51"/>
      <c r="Z1" s="91" t="s">
        <v>1</v>
      </c>
      <c r="AA1" s="218"/>
      <c r="AB1" s="208"/>
      <c r="AC1" s="114"/>
      <c r="AD1" s="114"/>
      <c r="AE1" s="51"/>
      <c r="AF1" s="51"/>
      <c r="AG1" s="91" t="s">
        <v>52</v>
      </c>
      <c r="AH1" s="218"/>
      <c r="AI1" s="208"/>
      <c r="AJ1" s="114"/>
      <c r="AK1" s="114"/>
      <c r="AL1" s="51"/>
      <c r="AM1" s="51"/>
      <c r="AN1" s="91" t="s">
        <v>51</v>
      </c>
      <c r="AO1" s="218"/>
      <c r="AP1" s="208"/>
      <c r="AQ1" s="114"/>
      <c r="AR1" s="114"/>
      <c r="AS1" s="51"/>
      <c r="AT1" s="51"/>
      <c r="AU1" s="91" t="s">
        <v>604</v>
      </c>
      <c r="AV1" s="218"/>
      <c r="AW1" s="208"/>
      <c r="AX1" s="114"/>
      <c r="AY1" s="114"/>
      <c r="AZ1" s="51"/>
      <c r="BA1" s="51"/>
      <c r="BB1" s="91" t="s">
        <v>605</v>
      </c>
      <c r="BC1" s="218"/>
      <c r="BD1" s="208"/>
      <c r="BE1" s="114"/>
      <c r="BF1" s="114"/>
      <c r="BG1" s="51"/>
      <c r="BH1" s="51"/>
      <c r="BI1" s="91" t="s">
        <v>206</v>
      </c>
      <c r="BJ1" s="218"/>
      <c r="BK1" s="208"/>
      <c r="BL1" s="114"/>
      <c r="BM1" s="114"/>
      <c r="BN1" s="51"/>
      <c r="BO1" s="51"/>
      <c r="BP1" s="91" t="s">
        <v>246</v>
      </c>
      <c r="BQ1" s="218"/>
      <c r="BR1" s="208"/>
      <c r="BS1" s="114"/>
      <c r="BT1" s="114"/>
      <c r="BU1" s="51"/>
      <c r="BV1" s="51"/>
    </row>
    <row r="2" spans="1:74" s="40" customFormat="1" ht="19" x14ac:dyDescent="0.25">
      <c r="A2" s="428" t="s">
        <v>1159</v>
      </c>
      <c r="B2" s="425"/>
      <c r="C2" s="95" t="s">
        <v>716</v>
      </c>
      <c r="D2" s="99"/>
      <c r="E2" s="219"/>
      <c r="F2" s="209" t="s">
        <v>603</v>
      </c>
      <c r="G2" s="115"/>
      <c r="H2" s="115"/>
      <c r="I2" s="233"/>
      <c r="J2" s="52"/>
      <c r="K2" s="95" t="s">
        <v>716</v>
      </c>
      <c r="L2" s="99"/>
      <c r="M2" s="219"/>
      <c r="N2" s="209" t="s">
        <v>603</v>
      </c>
      <c r="O2" s="115"/>
      <c r="P2" s="115"/>
      <c r="Q2" s="233"/>
      <c r="R2" s="52"/>
      <c r="S2" s="95" t="s">
        <v>716</v>
      </c>
      <c r="T2" s="219"/>
      <c r="U2" s="209" t="s">
        <v>603</v>
      </c>
      <c r="V2" s="115"/>
      <c r="W2" s="115"/>
      <c r="X2" s="233"/>
      <c r="Y2" s="52"/>
      <c r="Z2" s="95" t="s">
        <v>716</v>
      </c>
      <c r="AA2" s="219"/>
      <c r="AB2" s="209" t="s">
        <v>603</v>
      </c>
      <c r="AC2" s="115"/>
      <c r="AD2" s="115"/>
      <c r="AE2" s="233"/>
      <c r="AF2" s="52"/>
      <c r="AG2" s="95" t="s">
        <v>716</v>
      </c>
      <c r="AH2" s="219"/>
      <c r="AI2" s="209" t="s">
        <v>603</v>
      </c>
      <c r="AJ2" s="115"/>
      <c r="AK2" s="115"/>
      <c r="AL2" s="233"/>
      <c r="AM2" s="52"/>
      <c r="AN2" s="95" t="s">
        <v>716</v>
      </c>
      <c r="AO2" s="219"/>
      <c r="AP2" s="209" t="s">
        <v>603</v>
      </c>
      <c r="AQ2" s="115"/>
      <c r="AR2" s="115"/>
      <c r="AS2" s="233"/>
      <c r="AT2" s="52"/>
      <c r="AU2" s="95" t="s">
        <v>716</v>
      </c>
      <c r="AV2" s="219"/>
      <c r="AW2" s="209" t="s">
        <v>603</v>
      </c>
      <c r="AX2" s="115"/>
      <c r="AY2" s="115"/>
      <c r="AZ2" s="233"/>
      <c r="BA2" s="52"/>
      <c r="BB2" s="95" t="s">
        <v>716</v>
      </c>
      <c r="BC2" s="219"/>
      <c r="BD2" s="209" t="s">
        <v>603</v>
      </c>
      <c r="BE2" s="115"/>
      <c r="BF2" s="115"/>
      <c r="BG2" s="233"/>
      <c r="BH2" s="52"/>
      <c r="BI2" s="95" t="s">
        <v>716</v>
      </c>
      <c r="BJ2" s="219"/>
      <c r="BK2" s="209" t="s">
        <v>603</v>
      </c>
      <c r="BL2" s="115"/>
      <c r="BM2" s="115"/>
      <c r="BN2" s="233"/>
      <c r="BO2" s="52"/>
      <c r="BP2" s="95" t="s">
        <v>716</v>
      </c>
      <c r="BQ2" s="219"/>
      <c r="BR2" s="209" t="s">
        <v>603</v>
      </c>
      <c r="BS2" s="115"/>
      <c r="BT2" s="115"/>
      <c r="BU2" s="233"/>
      <c r="BV2" s="52"/>
    </row>
    <row r="3" spans="1:74" ht="117" customHeight="1" thickBot="1" x14ac:dyDescent="0.25">
      <c r="A3" s="426"/>
      <c r="B3" s="427"/>
      <c r="C3" s="237" t="s">
        <v>851</v>
      </c>
      <c r="D3" s="241" t="s">
        <v>1158</v>
      </c>
      <c r="E3" s="247" t="s">
        <v>852</v>
      </c>
      <c r="F3" s="398" t="s">
        <v>588</v>
      </c>
      <c r="G3" s="371" t="s">
        <v>589</v>
      </c>
      <c r="H3" s="371" t="s">
        <v>592</v>
      </c>
      <c r="I3" s="54" t="s">
        <v>590</v>
      </c>
      <c r="J3" s="54" t="s">
        <v>591</v>
      </c>
      <c r="K3" s="237" t="s">
        <v>851</v>
      </c>
      <c r="L3" s="241" t="s">
        <v>1158</v>
      </c>
      <c r="M3" s="247" t="s">
        <v>852</v>
      </c>
      <c r="N3" s="398" t="s">
        <v>588</v>
      </c>
      <c r="O3" s="371" t="s">
        <v>589</v>
      </c>
      <c r="P3" s="371" t="s">
        <v>592</v>
      </c>
      <c r="Q3" s="54" t="s">
        <v>590</v>
      </c>
      <c r="R3" s="54" t="s">
        <v>591</v>
      </c>
      <c r="S3" s="237" t="s">
        <v>851</v>
      </c>
      <c r="T3" s="247" t="s">
        <v>852</v>
      </c>
      <c r="U3" s="398" t="s">
        <v>588</v>
      </c>
      <c r="V3" s="371" t="s">
        <v>589</v>
      </c>
      <c r="W3" s="371" t="s">
        <v>592</v>
      </c>
      <c r="X3" s="54" t="s">
        <v>590</v>
      </c>
      <c r="Y3" s="54" t="s">
        <v>591</v>
      </c>
      <c r="Z3" s="237" t="s">
        <v>851</v>
      </c>
      <c r="AA3" s="247" t="s">
        <v>852</v>
      </c>
      <c r="AB3" s="398" t="s">
        <v>588</v>
      </c>
      <c r="AC3" s="371" t="s">
        <v>589</v>
      </c>
      <c r="AD3" s="371" t="s">
        <v>592</v>
      </c>
      <c r="AE3" s="54" t="s">
        <v>590</v>
      </c>
      <c r="AF3" s="54" t="s">
        <v>591</v>
      </c>
      <c r="AG3" s="237" t="s">
        <v>851</v>
      </c>
      <c r="AH3" s="247" t="s">
        <v>852</v>
      </c>
      <c r="AI3" s="398" t="s">
        <v>588</v>
      </c>
      <c r="AJ3" s="371" t="s">
        <v>589</v>
      </c>
      <c r="AK3" s="371" t="s">
        <v>592</v>
      </c>
      <c r="AL3" s="54" t="s">
        <v>590</v>
      </c>
      <c r="AM3" s="54" t="s">
        <v>591</v>
      </c>
      <c r="AN3" s="237" t="s">
        <v>851</v>
      </c>
      <c r="AO3" s="247" t="s">
        <v>852</v>
      </c>
      <c r="AP3" s="398" t="s">
        <v>588</v>
      </c>
      <c r="AQ3" s="371" t="s">
        <v>589</v>
      </c>
      <c r="AR3" s="371" t="s">
        <v>592</v>
      </c>
      <c r="AS3" s="54" t="s">
        <v>590</v>
      </c>
      <c r="AT3" s="54" t="s">
        <v>591</v>
      </c>
      <c r="AU3" s="237" t="s">
        <v>851</v>
      </c>
      <c r="AV3" s="247" t="s">
        <v>852</v>
      </c>
      <c r="AW3" s="398" t="s">
        <v>588</v>
      </c>
      <c r="AX3" s="371" t="s">
        <v>589</v>
      </c>
      <c r="AY3" s="371" t="s">
        <v>592</v>
      </c>
      <c r="AZ3" s="54" t="s">
        <v>590</v>
      </c>
      <c r="BA3" s="54" t="s">
        <v>591</v>
      </c>
      <c r="BB3" s="237" t="s">
        <v>851</v>
      </c>
      <c r="BC3" s="247" t="s">
        <v>852</v>
      </c>
      <c r="BD3" s="398" t="s">
        <v>588</v>
      </c>
      <c r="BE3" s="371" t="s">
        <v>589</v>
      </c>
      <c r="BF3" s="371" t="s">
        <v>592</v>
      </c>
      <c r="BG3" s="54" t="s">
        <v>590</v>
      </c>
      <c r="BH3" s="54" t="s">
        <v>591</v>
      </c>
      <c r="BI3" s="237" t="s">
        <v>851</v>
      </c>
      <c r="BJ3" s="247" t="s">
        <v>852</v>
      </c>
      <c r="BK3" s="398" t="s">
        <v>588</v>
      </c>
      <c r="BL3" s="371" t="s">
        <v>589</v>
      </c>
      <c r="BM3" s="371" t="s">
        <v>592</v>
      </c>
      <c r="BN3" s="54" t="s">
        <v>590</v>
      </c>
      <c r="BO3" s="54" t="s">
        <v>591</v>
      </c>
      <c r="BP3" s="237" t="s">
        <v>851</v>
      </c>
      <c r="BQ3" s="247" t="s">
        <v>852</v>
      </c>
      <c r="BR3" s="398" t="s">
        <v>588</v>
      </c>
      <c r="BS3" s="371" t="s">
        <v>589</v>
      </c>
      <c r="BT3" s="371" t="s">
        <v>592</v>
      </c>
      <c r="BU3" s="54" t="s">
        <v>590</v>
      </c>
      <c r="BV3" s="54" t="s">
        <v>591</v>
      </c>
    </row>
    <row r="4" spans="1:74" x14ac:dyDescent="0.2">
      <c r="A4" s="49"/>
      <c r="B4" s="49" t="s">
        <v>4</v>
      </c>
      <c r="C4" s="205">
        <f>SUBTOTAL(109,C$15:INDEX(C:C,COUNTA($B:$B)+14-COUNTA($B$1:$B$14)))</f>
        <v>0</v>
      </c>
      <c r="D4" s="248">
        <f>SUBTOTAL(109,D$15:INDEX(D:D,COUNTA($B:$B)+14-COUNTA($B$1:$B$14)))</f>
        <v>0</v>
      </c>
      <c r="E4" s="220">
        <f>SUBTOTAL(109,E$15:INDEX(E:E,COUNTA($B:$B)+14-COUNTA($B$1:$B$14)))</f>
        <v>0</v>
      </c>
      <c r="F4" s="210">
        <f>SUBTOTAL(109,F$15:INDEX(F:F,COUNTA($B:$B)+14-COUNTA($B$1:$B$14)))</f>
        <v>0</v>
      </c>
      <c r="G4" s="158">
        <f>SUBTOTAL(109,G$15:INDEX(G:G,COUNTA($B:$B)+14-COUNTA($B$1:$B$14)))</f>
        <v>0</v>
      </c>
      <c r="H4" s="158">
        <f>SUBTOTAL(109,H$15:INDEX(H:H,COUNTA($B:$B)+14-COUNTA($B$1:$B$14)))</f>
        <v>0</v>
      </c>
      <c r="I4" s="55">
        <f>SUBTOTAL(109,I$15:INDEX(I:I,COUNTA($B:$B)+14-COUNTA($B$1:$B$14)))</f>
        <v>0</v>
      </c>
      <c r="J4" s="55">
        <f>SUBTOTAL(109,J$15:INDEX(J:J,COUNTA($B:$B)+14-COUNTA($B$1:$B$14)))</f>
        <v>0</v>
      </c>
      <c r="K4" s="205">
        <f>SUBTOTAL(109,K$15:INDEX(K:K,COUNTA($B:$B)+14-COUNTA($B$1:$B$14)))</f>
        <v>0</v>
      </c>
      <c r="L4" s="248">
        <f>SUBTOTAL(109,L$15:INDEX(L:L,COUNTA($B:$B)+14-COUNTA($B$1:$B$14)))</f>
        <v>0</v>
      </c>
      <c r="M4" s="220">
        <f>SUBTOTAL(109,M$15:INDEX(M:M,COUNTA($B:$B)+14-COUNTA($B$1:$B$14)))</f>
        <v>0</v>
      </c>
      <c r="N4" s="210">
        <f>SUBTOTAL(109,N$15:INDEX(N:N,COUNTA($B:$B)+14-COUNTA($B$1:$B$14)))</f>
        <v>0</v>
      </c>
      <c r="O4" s="158">
        <f>SUBTOTAL(109,O$15:INDEX(O:O,COUNTA($B:$B)+14-COUNTA($B$1:$B$14)))</f>
        <v>0</v>
      </c>
      <c r="P4" s="158">
        <f>SUBTOTAL(109,P$15:INDEX(P:P,COUNTA($B:$B)+14-COUNTA($B$1:$B$14)))</f>
        <v>0</v>
      </c>
      <c r="Q4" s="55">
        <f>SUBTOTAL(109,Q$15:INDEX(Q:Q,COUNTA($B:$B)+14-COUNTA($B$1:$B$14)))</f>
        <v>0</v>
      </c>
      <c r="R4" s="55">
        <f>SUBTOTAL(109,R$15:INDEX(R:R,COUNTA($B:$B)+14-COUNTA($B$1:$B$14)))</f>
        <v>0</v>
      </c>
      <c r="S4" s="205">
        <f>SUBTOTAL(109,S$15:INDEX(S:S,COUNTA($B:$B)+14-COUNTA($B$1:$B$14)))</f>
        <v>0</v>
      </c>
      <c r="T4" s="220">
        <f>SUBTOTAL(109,T$15:INDEX(T:T,COUNTA($B:$B)+14-COUNTA($B$1:$B$14)))</f>
        <v>0</v>
      </c>
      <c r="U4" s="210">
        <f>SUBTOTAL(109,U$15:INDEX(U:U,COUNTA($B:$B)+14-COUNTA($B$1:$B$14)))</f>
        <v>0</v>
      </c>
      <c r="V4" s="158">
        <f>SUBTOTAL(109,V$15:INDEX(V:V,COUNTA($B:$B)+14-COUNTA($B$1:$B$14)))</f>
        <v>0</v>
      </c>
      <c r="W4" s="158">
        <f>SUBTOTAL(109,W$15:INDEX(W:W,COUNTA($B:$B)+14-COUNTA($B$1:$B$14)))</f>
        <v>0</v>
      </c>
      <c r="X4" s="55">
        <f>SUBTOTAL(109,X$15:INDEX(X:X,COUNTA($B:$B)+14-COUNTA($B$1:$B$14)))</f>
        <v>0</v>
      </c>
      <c r="Y4" s="55">
        <f>SUBTOTAL(109,Y$15:INDEX(Y:Y,COUNTA($B:$B)+14-COUNTA($B$1:$B$14)))</f>
        <v>0</v>
      </c>
      <c r="Z4" s="205">
        <f>SUBTOTAL(109,Z$15:INDEX(Z:Z,COUNTA($B:$B)+14-COUNTA($B$1:$B$14)))</f>
        <v>0</v>
      </c>
      <c r="AA4" s="220">
        <f>SUBTOTAL(109,AA$15:INDEX(AA:AA,COUNTA($B:$B)+14-COUNTA($B$1:$B$14)))</f>
        <v>0</v>
      </c>
      <c r="AB4" s="210">
        <f>SUBTOTAL(109,AB$15:INDEX(AB:AB,COUNTA($B:$B)+14-COUNTA($B$1:$B$14)))</f>
        <v>0</v>
      </c>
      <c r="AC4" s="158">
        <f>SUBTOTAL(109,AC$15:INDEX(AC:AC,COUNTA($B:$B)+14-COUNTA($B$1:$B$14)))</f>
        <v>0</v>
      </c>
      <c r="AD4" s="158">
        <f>SUBTOTAL(109,AD$15:INDEX(AD:AD,COUNTA($B:$B)+14-COUNTA($B$1:$B$14)))</f>
        <v>0</v>
      </c>
      <c r="AE4" s="55">
        <f>SUBTOTAL(109,AE$15:INDEX(AE:AE,COUNTA($B:$B)+14-COUNTA($B$1:$B$14)))</f>
        <v>0</v>
      </c>
      <c r="AF4" s="55">
        <f>SUBTOTAL(109,AF$15:INDEX(AF:AF,COUNTA($B:$B)+14-COUNTA($B$1:$B$14)))</f>
        <v>0</v>
      </c>
      <c r="AG4" s="205">
        <f>SUBTOTAL(109,AG$15:INDEX(AG:AG,COUNTA($B:$B)+14-COUNTA($B$1:$B$14)))</f>
        <v>0</v>
      </c>
      <c r="AH4" s="220">
        <f>SUBTOTAL(109,AH$15:INDEX(AH:AH,COUNTA($B:$B)+14-COUNTA($B$1:$B$14)))</f>
        <v>0</v>
      </c>
      <c r="AI4" s="210">
        <f>SUBTOTAL(109,AI$15:INDEX(AI:AI,COUNTA($B:$B)+14-COUNTA($B$1:$B$14)))</f>
        <v>0</v>
      </c>
      <c r="AJ4" s="158">
        <f>SUBTOTAL(109,AJ$15:INDEX(AJ:AJ,COUNTA($B:$B)+14-COUNTA($B$1:$B$14)))</f>
        <v>0</v>
      </c>
      <c r="AK4" s="158">
        <f>SUBTOTAL(109,AK$15:INDEX(AK:AK,COUNTA($B:$B)+14-COUNTA($B$1:$B$14)))</f>
        <v>0</v>
      </c>
      <c r="AL4" s="55">
        <f>SUBTOTAL(109,AL$15:INDEX(AL:AL,COUNTA($B:$B)+14-COUNTA($B$1:$B$14)))</f>
        <v>0</v>
      </c>
      <c r="AM4" s="55">
        <f>SUBTOTAL(109,AM$15:INDEX(AM:AM,COUNTA($B:$B)+14-COUNTA($B$1:$B$14)))</f>
        <v>0</v>
      </c>
      <c r="AN4" s="205">
        <f>SUBTOTAL(109,AN$15:INDEX(AN:AN,COUNTA($B:$B)+14-COUNTA($B$1:$B$14)))</f>
        <v>0</v>
      </c>
      <c r="AO4" s="220">
        <f>SUBTOTAL(109,AO$15:INDEX(AO:AO,COUNTA($B:$B)+14-COUNTA($B$1:$B$14)))</f>
        <v>0</v>
      </c>
      <c r="AP4" s="210">
        <f>SUBTOTAL(109,AP$15:INDEX(AP:AP,COUNTA($B:$B)+14-COUNTA($B$1:$B$14)))</f>
        <v>0</v>
      </c>
      <c r="AQ4" s="158">
        <f>SUBTOTAL(109,AQ$15:INDEX(AQ:AQ,COUNTA($B:$B)+14-COUNTA($B$1:$B$14)))</f>
        <v>0</v>
      </c>
      <c r="AR4" s="158">
        <f>SUBTOTAL(109,AR$15:INDEX(AR:AR,COUNTA($B:$B)+14-COUNTA($B$1:$B$14)))</f>
        <v>0</v>
      </c>
      <c r="AS4" s="55">
        <f>SUBTOTAL(109,AS$15:INDEX(AS:AS,COUNTA($B:$B)+14-COUNTA($B$1:$B$14)))</f>
        <v>0</v>
      </c>
      <c r="AT4" s="55">
        <f>SUBTOTAL(109,AT$15:INDEX(AT:AT,COUNTA($B:$B)+14-COUNTA($B$1:$B$14)))</f>
        <v>0</v>
      </c>
      <c r="AU4" s="205">
        <f>SUBTOTAL(109,AU$15:INDEX(AU:AU,COUNTA($B:$B)+14-COUNTA($B$1:$B$14)))</f>
        <v>0</v>
      </c>
      <c r="AV4" s="220">
        <f>SUBTOTAL(109,AV$15:INDEX(AV:AV,COUNTA($B:$B)+14-COUNTA($B$1:$B$14)))</f>
        <v>0</v>
      </c>
      <c r="AW4" s="210">
        <f>SUBTOTAL(109,AW$15:INDEX(AW:AW,COUNTA($B:$B)+14-COUNTA($B$1:$B$14)))</f>
        <v>0</v>
      </c>
      <c r="AX4" s="158">
        <f>SUBTOTAL(109,AX$15:INDEX(AX:AX,COUNTA($B:$B)+14-COUNTA($B$1:$B$14)))</f>
        <v>0</v>
      </c>
      <c r="AY4" s="158">
        <f>SUBTOTAL(109,AY$15:INDEX(AY:AY,COUNTA($B:$B)+14-COUNTA($B$1:$B$14)))</f>
        <v>0</v>
      </c>
      <c r="AZ4" s="55">
        <f>SUBTOTAL(109,AZ$15:INDEX(AZ:AZ,COUNTA($B:$B)+14-COUNTA($B$1:$B$14)))</f>
        <v>0</v>
      </c>
      <c r="BA4" s="55">
        <f>SUBTOTAL(109,BA$15:INDEX(BA:BA,COUNTA($B:$B)+14-COUNTA($B$1:$B$14)))</f>
        <v>0</v>
      </c>
      <c r="BB4" s="205">
        <f>SUBTOTAL(109,BB$15:INDEX(BB:BB,COUNTA($B:$B)+14-COUNTA($B$1:$B$14)))</f>
        <v>0</v>
      </c>
      <c r="BC4" s="220">
        <f>SUBTOTAL(109,BC$15:INDEX(BC:BC,COUNTA($B:$B)+14-COUNTA($B$1:$B$14)))</f>
        <v>0</v>
      </c>
      <c r="BD4" s="210">
        <f>SUBTOTAL(109,BD$15:INDEX(BD:BD,COUNTA($B:$B)+14-COUNTA($B$1:$B$14)))</f>
        <v>0</v>
      </c>
      <c r="BE4" s="158">
        <f>SUBTOTAL(109,BE$15:INDEX(BE:BE,COUNTA($B:$B)+14-COUNTA($B$1:$B$14)))</f>
        <v>0</v>
      </c>
      <c r="BF4" s="158">
        <f>SUBTOTAL(109,BF$15:INDEX(BF:BF,COUNTA($B:$B)+14-COUNTA($B$1:$B$14)))</f>
        <v>0</v>
      </c>
      <c r="BG4" s="55">
        <f>SUBTOTAL(109,BG$15:INDEX(BG:BG,COUNTA($B:$B)+14-COUNTA($B$1:$B$14)))</f>
        <v>0</v>
      </c>
      <c r="BH4" s="55">
        <f>SUBTOTAL(109,BH$15:INDEX(BH:BH,COUNTA($B:$B)+14-COUNTA($B$1:$B$14)))</f>
        <v>0</v>
      </c>
      <c r="BI4" s="205">
        <f>SUBTOTAL(109,BI$15:INDEX(BI:BI,COUNTA($B:$B)+14-COUNTA($B$1:$B$14)))</f>
        <v>0</v>
      </c>
      <c r="BJ4" s="220">
        <f>SUBTOTAL(109,BJ$15:INDEX(BJ:BJ,COUNTA($B:$B)+14-COUNTA($B$1:$B$14)))</f>
        <v>0</v>
      </c>
      <c r="BK4" s="210">
        <f>SUBTOTAL(109,BK$15:INDEX(BK:BK,COUNTA($B:$B)+14-COUNTA($B$1:$B$14)))</f>
        <v>0</v>
      </c>
      <c r="BL4" s="158">
        <f>SUBTOTAL(109,BL$15:INDEX(BL:BL,COUNTA($B:$B)+14-COUNTA($B$1:$B$14)))</f>
        <v>0</v>
      </c>
      <c r="BM4" s="158">
        <f>SUBTOTAL(109,BM$15:INDEX(BM:BM,COUNTA($B:$B)+14-COUNTA($B$1:$B$14)))</f>
        <v>0</v>
      </c>
      <c r="BN4" s="55">
        <f>SUBTOTAL(109,BN$15:INDEX(BN:BN,COUNTA($B:$B)+14-COUNTA($B$1:$B$14)))</f>
        <v>0</v>
      </c>
      <c r="BO4" s="55">
        <f>SUBTOTAL(109,BO$15:INDEX(BO:BO,COUNTA($B:$B)+14-COUNTA($B$1:$B$14)))</f>
        <v>0</v>
      </c>
      <c r="BP4" s="205">
        <f>SUBTOTAL(109,BP$15:INDEX(BP:BP,COUNTA($B:$B)+14-COUNTA($B$1:$B$14)))</f>
        <v>0</v>
      </c>
      <c r="BQ4" s="220">
        <f>SUBTOTAL(109,BQ$15:INDEX(BQ:BQ,COUNTA($B:$B)+14-COUNTA($B$1:$B$14)))</f>
        <v>0</v>
      </c>
      <c r="BR4" s="210">
        <f>SUBTOTAL(109,BR$15:INDEX(BR:BR,COUNTA($B:$B)+14-COUNTA($B$1:$B$14)))</f>
        <v>0</v>
      </c>
      <c r="BS4" s="158">
        <f>SUBTOTAL(109,BS$15:INDEX(BS:BS,COUNTA($B:$B)+14-COUNTA($B$1:$B$14)))</f>
        <v>0</v>
      </c>
      <c r="BT4" s="158">
        <f>SUBTOTAL(109,BT$15:INDEX(BT:BT,COUNTA($B:$B)+14-COUNTA($B$1:$B$14)))</f>
        <v>0</v>
      </c>
      <c r="BU4" s="55">
        <f>SUBTOTAL(109,BU$15:INDEX(BU:BU,COUNTA($B:$B)+14-COUNTA($B$1:$B$14)))</f>
        <v>0</v>
      </c>
      <c r="BV4" s="55">
        <f>SUBTOTAL(109,BV$15:INDEX(BV:BV,COUNTA($B:$B)+14-COUNTA($B$1:$B$14)))</f>
        <v>0</v>
      </c>
    </row>
    <row r="5" spans="1:74" x14ac:dyDescent="0.2">
      <c r="A5" s="50" t="s">
        <v>98</v>
      </c>
      <c r="B5" s="50" t="s">
        <v>98</v>
      </c>
      <c r="C5" s="206" t="s">
        <v>98</v>
      </c>
      <c r="D5" s="249" t="s">
        <v>98</v>
      </c>
      <c r="E5" s="221" t="s">
        <v>98</v>
      </c>
      <c r="F5" s="211" t="s">
        <v>98</v>
      </c>
      <c r="G5" s="88" t="s">
        <v>98</v>
      </c>
      <c r="H5" s="88" t="s">
        <v>98</v>
      </c>
      <c r="I5" s="56" t="s">
        <v>98</v>
      </c>
      <c r="J5" s="56" t="s">
        <v>98</v>
      </c>
      <c r="K5" s="206" t="s">
        <v>98</v>
      </c>
      <c r="L5" s="249" t="s">
        <v>98</v>
      </c>
      <c r="M5" s="221" t="s">
        <v>98</v>
      </c>
      <c r="N5" s="211" t="s">
        <v>98</v>
      </c>
      <c r="O5" s="88" t="s">
        <v>98</v>
      </c>
      <c r="P5" s="88" t="s">
        <v>98</v>
      </c>
      <c r="Q5" s="56" t="s">
        <v>98</v>
      </c>
      <c r="R5" s="56" t="s">
        <v>98</v>
      </c>
      <c r="S5" s="206" t="s">
        <v>98</v>
      </c>
      <c r="T5" s="221" t="s">
        <v>98</v>
      </c>
      <c r="U5" s="211" t="s">
        <v>98</v>
      </c>
      <c r="V5" s="88" t="s">
        <v>98</v>
      </c>
      <c r="W5" s="88" t="s">
        <v>98</v>
      </c>
      <c r="X5" s="56" t="s">
        <v>98</v>
      </c>
      <c r="Y5" s="56" t="s">
        <v>98</v>
      </c>
      <c r="Z5" s="206" t="s">
        <v>98</v>
      </c>
      <c r="AA5" s="221" t="s">
        <v>98</v>
      </c>
      <c r="AB5" s="211" t="s">
        <v>98</v>
      </c>
      <c r="AC5" s="88" t="s">
        <v>98</v>
      </c>
      <c r="AD5" s="88" t="s">
        <v>98</v>
      </c>
      <c r="AE5" s="56" t="s">
        <v>98</v>
      </c>
      <c r="AF5" s="56" t="s">
        <v>98</v>
      </c>
      <c r="AG5" s="206" t="s">
        <v>98</v>
      </c>
      <c r="AH5" s="221" t="s">
        <v>98</v>
      </c>
      <c r="AI5" s="211" t="s">
        <v>98</v>
      </c>
      <c r="AJ5" s="88" t="s">
        <v>98</v>
      </c>
      <c r="AK5" s="88" t="s">
        <v>98</v>
      </c>
      <c r="AL5" s="56" t="s">
        <v>98</v>
      </c>
      <c r="AM5" s="56" t="s">
        <v>98</v>
      </c>
      <c r="AN5" s="206" t="s">
        <v>98</v>
      </c>
      <c r="AO5" s="221" t="s">
        <v>98</v>
      </c>
      <c r="AP5" s="211" t="s">
        <v>98</v>
      </c>
      <c r="AQ5" s="88" t="s">
        <v>98</v>
      </c>
      <c r="AR5" s="88" t="s">
        <v>98</v>
      </c>
      <c r="AS5" s="56" t="s">
        <v>98</v>
      </c>
      <c r="AT5" s="56" t="s">
        <v>98</v>
      </c>
      <c r="AU5" s="206" t="s">
        <v>98</v>
      </c>
      <c r="AV5" s="221" t="s">
        <v>98</v>
      </c>
      <c r="AW5" s="211" t="s">
        <v>98</v>
      </c>
      <c r="AX5" s="88" t="s">
        <v>98</v>
      </c>
      <c r="AY5" s="88" t="s">
        <v>98</v>
      </c>
      <c r="AZ5" s="56" t="s">
        <v>98</v>
      </c>
      <c r="BA5" s="56" t="s">
        <v>98</v>
      </c>
      <c r="BB5" s="206" t="s">
        <v>98</v>
      </c>
      <c r="BC5" s="221" t="s">
        <v>98</v>
      </c>
      <c r="BD5" s="211" t="s">
        <v>98</v>
      </c>
      <c r="BE5" s="88" t="s">
        <v>98</v>
      </c>
      <c r="BF5" s="88" t="s">
        <v>98</v>
      </c>
      <c r="BG5" s="56" t="s">
        <v>98</v>
      </c>
      <c r="BH5" s="56" t="s">
        <v>98</v>
      </c>
      <c r="BI5" s="206" t="s">
        <v>98</v>
      </c>
      <c r="BJ5" s="221" t="s">
        <v>98</v>
      </c>
      <c r="BK5" s="211" t="s">
        <v>98</v>
      </c>
      <c r="BL5" s="88" t="s">
        <v>98</v>
      </c>
      <c r="BM5" s="88" t="s">
        <v>98</v>
      </c>
      <c r="BN5" s="56" t="s">
        <v>98</v>
      </c>
      <c r="BO5" s="56" t="s">
        <v>98</v>
      </c>
      <c r="BP5" s="206" t="s">
        <v>98</v>
      </c>
      <c r="BQ5" s="221" t="s">
        <v>98</v>
      </c>
      <c r="BR5" s="211" t="s">
        <v>98</v>
      </c>
      <c r="BS5" s="88" t="s">
        <v>98</v>
      </c>
      <c r="BT5" s="88" t="s">
        <v>98</v>
      </c>
      <c r="BU5" s="56" t="s">
        <v>98</v>
      </c>
      <c r="BV5" s="56" t="s">
        <v>98</v>
      </c>
    </row>
    <row r="6" spans="1:74" x14ac:dyDescent="0.2">
      <c r="A6" s="50" t="s">
        <v>200</v>
      </c>
      <c r="B6" s="50" t="s">
        <v>200</v>
      </c>
      <c r="C6" s="206" t="s">
        <v>93</v>
      </c>
      <c r="D6" s="249" t="s">
        <v>93</v>
      </c>
      <c r="E6" s="221" t="s">
        <v>93</v>
      </c>
      <c r="F6" s="211" t="s">
        <v>93</v>
      </c>
      <c r="G6" s="88" t="s">
        <v>93</v>
      </c>
      <c r="H6" s="88" t="s">
        <v>93</v>
      </c>
      <c r="I6" s="56" t="s">
        <v>93</v>
      </c>
      <c r="J6" s="56" t="s">
        <v>93</v>
      </c>
      <c r="K6" s="206" t="s">
        <v>93</v>
      </c>
      <c r="L6" s="249" t="s">
        <v>93</v>
      </c>
      <c r="M6" s="221" t="s">
        <v>93</v>
      </c>
      <c r="N6" s="211" t="s">
        <v>93</v>
      </c>
      <c r="O6" s="88" t="s">
        <v>93</v>
      </c>
      <c r="P6" s="88" t="s">
        <v>93</v>
      </c>
      <c r="Q6" s="56" t="s">
        <v>93</v>
      </c>
      <c r="R6" s="56" t="s">
        <v>93</v>
      </c>
      <c r="S6" s="206" t="s">
        <v>93</v>
      </c>
      <c r="T6" s="221" t="s">
        <v>93</v>
      </c>
      <c r="U6" s="211" t="s">
        <v>93</v>
      </c>
      <c r="V6" s="88" t="s">
        <v>93</v>
      </c>
      <c r="W6" s="88" t="s">
        <v>93</v>
      </c>
      <c r="X6" s="56" t="s">
        <v>93</v>
      </c>
      <c r="Y6" s="56" t="s">
        <v>93</v>
      </c>
      <c r="Z6" s="206" t="s">
        <v>93</v>
      </c>
      <c r="AA6" s="221" t="s">
        <v>93</v>
      </c>
      <c r="AB6" s="211" t="s">
        <v>93</v>
      </c>
      <c r="AC6" s="88" t="s">
        <v>93</v>
      </c>
      <c r="AD6" s="88" t="s">
        <v>93</v>
      </c>
      <c r="AE6" s="56" t="s">
        <v>93</v>
      </c>
      <c r="AF6" s="56" t="s">
        <v>93</v>
      </c>
      <c r="AG6" s="206" t="s">
        <v>93</v>
      </c>
      <c r="AH6" s="221" t="s">
        <v>93</v>
      </c>
      <c r="AI6" s="211" t="s">
        <v>93</v>
      </c>
      <c r="AJ6" s="88" t="s">
        <v>93</v>
      </c>
      <c r="AK6" s="88" t="s">
        <v>93</v>
      </c>
      <c r="AL6" s="56" t="s">
        <v>93</v>
      </c>
      <c r="AM6" s="56" t="s">
        <v>93</v>
      </c>
      <c r="AN6" s="206" t="s">
        <v>93</v>
      </c>
      <c r="AO6" s="221" t="s">
        <v>93</v>
      </c>
      <c r="AP6" s="211" t="s">
        <v>93</v>
      </c>
      <c r="AQ6" s="88" t="s">
        <v>93</v>
      </c>
      <c r="AR6" s="88" t="s">
        <v>93</v>
      </c>
      <c r="AS6" s="56" t="s">
        <v>93</v>
      </c>
      <c r="AT6" s="56" t="s">
        <v>93</v>
      </c>
      <c r="AU6" s="206" t="s">
        <v>93</v>
      </c>
      <c r="AV6" s="221" t="s">
        <v>93</v>
      </c>
      <c r="AW6" s="211" t="s">
        <v>93</v>
      </c>
      <c r="AX6" s="88" t="s">
        <v>93</v>
      </c>
      <c r="AY6" s="88" t="s">
        <v>93</v>
      </c>
      <c r="AZ6" s="56" t="s">
        <v>93</v>
      </c>
      <c r="BA6" s="56" t="s">
        <v>93</v>
      </c>
      <c r="BB6" s="206" t="s">
        <v>93</v>
      </c>
      <c r="BC6" s="221" t="s">
        <v>93</v>
      </c>
      <c r="BD6" s="211" t="s">
        <v>93</v>
      </c>
      <c r="BE6" s="88" t="s">
        <v>93</v>
      </c>
      <c r="BF6" s="88" t="s">
        <v>93</v>
      </c>
      <c r="BG6" s="56" t="s">
        <v>93</v>
      </c>
      <c r="BH6" s="56" t="s">
        <v>93</v>
      </c>
      <c r="BI6" s="206" t="s">
        <v>93</v>
      </c>
      <c r="BJ6" s="221" t="s">
        <v>93</v>
      </c>
      <c r="BK6" s="211" t="s">
        <v>93</v>
      </c>
      <c r="BL6" s="88" t="s">
        <v>93</v>
      </c>
      <c r="BM6" s="88" t="s">
        <v>93</v>
      </c>
      <c r="BN6" s="56" t="s">
        <v>93</v>
      </c>
      <c r="BO6" s="56" t="s">
        <v>93</v>
      </c>
      <c r="BP6" s="206" t="s">
        <v>93</v>
      </c>
      <c r="BQ6" s="221" t="s">
        <v>93</v>
      </c>
      <c r="BR6" s="211" t="s">
        <v>93</v>
      </c>
      <c r="BS6" s="88" t="s">
        <v>93</v>
      </c>
      <c r="BT6" s="88" t="s">
        <v>93</v>
      </c>
      <c r="BU6" s="56" t="s">
        <v>93</v>
      </c>
      <c r="BV6" s="56" t="s">
        <v>93</v>
      </c>
    </row>
    <row r="7" spans="1:74" x14ac:dyDescent="0.2">
      <c r="A7" s="50" t="s">
        <v>108</v>
      </c>
      <c r="B7" s="50" t="s">
        <v>108</v>
      </c>
      <c r="C7" s="207" t="s">
        <v>94</v>
      </c>
      <c r="D7" s="250" t="s">
        <v>94</v>
      </c>
      <c r="E7" s="222" t="s">
        <v>94</v>
      </c>
      <c r="F7" s="211" t="s">
        <v>94</v>
      </c>
      <c r="G7" s="88" t="s">
        <v>94</v>
      </c>
      <c r="H7" s="88" t="s">
        <v>94</v>
      </c>
      <c r="I7" s="56" t="s">
        <v>94</v>
      </c>
      <c r="J7" s="56" t="s">
        <v>94</v>
      </c>
      <c r="K7" s="207" t="s">
        <v>94</v>
      </c>
      <c r="L7" s="250" t="s">
        <v>94</v>
      </c>
      <c r="M7" s="222" t="s">
        <v>94</v>
      </c>
      <c r="N7" s="211" t="s">
        <v>94</v>
      </c>
      <c r="O7" s="88" t="s">
        <v>94</v>
      </c>
      <c r="P7" s="88" t="s">
        <v>94</v>
      </c>
      <c r="Q7" s="56" t="s">
        <v>94</v>
      </c>
      <c r="R7" s="56" t="s">
        <v>94</v>
      </c>
      <c r="S7" s="207" t="s">
        <v>94</v>
      </c>
      <c r="T7" s="222" t="s">
        <v>94</v>
      </c>
      <c r="U7" s="211" t="s">
        <v>94</v>
      </c>
      <c r="V7" s="88" t="s">
        <v>94</v>
      </c>
      <c r="W7" s="88" t="s">
        <v>94</v>
      </c>
      <c r="X7" s="56" t="s">
        <v>94</v>
      </c>
      <c r="Y7" s="56" t="s">
        <v>94</v>
      </c>
      <c r="Z7" s="207" t="s">
        <v>94</v>
      </c>
      <c r="AA7" s="222" t="s">
        <v>94</v>
      </c>
      <c r="AB7" s="211" t="s">
        <v>94</v>
      </c>
      <c r="AC7" s="88" t="s">
        <v>94</v>
      </c>
      <c r="AD7" s="88" t="s">
        <v>94</v>
      </c>
      <c r="AE7" s="56" t="s">
        <v>94</v>
      </c>
      <c r="AF7" s="56" t="s">
        <v>94</v>
      </c>
      <c r="AG7" s="207" t="s">
        <v>94</v>
      </c>
      <c r="AH7" s="222" t="s">
        <v>94</v>
      </c>
      <c r="AI7" s="211" t="s">
        <v>94</v>
      </c>
      <c r="AJ7" s="88" t="s">
        <v>94</v>
      </c>
      <c r="AK7" s="88" t="s">
        <v>94</v>
      </c>
      <c r="AL7" s="56" t="s">
        <v>94</v>
      </c>
      <c r="AM7" s="56" t="s">
        <v>94</v>
      </c>
      <c r="AN7" s="207" t="s">
        <v>94</v>
      </c>
      <c r="AO7" s="222" t="s">
        <v>94</v>
      </c>
      <c r="AP7" s="211" t="s">
        <v>94</v>
      </c>
      <c r="AQ7" s="88" t="s">
        <v>94</v>
      </c>
      <c r="AR7" s="88" t="s">
        <v>94</v>
      </c>
      <c r="AS7" s="56" t="s">
        <v>94</v>
      </c>
      <c r="AT7" s="56" t="s">
        <v>94</v>
      </c>
      <c r="AU7" s="207" t="s">
        <v>94</v>
      </c>
      <c r="AV7" s="222" t="s">
        <v>94</v>
      </c>
      <c r="AW7" s="211" t="s">
        <v>94</v>
      </c>
      <c r="AX7" s="88" t="s">
        <v>94</v>
      </c>
      <c r="AY7" s="88" t="s">
        <v>94</v>
      </c>
      <c r="AZ7" s="56" t="s">
        <v>94</v>
      </c>
      <c r="BA7" s="56" t="s">
        <v>94</v>
      </c>
      <c r="BB7" s="207" t="s">
        <v>94</v>
      </c>
      <c r="BC7" s="222" t="s">
        <v>94</v>
      </c>
      <c r="BD7" s="211" t="s">
        <v>94</v>
      </c>
      <c r="BE7" s="88" t="s">
        <v>94</v>
      </c>
      <c r="BF7" s="88" t="s">
        <v>94</v>
      </c>
      <c r="BG7" s="56" t="s">
        <v>94</v>
      </c>
      <c r="BH7" s="56" t="s">
        <v>94</v>
      </c>
      <c r="BI7" s="207" t="s">
        <v>94</v>
      </c>
      <c r="BJ7" s="222" t="s">
        <v>94</v>
      </c>
      <c r="BK7" s="211" t="s">
        <v>94</v>
      </c>
      <c r="BL7" s="88" t="s">
        <v>94</v>
      </c>
      <c r="BM7" s="88" t="s">
        <v>94</v>
      </c>
      <c r="BN7" s="56" t="s">
        <v>94</v>
      </c>
      <c r="BO7" s="56" t="s">
        <v>94</v>
      </c>
      <c r="BP7" s="207" t="s">
        <v>94</v>
      </c>
      <c r="BQ7" s="222" t="s">
        <v>94</v>
      </c>
      <c r="BR7" s="211" t="s">
        <v>94</v>
      </c>
      <c r="BS7" s="88" t="s">
        <v>94</v>
      </c>
      <c r="BT7" s="88" t="s">
        <v>94</v>
      </c>
      <c r="BU7" s="56" t="s">
        <v>94</v>
      </c>
      <c r="BV7" s="56" t="s">
        <v>94</v>
      </c>
    </row>
    <row r="8" spans="1:74" x14ac:dyDescent="0.2">
      <c r="C8" s="207"/>
      <c r="D8" s="250"/>
      <c r="E8" s="222"/>
      <c r="K8" s="207"/>
      <c r="L8" s="250"/>
      <c r="M8" s="222"/>
      <c r="S8" s="207"/>
      <c r="T8" s="222"/>
      <c r="Z8" s="207"/>
      <c r="AA8" s="222"/>
      <c r="AG8" s="207"/>
      <c r="AH8" s="222"/>
      <c r="AN8" s="207"/>
      <c r="AO8" s="222"/>
      <c r="AU8" s="207"/>
      <c r="AV8" s="222"/>
      <c r="BB8" s="207"/>
      <c r="BC8" s="222"/>
      <c r="BI8" s="207"/>
      <c r="BJ8" s="222"/>
      <c r="BP8" s="207"/>
      <c r="BQ8" s="222"/>
    </row>
    <row r="9" spans="1:74" x14ac:dyDescent="0.2">
      <c r="C9" s="207"/>
      <c r="D9" s="250"/>
      <c r="E9" s="222"/>
      <c r="K9" s="207"/>
      <c r="L9" s="250"/>
      <c r="M9" s="222"/>
      <c r="S9" s="207"/>
      <c r="T9" s="222"/>
      <c r="Z9" s="207"/>
      <c r="AA9" s="222"/>
      <c r="AG9" s="207"/>
      <c r="AH9" s="222"/>
      <c r="AN9" s="207"/>
      <c r="AO9" s="222"/>
      <c r="AU9" s="207"/>
      <c r="AV9" s="222"/>
      <c r="BB9" s="207"/>
      <c r="BC9" s="222"/>
      <c r="BI9" s="207"/>
      <c r="BJ9" s="222"/>
      <c r="BP9" s="207"/>
      <c r="BQ9" s="222"/>
    </row>
    <row r="10" spans="1:74" x14ac:dyDescent="0.2">
      <c r="C10" s="207"/>
      <c r="D10" s="250"/>
      <c r="E10" s="222"/>
      <c r="K10" s="207"/>
      <c r="L10" s="250"/>
      <c r="M10" s="222"/>
      <c r="S10" s="207"/>
      <c r="T10" s="222"/>
      <c r="Z10" s="207"/>
      <c r="AA10" s="222"/>
      <c r="AG10" s="207"/>
      <c r="AH10" s="222"/>
      <c r="AN10" s="207"/>
      <c r="AO10" s="222"/>
      <c r="AU10" s="207"/>
      <c r="AV10" s="222"/>
      <c r="BB10" s="207"/>
      <c r="BC10" s="222"/>
      <c r="BI10" s="207"/>
      <c r="BJ10" s="222"/>
      <c r="BP10" s="207"/>
      <c r="BQ10" s="222"/>
    </row>
    <row r="11" spans="1:74" x14ac:dyDescent="0.2">
      <c r="C11" s="207"/>
      <c r="D11" s="250"/>
      <c r="E11" s="222"/>
      <c r="K11" s="207"/>
      <c r="L11" s="250"/>
      <c r="M11" s="222"/>
      <c r="S11" s="207"/>
      <c r="T11" s="222"/>
      <c r="Z11" s="207"/>
      <c r="AA11" s="222"/>
      <c r="AG11" s="207"/>
      <c r="AH11" s="222"/>
      <c r="AN11" s="207"/>
      <c r="AO11" s="222"/>
      <c r="AU11" s="207"/>
      <c r="AV11" s="222"/>
      <c r="BB11" s="207"/>
      <c r="BC11" s="222"/>
      <c r="BI11" s="207"/>
      <c r="BJ11" s="222"/>
      <c r="BP11" s="207"/>
      <c r="BQ11" s="222"/>
    </row>
    <row r="14" spans="1:74" x14ac:dyDescent="0.2">
      <c r="A14" s="36" t="s">
        <v>583</v>
      </c>
      <c r="B14" s="36" t="s">
        <v>5</v>
      </c>
      <c r="C14" s="157" t="s">
        <v>897</v>
      </c>
      <c r="D14" s="159" t="s">
        <v>898</v>
      </c>
      <c r="E14" s="223" t="s">
        <v>899</v>
      </c>
      <c r="F14" s="234" t="s">
        <v>900</v>
      </c>
      <c r="G14" s="195" t="s">
        <v>901</v>
      </c>
      <c r="H14" s="195" t="s">
        <v>902</v>
      </c>
      <c r="I14" s="155" t="s">
        <v>903</v>
      </c>
      <c r="J14" s="155" t="s">
        <v>904</v>
      </c>
      <c r="K14" s="157" t="s">
        <v>626</v>
      </c>
      <c r="L14" s="159" t="s">
        <v>728</v>
      </c>
      <c r="M14" s="223" t="s">
        <v>627</v>
      </c>
      <c r="N14" s="234" t="s">
        <v>628</v>
      </c>
      <c r="O14" s="195" t="s">
        <v>629</v>
      </c>
      <c r="P14" s="195" t="s">
        <v>630</v>
      </c>
      <c r="Q14" s="155" t="s">
        <v>631</v>
      </c>
      <c r="R14" s="155" t="s">
        <v>632</v>
      </c>
      <c r="S14" s="157" t="s">
        <v>633</v>
      </c>
      <c r="T14" s="223" t="s">
        <v>634</v>
      </c>
      <c r="U14" s="234" t="s">
        <v>621</v>
      </c>
      <c r="V14" s="195" t="s">
        <v>622</v>
      </c>
      <c r="W14" s="195" t="s">
        <v>623</v>
      </c>
      <c r="X14" s="155" t="s">
        <v>624</v>
      </c>
      <c r="Y14" s="155" t="s">
        <v>625</v>
      </c>
      <c r="Z14" s="157" t="s">
        <v>635</v>
      </c>
      <c r="AA14" s="223" t="s">
        <v>636</v>
      </c>
      <c r="AB14" s="234" t="s">
        <v>637</v>
      </c>
      <c r="AC14" s="195" t="s">
        <v>638</v>
      </c>
      <c r="AD14" s="195" t="s">
        <v>639</v>
      </c>
      <c r="AE14" s="155" t="s">
        <v>640</v>
      </c>
      <c r="AF14" s="155" t="s">
        <v>641</v>
      </c>
      <c r="AG14" s="157" t="s">
        <v>642</v>
      </c>
      <c r="AH14" s="223" t="s">
        <v>643</v>
      </c>
      <c r="AI14" s="234" t="s">
        <v>644</v>
      </c>
      <c r="AJ14" s="195" t="s">
        <v>645</v>
      </c>
      <c r="AK14" s="195" t="s">
        <v>646</v>
      </c>
      <c r="AL14" s="155" t="s">
        <v>647</v>
      </c>
      <c r="AM14" s="155" t="s">
        <v>648</v>
      </c>
      <c r="AN14" s="157" t="s">
        <v>649</v>
      </c>
      <c r="AO14" s="223" t="s">
        <v>650</v>
      </c>
      <c r="AP14" s="234" t="s">
        <v>651</v>
      </c>
      <c r="AQ14" s="195" t="s">
        <v>652</v>
      </c>
      <c r="AR14" s="195" t="s">
        <v>653</v>
      </c>
      <c r="AS14" s="155" t="s">
        <v>654</v>
      </c>
      <c r="AT14" s="155" t="s">
        <v>655</v>
      </c>
      <c r="AU14" s="157" t="s">
        <v>656</v>
      </c>
      <c r="AV14" s="223" t="s">
        <v>657</v>
      </c>
      <c r="AW14" s="234" t="s">
        <v>658</v>
      </c>
      <c r="AX14" s="195" t="s">
        <v>659</v>
      </c>
      <c r="AY14" s="195" t="s">
        <v>660</v>
      </c>
      <c r="AZ14" s="155" t="s">
        <v>661</v>
      </c>
      <c r="BA14" s="155" t="s">
        <v>662</v>
      </c>
      <c r="BB14" s="157" t="s">
        <v>663</v>
      </c>
      <c r="BC14" s="223" t="s">
        <v>664</v>
      </c>
      <c r="BD14" s="234" t="s">
        <v>665</v>
      </c>
      <c r="BE14" s="195" t="s">
        <v>666</v>
      </c>
      <c r="BF14" s="195" t="s">
        <v>667</v>
      </c>
      <c r="BG14" s="155" t="s">
        <v>668</v>
      </c>
      <c r="BH14" s="155" t="s">
        <v>669</v>
      </c>
      <c r="BI14" s="157" t="s">
        <v>670</v>
      </c>
      <c r="BJ14" s="223" t="s">
        <v>671</v>
      </c>
      <c r="BK14" s="234" t="s">
        <v>672</v>
      </c>
      <c r="BL14" s="195" t="s">
        <v>673</v>
      </c>
      <c r="BM14" s="195" t="s">
        <v>674</v>
      </c>
      <c r="BN14" s="155" t="s">
        <v>675</v>
      </c>
      <c r="BO14" s="155" t="s">
        <v>676</v>
      </c>
      <c r="BP14" s="157" t="s">
        <v>677</v>
      </c>
      <c r="BQ14" s="223" t="s">
        <v>678</v>
      </c>
      <c r="BR14" s="234" t="s">
        <v>679</v>
      </c>
      <c r="BS14" s="195" t="s">
        <v>680</v>
      </c>
      <c r="BT14" s="195" t="s">
        <v>681</v>
      </c>
      <c r="BU14" s="155" t="s">
        <v>682</v>
      </c>
      <c r="BV14" s="155" t="s">
        <v>683</v>
      </c>
    </row>
    <row r="15" spans="1:74" s="24" customFormat="1" x14ac:dyDescent="0.2">
      <c r="A15" s="37"/>
      <c r="B15" s="37"/>
      <c r="C15" s="96" cm="1">
        <f t="array" ref="C15">SUM(SUMIFS(PrEP!$O:$O,PrEP!$B:$B,$B15,PrEP!$C:$C,{"15-19","20-24","25-29","30-34","35-39","40-44","45-49","50+"},PrEP!$D:$D,"Female"))</f>
        <v>0</v>
      </c>
      <c r="D15" s="102" cm="1">
        <f t="array" ref="D15">SUM(SUMIFS(PrEP!$O:$O,PrEP!$B:$B,$B15,PrEP!$C:$C,{"15-19","20-24","25-29"},PrEP!$D:$D,"Female"))</f>
        <v>0</v>
      </c>
      <c r="E15" s="373" cm="1">
        <f t="array" ref="E15">SUM(SUMIFS(PrEP!$O:$O,PrEP!$B:$B,$B15,PrEP!$C:$C,{"15-19","20-24","25-29","30-34","35-39","40-44","45-49","50+"},PrEP!$D:$D,"Male"))</f>
        <v>0</v>
      </c>
      <c r="F15" s="211" t="str">
        <f>_xlfn.IFNA(INDEX(KP!$I:$I,MATCH(($B15&amp;"|"&amp;F$3),KP!$D:$D,0)),"")</f>
        <v/>
      </c>
      <c r="G15" s="88" t="str">
        <f>_xlfn.IFNA(INDEX(KP!$I:$I,MATCH(($B15&amp;"|"&amp;G$3),KP!$D:$D,0)),"")</f>
        <v/>
      </c>
      <c r="H15" s="88" t="str">
        <f>_xlfn.IFNA(INDEX(KP!$I:$I,MATCH(($B15&amp;"|"&amp;H$3),KP!$D:$D,0)),"")</f>
        <v/>
      </c>
      <c r="I15" s="88" t="str">
        <f>_xlfn.IFNA(INDEX(KP!$I:$I,MATCH(($B15&amp;"|"&amp;I$3),KP!$D:$D,0)),"")</f>
        <v/>
      </c>
      <c r="J15" s="88" t="str">
        <f>_xlfn.IFNA(INDEX(KP!$I:$I,MATCH(($B15&amp;"|"&amp;J$3),KP!$D:$D,0)),"")</f>
        <v/>
      </c>
      <c r="K15" s="96" cm="1">
        <f t="array" ref="K15">SUM(SUMIFS(PrEP!$L:$L,PrEP!$B:$B,$B15,PrEP!$C:$C,{"15-19","20-24","25-29","30-34","35-39","40-44","45-49","50+"},PrEP!$D:$D,"Female"))</f>
        <v>0</v>
      </c>
      <c r="L15" s="102" cm="1">
        <f t="array" ref="L15">SUM(SUMIFS(PrEP!$L:$L,PrEP!$B:$B,$B15,PrEP!$C:$C,{"15-19","20-24","25-29"},PrEP!$D:$D,"Female"))</f>
        <v>0</v>
      </c>
      <c r="M15" s="373" cm="1">
        <f t="array" ref="M15">SUM(SUMIFS(PrEP!$L:$L,PrEP!$B:$B,$B15,PrEP!$C:$C,{"15-19","20-24","25-29","30-34","35-39","40-44","45-49","50+"},PrEP!$D:$D,"Male"))</f>
        <v>0</v>
      </c>
      <c r="N15" s="211" t="str">
        <f>_xlfn.IFNA(INDEX(KP!$K:$K,MATCH(($B15&amp;"|"&amp;N$3),KP!$D:$D,0)),"")</f>
        <v/>
      </c>
      <c r="O15" s="88" t="str">
        <f>_xlfn.IFNA(INDEX(KP!$K:$K,MATCH(($B15&amp;"|"&amp;O$3),KP!$D:$D,0)),"")</f>
        <v/>
      </c>
      <c r="P15" s="88" t="str">
        <f>_xlfn.IFNA(INDEX(KP!$K:$K,MATCH(($B15&amp;"|"&amp;P$3),KP!$D:$D,0)),"")</f>
        <v/>
      </c>
      <c r="Q15" s="88" t="str">
        <f>_xlfn.IFNA(INDEX(KP!$K:$K,MATCH(($B15&amp;"|"&amp;Q$3),KP!$D:$D,0)),"")</f>
        <v/>
      </c>
      <c r="R15" s="88" t="str">
        <f>_xlfn.IFNA(INDEX(KP!$K:$K,MATCH(($B15&amp;"|"&amp;R$3),KP!$D:$D,0)),"")</f>
        <v/>
      </c>
      <c r="S15" s="96" cm="1">
        <f t="array" ref="S15">SUM(SUMIFS(Cascade!$BQ:$BQ,Cascade!$B:$B,$B15,Cascade!$C:$C,{"15-19","20-24","25-29","30-34","35-39","40-44","45-49","50-54","55-59","60-64","65+"},Cascade!$D:$D,"Female"))</f>
        <v>0</v>
      </c>
      <c r="T15" s="373" cm="1">
        <f t="array" ref="T15">SUM(SUMIFS(Cascade!$BQ:$BQ,Cascade!$B:$B,$B15,Cascade!$C:$C,{"15-19","20-24","25-29","30-34","35-39","40-44","45-49","50-54","55-59","60-64","65+"},Cascade!$D:$D,"Male"))</f>
        <v>0</v>
      </c>
      <c r="U15" s="211" t="str">
        <f>_xlfn.IFNA(INDEX(KP!$P:$P,MATCH(($B15&amp;"|"&amp;U$3),KP!$D:$D,0)),"")</f>
        <v/>
      </c>
      <c r="V15" s="88" t="str">
        <f>_xlfn.IFNA(INDEX(KP!$P:$P,MATCH(($B15&amp;"|"&amp;V$3),KP!$D:$D,0)),"")</f>
        <v/>
      </c>
      <c r="W15" s="88" t="str">
        <f>_xlfn.IFNA(INDEX(KP!$P:$P,MATCH(($B15&amp;"|"&amp;W$3),KP!$D:$D,0)),"")</f>
        <v/>
      </c>
      <c r="X15" s="88" t="str">
        <f>_xlfn.IFNA(INDEX(KP!$P:$P,MATCH(($B15&amp;"|"&amp;X$3),KP!$D:$D,0)),"")</f>
        <v/>
      </c>
      <c r="Y15" s="88" t="str">
        <f>_xlfn.IFNA(INDEX(KP!$P:$P,MATCH(($B15&amp;"|"&amp;Y$3),KP!$D:$D,0)),"")</f>
        <v/>
      </c>
      <c r="Z15" s="96" cm="1">
        <f t="array" ref="Z15">SUM(SUMIFS(Cascade!$BN:$BN,Cascade!$B:$B,$B15,Cascade!$C:$C,{"15-19","20-24","25-29","30-34","35-39","40-44","45-49","50-54","55-59","60-64","65+"},Cascade!$D:$D,"Female"))</f>
        <v>0</v>
      </c>
      <c r="AA15" s="373" cm="1">
        <f t="array" ref="AA15">SUM(SUMIFS(Cascade!$BN:$BN,Cascade!$B:$B,$B15,Cascade!$C:$C,{"15-19","20-24","25-29","30-34","35-39","40-44","45-49","50-54","55-59","60-64","65+"},Cascade!$D:$D,"Male"))</f>
        <v>0</v>
      </c>
      <c r="AB15" s="211" t="str">
        <f>_xlfn.IFNA(INDEX(KP!$V:$V,MATCH(($B15&amp;"|"&amp;AB$3),KP!$D:$D,0)),"")</f>
        <v/>
      </c>
      <c r="AC15" s="88" t="str">
        <f>_xlfn.IFNA(INDEX(KP!$V:$V,MATCH(($B15&amp;"|"&amp;AC$3),KP!$D:$D,0)),"")</f>
        <v/>
      </c>
      <c r="AD15" s="88" t="str">
        <f>_xlfn.IFNA(INDEX(KP!$V:$V,MATCH(($B15&amp;"|"&amp;AD$3),KP!$D:$D,0)),"")</f>
        <v/>
      </c>
      <c r="AE15" s="88" t="str">
        <f>_xlfn.IFNA(INDEX(KP!$V:$V,MATCH(($B15&amp;"|"&amp;AE$3),KP!$D:$D,0)),"")</f>
        <v/>
      </c>
      <c r="AF15" s="88" t="str">
        <f>_xlfn.IFNA(INDEX(KP!$V:$V,MATCH(($B15&amp;"|"&amp;AF$3),KP!$D:$D,0)),"")</f>
        <v/>
      </c>
      <c r="AG15" s="96" cm="1">
        <f t="array" ref="AG15">SUM(SUMIFS(Cascade!$AU:$AU,Cascade!$B:$B,$B15,Cascade!$C:$C,{"15-19","20-24","25-29","30-34","35-39","40-44","45-49","50-54","55-59","60-64","65+"},Cascade!$D:$D,"Female"))</f>
        <v>0</v>
      </c>
      <c r="AH15" s="373" cm="1">
        <f t="array" ref="AH15">SUM(SUMIFS(Cascade!$AU:$AU,Cascade!$B:$B,$B15,Cascade!$C:$C,{"15-19","20-24","25-29","30-34","35-39","40-44","45-49","50-54","55-59","60-64","65+"},Cascade!$D:$D,"Male"))</f>
        <v>0</v>
      </c>
      <c r="AI15" s="211" t="str">
        <f>_xlfn.IFNA(INDEX(KP!$Y:$Y,MATCH(($B15&amp;"|"&amp;AI$3),KP!$D:$D,0)),"")</f>
        <v/>
      </c>
      <c r="AJ15" s="88" t="str">
        <f>_xlfn.IFNA(INDEX(KP!$Y:$Y,MATCH(($B15&amp;"|"&amp;AJ$3),KP!$D:$D,0)),"")</f>
        <v/>
      </c>
      <c r="AK15" s="88" t="str">
        <f>_xlfn.IFNA(INDEX(KP!$Y:$Y,MATCH(($B15&amp;"|"&amp;AK$3),KP!$D:$D,0)),"")</f>
        <v/>
      </c>
      <c r="AL15" s="88" t="str">
        <f>_xlfn.IFNA(INDEX(KP!$Y:$Y,MATCH(($B15&amp;"|"&amp;AL$3),KP!$D:$D,0)),"")</f>
        <v/>
      </c>
      <c r="AM15" s="88" t="str">
        <f>_xlfn.IFNA(INDEX(KP!$Y:$Y,MATCH(($B15&amp;"|"&amp;AM$3),KP!$D:$D,0)),"")</f>
        <v/>
      </c>
      <c r="AN15" s="96" cm="1">
        <f t="array" ref="AN15">SUM(SUMIFS(Cascade!$AP:$AP,Cascade!$B:$B,$B15,Cascade!$C:$C,{"15-19","20-24","25-29","30-34","35-39","40-44","45-49","50-54","55-59","60-64","65+"},Cascade!$D:$D,"Female"))</f>
        <v>0</v>
      </c>
      <c r="AO15" s="373" cm="1">
        <f t="array" ref="AO15">SUM(SUMIFS(Cascade!$AP:$AP,Cascade!$B:$B,$B15,Cascade!$C:$C,{"15-19","20-24","25-29","30-34","35-39","40-44","45-49","50-54","55-59","60-64","65+"},Cascade!$D:$D,"Male"))</f>
        <v>0</v>
      </c>
      <c r="AP15" s="211" t="str">
        <f>_xlfn.IFNA(INDEX(KP!$AA:$AA,MATCH(($B15&amp;"|"&amp;AP$3),KP!$D:$D,0)),"")</f>
        <v/>
      </c>
      <c r="AQ15" s="88" t="str">
        <f>_xlfn.IFNA(INDEX(KP!$AA:$AA,MATCH(($B15&amp;"|"&amp;AQ$3),KP!$D:$D,0)),"")</f>
        <v/>
      </c>
      <c r="AR15" s="88" t="str">
        <f>_xlfn.IFNA(INDEX(KP!$AA:$AA,MATCH(($B15&amp;"|"&amp;AR$3),KP!$D:$D,0)),"")</f>
        <v/>
      </c>
      <c r="AS15" s="88" t="str">
        <f>_xlfn.IFNA(INDEX(KP!$AA:$AA,MATCH(($B15&amp;"|"&amp;AS$3),KP!$D:$D,0)),"")</f>
        <v/>
      </c>
      <c r="AT15" s="88" t="str">
        <f>_xlfn.IFNA(INDEX(KP!$AA:$AA,MATCH(($B15&amp;"|"&amp;AT$3),KP!$D:$D,0)),"")</f>
        <v/>
      </c>
      <c r="AU15" s="96" cm="1">
        <f t="array" ref="AU15">SUM(SUMIFS(HTS!$BP:$BP,HTS!$B:$B,$B15,HTS!$C:$C,{"15-19","20-24","25-29","30-34","35-39","40-44","45-49","50+"},HTS!$D:$D,"Female"))</f>
        <v>0</v>
      </c>
      <c r="AV15" s="373" cm="1">
        <f t="array" ref="AV15">SUM(SUMIFS(HTS!$BP:$BP,HTS!$B:$B,$B15,HTS!$C:$C,{"15-19","20-24","25-29","30-34","35-39","40-44","45-49","50+"},HTS!$D:$D,"Male"))</f>
        <v>0</v>
      </c>
      <c r="AW15" s="211" t="str">
        <f>_xlfn.IFNA(INDEX(KP!$AI:$AI,MATCH(($B15&amp;"|"&amp;AW$3),KP!$D:$D,0)),"")</f>
        <v/>
      </c>
      <c r="AX15" s="88" t="str">
        <f>_xlfn.IFNA(INDEX(KP!$AI:$AI,MATCH(($B15&amp;"|"&amp;AX$3),KP!$D:$D,0)),"")</f>
        <v/>
      </c>
      <c r="AY15" s="88" t="str">
        <f>_xlfn.IFNA(INDEX(KP!$AI:$AI,MATCH(($B15&amp;"|"&amp;AY$3),KP!$D:$D,0)),"")</f>
        <v/>
      </c>
      <c r="AZ15" s="88" t="str">
        <f>_xlfn.IFNA(INDEX(KP!$AI:$AI,MATCH(($B15&amp;"|"&amp;AZ$3),KP!$D:$D,0)),"")</f>
        <v/>
      </c>
      <c r="BA15" s="88" t="str">
        <f>_xlfn.IFNA(INDEX(KP!$AI:$AI,MATCH(($B15&amp;"|"&amp;BA$3),KP!$D:$D,0)),"")</f>
        <v/>
      </c>
      <c r="BB15" s="96" cm="1">
        <f t="array" ref="BB15">SUM(SUMIFS(HTS!$BX:$BX,HTS!$B:$B,$B15,HTS!$C:$C,{"15-19","20-24","25-29","30-34","35-39","40-44","45-49","50+"},HTS!$D:$D,"Female"))</f>
        <v>0</v>
      </c>
      <c r="BC15" s="373" cm="1">
        <f t="array" ref="BC15">SUM(SUMIFS(HTS!$BX:$BX,HTS!$B:$B,$B15,HTS!$C:$C,{"15-19","20-24","25-29","30-34","35-39","40-44","45-49","50+"},HTS!$D:$D,"Male"))</f>
        <v>0</v>
      </c>
      <c r="BD15" s="211" t="str">
        <f>_xlfn.IFNA(INDEX(KP!$AJ:$AJ,MATCH(($B15&amp;"|"&amp;BD$3),KP!$D:$D,0)),"")</f>
        <v/>
      </c>
      <c r="BE15" s="88" t="str">
        <f>_xlfn.IFNA(INDEX(KP!$AJ:$AJ,MATCH(($B15&amp;"|"&amp;BE$3),KP!$D:$D,0)),"")</f>
        <v/>
      </c>
      <c r="BF15" s="88" t="str">
        <f>_xlfn.IFNA(INDEX(KP!$AJ:$AJ,MATCH(($B15&amp;"|"&amp;BF$3),KP!$D:$D,0)),"")</f>
        <v/>
      </c>
      <c r="BG15" s="88" t="str">
        <f>_xlfn.IFNA(INDEX(KP!$AJ:$AJ,MATCH(($B15&amp;"|"&amp;BG$3),KP!$D:$D,0)),"")</f>
        <v/>
      </c>
      <c r="BH15" s="88" t="str">
        <f>_xlfn.IFNA(INDEX(KP!$AJ:$AJ,MATCH(($B15&amp;"|"&amp;BH$3),KP!$D:$D,0)),"")</f>
        <v/>
      </c>
      <c r="BI15" s="96" cm="1">
        <f t="array" ref="BI15">SUM(SUMIFS(HTS_RECENT!$AJ:$AJ,HTS_RECENT!$B:$B,$B15,HTS_RECENT!$C:$C,{"15-19","20-24","25-29","30-34","35-39","40-44","45-49","50+"},HTS_RECENT!$D:$D,"Female"))</f>
        <v>0</v>
      </c>
      <c r="BJ15" s="373" cm="1">
        <f t="array" ref="BJ15">SUM(SUMIFS(HTS_RECENT!$AJ:$AJ,HTS_RECENT!$B:$B,$B15,HTS_RECENT!$C:$C,{"15-19","20-24","25-29","30-34","35-39","40-44","45-49","50+"},HTS_RECENT!$D:$D,"Male"))</f>
        <v>0</v>
      </c>
      <c r="BK15" s="211" t="str">
        <f>_xlfn.IFNA(INDEX(KP!$AL:$AL,MATCH(($B15&amp;"|"&amp;BK$3),KP!$D:$D,0)),"")</f>
        <v/>
      </c>
      <c r="BL15" s="88" t="str">
        <f>_xlfn.IFNA(INDEX(KP!$AL:$AL,MATCH(($B15&amp;"|"&amp;BL$3),KP!$D:$D,0)),"")</f>
        <v/>
      </c>
      <c r="BM15" s="88" t="str">
        <f>_xlfn.IFNA(INDEX(KP!$AL:$AL,MATCH(($B15&amp;"|"&amp;BM$3),KP!$D:$D,0)),"")</f>
        <v/>
      </c>
      <c r="BN15" s="88" t="str">
        <f>_xlfn.IFNA(INDEX(KP!$AL:$AL,MATCH(($B15&amp;"|"&amp;BN$3),KP!$D:$D,0)),"")</f>
        <v/>
      </c>
      <c r="BO15" s="88" t="str">
        <f>_xlfn.IFNA(INDEX(KP!$AL:$AL,MATCH(($B15&amp;"|"&amp;BO$3),KP!$D:$D,0)),"")</f>
        <v/>
      </c>
      <c r="BP15" s="96" cm="1">
        <f t="array" ref="BP15">SUM(SUMIFS(HTS!$CC:$CC,HTS!$B:$B,$B15,HTS!$C:$C,{"15-19","20-24","25-29","30-34","35-39","40-44","45-49","50+"},HTS!$D:$D,"Female"))</f>
        <v>0</v>
      </c>
      <c r="BQ15" s="373" cm="1">
        <f t="array" ref="BQ15">SUM(SUMIFS(HTS!$CC:$CC,HTS!$B:$B,$B15,HTS!$C:$C,{"15-19","20-24","25-29","30-34","35-39","40-44","45-49","50+"},HTS!$D:$D,"Male"))</f>
        <v>0</v>
      </c>
      <c r="BR15" s="211" t="str">
        <f>_xlfn.IFNA(INDEX(KP!$AN:$AN,MATCH(($B15&amp;"|"&amp;BR$3),KP!$D:$D,0)),"")</f>
        <v/>
      </c>
      <c r="BS15" s="88" t="str">
        <f>_xlfn.IFNA(INDEX(KP!$AN:$AN,MATCH(($B15&amp;"|"&amp;BS$3),KP!$D:$D,0)),"")</f>
        <v/>
      </c>
      <c r="BT15" s="88" t="str">
        <f>_xlfn.IFNA(INDEX(KP!$AN:$AN,MATCH(($B15&amp;"|"&amp;BT$3),KP!$D:$D,0)),"")</f>
        <v/>
      </c>
      <c r="BU15" s="88" t="str">
        <f>_xlfn.IFNA(INDEX(KP!$AN:$AN,MATCH(($B15&amp;"|"&amp;BU$3),KP!$D:$D,0)),"")</f>
        <v/>
      </c>
      <c r="BV15" s="88" t="str">
        <f>_xlfn.IFNA(INDEX(KP!$AN:$AN,MATCH(($B15&amp;"|"&amp;BV$3),KP!$D:$D,0)),"")</f>
        <v/>
      </c>
    </row>
    <row r="16" spans="1:74" x14ac:dyDescent="0.2">
      <c r="A16" s="37"/>
      <c r="B16" s="37"/>
    </row>
    <row r="17" spans="1:2" x14ac:dyDescent="0.2">
      <c r="A17" s="37"/>
      <c r="B17" s="37"/>
    </row>
    <row r="18" spans="1:2" x14ac:dyDescent="0.2">
      <c r="A18" s="37"/>
      <c r="B18" s="37"/>
    </row>
    <row r="19" spans="1:2" x14ac:dyDescent="0.2">
      <c r="A19" s="37"/>
      <c r="B19" s="37"/>
    </row>
    <row r="20" spans="1:2" x14ac:dyDescent="0.2">
      <c r="A20" s="37"/>
      <c r="B20" s="37"/>
    </row>
    <row r="21" spans="1:2" x14ac:dyDescent="0.2">
      <c r="A21" s="37"/>
      <c r="B21" s="37"/>
    </row>
    <row r="22" spans="1:2" x14ac:dyDescent="0.2">
      <c r="A22" s="37"/>
      <c r="B22" s="37"/>
    </row>
    <row r="23" spans="1:2" x14ac:dyDescent="0.2">
      <c r="A23" s="37"/>
      <c r="B23" s="37"/>
    </row>
    <row r="24" spans="1:2" x14ac:dyDescent="0.2">
      <c r="A24" s="37"/>
      <c r="B24" s="37"/>
    </row>
    <row r="25" spans="1:2" x14ac:dyDescent="0.2">
      <c r="A25" s="37"/>
      <c r="B25" s="37"/>
    </row>
    <row r="26" spans="1:2" x14ac:dyDescent="0.2">
      <c r="A26" s="37"/>
      <c r="B26" s="37"/>
    </row>
    <row r="27" spans="1:2" x14ac:dyDescent="0.2">
      <c r="A27" s="37"/>
      <c r="B27" s="37"/>
    </row>
    <row r="28" spans="1:2" x14ac:dyDescent="0.2">
      <c r="A28" s="37"/>
      <c r="B28" s="37"/>
    </row>
    <row r="29" spans="1:2" x14ac:dyDescent="0.2">
      <c r="A29" s="37"/>
      <c r="B29" s="37"/>
    </row>
    <row r="30" spans="1:2" x14ac:dyDescent="0.2">
      <c r="A30" s="37"/>
      <c r="B30" s="37"/>
    </row>
    <row r="31" spans="1:2" x14ac:dyDescent="0.2">
      <c r="A31" s="37"/>
      <c r="B31" s="37"/>
    </row>
    <row r="32" spans="1:2" x14ac:dyDescent="0.2">
      <c r="A32" s="37"/>
      <c r="B32" s="37"/>
    </row>
    <row r="33" spans="1:2" x14ac:dyDescent="0.2">
      <c r="A33" s="37"/>
      <c r="B33" s="37"/>
    </row>
    <row r="34" spans="1:2" x14ac:dyDescent="0.2">
      <c r="A34" s="37"/>
      <c r="B34" s="37"/>
    </row>
    <row r="35" spans="1:2" x14ac:dyDescent="0.2">
      <c r="A35" s="37"/>
      <c r="B35" s="37"/>
    </row>
    <row r="36" spans="1:2" x14ac:dyDescent="0.2">
      <c r="A36" s="37"/>
      <c r="B36" s="37"/>
    </row>
    <row r="37" spans="1:2" x14ac:dyDescent="0.2">
      <c r="A37" s="37"/>
      <c r="B37" s="37"/>
    </row>
    <row r="38" spans="1:2" x14ac:dyDescent="0.2">
      <c r="A38" s="37"/>
      <c r="B38" s="37"/>
    </row>
    <row r="39" spans="1:2" x14ac:dyDescent="0.2">
      <c r="A39" s="37"/>
      <c r="B39" s="37"/>
    </row>
    <row r="40" spans="1:2" x14ac:dyDescent="0.2">
      <c r="A40" s="37"/>
      <c r="B40" s="37"/>
    </row>
    <row r="41" spans="1:2" x14ac:dyDescent="0.2">
      <c r="A41" s="37"/>
      <c r="B41" s="37"/>
    </row>
    <row r="42" spans="1:2" x14ac:dyDescent="0.2">
      <c r="A42" s="37"/>
      <c r="B42" s="37"/>
    </row>
    <row r="43" spans="1:2" x14ac:dyDescent="0.2">
      <c r="A43" s="37"/>
      <c r="B43" s="37"/>
    </row>
    <row r="44" spans="1:2" x14ac:dyDescent="0.2">
      <c r="A44" s="37"/>
      <c r="B44" s="37"/>
    </row>
    <row r="45" spans="1:2" x14ac:dyDescent="0.2">
      <c r="A45" s="37"/>
      <c r="B45" s="37"/>
    </row>
    <row r="46" spans="1:2" x14ac:dyDescent="0.2">
      <c r="A46" s="37"/>
      <c r="B46" s="37"/>
    </row>
    <row r="47" spans="1:2" x14ac:dyDescent="0.2">
      <c r="A47" s="37"/>
      <c r="B47" s="37"/>
    </row>
    <row r="48" spans="1:2" x14ac:dyDescent="0.2">
      <c r="A48" s="37"/>
      <c r="B48" s="37"/>
    </row>
    <row r="49" spans="1:2" x14ac:dyDescent="0.2">
      <c r="A49" s="37"/>
      <c r="B49" s="37"/>
    </row>
    <row r="50" spans="1:2" x14ac:dyDescent="0.2">
      <c r="A50" s="37"/>
      <c r="B50" s="37"/>
    </row>
    <row r="51" spans="1:2" x14ac:dyDescent="0.2">
      <c r="A51" s="37"/>
      <c r="B51" s="37"/>
    </row>
    <row r="52" spans="1:2" x14ac:dyDescent="0.2">
      <c r="A52" s="37"/>
      <c r="B52" s="37"/>
    </row>
    <row r="53" spans="1:2" x14ac:dyDescent="0.2">
      <c r="A53" s="37"/>
      <c r="B53" s="37"/>
    </row>
    <row r="54" spans="1:2" x14ac:dyDescent="0.2">
      <c r="A54" s="37"/>
      <c r="B54" s="37"/>
    </row>
    <row r="55" spans="1:2" x14ac:dyDescent="0.2">
      <c r="A55" s="37"/>
      <c r="B55" s="37"/>
    </row>
    <row r="56" spans="1:2" x14ac:dyDescent="0.2">
      <c r="A56" s="37"/>
      <c r="B56" s="37"/>
    </row>
    <row r="57" spans="1:2" x14ac:dyDescent="0.2">
      <c r="A57" s="37"/>
      <c r="B57" s="37"/>
    </row>
    <row r="58" spans="1:2" x14ac:dyDescent="0.2">
      <c r="A58" s="37"/>
      <c r="B58" s="37"/>
    </row>
    <row r="59" spans="1:2" x14ac:dyDescent="0.2">
      <c r="A59" s="37"/>
      <c r="B59" s="37"/>
    </row>
    <row r="60" spans="1:2" x14ac:dyDescent="0.2">
      <c r="A60" s="37"/>
      <c r="B60" s="37"/>
    </row>
    <row r="61" spans="1:2" x14ac:dyDescent="0.2">
      <c r="A61" s="37"/>
      <c r="B61" s="37"/>
    </row>
    <row r="62" spans="1:2" x14ac:dyDescent="0.2">
      <c r="A62" s="37"/>
      <c r="B62" s="37"/>
    </row>
    <row r="63" spans="1:2" x14ac:dyDescent="0.2">
      <c r="A63" s="37"/>
      <c r="B63" s="37"/>
    </row>
  </sheetData>
  <mergeCells count="1">
    <mergeCell ref="A2:B3"/>
  </mergeCells>
  <conditionalFormatting sqref="S1:S1048576 U1:U1048576">
    <cfRule type="expression" dxfId="219" priority="10">
      <formula>AND(ROW($U1)&gt;14,SUM($U1)&gt;$S1)</formula>
    </cfRule>
  </conditionalFormatting>
  <conditionalFormatting sqref="T1:T1048576 V1:V1048576">
    <cfRule type="expression" dxfId="218" priority="9">
      <formula>AND(ROW($V1)&gt;14,SUM($V1)&gt;$T1)</formula>
    </cfRule>
  </conditionalFormatting>
  <conditionalFormatting sqref="S1:T1048576 W1:Y1048576">
    <cfRule type="expression" dxfId="217" priority="12">
      <formula>(($S1-$U1)+($T1-$V1))&lt;SUM($W1:$Y1)</formula>
    </cfRule>
  </conditionalFormatting>
  <conditionalFormatting sqref="Z1:Z1048576 AB1:AB1048576">
    <cfRule type="expression" dxfId="216" priority="13">
      <formula>AND(ROW($AB1)&gt;14,SUM($AB1)&gt;$Z1)</formula>
    </cfRule>
  </conditionalFormatting>
  <conditionalFormatting sqref="AA1:AA1048576 AC1:AC1048576">
    <cfRule type="expression" dxfId="215" priority="14">
      <formula>AND(ROW($AC1)&gt;14,SUM($AC1)&gt;$AA1)</formula>
    </cfRule>
  </conditionalFormatting>
  <conditionalFormatting sqref="Z1:AA1048576 AD1:AF1048576">
    <cfRule type="expression" dxfId="214" priority="16">
      <formula>(($Z1-$AB1)+($AA1-$AC1))&lt;SUM($AD1:$AF1)</formula>
    </cfRule>
  </conditionalFormatting>
  <conditionalFormatting sqref="AG1:AG1048576 AI1:AI1048576">
    <cfRule type="expression" dxfId="213" priority="17">
      <formula>AND(ROW($AI1)&gt;14,SUM($AI1)&gt;$AG1)</formula>
    </cfRule>
  </conditionalFormatting>
  <conditionalFormatting sqref="AH1:AH1048576 AJ1:AJ1048576">
    <cfRule type="expression" dxfId="212" priority="18">
      <formula>AND(ROW($AJ1)&gt;14,SUM($AJ1)&gt;$AH1)</formula>
    </cfRule>
  </conditionalFormatting>
  <conditionalFormatting sqref="AG1:AH1048576 AK1:AM1048576">
    <cfRule type="expression" dxfId="211" priority="20">
      <formula>(($AG1-$AI1)+($AH1-$AJ1))&lt;SUM($AK1:$AM1)</formula>
    </cfRule>
  </conditionalFormatting>
  <conditionalFormatting sqref="AN1:AN1048576 AP1:AP1048576">
    <cfRule type="expression" dxfId="210" priority="21">
      <formula>AND(ROW($AP1)&gt;14,SUM($AP1)&gt;$AN1)</formula>
    </cfRule>
  </conditionalFormatting>
  <conditionalFormatting sqref="AO1:AO1048576 AQ1:AQ1048576">
    <cfRule type="expression" dxfId="209" priority="22">
      <formula>AND(ROW($AQ1)&gt;14,SUM($AQ1)&gt;$AO1)</formula>
    </cfRule>
  </conditionalFormatting>
  <conditionalFormatting sqref="AN1:AO1048576 AR1:AT1048576">
    <cfRule type="expression" dxfId="208" priority="24">
      <formula>(($AN1-$AP1)+($AO1-$AQ1))&lt;SUM($AR1:$AT1)</formula>
    </cfRule>
  </conditionalFormatting>
  <conditionalFormatting sqref="AU1:AU1048576 AW1:AW1048576">
    <cfRule type="expression" dxfId="207" priority="25">
      <formula>AND(ROW($AW1)&gt;14,SUM($AW1)&gt;$AU1)</formula>
    </cfRule>
  </conditionalFormatting>
  <conditionalFormatting sqref="AV1:AV1048576 AX1:AX1048576">
    <cfRule type="expression" dxfId="206" priority="26">
      <formula>AND(ROW($AX1)&gt;14,SUM($AX1)&gt;$AV1)</formula>
    </cfRule>
  </conditionalFormatting>
  <conditionalFormatting sqref="AU1:AV1048576 AY1:BA1048576">
    <cfRule type="expression" dxfId="205" priority="28">
      <formula>(($AU1-$AW1)+($AV1-$AX1))&lt;SUM($AY1:$BA1)</formula>
    </cfRule>
  </conditionalFormatting>
  <conditionalFormatting sqref="BB1:BB1048576 BD1:BD1048576">
    <cfRule type="expression" dxfId="204" priority="29">
      <formula>AND(ROW($BD1)&gt;14,SUM($BD1)&gt;$BB1)</formula>
    </cfRule>
  </conditionalFormatting>
  <conditionalFormatting sqref="BC1:BC1048576 BE1:BE1048576">
    <cfRule type="expression" dxfId="203" priority="30">
      <formula>AND(ROW($BE1)&gt;14,SUM($BE1)&gt;$BC1)</formula>
    </cfRule>
  </conditionalFormatting>
  <conditionalFormatting sqref="BB1:BC1048576 BF1:BH1048576">
    <cfRule type="expression" dxfId="202" priority="32">
      <formula>(($BB1-$BD1)+($BC1-$BE1))&lt;SUM($BF1:$BH1)</formula>
    </cfRule>
  </conditionalFormatting>
  <conditionalFormatting sqref="BI1:BI1048576 BK1:BK1048576">
    <cfRule type="expression" dxfId="201" priority="33">
      <formula>AND(ROW($BK1)&gt;14,SUM($BK1)&gt;$BI1)</formula>
    </cfRule>
  </conditionalFormatting>
  <conditionalFormatting sqref="BL1:BL1048576 BJ1:BJ1048576">
    <cfRule type="expression" dxfId="200" priority="34">
      <formula>AND(ROW($BL1)&gt;14,SUM($BL1)&gt;$BJ1)</formula>
    </cfRule>
  </conditionalFormatting>
  <conditionalFormatting sqref="BI1:BJ1048576 BM1:BO1048576">
    <cfRule type="expression" dxfId="199" priority="36">
      <formula>(($BI1-$BK1)+($BJ1-$BL1))&lt;SUM($BM1:$BO1)</formula>
    </cfRule>
  </conditionalFormatting>
  <conditionalFormatting sqref="BP1:BP1048576 BR1:BR1048576">
    <cfRule type="expression" dxfId="198" priority="45">
      <formula>AND(ROW($BR1)&gt;14,SUM($BR1)&gt;$BP1)</formula>
    </cfRule>
  </conditionalFormatting>
  <conditionalFormatting sqref="BQ1:BQ1048576 BS1:BS1048576">
    <cfRule type="expression" dxfId="197" priority="1135">
      <formula>AND(ROW($BS1)&gt;14,SUM($BS1)&gt;$BQ1)</formula>
    </cfRule>
  </conditionalFormatting>
  <conditionalFormatting sqref="BP1:BQ1048576 BT1:BV1048576">
    <cfRule type="expression" dxfId="196" priority="1136">
      <formula>(($BP1-$BR1)+($BQ1-$BS1))&lt;SUM($BT1:$BV1)</formula>
    </cfRule>
  </conditionalFormatting>
  <conditionalFormatting sqref="C1:D1048576 F1:F1048576">
    <cfRule type="expression" dxfId="195" priority="2">
      <formula>AND(ISNUMBER($F1),SUM($F1)&gt;$C1)</formula>
    </cfRule>
  </conditionalFormatting>
  <conditionalFormatting sqref="G1:G1048576 E1:E1048576">
    <cfRule type="expression" dxfId="194" priority="1">
      <formula>AND(ISNUMBER($G1),SUM($G1)&gt;$E1)</formula>
    </cfRule>
  </conditionalFormatting>
  <conditionalFormatting sqref="H1:J1048576 C1:E1048576">
    <cfRule type="expression" dxfId="193" priority="4">
      <formula>(($C1-$F1)+($E1-$G1))&lt;SUM($H1:$J1)</formula>
    </cfRule>
  </conditionalFormatting>
  <conditionalFormatting sqref="K1:L1048576 N1:N1048576">
    <cfRule type="expression" dxfId="192" priority="6">
      <formula>AND(ROW($N1)&gt;14,SUM($N1)&gt;$K1)</formula>
    </cfRule>
  </conditionalFormatting>
  <conditionalFormatting sqref="M1:M1048576 O1:O1048576">
    <cfRule type="expression" dxfId="191" priority="5">
      <formula>AND(ROW($O1)&gt;14,SUM($O1)&gt;$M1)</formula>
    </cfRule>
  </conditionalFormatting>
  <conditionalFormatting sqref="K1:M1048576 P1:R1048576">
    <cfRule type="expression" dxfId="19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tabSelected="1"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58" customWidth="1"/>
    <col min="8" max="8" width="12.83203125" style="491" customWidth="1"/>
    <col min="9" max="9" width="6.1640625" style="257"/>
    <col min="10" max="82" width="6.1640625" style="257" customWidth="1"/>
    <col min="83" max="83" width="6.1640625" style="490" customWidth="1"/>
    <col min="84" max="86" width="11.83203125" customWidth="1"/>
    <col min="87" max="87" width="14.83203125" customWidth="1"/>
    <col min="88" max="88" width="11.83203125" style="491" customWidth="1"/>
    <col min="89" max="92" width="11.83203125" customWidth="1"/>
    <col min="93" max="93" width="14.83203125" customWidth="1"/>
    <col min="94" max="94" width="11.83203125" style="491" customWidth="1"/>
    <col min="95" max="98" width="11.83203125" customWidth="1"/>
    <col min="99" max="99" width="14.83203125" customWidth="1"/>
    <col min="100" max="100" width="11.83203125" style="491" customWidth="1"/>
    <col min="101" max="175" width="8.83203125" customWidth="1"/>
  </cols>
  <sheetData>
    <row r="1" spans="1:175" ht="31" customHeight="1" x14ac:dyDescent="0.2">
      <c r="A1" s="167" t="s">
        <v>1193</v>
      </c>
      <c r="B1" s="167"/>
      <c r="C1" s="429"/>
      <c r="D1" s="429"/>
      <c r="E1" s="429"/>
      <c r="F1" s="416"/>
      <c r="G1" s="430"/>
      <c r="H1" s="431"/>
      <c r="I1" s="432" t="s">
        <v>1194</v>
      </c>
      <c r="J1" s="432"/>
      <c r="K1" s="432"/>
      <c r="L1" s="432"/>
      <c r="M1" s="432"/>
      <c r="N1" s="432"/>
      <c r="O1" s="432"/>
      <c r="P1" s="432"/>
      <c r="Q1" s="432"/>
      <c r="R1" s="432"/>
      <c r="S1" s="432"/>
      <c r="T1" s="432"/>
      <c r="U1" s="432"/>
      <c r="V1" s="432"/>
      <c r="W1" s="432"/>
      <c r="X1" s="432"/>
      <c r="Y1" s="432"/>
      <c r="Z1" s="432"/>
      <c r="AA1" s="432"/>
      <c r="AB1" s="432"/>
      <c r="AC1" s="432"/>
      <c r="AD1" s="432"/>
      <c r="AE1" s="432"/>
      <c r="AF1" s="432"/>
      <c r="AG1" s="432"/>
      <c r="AH1" s="432"/>
      <c r="AI1" s="432"/>
      <c r="AJ1" s="432"/>
      <c r="AK1" s="432"/>
      <c r="AL1" s="432"/>
      <c r="AM1" s="432"/>
      <c r="AN1" s="432"/>
      <c r="AO1" s="432"/>
      <c r="AP1" s="432"/>
      <c r="AQ1" s="432"/>
      <c r="AR1" s="432"/>
      <c r="AS1" s="432"/>
      <c r="AT1" s="432"/>
      <c r="AU1" s="432"/>
      <c r="AV1" s="432"/>
      <c r="AW1" s="432"/>
      <c r="AX1" s="432"/>
      <c r="AY1" s="432"/>
      <c r="AZ1" s="432"/>
      <c r="BA1" s="432"/>
      <c r="BB1" s="432"/>
      <c r="BC1" s="432"/>
      <c r="BD1" s="432"/>
      <c r="BE1" s="432"/>
      <c r="BF1" s="432"/>
      <c r="BG1" s="432"/>
      <c r="BH1" s="432"/>
      <c r="BI1" s="432"/>
      <c r="BJ1" s="432"/>
      <c r="BK1" s="432"/>
      <c r="BL1" s="432"/>
      <c r="BM1" s="432"/>
      <c r="BN1" s="432"/>
      <c r="BO1" s="432"/>
      <c r="BP1" s="432"/>
      <c r="BQ1" s="432"/>
      <c r="BR1" s="432"/>
      <c r="BS1" s="432"/>
      <c r="BT1" s="432"/>
      <c r="BU1" s="432"/>
      <c r="BV1" s="432"/>
      <c r="BW1" s="432"/>
      <c r="BX1" s="432"/>
      <c r="BY1" s="432"/>
      <c r="BZ1" s="432"/>
      <c r="CA1" s="432"/>
      <c r="CB1" s="432"/>
      <c r="CC1" s="432"/>
      <c r="CD1" s="432"/>
      <c r="CE1" s="433"/>
      <c r="CF1" s="98" t="s">
        <v>1195</v>
      </c>
      <c r="CG1" s="98"/>
      <c r="CH1" s="434"/>
      <c r="CI1" s="432"/>
      <c r="CJ1" s="435"/>
      <c r="CK1" s="98"/>
      <c r="CL1" s="98"/>
      <c r="CM1" s="98"/>
      <c r="CN1" s="434"/>
      <c r="CO1" s="432"/>
      <c r="CP1" s="435"/>
      <c r="CQ1" s="98"/>
      <c r="CR1" s="98"/>
      <c r="CS1" s="98"/>
      <c r="CT1" s="434"/>
      <c r="CU1" s="432"/>
      <c r="CV1" s="435"/>
      <c r="CW1" s="98" t="s">
        <v>1196</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spans="1:175" ht="20" thickBot="1" x14ac:dyDescent="0.3">
      <c r="A2" s="7"/>
      <c r="B2" s="7"/>
      <c r="C2" s="436"/>
      <c r="D2" s="436"/>
      <c r="E2" s="436"/>
      <c r="F2" s="437"/>
      <c r="G2" s="166" t="s">
        <v>73</v>
      </c>
      <c r="H2" s="438"/>
      <c r="I2" s="439" t="s">
        <v>1197</v>
      </c>
      <c r="J2" s="439"/>
      <c r="K2" s="439"/>
      <c r="L2" s="439"/>
      <c r="M2" s="439"/>
      <c r="N2" s="439"/>
      <c r="O2" s="439"/>
      <c r="P2" s="439"/>
      <c r="Q2" s="439"/>
      <c r="R2" s="439"/>
      <c r="S2" s="439"/>
      <c r="T2" s="439"/>
      <c r="U2" s="439"/>
      <c r="V2" s="439"/>
      <c r="W2" s="439"/>
      <c r="X2" s="439"/>
      <c r="Y2" s="439"/>
      <c r="Z2" s="439"/>
      <c r="AA2" s="439"/>
      <c r="AB2" s="439"/>
      <c r="AC2" s="439"/>
      <c r="AD2" s="439"/>
      <c r="AE2" s="439"/>
      <c r="AF2" s="439"/>
      <c r="AG2" s="439"/>
      <c r="AH2" s="439"/>
      <c r="AI2" s="439"/>
      <c r="AJ2" s="439"/>
      <c r="AK2" s="439"/>
      <c r="AL2" s="439"/>
      <c r="AM2" s="439"/>
      <c r="AN2" s="439"/>
      <c r="AO2" s="439"/>
      <c r="AP2" s="439"/>
      <c r="AQ2" s="439"/>
      <c r="AR2" s="439"/>
      <c r="AS2" s="439"/>
      <c r="AT2" s="439"/>
      <c r="AU2" s="439"/>
      <c r="AV2" s="439"/>
      <c r="AW2" s="439"/>
      <c r="AX2" s="439"/>
      <c r="AY2" s="439"/>
      <c r="AZ2" s="439"/>
      <c r="BA2" s="439"/>
      <c r="BB2" s="439"/>
      <c r="BC2" s="439"/>
      <c r="BD2" s="439"/>
      <c r="BE2" s="439"/>
      <c r="BF2" s="439"/>
      <c r="BG2" s="439"/>
      <c r="BH2" s="439"/>
      <c r="BI2" s="439"/>
      <c r="BJ2" s="439"/>
      <c r="BK2" s="439"/>
      <c r="BL2" s="439"/>
      <c r="BM2" s="439"/>
      <c r="BN2" s="439"/>
      <c r="BO2" s="439"/>
      <c r="BP2" s="439"/>
      <c r="BQ2" s="439"/>
      <c r="BR2" s="439"/>
      <c r="BS2" s="439"/>
      <c r="BT2" s="439"/>
      <c r="BU2" s="439"/>
      <c r="BV2" s="439"/>
      <c r="BW2" s="439"/>
      <c r="BX2" s="439"/>
      <c r="BY2" s="439"/>
      <c r="BZ2" s="439"/>
      <c r="CA2" s="439"/>
      <c r="CB2" s="439"/>
      <c r="CC2" s="439"/>
      <c r="CD2" s="439"/>
      <c r="CE2" s="440"/>
      <c r="CF2" s="99" t="s">
        <v>1198</v>
      </c>
      <c r="CG2" s="99"/>
      <c r="CH2" s="441"/>
      <c r="CI2" s="439"/>
      <c r="CJ2" s="442"/>
      <c r="CK2" s="99" t="s">
        <v>1199</v>
      </c>
      <c r="CL2" s="99"/>
      <c r="CM2" s="99"/>
      <c r="CN2" s="441"/>
      <c r="CO2" s="439"/>
      <c r="CP2" s="442"/>
      <c r="CQ2" s="99" t="s">
        <v>1200</v>
      </c>
      <c r="CR2" s="99"/>
      <c r="CS2" s="99"/>
      <c r="CT2" s="441"/>
      <c r="CU2" s="439"/>
      <c r="CV2" s="442"/>
      <c r="CW2" s="57" t="s">
        <v>1201</v>
      </c>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row>
    <row r="3" spans="1:175" ht="118" customHeight="1" thickBot="1" x14ac:dyDescent="0.3">
      <c r="A3" s="443" t="s">
        <v>1202</v>
      </c>
      <c r="B3" s="444"/>
      <c r="C3" s="436"/>
      <c r="D3" s="436"/>
      <c r="E3" s="436"/>
      <c r="F3" s="437"/>
      <c r="G3" s="445"/>
      <c r="H3" s="438"/>
      <c r="I3" s="439"/>
      <c r="J3" s="439"/>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39"/>
      <c r="BK3" s="439"/>
      <c r="BL3" s="439"/>
      <c r="BM3" s="439"/>
      <c r="BN3" s="439"/>
      <c r="BO3" s="439"/>
      <c r="BP3" s="439"/>
      <c r="BQ3" s="439"/>
      <c r="BR3" s="439"/>
      <c r="BS3" s="439"/>
      <c r="BT3" s="439"/>
      <c r="BU3" s="439"/>
      <c r="BV3" s="439"/>
      <c r="BW3" s="439"/>
      <c r="BX3" s="439"/>
      <c r="BY3" s="439"/>
      <c r="BZ3" s="439"/>
      <c r="CA3" s="439"/>
      <c r="CB3" s="439"/>
      <c r="CC3" s="439"/>
      <c r="CD3" s="439"/>
      <c r="CE3" s="440"/>
      <c r="CF3" s="99"/>
      <c r="CG3" s="99"/>
      <c r="CH3" s="446" t="s">
        <v>1203</v>
      </c>
      <c r="CI3" s="447" t="s">
        <v>1204</v>
      </c>
      <c r="CJ3" s="442"/>
      <c r="CK3" s="99"/>
      <c r="CL3" s="99"/>
      <c r="CM3" s="99"/>
      <c r="CN3" s="446" t="s">
        <v>1203</v>
      </c>
      <c r="CO3" s="447" t="s">
        <v>1204</v>
      </c>
      <c r="CP3" s="442"/>
      <c r="CQ3" s="99"/>
      <c r="CR3" s="99"/>
      <c r="CS3" s="99"/>
      <c r="CT3" s="446" t="s">
        <v>1203</v>
      </c>
      <c r="CU3" s="447" t="s">
        <v>1204</v>
      </c>
      <c r="CV3" s="442"/>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row>
    <row r="4" spans="1:175" x14ac:dyDescent="0.2">
      <c r="A4" s="448"/>
      <c r="B4" s="448"/>
      <c r="C4" s="448"/>
      <c r="D4" s="448"/>
      <c r="E4" s="448"/>
      <c r="F4" s="449"/>
      <c r="G4" s="450"/>
      <c r="H4" s="451"/>
      <c r="I4" s="452"/>
      <c r="J4" s="452"/>
      <c r="K4" s="452"/>
      <c r="L4" s="452"/>
      <c r="M4" s="452"/>
      <c r="N4" s="452"/>
      <c r="O4" s="452"/>
      <c r="P4" s="452"/>
      <c r="Q4" s="452"/>
      <c r="R4" s="452"/>
      <c r="S4" s="452"/>
      <c r="T4" s="452"/>
      <c r="U4" s="453"/>
      <c r="V4" s="453"/>
      <c r="W4" s="453"/>
      <c r="X4" s="453"/>
      <c r="Y4" s="453"/>
      <c r="Z4" s="453"/>
      <c r="AA4" s="453"/>
      <c r="AB4" s="453"/>
      <c r="AC4" s="453"/>
      <c r="AD4" s="453"/>
      <c r="AE4" s="453"/>
      <c r="AF4" s="453"/>
      <c r="AG4" s="453"/>
      <c r="AH4" s="453"/>
      <c r="AI4" s="453"/>
      <c r="AJ4" s="453"/>
      <c r="AK4" s="453"/>
      <c r="AL4" s="453"/>
      <c r="AM4" s="453"/>
      <c r="AN4" s="453"/>
      <c r="AO4" s="453"/>
      <c r="AP4" s="453"/>
      <c r="AQ4" s="453"/>
      <c r="AR4" s="453"/>
      <c r="AS4" s="453"/>
      <c r="AT4" s="453"/>
      <c r="AU4" s="453"/>
      <c r="AV4" s="453"/>
      <c r="AW4" s="453"/>
      <c r="AX4" s="453"/>
      <c r="AY4" s="453"/>
      <c r="AZ4" s="453"/>
      <c r="BA4" s="453"/>
      <c r="BB4" s="453"/>
      <c r="BC4" s="453"/>
      <c r="BD4" s="453"/>
      <c r="BE4" s="453"/>
      <c r="BF4" s="453"/>
      <c r="BG4" s="453"/>
      <c r="BH4" s="453"/>
      <c r="BI4" s="453"/>
      <c r="BJ4" s="453"/>
      <c r="BK4" s="453"/>
      <c r="BL4" s="453"/>
      <c r="BM4" s="453"/>
      <c r="BN4" s="453"/>
      <c r="BO4" s="453"/>
      <c r="BP4" s="453"/>
      <c r="BQ4" s="453"/>
      <c r="BR4" s="453"/>
      <c r="BS4" s="453"/>
      <c r="BT4" s="453"/>
      <c r="BU4" s="453"/>
      <c r="BV4" s="453"/>
      <c r="BW4" s="453"/>
      <c r="BX4" s="453"/>
      <c r="BY4" s="453"/>
      <c r="BZ4" s="453"/>
      <c r="CA4" s="453"/>
      <c r="CB4" s="453"/>
      <c r="CC4" s="453"/>
      <c r="CD4" s="453"/>
      <c r="CE4" s="454"/>
      <c r="CF4" s="249"/>
      <c r="CG4" s="249"/>
      <c r="CH4" s="455"/>
      <c r="CI4" s="456"/>
      <c r="CJ4" s="457"/>
      <c r="CK4" s="249"/>
      <c r="CL4" s="249"/>
      <c r="CM4" s="249"/>
      <c r="CN4" s="455"/>
      <c r="CO4" s="456"/>
      <c r="CP4" s="457"/>
      <c r="CQ4" s="249"/>
      <c r="CR4" s="249"/>
      <c r="CS4" s="249"/>
      <c r="CT4" s="455"/>
      <c r="CU4" s="456"/>
      <c r="CV4" s="457"/>
      <c r="CW4" s="258"/>
      <c r="CX4" s="258"/>
      <c r="CY4" s="258"/>
      <c r="CZ4" s="258"/>
      <c r="DA4" s="258"/>
      <c r="DB4" s="258"/>
      <c r="DC4" s="258"/>
      <c r="DD4" s="258"/>
      <c r="DE4" s="258"/>
      <c r="DF4" s="258"/>
      <c r="DG4" s="258"/>
      <c r="DH4" s="258"/>
      <c r="DI4" s="258"/>
      <c r="DJ4" s="258"/>
      <c r="DK4" s="258"/>
      <c r="DL4" s="258"/>
      <c r="DM4" s="258"/>
      <c r="DN4" s="258"/>
      <c r="DO4" s="258"/>
      <c r="DP4" s="258"/>
      <c r="DQ4" s="258"/>
      <c r="DR4" s="258"/>
      <c r="DS4" s="258"/>
      <c r="DT4" s="258"/>
      <c r="DU4" s="258"/>
      <c r="DV4" s="258"/>
      <c r="DW4" s="258"/>
      <c r="DX4" s="258"/>
      <c r="DY4" s="258"/>
      <c r="DZ4" s="258"/>
      <c r="EA4" s="258"/>
      <c r="EB4" s="258"/>
      <c r="EC4" s="258"/>
      <c r="ED4" s="258"/>
      <c r="EE4" s="258"/>
      <c r="EF4" s="258"/>
      <c r="EG4" s="258"/>
      <c r="EH4" s="258"/>
      <c r="EI4" s="258"/>
      <c r="EJ4" s="258"/>
      <c r="EK4" s="258"/>
      <c r="EL4" s="258"/>
      <c r="EM4" s="258"/>
      <c r="EN4" s="258"/>
      <c r="EO4" s="258"/>
      <c r="EP4" s="258"/>
      <c r="EQ4" s="258"/>
      <c r="ER4" s="258"/>
      <c r="ES4" s="258"/>
      <c r="ET4" s="258"/>
      <c r="EU4" s="258"/>
      <c r="EV4" s="258"/>
      <c r="EW4" s="258"/>
      <c r="EX4" s="258"/>
      <c r="EY4" s="258"/>
      <c r="EZ4" s="258"/>
      <c r="FA4" s="258"/>
      <c r="FB4" s="258"/>
      <c r="FC4" s="258"/>
      <c r="FD4" s="258"/>
      <c r="FE4" s="258"/>
      <c r="FF4" s="258"/>
      <c r="FG4" s="258"/>
      <c r="FH4" s="258"/>
      <c r="FI4" s="258"/>
      <c r="FJ4" s="258"/>
      <c r="FK4" s="258"/>
      <c r="FL4" s="258"/>
      <c r="FM4" s="258"/>
      <c r="FN4" s="258"/>
      <c r="FO4" s="258"/>
      <c r="FP4" s="258"/>
      <c r="FQ4" s="258"/>
      <c r="FR4" s="258"/>
      <c r="FS4" s="258"/>
    </row>
    <row r="5" spans="1:175" x14ac:dyDescent="0.2">
      <c r="A5" s="458" t="s">
        <v>98</v>
      </c>
      <c r="B5" s="458" t="s">
        <v>98</v>
      </c>
      <c r="C5" s="458" t="s">
        <v>98</v>
      </c>
      <c r="D5" s="458" t="s">
        <v>98</v>
      </c>
      <c r="E5" s="458" t="s">
        <v>98</v>
      </c>
      <c r="F5" s="459" t="s">
        <v>98</v>
      </c>
      <c r="G5" s="460" t="s">
        <v>98</v>
      </c>
      <c r="H5" s="461" t="s">
        <v>98</v>
      </c>
      <c r="I5" s="462" t="s">
        <v>98</v>
      </c>
      <c r="J5" s="462" t="s">
        <v>98</v>
      </c>
      <c r="K5" s="462" t="s">
        <v>98</v>
      </c>
      <c r="L5" s="462" t="s">
        <v>98</v>
      </c>
      <c r="M5" s="462" t="s">
        <v>98</v>
      </c>
      <c r="N5" s="462" t="s">
        <v>98</v>
      </c>
      <c r="O5" s="462" t="s">
        <v>98</v>
      </c>
      <c r="P5" s="462" t="s">
        <v>98</v>
      </c>
      <c r="Q5" s="462" t="s">
        <v>98</v>
      </c>
      <c r="R5" s="462" t="s">
        <v>98</v>
      </c>
      <c r="S5" s="462" t="s">
        <v>98</v>
      </c>
      <c r="T5" s="462" t="s">
        <v>98</v>
      </c>
      <c r="U5" s="463" t="s">
        <v>98</v>
      </c>
      <c r="V5" s="463" t="s">
        <v>98</v>
      </c>
      <c r="W5" s="463" t="s">
        <v>98</v>
      </c>
      <c r="X5" s="463" t="s">
        <v>98</v>
      </c>
      <c r="Y5" s="463" t="s">
        <v>98</v>
      </c>
      <c r="Z5" s="463" t="s">
        <v>98</v>
      </c>
      <c r="AA5" s="463" t="s">
        <v>98</v>
      </c>
      <c r="AB5" s="463" t="s">
        <v>98</v>
      </c>
      <c r="AC5" s="463" t="s">
        <v>98</v>
      </c>
      <c r="AD5" s="463" t="s">
        <v>98</v>
      </c>
      <c r="AE5" s="463" t="s">
        <v>98</v>
      </c>
      <c r="AF5" s="463" t="s">
        <v>98</v>
      </c>
      <c r="AG5" s="463" t="s">
        <v>98</v>
      </c>
      <c r="AH5" s="463" t="s">
        <v>98</v>
      </c>
      <c r="AI5" s="463" t="s">
        <v>98</v>
      </c>
      <c r="AJ5" s="463" t="s">
        <v>98</v>
      </c>
      <c r="AK5" s="463" t="s">
        <v>98</v>
      </c>
      <c r="AL5" s="463" t="s">
        <v>98</v>
      </c>
      <c r="AM5" s="463" t="s">
        <v>98</v>
      </c>
      <c r="AN5" s="463" t="s">
        <v>98</v>
      </c>
      <c r="AO5" s="463" t="s">
        <v>98</v>
      </c>
      <c r="AP5" s="463" t="s">
        <v>98</v>
      </c>
      <c r="AQ5" s="463" t="s">
        <v>98</v>
      </c>
      <c r="AR5" s="463" t="s">
        <v>98</v>
      </c>
      <c r="AS5" s="463" t="s">
        <v>98</v>
      </c>
      <c r="AT5" s="463" t="s">
        <v>98</v>
      </c>
      <c r="AU5" s="463" t="s">
        <v>98</v>
      </c>
      <c r="AV5" s="463" t="s">
        <v>98</v>
      </c>
      <c r="AW5" s="463" t="s">
        <v>98</v>
      </c>
      <c r="AX5" s="463" t="s">
        <v>98</v>
      </c>
      <c r="AY5" s="463" t="s">
        <v>98</v>
      </c>
      <c r="AZ5" s="463" t="s">
        <v>98</v>
      </c>
      <c r="BA5" s="463" t="s">
        <v>98</v>
      </c>
      <c r="BB5" s="463" t="s">
        <v>98</v>
      </c>
      <c r="BC5" s="463" t="s">
        <v>98</v>
      </c>
      <c r="BD5" s="463" t="s">
        <v>98</v>
      </c>
      <c r="BE5" s="463" t="s">
        <v>98</v>
      </c>
      <c r="BF5" s="463" t="s">
        <v>98</v>
      </c>
      <c r="BG5" s="463" t="s">
        <v>98</v>
      </c>
      <c r="BH5" s="463" t="s">
        <v>98</v>
      </c>
      <c r="BI5" s="463" t="s">
        <v>98</v>
      </c>
      <c r="BJ5" s="463" t="s">
        <v>98</v>
      </c>
      <c r="BK5" s="463" t="s">
        <v>98</v>
      </c>
      <c r="BL5" s="463" t="s">
        <v>98</v>
      </c>
      <c r="BM5" s="463" t="s">
        <v>98</v>
      </c>
      <c r="BN5" s="463" t="s">
        <v>98</v>
      </c>
      <c r="BO5" s="463" t="s">
        <v>98</v>
      </c>
      <c r="BP5" s="463" t="s">
        <v>98</v>
      </c>
      <c r="BQ5" s="463" t="s">
        <v>98</v>
      </c>
      <c r="BR5" s="463" t="s">
        <v>98</v>
      </c>
      <c r="BS5" s="463" t="s">
        <v>98</v>
      </c>
      <c r="BT5" s="463" t="s">
        <v>98</v>
      </c>
      <c r="BU5" s="463" t="s">
        <v>98</v>
      </c>
      <c r="BV5" s="463" t="s">
        <v>98</v>
      </c>
      <c r="BW5" s="463" t="s">
        <v>98</v>
      </c>
      <c r="BX5" s="463" t="s">
        <v>98</v>
      </c>
      <c r="BY5" s="463" t="s">
        <v>98</v>
      </c>
      <c r="BZ5" s="463" t="s">
        <v>98</v>
      </c>
      <c r="CA5" s="463" t="s">
        <v>98</v>
      </c>
      <c r="CB5" s="463" t="s">
        <v>98</v>
      </c>
      <c r="CC5" s="463" t="s">
        <v>98</v>
      </c>
      <c r="CD5" s="463" t="s">
        <v>98</v>
      </c>
      <c r="CE5" s="464" t="s">
        <v>98</v>
      </c>
      <c r="CF5" s="465" t="s">
        <v>98</v>
      </c>
      <c r="CG5" s="465" t="s">
        <v>98</v>
      </c>
      <c r="CH5" s="466" t="s">
        <v>98</v>
      </c>
      <c r="CI5" s="467" t="s">
        <v>98</v>
      </c>
      <c r="CJ5" s="468" t="s">
        <v>109</v>
      </c>
      <c r="CK5" s="465" t="s">
        <v>98</v>
      </c>
      <c r="CL5" s="465" t="s">
        <v>98</v>
      </c>
      <c r="CM5" s="465" t="s">
        <v>98</v>
      </c>
      <c r="CN5" s="466" t="s">
        <v>98</v>
      </c>
      <c r="CO5" s="467" t="s">
        <v>98</v>
      </c>
      <c r="CP5" s="468" t="s">
        <v>109</v>
      </c>
      <c r="CQ5" s="465" t="s">
        <v>98</v>
      </c>
      <c r="CR5" s="465" t="s">
        <v>98</v>
      </c>
      <c r="CS5" s="465" t="s">
        <v>98</v>
      </c>
      <c r="CT5" s="466" t="s">
        <v>98</v>
      </c>
      <c r="CU5" s="467" t="s">
        <v>98</v>
      </c>
      <c r="CV5" s="468" t="s">
        <v>109</v>
      </c>
      <c r="CW5" s="469" t="s">
        <v>109</v>
      </c>
      <c r="CX5" s="469" t="s">
        <v>109</v>
      </c>
      <c r="CY5" s="469" t="s">
        <v>109</v>
      </c>
      <c r="CZ5" s="469" t="s">
        <v>109</v>
      </c>
      <c r="DA5" s="469" t="s">
        <v>109</v>
      </c>
      <c r="DB5" s="469" t="s">
        <v>109</v>
      </c>
      <c r="DC5" s="469" t="s">
        <v>109</v>
      </c>
      <c r="DD5" s="469" t="s">
        <v>109</v>
      </c>
      <c r="DE5" s="469" t="s">
        <v>109</v>
      </c>
      <c r="DF5" s="469" t="s">
        <v>109</v>
      </c>
      <c r="DG5" s="469" t="s">
        <v>109</v>
      </c>
      <c r="DH5" s="469" t="s">
        <v>109</v>
      </c>
      <c r="DI5" s="469" t="s">
        <v>109</v>
      </c>
      <c r="DJ5" s="469" t="s">
        <v>109</v>
      </c>
      <c r="DK5" s="469" t="s">
        <v>109</v>
      </c>
      <c r="DL5" s="469" t="s">
        <v>109</v>
      </c>
      <c r="DM5" s="469" t="s">
        <v>109</v>
      </c>
      <c r="DN5" s="469" t="s">
        <v>109</v>
      </c>
      <c r="DO5" s="469" t="s">
        <v>109</v>
      </c>
      <c r="DP5" s="469" t="s">
        <v>109</v>
      </c>
      <c r="DQ5" s="469" t="s">
        <v>109</v>
      </c>
      <c r="DR5" s="469" t="s">
        <v>109</v>
      </c>
      <c r="DS5" s="469" t="s">
        <v>109</v>
      </c>
      <c r="DT5" s="469" t="s">
        <v>109</v>
      </c>
      <c r="DU5" s="469" t="s">
        <v>109</v>
      </c>
      <c r="DV5" s="469" t="s">
        <v>109</v>
      </c>
      <c r="DW5" s="469" t="s">
        <v>109</v>
      </c>
      <c r="DX5" s="469" t="s">
        <v>109</v>
      </c>
      <c r="DY5" s="469" t="s">
        <v>109</v>
      </c>
      <c r="DZ5" s="469" t="s">
        <v>109</v>
      </c>
      <c r="EA5" s="469" t="s">
        <v>109</v>
      </c>
      <c r="EB5" s="469" t="s">
        <v>109</v>
      </c>
      <c r="EC5" s="469" t="s">
        <v>109</v>
      </c>
      <c r="ED5" s="469" t="s">
        <v>109</v>
      </c>
      <c r="EE5" s="469" t="s">
        <v>109</v>
      </c>
      <c r="EF5" s="469" t="s">
        <v>109</v>
      </c>
      <c r="EG5" s="469" t="s">
        <v>109</v>
      </c>
      <c r="EH5" s="469" t="s">
        <v>109</v>
      </c>
      <c r="EI5" s="469" t="s">
        <v>109</v>
      </c>
      <c r="EJ5" s="469" t="s">
        <v>109</v>
      </c>
      <c r="EK5" s="469" t="s">
        <v>109</v>
      </c>
      <c r="EL5" s="469" t="s">
        <v>109</v>
      </c>
      <c r="EM5" s="469" t="s">
        <v>109</v>
      </c>
      <c r="EN5" s="469" t="s">
        <v>109</v>
      </c>
      <c r="EO5" s="469" t="s">
        <v>109</v>
      </c>
      <c r="EP5" s="469" t="s">
        <v>109</v>
      </c>
      <c r="EQ5" s="469" t="s">
        <v>109</v>
      </c>
      <c r="ER5" s="469" t="s">
        <v>109</v>
      </c>
      <c r="ES5" s="469" t="s">
        <v>109</v>
      </c>
      <c r="ET5" s="469" t="s">
        <v>109</v>
      </c>
      <c r="EU5" s="469" t="s">
        <v>109</v>
      </c>
      <c r="EV5" s="469" t="s">
        <v>109</v>
      </c>
      <c r="EW5" s="469" t="s">
        <v>109</v>
      </c>
      <c r="EX5" s="469" t="s">
        <v>109</v>
      </c>
      <c r="EY5" s="469" t="s">
        <v>109</v>
      </c>
      <c r="EZ5" s="469" t="s">
        <v>109</v>
      </c>
      <c r="FA5" s="469" t="s">
        <v>109</v>
      </c>
      <c r="FB5" s="469" t="s">
        <v>109</v>
      </c>
      <c r="FC5" s="469" t="s">
        <v>109</v>
      </c>
      <c r="FD5" s="469" t="s">
        <v>109</v>
      </c>
      <c r="FE5" s="469" t="s">
        <v>109</v>
      </c>
      <c r="FF5" s="469" t="s">
        <v>109</v>
      </c>
      <c r="FG5" s="469" t="s">
        <v>109</v>
      </c>
      <c r="FH5" s="469" t="s">
        <v>109</v>
      </c>
      <c r="FI5" s="469" t="s">
        <v>109</v>
      </c>
      <c r="FJ5" s="469" t="s">
        <v>109</v>
      </c>
      <c r="FK5" s="469" t="s">
        <v>109</v>
      </c>
      <c r="FL5" s="469" t="s">
        <v>109</v>
      </c>
      <c r="FM5" s="469" t="s">
        <v>109</v>
      </c>
      <c r="FN5" s="469" t="s">
        <v>109</v>
      </c>
      <c r="FO5" s="469" t="s">
        <v>109</v>
      </c>
      <c r="FP5" s="469" t="s">
        <v>109</v>
      </c>
      <c r="FQ5" s="469" t="s">
        <v>109</v>
      </c>
      <c r="FR5" s="469" t="s">
        <v>109</v>
      </c>
      <c r="FS5" s="469" t="s">
        <v>109</v>
      </c>
    </row>
    <row r="6" spans="1:175" x14ac:dyDescent="0.2">
      <c r="A6" s="458" t="s">
        <v>200</v>
      </c>
      <c r="B6" s="458" t="s">
        <v>200</v>
      </c>
      <c r="C6" s="458" t="s">
        <v>200</v>
      </c>
      <c r="D6" s="458" t="s">
        <v>200</v>
      </c>
      <c r="E6" s="458" t="s">
        <v>200</v>
      </c>
      <c r="F6" s="459" t="s">
        <v>200</v>
      </c>
      <c r="G6" s="460" t="s">
        <v>93</v>
      </c>
      <c r="H6" s="461" t="s">
        <v>93</v>
      </c>
      <c r="I6" s="462" t="s">
        <v>1205</v>
      </c>
      <c r="J6" s="462" t="s">
        <v>1205</v>
      </c>
      <c r="K6" s="462" t="s">
        <v>1205</v>
      </c>
      <c r="L6" s="462" t="s">
        <v>1205</v>
      </c>
      <c r="M6" s="462" t="s">
        <v>1205</v>
      </c>
      <c r="N6" s="462" t="s">
        <v>1205</v>
      </c>
      <c r="O6" s="462" t="s">
        <v>1205</v>
      </c>
      <c r="P6" s="462" t="s">
        <v>1205</v>
      </c>
      <c r="Q6" s="462" t="s">
        <v>1205</v>
      </c>
      <c r="R6" s="462" t="s">
        <v>1205</v>
      </c>
      <c r="S6" s="462" t="s">
        <v>1205</v>
      </c>
      <c r="T6" s="462" t="s">
        <v>1205</v>
      </c>
      <c r="U6" s="463" t="s">
        <v>1205</v>
      </c>
      <c r="V6" s="463" t="s">
        <v>1205</v>
      </c>
      <c r="W6" s="463" t="s">
        <v>1205</v>
      </c>
      <c r="X6" s="463" t="s">
        <v>1205</v>
      </c>
      <c r="Y6" s="463" t="s">
        <v>1205</v>
      </c>
      <c r="Z6" s="463" t="s">
        <v>1205</v>
      </c>
      <c r="AA6" s="463" t="s">
        <v>1205</v>
      </c>
      <c r="AB6" s="463" t="s">
        <v>1205</v>
      </c>
      <c r="AC6" s="463" t="s">
        <v>1205</v>
      </c>
      <c r="AD6" s="463" t="s">
        <v>1205</v>
      </c>
      <c r="AE6" s="463" t="s">
        <v>1205</v>
      </c>
      <c r="AF6" s="463" t="s">
        <v>1205</v>
      </c>
      <c r="AG6" s="463" t="s">
        <v>1205</v>
      </c>
      <c r="AH6" s="463" t="s">
        <v>1205</v>
      </c>
      <c r="AI6" s="463" t="s">
        <v>1205</v>
      </c>
      <c r="AJ6" s="463" t="s">
        <v>1205</v>
      </c>
      <c r="AK6" s="463" t="s">
        <v>1205</v>
      </c>
      <c r="AL6" s="463" t="s">
        <v>1205</v>
      </c>
      <c r="AM6" s="463" t="s">
        <v>1205</v>
      </c>
      <c r="AN6" s="463" t="s">
        <v>1205</v>
      </c>
      <c r="AO6" s="463" t="s">
        <v>1205</v>
      </c>
      <c r="AP6" s="463" t="s">
        <v>1205</v>
      </c>
      <c r="AQ6" s="463" t="s">
        <v>1205</v>
      </c>
      <c r="AR6" s="463" t="s">
        <v>1205</v>
      </c>
      <c r="AS6" s="463" t="s">
        <v>1205</v>
      </c>
      <c r="AT6" s="463" t="s">
        <v>1205</v>
      </c>
      <c r="AU6" s="463" t="s">
        <v>1205</v>
      </c>
      <c r="AV6" s="463" t="s">
        <v>1205</v>
      </c>
      <c r="AW6" s="463" t="s">
        <v>1205</v>
      </c>
      <c r="AX6" s="463" t="s">
        <v>1205</v>
      </c>
      <c r="AY6" s="463" t="s">
        <v>1205</v>
      </c>
      <c r="AZ6" s="463" t="s">
        <v>1205</v>
      </c>
      <c r="BA6" s="463" t="s">
        <v>1205</v>
      </c>
      <c r="BB6" s="463" t="s">
        <v>1205</v>
      </c>
      <c r="BC6" s="463" t="s">
        <v>1205</v>
      </c>
      <c r="BD6" s="463" t="s">
        <v>1205</v>
      </c>
      <c r="BE6" s="463" t="s">
        <v>1205</v>
      </c>
      <c r="BF6" s="463" t="s">
        <v>1205</v>
      </c>
      <c r="BG6" s="463" t="s">
        <v>1205</v>
      </c>
      <c r="BH6" s="463" t="s">
        <v>1205</v>
      </c>
      <c r="BI6" s="463" t="s">
        <v>1205</v>
      </c>
      <c r="BJ6" s="463" t="s">
        <v>1205</v>
      </c>
      <c r="BK6" s="463" t="s">
        <v>1205</v>
      </c>
      <c r="BL6" s="463" t="s">
        <v>1205</v>
      </c>
      <c r="BM6" s="463" t="s">
        <v>1205</v>
      </c>
      <c r="BN6" s="463" t="s">
        <v>1205</v>
      </c>
      <c r="BO6" s="463" t="s">
        <v>1205</v>
      </c>
      <c r="BP6" s="463" t="s">
        <v>1205</v>
      </c>
      <c r="BQ6" s="463" t="s">
        <v>1205</v>
      </c>
      <c r="BR6" s="463" t="s">
        <v>1205</v>
      </c>
      <c r="BS6" s="463" t="s">
        <v>1205</v>
      </c>
      <c r="BT6" s="463" t="s">
        <v>1205</v>
      </c>
      <c r="BU6" s="463" t="s">
        <v>1205</v>
      </c>
      <c r="BV6" s="463" t="s">
        <v>1205</v>
      </c>
      <c r="BW6" s="463" t="s">
        <v>1205</v>
      </c>
      <c r="BX6" s="463" t="s">
        <v>1205</v>
      </c>
      <c r="BY6" s="463" t="s">
        <v>1205</v>
      </c>
      <c r="BZ6" s="463" t="s">
        <v>1205</v>
      </c>
      <c r="CA6" s="463" t="s">
        <v>1205</v>
      </c>
      <c r="CB6" s="463" t="s">
        <v>1205</v>
      </c>
      <c r="CC6" s="463" t="s">
        <v>1205</v>
      </c>
      <c r="CD6" s="463" t="s">
        <v>1205</v>
      </c>
      <c r="CE6" s="464" t="s">
        <v>1205</v>
      </c>
      <c r="CF6" s="465" t="s">
        <v>93</v>
      </c>
      <c r="CG6" s="465" t="s">
        <v>93</v>
      </c>
      <c r="CH6" s="466" t="s">
        <v>112</v>
      </c>
      <c r="CI6" s="467" t="s">
        <v>112</v>
      </c>
      <c r="CJ6" s="468" t="s">
        <v>92</v>
      </c>
      <c r="CK6" s="465" t="s">
        <v>93</v>
      </c>
      <c r="CL6" s="465" t="s">
        <v>93</v>
      </c>
      <c r="CM6" s="465" t="s">
        <v>93</v>
      </c>
      <c r="CN6" s="466" t="s">
        <v>112</v>
      </c>
      <c r="CO6" s="467" t="s">
        <v>112</v>
      </c>
      <c r="CP6" s="468" t="s">
        <v>92</v>
      </c>
      <c r="CQ6" s="465" t="s">
        <v>93</v>
      </c>
      <c r="CR6" s="465" t="s">
        <v>93</v>
      </c>
      <c r="CS6" s="465" t="s">
        <v>93</v>
      </c>
      <c r="CT6" s="466" t="s">
        <v>112</v>
      </c>
      <c r="CU6" s="467" t="s">
        <v>112</v>
      </c>
      <c r="CV6" s="468" t="s">
        <v>92</v>
      </c>
      <c r="CW6" s="469" t="s">
        <v>92</v>
      </c>
      <c r="CX6" s="469" t="s">
        <v>92</v>
      </c>
      <c r="CY6" s="469" t="s">
        <v>92</v>
      </c>
      <c r="CZ6" s="469" t="s">
        <v>92</v>
      </c>
      <c r="DA6" s="469" t="s">
        <v>92</v>
      </c>
      <c r="DB6" s="469" t="s">
        <v>92</v>
      </c>
      <c r="DC6" s="469" t="s">
        <v>92</v>
      </c>
      <c r="DD6" s="469" t="s">
        <v>92</v>
      </c>
      <c r="DE6" s="469" t="s">
        <v>92</v>
      </c>
      <c r="DF6" s="469" t="s">
        <v>92</v>
      </c>
      <c r="DG6" s="469" t="s">
        <v>92</v>
      </c>
      <c r="DH6" s="469" t="s">
        <v>92</v>
      </c>
      <c r="DI6" s="469" t="s">
        <v>92</v>
      </c>
      <c r="DJ6" s="469" t="s">
        <v>92</v>
      </c>
      <c r="DK6" s="469" t="s">
        <v>92</v>
      </c>
      <c r="DL6" s="469" t="s">
        <v>92</v>
      </c>
      <c r="DM6" s="469" t="s">
        <v>92</v>
      </c>
      <c r="DN6" s="469" t="s">
        <v>92</v>
      </c>
      <c r="DO6" s="469" t="s">
        <v>92</v>
      </c>
      <c r="DP6" s="469" t="s">
        <v>92</v>
      </c>
      <c r="DQ6" s="469" t="s">
        <v>92</v>
      </c>
      <c r="DR6" s="469" t="s">
        <v>92</v>
      </c>
      <c r="DS6" s="469" t="s">
        <v>92</v>
      </c>
      <c r="DT6" s="469" t="s">
        <v>92</v>
      </c>
      <c r="DU6" s="469" t="s">
        <v>92</v>
      </c>
      <c r="DV6" s="469" t="s">
        <v>92</v>
      </c>
      <c r="DW6" s="469" t="s">
        <v>92</v>
      </c>
      <c r="DX6" s="469" t="s">
        <v>92</v>
      </c>
      <c r="DY6" s="469" t="s">
        <v>92</v>
      </c>
      <c r="DZ6" s="469" t="s">
        <v>92</v>
      </c>
      <c r="EA6" s="469" t="s">
        <v>92</v>
      </c>
      <c r="EB6" s="469" t="s">
        <v>92</v>
      </c>
      <c r="EC6" s="469" t="s">
        <v>92</v>
      </c>
      <c r="ED6" s="469" t="s">
        <v>92</v>
      </c>
      <c r="EE6" s="469" t="s">
        <v>92</v>
      </c>
      <c r="EF6" s="469" t="s">
        <v>92</v>
      </c>
      <c r="EG6" s="469" t="s">
        <v>92</v>
      </c>
      <c r="EH6" s="469" t="s">
        <v>92</v>
      </c>
      <c r="EI6" s="469" t="s">
        <v>92</v>
      </c>
      <c r="EJ6" s="469" t="s">
        <v>92</v>
      </c>
      <c r="EK6" s="469" t="s">
        <v>92</v>
      </c>
      <c r="EL6" s="469" t="s">
        <v>92</v>
      </c>
      <c r="EM6" s="469" t="s">
        <v>92</v>
      </c>
      <c r="EN6" s="469" t="s">
        <v>92</v>
      </c>
      <c r="EO6" s="469" t="s">
        <v>92</v>
      </c>
      <c r="EP6" s="469" t="s">
        <v>92</v>
      </c>
      <c r="EQ6" s="469" t="s">
        <v>92</v>
      </c>
      <c r="ER6" s="469" t="s">
        <v>92</v>
      </c>
      <c r="ES6" s="469" t="s">
        <v>92</v>
      </c>
      <c r="ET6" s="469" t="s">
        <v>92</v>
      </c>
      <c r="EU6" s="469" t="s">
        <v>92</v>
      </c>
      <c r="EV6" s="469" t="s">
        <v>92</v>
      </c>
      <c r="EW6" s="469" t="s">
        <v>92</v>
      </c>
      <c r="EX6" s="469" t="s">
        <v>92</v>
      </c>
      <c r="EY6" s="469" t="s">
        <v>92</v>
      </c>
      <c r="EZ6" s="469" t="s">
        <v>92</v>
      </c>
      <c r="FA6" s="469" t="s">
        <v>92</v>
      </c>
      <c r="FB6" s="469" t="s">
        <v>92</v>
      </c>
      <c r="FC6" s="469" t="s">
        <v>92</v>
      </c>
      <c r="FD6" s="469" t="s">
        <v>92</v>
      </c>
      <c r="FE6" s="469" t="s">
        <v>92</v>
      </c>
      <c r="FF6" s="469" t="s">
        <v>92</v>
      </c>
      <c r="FG6" s="469" t="s">
        <v>92</v>
      </c>
      <c r="FH6" s="469" t="s">
        <v>92</v>
      </c>
      <c r="FI6" s="469" t="s">
        <v>92</v>
      </c>
      <c r="FJ6" s="469" t="s">
        <v>92</v>
      </c>
      <c r="FK6" s="469" t="s">
        <v>92</v>
      </c>
      <c r="FL6" s="469" t="s">
        <v>92</v>
      </c>
      <c r="FM6" s="469" t="s">
        <v>92</v>
      </c>
      <c r="FN6" s="469" t="s">
        <v>92</v>
      </c>
      <c r="FO6" s="469" t="s">
        <v>92</v>
      </c>
      <c r="FP6" s="469" t="s">
        <v>92</v>
      </c>
      <c r="FQ6" s="469" t="s">
        <v>92</v>
      </c>
      <c r="FR6" s="469" t="s">
        <v>92</v>
      </c>
      <c r="FS6" s="469" t="s">
        <v>92</v>
      </c>
    </row>
    <row r="7" spans="1:175" x14ac:dyDescent="0.2">
      <c r="A7" s="458" t="s">
        <v>108</v>
      </c>
      <c r="B7" s="458" t="s">
        <v>108</v>
      </c>
      <c r="C7" s="458" t="s">
        <v>108</v>
      </c>
      <c r="D7" s="458" t="s">
        <v>108</v>
      </c>
      <c r="E7" s="458" t="s">
        <v>108</v>
      </c>
      <c r="F7" s="459" t="s">
        <v>108</v>
      </c>
      <c r="G7" s="460" t="s">
        <v>94</v>
      </c>
      <c r="H7" s="461" t="s">
        <v>94</v>
      </c>
      <c r="I7" s="462" t="s">
        <v>95</v>
      </c>
      <c r="J7" s="462" t="s">
        <v>95</v>
      </c>
      <c r="K7" s="462" t="s">
        <v>95</v>
      </c>
      <c r="L7" s="462" t="s">
        <v>95</v>
      </c>
      <c r="M7" s="462" t="s">
        <v>95</v>
      </c>
      <c r="N7" s="462" t="s">
        <v>95</v>
      </c>
      <c r="O7" s="462" t="s">
        <v>95</v>
      </c>
      <c r="P7" s="462" t="s">
        <v>95</v>
      </c>
      <c r="Q7" s="462" t="s">
        <v>95</v>
      </c>
      <c r="R7" s="462" t="s">
        <v>95</v>
      </c>
      <c r="S7" s="462" t="s">
        <v>95</v>
      </c>
      <c r="T7" s="462" t="s">
        <v>95</v>
      </c>
      <c r="U7" s="463" t="s">
        <v>95</v>
      </c>
      <c r="V7" s="463" t="s">
        <v>95</v>
      </c>
      <c r="W7" s="463" t="s">
        <v>95</v>
      </c>
      <c r="X7" s="463" t="s">
        <v>95</v>
      </c>
      <c r="Y7" s="463" t="s">
        <v>95</v>
      </c>
      <c r="Z7" s="463" t="s">
        <v>95</v>
      </c>
      <c r="AA7" s="463" t="s">
        <v>95</v>
      </c>
      <c r="AB7" s="463" t="s">
        <v>95</v>
      </c>
      <c r="AC7" s="463" t="s">
        <v>95</v>
      </c>
      <c r="AD7" s="463" t="s">
        <v>95</v>
      </c>
      <c r="AE7" s="463" t="s">
        <v>95</v>
      </c>
      <c r="AF7" s="463" t="s">
        <v>95</v>
      </c>
      <c r="AG7" s="463" t="s">
        <v>95</v>
      </c>
      <c r="AH7" s="463" t="s">
        <v>95</v>
      </c>
      <c r="AI7" s="463" t="s">
        <v>95</v>
      </c>
      <c r="AJ7" s="463" t="s">
        <v>95</v>
      </c>
      <c r="AK7" s="463" t="s">
        <v>95</v>
      </c>
      <c r="AL7" s="463" t="s">
        <v>95</v>
      </c>
      <c r="AM7" s="463" t="s">
        <v>95</v>
      </c>
      <c r="AN7" s="463" t="s">
        <v>95</v>
      </c>
      <c r="AO7" s="463" t="s">
        <v>95</v>
      </c>
      <c r="AP7" s="463" t="s">
        <v>95</v>
      </c>
      <c r="AQ7" s="463" t="s">
        <v>95</v>
      </c>
      <c r="AR7" s="463" t="s">
        <v>95</v>
      </c>
      <c r="AS7" s="463" t="s">
        <v>95</v>
      </c>
      <c r="AT7" s="463" t="s">
        <v>95</v>
      </c>
      <c r="AU7" s="463" t="s">
        <v>95</v>
      </c>
      <c r="AV7" s="463" t="s">
        <v>95</v>
      </c>
      <c r="AW7" s="463" t="s">
        <v>95</v>
      </c>
      <c r="AX7" s="463" t="s">
        <v>95</v>
      </c>
      <c r="AY7" s="463" t="s">
        <v>95</v>
      </c>
      <c r="AZ7" s="463" t="s">
        <v>95</v>
      </c>
      <c r="BA7" s="463" t="s">
        <v>95</v>
      </c>
      <c r="BB7" s="463" t="s">
        <v>95</v>
      </c>
      <c r="BC7" s="463" t="s">
        <v>95</v>
      </c>
      <c r="BD7" s="463" t="s">
        <v>95</v>
      </c>
      <c r="BE7" s="463" t="s">
        <v>95</v>
      </c>
      <c r="BF7" s="463" t="s">
        <v>95</v>
      </c>
      <c r="BG7" s="463" t="s">
        <v>95</v>
      </c>
      <c r="BH7" s="463" t="s">
        <v>95</v>
      </c>
      <c r="BI7" s="463" t="s">
        <v>95</v>
      </c>
      <c r="BJ7" s="463" t="s">
        <v>95</v>
      </c>
      <c r="BK7" s="463" t="s">
        <v>95</v>
      </c>
      <c r="BL7" s="463" t="s">
        <v>95</v>
      </c>
      <c r="BM7" s="463" t="s">
        <v>95</v>
      </c>
      <c r="BN7" s="463" t="s">
        <v>95</v>
      </c>
      <c r="BO7" s="463" t="s">
        <v>95</v>
      </c>
      <c r="BP7" s="463" t="s">
        <v>95</v>
      </c>
      <c r="BQ7" s="463" t="s">
        <v>95</v>
      </c>
      <c r="BR7" s="463" t="s">
        <v>95</v>
      </c>
      <c r="BS7" s="463" t="s">
        <v>95</v>
      </c>
      <c r="BT7" s="463" t="s">
        <v>95</v>
      </c>
      <c r="BU7" s="463" t="s">
        <v>95</v>
      </c>
      <c r="BV7" s="463" t="s">
        <v>95</v>
      </c>
      <c r="BW7" s="463" t="s">
        <v>95</v>
      </c>
      <c r="BX7" s="463" t="s">
        <v>95</v>
      </c>
      <c r="BY7" s="463" t="s">
        <v>95</v>
      </c>
      <c r="BZ7" s="463" t="s">
        <v>95</v>
      </c>
      <c r="CA7" s="463" t="s">
        <v>95</v>
      </c>
      <c r="CB7" s="463" t="s">
        <v>95</v>
      </c>
      <c r="CC7" s="463" t="s">
        <v>95</v>
      </c>
      <c r="CD7" s="463" t="s">
        <v>95</v>
      </c>
      <c r="CE7" s="464" t="s">
        <v>95</v>
      </c>
      <c r="CF7" s="465" t="s">
        <v>94</v>
      </c>
      <c r="CG7" s="465" t="s">
        <v>94</v>
      </c>
      <c r="CH7" s="466" t="s">
        <v>108</v>
      </c>
      <c r="CI7" s="467" t="s">
        <v>95</v>
      </c>
      <c r="CJ7" s="468" t="s">
        <v>94</v>
      </c>
      <c r="CK7" s="465" t="s">
        <v>94</v>
      </c>
      <c r="CL7" s="465" t="s">
        <v>94</v>
      </c>
      <c r="CM7" s="465" t="s">
        <v>94</v>
      </c>
      <c r="CN7" s="466" t="s">
        <v>108</v>
      </c>
      <c r="CO7" s="467" t="s">
        <v>95</v>
      </c>
      <c r="CP7" s="468" t="s">
        <v>94</v>
      </c>
      <c r="CQ7" s="465" t="s">
        <v>94</v>
      </c>
      <c r="CR7" s="465" t="s">
        <v>94</v>
      </c>
      <c r="CS7" s="465" t="s">
        <v>94</v>
      </c>
      <c r="CT7" s="466" t="s">
        <v>108</v>
      </c>
      <c r="CU7" s="467" t="s">
        <v>95</v>
      </c>
      <c r="CV7" s="468" t="s">
        <v>94</v>
      </c>
      <c r="CW7" s="469" t="s">
        <v>94</v>
      </c>
      <c r="CX7" s="469" t="s">
        <v>94</v>
      </c>
      <c r="CY7" s="469" t="s">
        <v>94</v>
      </c>
      <c r="CZ7" s="469" t="s">
        <v>94</v>
      </c>
      <c r="DA7" s="469" t="s">
        <v>94</v>
      </c>
      <c r="DB7" s="469" t="s">
        <v>94</v>
      </c>
      <c r="DC7" s="469" t="s">
        <v>94</v>
      </c>
      <c r="DD7" s="469" t="s">
        <v>94</v>
      </c>
      <c r="DE7" s="469" t="s">
        <v>94</v>
      </c>
      <c r="DF7" s="469" t="s">
        <v>94</v>
      </c>
      <c r="DG7" s="469" t="s">
        <v>94</v>
      </c>
      <c r="DH7" s="469" t="s">
        <v>94</v>
      </c>
      <c r="DI7" s="469" t="s">
        <v>94</v>
      </c>
      <c r="DJ7" s="469" t="s">
        <v>94</v>
      </c>
      <c r="DK7" s="469" t="s">
        <v>94</v>
      </c>
      <c r="DL7" s="469" t="s">
        <v>94</v>
      </c>
      <c r="DM7" s="469" t="s">
        <v>94</v>
      </c>
      <c r="DN7" s="469" t="s">
        <v>94</v>
      </c>
      <c r="DO7" s="469" t="s">
        <v>94</v>
      </c>
      <c r="DP7" s="469" t="s">
        <v>94</v>
      </c>
      <c r="DQ7" s="469" t="s">
        <v>94</v>
      </c>
      <c r="DR7" s="469" t="s">
        <v>94</v>
      </c>
      <c r="DS7" s="469" t="s">
        <v>94</v>
      </c>
      <c r="DT7" s="469" t="s">
        <v>94</v>
      </c>
      <c r="DU7" s="469" t="s">
        <v>94</v>
      </c>
      <c r="DV7" s="469" t="s">
        <v>94</v>
      </c>
      <c r="DW7" s="469" t="s">
        <v>94</v>
      </c>
      <c r="DX7" s="469" t="s">
        <v>94</v>
      </c>
      <c r="DY7" s="469" t="s">
        <v>94</v>
      </c>
      <c r="DZ7" s="469" t="s">
        <v>94</v>
      </c>
      <c r="EA7" s="469" t="s">
        <v>94</v>
      </c>
      <c r="EB7" s="469" t="s">
        <v>94</v>
      </c>
      <c r="EC7" s="469" t="s">
        <v>94</v>
      </c>
      <c r="ED7" s="469" t="s">
        <v>94</v>
      </c>
      <c r="EE7" s="469" t="s">
        <v>94</v>
      </c>
      <c r="EF7" s="469" t="s">
        <v>94</v>
      </c>
      <c r="EG7" s="469" t="s">
        <v>94</v>
      </c>
      <c r="EH7" s="469" t="s">
        <v>94</v>
      </c>
      <c r="EI7" s="469" t="s">
        <v>94</v>
      </c>
      <c r="EJ7" s="469" t="s">
        <v>94</v>
      </c>
      <c r="EK7" s="469" t="s">
        <v>94</v>
      </c>
      <c r="EL7" s="469" t="s">
        <v>94</v>
      </c>
      <c r="EM7" s="469" t="s">
        <v>94</v>
      </c>
      <c r="EN7" s="469" t="s">
        <v>94</v>
      </c>
      <c r="EO7" s="469" t="s">
        <v>94</v>
      </c>
      <c r="EP7" s="469" t="s">
        <v>94</v>
      </c>
      <c r="EQ7" s="469" t="s">
        <v>94</v>
      </c>
      <c r="ER7" s="469" t="s">
        <v>94</v>
      </c>
      <c r="ES7" s="469" t="s">
        <v>94</v>
      </c>
      <c r="ET7" s="469" t="s">
        <v>94</v>
      </c>
      <c r="EU7" s="469" t="s">
        <v>94</v>
      </c>
      <c r="EV7" s="469" t="s">
        <v>94</v>
      </c>
      <c r="EW7" s="469" t="s">
        <v>94</v>
      </c>
      <c r="EX7" s="469" t="s">
        <v>94</v>
      </c>
      <c r="EY7" s="469" t="s">
        <v>94</v>
      </c>
      <c r="EZ7" s="469" t="s">
        <v>94</v>
      </c>
      <c r="FA7" s="469" t="s">
        <v>94</v>
      </c>
      <c r="FB7" s="469" t="s">
        <v>94</v>
      </c>
      <c r="FC7" s="469" t="s">
        <v>94</v>
      </c>
      <c r="FD7" s="469" t="s">
        <v>94</v>
      </c>
      <c r="FE7" s="469" t="s">
        <v>94</v>
      </c>
      <c r="FF7" s="469" t="s">
        <v>94</v>
      </c>
      <c r="FG7" s="469" t="s">
        <v>94</v>
      </c>
      <c r="FH7" s="469" t="s">
        <v>94</v>
      </c>
      <c r="FI7" s="469" t="s">
        <v>94</v>
      </c>
      <c r="FJ7" s="469" t="s">
        <v>94</v>
      </c>
      <c r="FK7" s="469" t="s">
        <v>94</v>
      </c>
      <c r="FL7" s="469" t="s">
        <v>94</v>
      </c>
      <c r="FM7" s="469" t="s">
        <v>94</v>
      </c>
      <c r="FN7" s="469" t="s">
        <v>94</v>
      </c>
      <c r="FO7" s="469" t="s">
        <v>94</v>
      </c>
      <c r="FP7" s="469" t="s">
        <v>94</v>
      </c>
      <c r="FQ7" s="469" t="s">
        <v>94</v>
      </c>
      <c r="FR7" s="469" t="s">
        <v>94</v>
      </c>
      <c r="FS7" s="469" t="s">
        <v>94</v>
      </c>
    </row>
    <row r="8" spans="1:175" x14ac:dyDescent="0.2">
      <c r="A8" s="458" t="s">
        <v>1206</v>
      </c>
      <c r="B8" s="458" t="s">
        <v>1206</v>
      </c>
      <c r="C8" s="458" t="s">
        <v>1206</v>
      </c>
      <c r="D8" s="458" t="s">
        <v>1206</v>
      </c>
      <c r="E8" s="470" t="s">
        <v>1206</v>
      </c>
      <c r="F8" s="459" t="s">
        <v>1206</v>
      </c>
      <c r="G8" s="460" t="s">
        <v>1206</v>
      </c>
      <c r="H8" s="461" t="s">
        <v>1206</v>
      </c>
      <c r="I8" s="462" t="s">
        <v>1206</v>
      </c>
      <c r="J8" s="462" t="s">
        <v>1206</v>
      </c>
      <c r="K8" s="462" t="s">
        <v>1206</v>
      </c>
      <c r="L8" s="462" t="s">
        <v>1206</v>
      </c>
      <c r="M8" s="462" t="s">
        <v>1206</v>
      </c>
      <c r="N8" s="462" t="s">
        <v>1206</v>
      </c>
      <c r="O8" s="462" t="s">
        <v>1206</v>
      </c>
      <c r="P8" s="462" t="s">
        <v>1206</v>
      </c>
      <c r="Q8" s="462" t="s">
        <v>1206</v>
      </c>
      <c r="R8" s="462" t="s">
        <v>1206</v>
      </c>
      <c r="S8" s="462" t="s">
        <v>1206</v>
      </c>
      <c r="T8" s="462" t="s">
        <v>1206</v>
      </c>
      <c r="U8" s="463" t="s">
        <v>1206</v>
      </c>
      <c r="V8" s="463" t="s">
        <v>1206</v>
      </c>
      <c r="W8" s="463" t="s">
        <v>1206</v>
      </c>
      <c r="X8" s="463" t="s">
        <v>1206</v>
      </c>
      <c r="Y8" s="463" t="s">
        <v>1206</v>
      </c>
      <c r="Z8" s="463" t="s">
        <v>1206</v>
      </c>
      <c r="AA8" s="463" t="s">
        <v>1206</v>
      </c>
      <c r="AB8" s="463" t="s">
        <v>1206</v>
      </c>
      <c r="AC8" s="463" t="s">
        <v>1206</v>
      </c>
      <c r="AD8" s="463" t="s">
        <v>1206</v>
      </c>
      <c r="AE8" s="463" t="s">
        <v>1206</v>
      </c>
      <c r="AF8" s="463" t="s">
        <v>1206</v>
      </c>
      <c r="AG8" s="463" t="s">
        <v>1206</v>
      </c>
      <c r="AH8" s="463" t="s">
        <v>1206</v>
      </c>
      <c r="AI8" s="463" t="s">
        <v>1206</v>
      </c>
      <c r="AJ8" s="463" t="s">
        <v>1206</v>
      </c>
      <c r="AK8" s="463" t="s">
        <v>1206</v>
      </c>
      <c r="AL8" s="463" t="s">
        <v>1206</v>
      </c>
      <c r="AM8" s="463" t="s">
        <v>1206</v>
      </c>
      <c r="AN8" s="463" t="s">
        <v>1206</v>
      </c>
      <c r="AO8" s="463" t="s">
        <v>1206</v>
      </c>
      <c r="AP8" s="463" t="s">
        <v>1206</v>
      </c>
      <c r="AQ8" s="463" t="s">
        <v>1206</v>
      </c>
      <c r="AR8" s="463" t="s">
        <v>1206</v>
      </c>
      <c r="AS8" s="463" t="s">
        <v>1206</v>
      </c>
      <c r="AT8" s="463" t="s">
        <v>1206</v>
      </c>
      <c r="AU8" s="463" t="s">
        <v>1206</v>
      </c>
      <c r="AV8" s="463" t="s">
        <v>1206</v>
      </c>
      <c r="AW8" s="463" t="s">
        <v>1206</v>
      </c>
      <c r="AX8" s="463" t="s">
        <v>1206</v>
      </c>
      <c r="AY8" s="463" t="s">
        <v>1206</v>
      </c>
      <c r="AZ8" s="463" t="s">
        <v>1206</v>
      </c>
      <c r="BA8" s="463" t="s">
        <v>1206</v>
      </c>
      <c r="BB8" s="463" t="s">
        <v>1206</v>
      </c>
      <c r="BC8" s="463" t="s">
        <v>1206</v>
      </c>
      <c r="BD8" s="463" t="s">
        <v>1206</v>
      </c>
      <c r="BE8" s="463" t="s">
        <v>1206</v>
      </c>
      <c r="BF8" s="463" t="s">
        <v>1206</v>
      </c>
      <c r="BG8" s="463" t="s">
        <v>1206</v>
      </c>
      <c r="BH8" s="463" t="s">
        <v>1206</v>
      </c>
      <c r="BI8" s="463" t="s">
        <v>1206</v>
      </c>
      <c r="BJ8" s="463" t="s">
        <v>1206</v>
      </c>
      <c r="BK8" s="463" t="s">
        <v>1206</v>
      </c>
      <c r="BL8" s="463" t="s">
        <v>1206</v>
      </c>
      <c r="BM8" s="463" t="s">
        <v>1206</v>
      </c>
      <c r="BN8" s="463" t="s">
        <v>1206</v>
      </c>
      <c r="BO8" s="463" t="s">
        <v>1206</v>
      </c>
      <c r="BP8" s="463" t="s">
        <v>1206</v>
      </c>
      <c r="BQ8" s="463" t="s">
        <v>1206</v>
      </c>
      <c r="BR8" s="463" t="s">
        <v>1206</v>
      </c>
      <c r="BS8" s="463" t="s">
        <v>1206</v>
      </c>
      <c r="BT8" s="463" t="s">
        <v>1206</v>
      </c>
      <c r="BU8" s="463" t="s">
        <v>1206</v>
      </c>
      <c r="BV8" s="463" t="s">
        <v>1206</v>
      </c>
      <c r="BW8" s="463" t="s">
        <v>1206</v>
      </c>
      <c r="BX8" s="463" t="s">
        <v>1206</v>
      </c>
      <c r="BY8" s="463" t="s">
        <v>1206</v>
      </c>
      <c r="BZ8" s="463" t="s">
        <v>1206</v>
      </c>
      <c r="CA8" s="463" t="s">
        <v>1206</v>
      </c>
      <c r="CB8" s="463" t="s">
        <v>1206</v>
      </c>
      <c r="CC8" s="463" t="s">
        <v>1206</v>
      </c>
      <c r="CD8" s="463" t="s">
        <v>1206</v>
      </c>
      <c r="CE8" s="464" t="s">
        <v>1206</v>
      </c>
      <c r="CF8" s="465" t="s">
        <v>1206</v>
      </c>
      <c r="CG8" s="465" t="s">
        <v>1206</v>
      </c>
      <c r="CH8" s="466" t="s">
        <v>1206</v>
      </c>
      <c r="CI8" s="467" t="s">
        <v>1206</v>
      </c>
      <c r="CJ8" s="468" t="s">
        <v>1206</v>
      </c>
      <c r="CK8" s="465" t="s">
        <v>1206</v>
      </c>
      <c r="CL8" s="465" t="s">
        <v>1206</v>
      </c>
      <c r="CM8" s="465" t="s">
        <v>1206</v>
      </c>
      <c r="CN8" s="466" t="s">
        <v>1206</v>
      </c>
      <c r="CO8" s="467" t="s">
        <v>1206</v>
      </c>
      <c r="CP8" s="468" t="s">
        <v>1206</v>
      </c>
      <c r="CQ8" s="465" t="s">
        <v>1206</v>
      </c>
      <c r="CR8" s="465" t="s">
        <v>1206</v>
      </c>
      <c r="CS8" s="465" t="s">
        <v>1206</v>
      </c>
      <c r="CT8" s="466" t="s">
        <v>1206</v>
      </c>
      <c r="CU8" s="467" t="s">
        <v>1206</v>
      </c>
      <c r="CV8" s="468" t="s">
        <v>1206</v>
      </c>
      <c r="CW8" s="469" t="s">
        <v>1206</v>
      </c>
      <c r="CX8" s="469" t="s">
        <v>1206</v>
      </c>
      <c r="CY8" s="469" t="s">
        <v>1206</v>
      </c>
      <c r="CZ8" s="469" t="s">
        <v>1206</v>
      </c>
      <c r="DA8" s="469" t="s">
        <v>1206</v>
      </c>
      <c r="DB8" s="469" t="s">
        <v>1206</v>
      </c>
      <c r="DC8" s="469" t="s">
        <v>1206</v>
      </c>
      <c r="DD8" s="469" t="s">
        <v>1206</v>
      </c>
      <c r="DE8" s="469" t="s">
        <v>1206</v>
      </c>
      <c r="DF8" s="469" t="s">
        <v>1206</v>
      </c>
      <c r="DG8" s="469" t="s">
        <v>1206</v>
      </c>
      <c r="DH8" s="469" t="s">
        <v>1206</v>
      </c>
      <c r="DI8" s="469" t="s">
        <v>1206</v>
      </c>
      <c r="DJ8" s="469" t="s">
        <v>1206</v>
      </c>
      <c r="DK8" s="469" t="s">
        <v>1206</v>
      </c>
      <c r="DL8" s="469" t="s">
        <v>1206</v>
      </c>
      <c r="DM8" s="469" t="s">
        <v>1206</v>
      </c>
      <c r="DN8" s="469" t="s">
        <v>1206</v>
      </c>
      <c r="DO8" s="469" t="s">
        <v>1206</v>
      </c>
      <c r="DP8" s="469" t="s">
        <v>1206</v>
      </c>
      <c r="DQ8" s="469" t="s">
        <v>1206</v>
      </c>
      <c r="DR8" s="469" t="s">
        <v>1206</v>
      </c>
      <c r="DS8" s="469" t="s">
        <v>1206</v>
      </c>
      <c r="DT8" s="469" t="s">
        <v>1206</v>
      </c>
      <c r="DU8" s="469" t="s">
        <v>1206</v>
      </c>
      <c r="DV8" s="469" t="s">
        <v>1206</v>
      </c>
      <c r="DW8" s="469" t="s">
        <v>1206</v>
      </c>
      <c r="DX8" s="469" t="s">
        <v>1206</v>
      </c>
      <c r="DY8" s="469" t="s">
        <v>1206</v>
      </c>
      <c r="DZ8" s="469" t="s">
        <v>1206</v>
      </c>
      <c r="EA8" s="469" t="s">
        <v>1206</v>
      </c>
      <c r="EB8" s="469" t="s">
        <v>1206</v>
      </c>
      <c r="EC8" s="469" t="s">
        <v>1206</v>
      </c>
      <c r="ED8" s="469" t="s">
        <v>1206</v>
      </c>
      <c r="EE8" s="469" t="s">
        <v>1206</v>
      </c>
      <c r="EF8" s="469" t="s">
        <v>1206</v>
      </c>
      <c r="EG8" s="469" t="s">
        <v>1206</v>
      </c>
      <c r="EH8" s="469" t="s">
        <v>1206</v>
      </c>
      <c r="EI8" s="469" t="s">
        <v>1206</v>
      </c>
      <c r="EJ8" s="469" t="s">
        <v>1206</v>
      </c>
      <c r="EK8" s="469" t="s">
        <v>1206</v>
      </c>
      <c r="EL8" s="469" t="s">
        <v>1206</v>
      </c>
      <c r="EM8" s="469" t="s">
        <v>1206</v>
      </c>
      <c r="EN8" s="469" t="s">
        <v>1206</v>
      </c>
      <c r="EO8" s="469" t="s">
        <v>1206</v>
      </c>
      <c r="EP8" s="469" t="s">
        <v>1206</v>
      </c>
      <c r="EQ8" s="469" t="s">
        <v>1206</v>
      </c>
      <c r="ER8" s="469" t="s">
        <v>1206</v>
      </c>
      <c r="ES8" s="469" t="s">
        <v>1206</v>
      </c>
      <c r="ET8" s="469" t="s">
        <v>1206</v>
      </c>
      <c r="EU8" s="469" t="s">
        <v>1206</v>
      </c>
      <c r="EV8" s="469" t="s">
        <v>1206</v>
      </c>
      <c r="EW8" s="469" t="s">
        <v>1206</v>
      </c>
      <c r="EX8" s="469" t="s">
        <v>1206</v>
      </c>
      <c r="EY8" s="469" t="s">
        <v>1206</v>
      </c>
      <c r="EZ8" s="469" t="s">
        <v>1206</v>
      </c>
      <c r="FA8" s="469" t="s">
        <v>1206</v>
      </c>
      <c r="FB8" s="469" t="s">
        <v>1206</v>
      </c>
      <c r="FC8" s="469" t="s">
        <v>1206</v>
      </c>
      <c r="FD8" s="469" t="s">
        <v>1206</v>
      </c>
      <c r="FE8" s="469" t="s">
        <v>1206</v>
      </c>
      <c r="FF8" s="469" t="s">
        <v>1206</v>
      </c>
      <c r="FG8" s="469" t="s">
        <v>1206</v>
      </c>
      <c r="FH8" s="469" t="s">
        <v>1206</v>
      </c>
      <c r="FI8" s="469" t="s">
        <v>1206</v>
      </c>
      <c r="FJ8" s="469" t="s">
        <v>1206</v>
      </c>
      <c r="FK8" s="469" t="s">
        <v>1206</v>
      </c>
      <c r="FL8" s="469" t="s">
        <v>1206</v>
      </c>
      <c r="FM8" s="469" t="s">
        <v>1206</v>
      </c>
      <c r="FN8" s="469" t="s">
        <v>1206</v>
      </c>
      <c r="FO8" s="469" t="s">
        <v>1206</v>
      </c>
      <c r="FP8" s="469" t="s">
        <v>1206</v>
      </c>
      <c r="FQ8" s="469" t="s">
        <v>1206</v>
      </c>
      <c r="FR8" s="469" t="s">
        <v>1206</v>
      </c>
      <c r="FS8" s="469" t="s">
        <v>1206</v>
      </c>
    </row>
    <row r="9" spans="1:175" x14ac:dyDescent="0.2">
      <c r="A9" s="458" t="s">
        <v>1206</v>
      </c>
      <c r="B9" s="458" t="s">
        <v>1206</v>
      </c>
      <c r="C9" s="458" t="s">
        <v>1206</v>
      </c>
      <c r="D9" s="458" t="s">
        <v>1206</v>
      </c>
      <c r="E9" s="470" t="s">
        <v>1206</v>
      </c>
      <c r="F9" s="459" t="s">
        <v>1206</v>
      </c>
      <c r="G9" s="460" t="s">
        <v>1206</v>
      </c>
      <c r="H9" s="461" t="s">
        <v>1206</v>
      </c>
      <c r="I9" s="462" t="s">
        <v>1206</v>
      </c>
      <c r="J9" s="462" t="s">
        <v>1206</v>
      </c>
      <c r="K9" s="462" t="s">
        <v>1206</v>
      </c>
      <c r="L9" s="462" t="s">
        <v>1206</v>
      </c>
      <c r="M9" s="462" t="s">
        <v>1206</v>
      </c>
      <c r="N9" s="462" t="s">
        <v>1206</v>
      </c>
      <c r="O9" s="462" t="s">
        <v>1206</v>
      </c>
      <c r="P9" s="462" t="s">
        <v>1206</v>
      </c>
      <c r="Q9" s="462" t="s">
        <v>1206</v>
      </c>
      <c r="R9" s="462" t="s">
        <v>1206</v>
      </c>
      <c r="S9" s="462" t="s">
        <v>1206</v>
      </c>
      <c r="T9" s="462" t="s">
        <v>1206</v>
      </c>
      <c r="U9" s="463" t="s">
        <v>1206</v>
      </c>
      <c r="V9" s="463" t="s">
        <v>1206</v>
      </c>
      <c r="W9" s="463" t="s">
        <v>1206</v>
      </c>
      <c r="X9" s="463" t="s">
        <v>1206</v>
      </c>
      <c r="Y9" s="463" t="s">
        <v>1206</v>
      </c>
      <c r="Z9" s="463" t="s">
        <v>1206</v>
      </c>
      <c r="AA9" s="463" t="s">
        <v>1206</v>
      </c>
      <c r="AB9" s="463" t="s">
        <v>1206</v>
      </c>
      <c r="AC9" s="463" t="s">
        <v>1206</v>
      </c>
      <c r="AD9" s="463" t="s">
        <v>1206</v>
      </c>
      <c r="AE9" s="463" t="s">
        <v>1206</v>
      </c>
      <c r="AF9" s="463" t="s">
        <v>1206</v>
      </c>
      <c r="AG9" s="463" t="s">
        <v>1206</v>
      </c>
      <c r="AH9" s="463" t="s">
        <v>1206</v>
      </c>
      <c r="AI9" s="463" t="s">
        <v>1206</v>
      </c>
      <c r="AJ9" s="463" t="s">
        <v>1206</v>
      </c>
      <c r="AK9" s="463" t="s">
        <v>1206</v>
      </c>
      <c r="AL9" s="463" t="s">
        <v>1206</v>
      </c>
      <c r="AM9" s="463" t="s">
        <v>1206</v>
      </c>
      <c r="AN9" s="463" t="s">
        <v>1206</v>
      </c>
      <c r="AO9" s="463" t="s">
        <v>1206</v>
      </c>
      <c r="AP9" s="463" t="s">
        <v>1206</v>
      </c>
      <c r="AQ9" s="463" t="s">
        <v>1206</v>
      </c>
      <c r="AR9" s="463" t="s">
        <v>1206</v>
      </c>
      <c r="AS9" s="463" t="s">
        <v>1206</v>
      </c>
      <c r="AT9" s="463" t="s">
        <v>1206</v>
      </c>
      <c r="AU9" s="463" t="s">
        <v>1206</v>
      </c>
      <c r="AV9" s="463" t="s">
        <v>1206</v>
      </c>
      <c r="AW9" s="463" t="s">
        <v>1206</v>
      </c>
      <c r="AX9" s="463" t="s">
        <v>1206</v>
      </c>
      <c r="AY9" s="463" t="s">
        <v>1206</v>
      </c>
      <c r="AZ9" s="463" t="s">
        <v>1206</v>
      </c>
      <c r="BA9" s="463" t="s">
        <v>1206</v>
      </c>
      <c r="BB9" s="463" t="s">
        <v>1206</v>
      </c>
      <c r="BC9" s="463" t="s">
        <v>1206</v>
      </c>
      <c r="BD9" s="463" t="s">
        <v>1206</v>
      </c>
      <c r="BE9" s="463" t="s">
        <v>1206</v>
      </c>
      <c r="BF9" s="463" t="s">
        <v>1206</v>
      </c>
      <c r="BG9" s="463" t="s">
        <v>1206</v>
      </c>
      <c r="BH9" s="463" t="s">
        <v>1206</v>
      </c>
      <c r="BI9" s="463" t="s">
        <v>1206</v>
      </c>
      <c r="BJ9" s="463" t="s">
        <v>1206</v>
      </c>
      <c r="BK9" s="463" t="s">
        <v>1206</v>
      </c>
      <c r="BL9" s="463" t="s">
        <v>1206</v>
      </c>
      <c r="BM9" s="463" t="s">
        <v>1206</v>
      </c>
      <c r="BN9" s="463" t="s">
        <v>1206</v>
      </c>
      <c r="BO9" s="463" t="s">
        <v>1206</v>
      </c>
      <c r="BP9" s="463" t="s">
        <v>1206</v>
      </c>
      <c r="BQ9" s="463" t="s">
        <v>1206</v>
      </c>
      <c r="BR9" s="463" t="s">
        <v>1206</v>
      </c>
      <c r="BS9" s="463" t="s">
        <v>1206</v>
      </c>
      <c r="BT9" s="463" t="s">
        <v>1206</v>
      </c>
      <c r="BU9" s="463" t="s">
        <v>1206</v>
      </c>
      <c r="BV9" s="463" t="s">
        <v>1206</v>
      </c>
      <c r="BW9" s="463" t="s">
        <v>1206</v>
      </c>
      <c r="BX9" s="463" t="s">
        <v>1206</v>
      </c>
      <c r="BY9" s="463" t="s">
        <v>1206</v>
      </c>
      <c r="BZ9" s="463" t="s">
        <v>1206</v>
      </c>
      <c r="CA9" s="463" t="s">
        <v>1206</v>
      </c>
      <c r="CB9" s="463" t="s">
        <v>1206</v>
      </c>
      <c r="CC9" s="463" t="s">
        <v>1206</v>
      </c>
      <c r="CD9" s="463" t="s">
        <v>1206</v>
      </c>
      <c r="CE9" s="464" t="s">
        <v>1206</v>
      </c>
      <c r="CF9" s="465" t="s">
        <v>1206</v>
      </c>
      <c r="CG9" s="465" t="s">
        <v>1206</v>
      </c>
      <c r="CH9" s="466" t="s">
        <v>1206</v>
      </c>
      <c r="CI9" s="467" t="s">
        <v>1206</v>
      </c>
      <c r="CJ9" s="468" t="s">
        <v>1206</v>
      </c>
      <c r="CK9" s="465" t="s">
        <v>1206</v>
      </c>
      <c r="CL9" s="465" t="s">
        <v>1206</v>
      </c>
      <c r="CM9" s="465" t="s">
        <v>1206</v>
      </c>
      <c r="CN9" s="466" t="s">
        <v>1206</v>
      </c>
      <c r="CO9" s="467" t="s">
        <v>1206</v>
      </c>
      <c r="CP9" s="468" t="s">
        <v>1206</v>
      </c>
      <c r="CQ9" s="465" t="s">
        <v>1206</v>
      </c>
      <c r="CR9" s="465" t="s">
        <v>1206</v>
      </c>
      <c r="CS9" s="465" t="s">
        <v>1206</v>
      </c>
      <c r="CT9" s="466" t="s">
        <v>1206</v>
      </c>
      <c r="CU9" s="467" t="s">
        <v>1206</v>
      </c>
      <c r="CV9" s="468" t="s">
        <v>1206</v>
      </c>
      <c r="CW9" s="469" t="s">
        <v>1206</v>
      </c>
      <c r="CX9" s="469" t="s">
        <v>1206</v>
      </c>
      <c r="CY9" s="469" t="s">
        <v>1206</v>
      </c>
      <c r="CZ9" s="469" t="s">
        <v>1206</v>
      </c>
      <c r="DA9" s="469" t="s">
        <v>1206</v>
      </c>
      <c r="DB9" s="469" t="s">
        <v>1206</v>
      </c>
      <c r="DC9" s="469" t="s">
        <v>1206</v>
      </c>
      <c r="DD9" s="469" t="s">
        <v>1206</v>
      </c>
      <c r="DE9" s="469" t="s">
        <v>1206</v>
      </c>
      <c r="DF9" s="469" t="s">
        <v>1206</v>
      </c>
      <c r="DG9" s="469" t="s">
        <v>1206</v>
      </c>
      <c r="DH9" s="469" t="s">
        <v>1206</v>
      </c>
      <c r="DI9" s="469" t="s">
        <v>1206</v>
      </c>
      <c r="DJ9" s="469" t="s">
        <v>1206</v>
      </c>
      <c r="DK9" s="469" t="s">
        <v>1206</v>
      </c>
      <c r="DL9" s="469" t="s">
        <v>1206</v>
      </c>
      <c r="DM9" s="469" t="s">
        <v>1206</v>
      </c>
      <c r="DN9" s="469" t="s">
        <v>1206</v>
      </c>
      <c r="DO9" s="469" t="s">
        <v>1206</v>
      </c>
      <c r="DP9" s="469" t="s">
        <v>1206</v>
      </c>
      <c r="DQ9" s="469" t="s">
        <v>1206</v>
      </c>
      <c r="DR9" s="469" t="s">
        <v>1206</v>
      </c>
      <c r="DS9" s="469" t="s">
        <v>1206</v>
      </c>
      <c r="DT9" s="469" t="s">
        <v>1206</v>
      </c>
      <c r="DU9" s="469" t="s">
        <v>1206</v>
      </c>
      <c r="DV9" s="469" t="s">
        <v>1206</v>
      </c>
      <c r="DW9" s="469" t="s">
        <v>1206</v>
      </c>
      <c r="DX9" s="469" t="s">
        <v>1206</v>
      </c>
      <c r="DY9" s="469" t="s">
        <v>1206</v>
      </c>
      <c r="DZ9" s="469" t="s">
        <v>1206</v>
      </c>
      <c r="EA9" s="469" t="s">
        <v>1206</v>
      </c>
      <c r="EB9" s="469" t="s">
        <v>1206</v>
      </c>
      <c r="EC9" s="469" t="s">
        <v>1206</v>
      </c>
      <c r="ED9" s="469" t="s">
        <v>1206</v>
      </c>
      <c r="EE9" s="469" t="s">
        <v>1206</v>
      </c>
      <c r="EF9" s="469" t="s">
        <v>1206</v>
      </c>
      <c r="EG9" s="469" t="s">
        <v>1206</v>
      </c>
      <c r="EH9" s="469" t="s">
        <v>1206</v>
      </c>
      <c r="EI9" s="469" t="s">
        <v>1206</v>
      </c>
      <c r="EJ9" s="469" t="s">
        <v>1206</v>
      </c>
      <c r="EK9" s="469" t="s">
        <v>1206</v>
      </c>
      <c r="EL9" s="469" t="s">
        <v>1206</v>
      </c>
      <c r="EM9" s="469" t="s">
        <v>1206</v>
      </c>
      <c r="EN9" s="469" t="s">
        <v>1206</v>
      </c>
      <c r="EO9" s="469" t="s">
        <v>1206</v>
      </c>
      <c r="EP9" s="469" t="s">
        <v>1206</v>
      </c>
      <c r="EQ9" s="469" t="s">
        <v>1206</v>
      </c>
      <c r="ER9" s="469" t="s">
        <v>1206</v>
      </c>
      <c r="ES9" s="469" t="s">
        <v>1206</v>
      </c>
      <c r="ET9" s="469" t="s">
        <v>1206</v>
      </c>
      <c r="EU9" s="469" t="s">
        <v>1206</v>
      </c>
      <c r="EV9" s="469" t="s">
        <v>1206</v>
      </c>
      <c r="EW9" s="469" t="s">
        <v>1206</v>
      </c>
      <c r="EX9" s="469" t="s">
        <v>1206</v>
      </c>
      <c r="EY9" s="469" t="s">
        <v>1206</v>
      </c>
      <c r="EZ9" s="469" t="s">
        <v>1206</v>
      </c>
      <c r="FA9" s="469" t="s">
        <v>1206</v>
      </c>
      <c r="FB9" s="469" t="s">
        <v>1206</v>
      </c>
      <c r="FC9" s="469" t="s">
        <v>1206</v>
      </c>
      <c r="FD9" s="469" t="s">
        <v>1206</v>
      </c>
      <c r="FE9" s="469" t="s">
        <v>1206</v>
      </c>
      <c r="FF9" s="469" t="s">
        <v>1206</v>
      </c>
      <c r="FG9" s="469" t="s">
        <v>1206</v>
      </c>
      <c r="FH9" s="469" t="s">
        <v>1206</v>
      </c>
      <c r="FI9" s="469" t="s">
        <v>1206</v>
      </c>
      <c r="FJ9" s="469" t="s">
        <v>1206</v>
      </c>
      <c r="FK9" s="469" t="s">
        <v>1206</v>
      </c>
      <c r="FL9" s="469" t="s">
        <v>1206</v>
      </c>
      <c r="FM9" s="469" t="s">
        <v>1206</v>
      </c>
      <c r="FN9" s="469" t="s">
        <v>1206</v>
      </c>
      <c r="FO9" s="469" t="s">
        <v>1206</v>
      </c>
      <c r="FP9" s="469" t="s">
        <v>1206</v>
      </c>
      <c r="FQ9" s="469" t="s">
        <v>1206</v>
      </c>
      <c r="FR9" s="469" t="s">
        <v>1206</v>
      </c>
      <c r="FS9" s="469" t="s">
        <v>1206</v>
      </c>
    </row>
    <row r="10" spans="1:175" x14ac:dyDescent="0.2">
      <c r="A10" s="458" t="s">
        <v>1206</v>
      </c>
      <c r="B10" s="458" t="s">
        <v>1206</v>
      </c>
      <c r="C10" s="458" t="s">
        <v>1206</v>
      </c>
      <c r="D10" s="458" t="s">
        <v>1206</v>
      </c>
      <c r="E10" s="470" t="s">
        <v>1206</v>
      </c>
      <c r="F10" s="459" t="s">
        <v>1206</v>
      </c>
      <c r="G10" s="460" t="s">
        <v>1206</v>
      </c>
      <c r="H10" s="461" t="s">
        <v>1206</v>
      </c>
      <c r="I10" s="462" t="s">
        <v>1206</v>
      </c>
      <c r="J10" s="462" t="s">
        <v>1206</v>
      </c>
      <c r="K10" s="462" t="s">
        <v>1206</v>
      </c>
      <c r="L10" s="462" t="s">
        <v>1206</v>
      </c>
      <c r="M10" s="462" t="s">
        <v>1206</v>
      </c>
      <c r="N10" s="462" t="s">
        <v>1206</v>
      </c>
      <c r="O10" s="462" t="s">
        <v>1206</v>
      </c>
      <c r="P10" s="462" t="s">
        <v>1206</v>
      </c>
      <c r="Q10" s="462" t="s">
        <v>1206</v>
      </c>
      <c r="R10" s="462" t="s">
        <v>1206</v>
      </c>
      <c r="S10" s="462" t="s">
        <v>1206</v>
      </c>
      <c r="T10" s="462" t="s">
        <v>1206</v>
      </c>
      <c r="U10" s="463" t="s">
        <v>1206</v>
      </c>
      <c r="V10" s="463" t="s">
        <v>1206</v>
      </c>
      <c r="W10" s="463" t="s">
        <v>1206</v>
      </c>
      <c r="X10" s="463" t="s">
        <v>1206</v>
      </c>
      <c r="Y10" s="463" t="s">
        <v>1206</v>
      </c>
      <c r="Z10" s="463" t="s">
        <v>1206</v>
      </c>
      <c r="AA10" s="463" t="s">
        <v>1206</v>
      </c>
      <c r="AB10" s="463" t="s">
        <v>1206</v>
      </c>
      <c r="AC10" s="463" t="s">
        <v>1206</v>
      </c>
      <c r="AD10" s="463" t="s">
        <v>1206</v>
      </c>
      <c r="AE10" s="463" t="s">
        <v>1206</v>
      </c>
      <c r="AF10" s="463" t="s">
        <v>1206</v>
      </c>
      <c r="AG10" s="463" t="s">
        <v>1206</v>
      </c>
      <c r="AH10" s="463" t="s">
        <v>1206</v>
      </c>
      <c r="AI10" s="463" t="s">
        <v>1206</v>
      </c>
      <c r="AJ10" s="463" t="s">
        <v>1206</v>
      </c>
      <c r="AK10" s="463" t="s">
        <v>1206</v>
      </c>
      <c r="AL10" s="463" t="s">
        <v>1206</v>
      </c>
      <c r="AM10" s="463" t="s">
        <v>1206</v>
      </c>
      <c r="AN10" s="463" t="s">
        <v>1206</v>
      </c>
      <c r="AO10" s="463" t="s">
        <v>1206</v>
      </c>
      <c r="AP10" s="463" t="s">
        <v>1206</v>
      </c>
      <c r="AQ10" s="463" t="s">
        <v>1206</v>
      </c>
      <c r="AR10" s="463" t="s">
        <v>1206</v>
      </c>
      <c r="AS10" s="463" t="s">
        <v>1206</v>
      </c>
      <c r="AT10" s="463" t="s">
        <v>1206</v>
      </c>
      <c r="AU10" s="463" t="s">
        <v>1206</v>
      </c>
      <c r="AV10" s="463" t="s">
        <v>1206</v>
      </c>
      <c r="AW10" s="463" t="s">
        <v>1206</v>
      </c>
      <c r="AX10" s="463" t="s">
        <v>1206</v>
      </c>
      <c r="AY10" s="463" t="s">
        <v>1206</v>
      </c>
      <c r="AZ10" s="463" t="s">
        <v>1206</v>
      </c>
      <c r="BA10" s="463" t="s">
        <v>1206</v>
      </c>
      <c r="BB10" s="463" t="s">
        <v>1206</v>
      </c>
      <c r="BC10" s="463" t="s">
        <v>1206</v>
      </c>
      <c r="BD10" s="463" t="s">
        <v>1206</v>
      </c>
      <c r="BE10" s="463" t="s">
        <v>1206</v>
      </c>
      <c r="BF10" s="463" t="s">
        <v>1206</v>
      </c>
      <c r="BG10" s="463" t="s">
        <v>1206</v>
      </c>
      <c r="BH10" s="463" t="s">
        <v>1206</v>
      </c>
      <c r="BI10" s="463" t="s">
        <v>1206</v>
      </c>
      <c r="BJ10" s="463" t="s">
        <v>1206</v>
      </c>
      <c r="BK10" s="463" t="s">
        <v>1206</v>
      </c>
      <c r="BL10" s="463" t="s">
        <v>1206</v>
      </c>
      <c r="BM10" s="463" t="s">
        <v>1206</v>
      </c>
      <c r="BN10" s="463" t="s">
        <v>1206</v>
      </c>
      <c r="BO10" s="463" t="s">
        <v>1206</v>
      </c>
      <c r="BP10" s="463" t="s">
        <v>1206</v>
      </c>
      <c r="BQ10" s="463" t="s">
        <v>1206</v>
      </c>
      <c r="BR10" s="463" t="s">
        <v>1206</v>
      </c>
      <c r="BS10" s="463" t="s">
        <v>1206</v>
      </c>
      <c r="BT10" s="463" t="s">
        <v>1206</v>
      </c>
      <c r="BU10" s="463" t="s">
        <v>1206</v>
      </c>
      <c r="BV10" s="463" t="s">
        <v>1206</v>
      </c>
      <c r="BW10" s="463" t="s">
        <v>1206</v>
      </c>
      <c r="BX10" s="463" t="s">
        <v>1206</v>
      </c>
      <c r="BY10" s="463" t="s">
        <v>1206</v>
      </c>
      <c r="BZ10" s="463" t="s">
        <v>1206</v>
      </c>
      <c r="CA10" s="463" t="s">
        <v>1206</v>
      </c>
      <c r="CB10" s="463" t="s">
        <v>1206</v>
      </c>
      <c r="CC10" s="463" t="s">
        <v>1206</v>
      </c>
      <c r="CD10" s="463" t="s">
        <v>1206</v>
      </c>
      <c r="CE10" s="464" t="s">
        <v>1206</v>
      </c>
      <c r="CF10" s="465" t="s">
        <v>1206</v>
      </c>
      <c r="CG10" s="465" t="s">
        <v>1206</v>
      </c>
      <c r="CH10" s="466" t="s">
        <v>1206</v>
      </c>
      <c r="CI10" s="467" t="s">
        <v>1206</v>
      </c>
      <c r="CJ10" s="468" t="s">
        <v>1206</v>
      </c>
      <c r="CK10" s="465" t="s">
        <v>1206</v>
      </c>
      <c r="CL10" s="465" t="s">
        <v>1206</v>
      </c>
      <c r="CM10" s="465" t="s">
        <v>1206</v>
      </c>
      <c r="CN10" s="466" t="s">
        <v>1206</v>
      </c>
      <c r="CO10" s="467" t="s">
        <v>1206</v>
      </c>
      <c r="CP10" s="468" t="s">
        <v>1206</v>
      </c>
      <c r="CQ10" s="465" t="s">
        <v>1206</v>
      </c>
      <c r="CR10" s="465" t="s">
        <v>1206</v>
      </c>
      <c r="CS10" s="465" t="s">
        <v>1206</v>
      </c>
      <c r="CT10" s="466" t="s">
        <v>1206</v>
      </c>
      <c r="CU10" s="467" t="s">
        <v>1206</v>
      </c>
      <c r="CV10" s="468" t="s">
        <v>1206</v>
      </c>
      <c r="CW10" s="469" t="s">
        <v>1206</v>
      </c>
      <c r="CX10" s="469" t="s">
        <v>1206</v>
      </c>
      <c r="CY10" s="469" t="s">
        <v>1206</v>
      </c>
      <c r="CZ10" s="469" t="s">
        <v>1206</v>
      </c>
      <c r="DA10" s="469" t="s">
        <v>1206</v>
      </c>
      <c r="DB10" s="469" t="s">
        <v>1206</v>
      </c>
      <c r="DC10" s="469" t="s">
        <v>1206</v>
      </c>
      <c r="DD10" s="469" t="s">
        <v>1206</v>
      </c>
      <c r="DE10" s="469" t="s">
        <v>1206</v>
      </c>
      <c r="DF10" s="469" t="s">
        <v>1206</v>
      </c>
      <c r="DG10" s="469" t="s">
        <v>1206</v>
      </c>
      <c r="DH10" s="469" t="s">
        <v>1206</v>
      </c>
      <c r="DI10" s="469" t="s">
        <v>1206</v>
      </c>
      <c r="DJ10" s="469" t="s">
        <v>1206</v>
      </c>
      <c r="DK10" s="469" t="s">
        <v>1206</v>
      </c>
      <c r="DL10" s="469" t="s">
        <v>1206</v>
      </c>
      <c r="DM10" s="469" t="s">
        <v>1206</v>
      </c>
      <c r="DN10" s="469" t="s">
        <v>1206</v>
      </c>
      <c r="DO10" s="469" t="s">
        <v>1206</v>
      </c>
      <c r="DP10" s="469" t="s">
        <v>1206</v>
      </c>
      <c r="DQ10" s="469" t="s">
        <v>1206</v>
      </c>
      <c r="DR10" s="469" t="s">
        <v>1206</v>
      </c>
      <c r="DS10" s="469" t="s">
        <v>1206</v>
      </c>
      <c r="DT10" s="469" t="s">
        <v>1206</v>
      </c>
      <c r="DU10" s="469" t="s">
        <v>1206</v>
      </c>
      <c r="DV10" s="469" t="s">
        <v>1206</v>
      </c>
      <c r="DW10" s="469" t="s">
        <v>1206</v>
      </c>
      <c r="DX10" s="469" t="s">
        <v>1206</v>
      </c>
      <c r="DY10" s="469" t="s">
        <v>1206</v>
      </c>
      <c r="DZ10" s="469" t="s">
        <v>1206</v>
      </c>
      <c r="EA10" s="469" t="s">
        <v>1206</v>
      </c>
      <c r="EB10" s="469" t="s">
        <v>1206</v>
      </c>
      <c r="EC10" s="469" t="s">
        <v>1206</v>
      </c>
      <c r="ED10" s="469" t="s">
        <v>1206</v>
      </c>
      <c r="EE10" s="469" t="s">
        <v>1206</v>
      </c>
      <c r="EF10" s="469" t="s">
        <v>1206</v>
      </c>
      <c r="EG10" s="469" t="s">
        <v>1206</v>
      </c>
      <c r="EH10" s="469" t="s">
        <v>1206</v>
      </c>
      <c r="EI10" s="469" t="s">
        <v>1206</v>
      </c>
      <c r="EJ10" s="469" t="s">
        <v>1206</v>
      </c>
      <c r="EK10" s="469" t="s">
        <v>1206</v>
      </c>
      <c r="EL10" s="469" t="s">
        <v>1206</v>
      </c>
      <c r="EM10" s="469" t="s">
        <v>1206</v>
      </c>
      <c r="EN10" s="469" t="s">
        <v>1206</v>
      </c>
      <c r="EO10" s="469" t="s">
        <v>1206</v>
      </c>
      <c r="EP10" s="469" t="s">
        <v>1206</v>
      </c>
      <c r="EQ10" s="469" t="s">
        <v>1206</v>
      </c>
      <c r="ER10" s="469" t="s">
        <v>1206</v>
      </c>
      <c r="ES10" s="469" t="s">
        <v>1206</v>
      </c>
      <c r="ET10" s="469" t="s">
        <v>1206</v>
      </c>
      <c r="EU10" s="469" t="s">
        <v>1206</v>
      </c>
      <c r="EV10" s="469" t="s">
        <v>1206</v>
      </c>
      <c r="EW10" s="469" t="s">
        <v>1206</v>
      </c>
      <c r="EX10" s="469" t="s">
        <v>1206</v>
      </c>
      <c r="EY10" s="469" t="s">
        <v>1206</v>
      </c>
      <c r="EZ10" s="469" t="s">
        <v>1206</v>
      </c>
      <c r="FA10" s="469" t="s">
        <v>1206</v>
      </c>
      <c r="FB10" s="469" t="s">
        <v>1206</v>
      </c>
      <c r="FC10" s="469" t="s">
        <v>1206</v>
      </c>
      <c r="FD10" s="469" t="s">
        <v>1206</v>
      </c>
      <c r="FE10" s="469" t="s">
        <v>1206</v>
      </c>
      <c r="FF10" s="469" t="s">
        <v>1206</v>
      </c>
      <c r="FG10" s="469" t="s">
        <v>1206</v>
      </c>
      <c r="FH10" s="469" t="s">
        <v>1206</v>
      </c>
      <c r="FI10" s="469" t="s">
        <v>1206</v>
      </c>
      <c r="FJ10" s="469" t="s">
        <v>1206</v>
      </c>
      <c r="FK10" s="469" t="s">
        <v>1206</v>
      </c>
      <c r="FL10" s="469" t="s">
        <v>1206</v>
      </c>
      <c r="FM10" s="469" t="s">
        <v>1206</v>
      </c>
      <c r="FN10" s="469" t="s">
        <v>1206</v>
      </c>
      <c r="FO10" s="469" t="s">
        <v>1206</v>
      </c>
      <c r="FP10" s="469" t="s">
        <v>1206</v>
      </c>
      <c r="FQ10" s="469" t="s">
        <v>1206</v>
      </c>
      <c r="FR10" s="469" t="s">
        <v>1206</v>
      </c>
      <c r="FS10" s="469" t="s">
        <v>1206</v>
      </c>
    </row>
    <row r="11" spans="1:175" x14ac:dyDescent="0.2">
      <c r="A11" s="458" t="s">
        <v>1206</v>
      </c>
      <c r="B11" s="458" t="s">
        <v>1206</v>
      </c>
      <c r="C11" s="458" t="s">
        <v>1206</v>
      </c>
      <c r="D11" s="458" t="s">
        <v>1206</v>
      </c>
      <c r="E11" s="470" t="s">
        <v>1206</v>
      </c>
      <c r="F11" s="459" t="s">
        <v>1206</v>
      </c>
      <c r="G11" s="460" t="s">
        <v>1206</v>
      </c>
      <c r="H11" s="461" t="s">
        <v>1206</v>
      </c>
      <c r="I11" s="462" t="s">
        <v>1206</v>
      </c>
      <c r="J11" s="462" t="s">
        <v>1206</v>
      </c>
      <c r="K11" s="462" t="s">
        <v>1206</v>
      </c>
      <c r="L11" s="462" t="s">
        <v>1206</v>
      </c>
      <c r="M11" s="462" t="s">
        <v>1206</v>
      </c>
      <c r="N11" s="462" t="s">
        <v>1206</v>
      </c>
      <c r="O11" s="462" t="s">
        <v>1206</v>
      </c>
      <c r="P11" s="462" t="s">
        <v>1206</v>
      </c>
      <c r="Q11" s="462" t="s">
        <v>1206</v>
      </c>
      <c r="R11" s="462" t="s">
        <v>1206</v>
      </c>
      <c r="S11" s="462" t="s">
        <v>1206</v>
      </c>
      <c r="T11" s="462" t="s">
        <v>1206</v>
      </c>
      <c r="U11" s="463" t="s">
        <v>1206</v>
      </c>
      <c r="V11" s="463" t="s">
        <v>1206</v>
      </c>
      <c r="W11" s="463" t="s">
        <v>1206</v>
      </c>
      <c r="X11" s="463" t="s">
        <v>1206</v>
      </c>
      <c r="Y11" s="463" t="s">
        <v>1206</v>
      </c>
      <c r="Z11" s="463" t="s">
        <v>1206</v>
      </c>
      <c r="AA11" s="463" t="s">
        <v>1206</v>
      </c>
      <c r="AB11" s="463" t="s">
        <v>1206</v>
      </c>
      <c r="AC11" s="463" t="s">
        <v>1206</v>
      </c>
      <c r="AD11" s="463" t="s">
        <v>1206</v>
      </c>
      <c r="AE11" s="463" t="s">
        <v>1206</v>
      </c>
      <c r="AF11" s="463" t="s">
        <v>1206</v>
      </c>
      <c r="AG11" s="463" t="s">
        <v>1206</v>
      </c>
      <c r="AH11" s="463" t="s">
        <v>1206</v>
      </c>
      <c r="AI11" s="463" t="s">
        <v>1206</v>
      </c>
      <c r="AJ11" s="463" t="s">
        <v>1206</v>
      </c>
      <c r="AK11" s="463" t="s">
        <v>1206</v>
      </c>
      <c r="AL11" s="463" t="s">
        <v>1206</v>
      </c>
      <c r="AM11" s="463" t="s">
        <v>1206</v>
      </c>
      <c r="AN11" s="463" t="s">
        <v>1206</v>
      </c>
      <c r="AO11" s="463" t="s">
        <v>1206</v>
      </c>
      <c r="AP11" s="463" t="s">
        <v>1206</v>
      </c>
      <c r="AQ11" s="463" t="s">
        <v>1206</v>
      </c>
      <c r="AR11" s="463" t="s">
        <v>1206</v>
      </c>
      <c r="AS11" s="463" t="s">
        <v>1206</v>
      </c>
      <c r="AT11" s="463" t="s">
        <v>1206</v>
      </c>
      <c r="AU11" s="463" t="s">
        <v>1206</v>
      </c>
      <c r="AV11" s="463" t="s">
        <v>1206</v>
      </c>
      <c r="AW11" s="463" t="s">
        <v>1206</v>
      </c>
      <c r="AX11" s="463" t="s">
        <v>1206</v>
      </c>
      <c r="AY11" s="463" t="s">
        <v>1206</v>
      </c>
      <c r="AZ11" s="463" t="s">
        <v>1206</v>
      </c>
      <c r="BA11" s="463" t="s">
        <v>1206</v>
      </c>
      <c r="BB11" s="463" t="s">
        <v>1206</v>
      </c>
      <c r="BC11" s="463" t="s">
        <v>1206</v>
      </c>
      <c r="BD11" s="463" t="s">
        <v>1206</v>
      </c>
      <c r="BE11" s="463" t="s">
        <v>1206</v>
      </c>
      <c r="BF11" s="463" t="s">
        <v>1206</v>
      </c>
      <c r="BG11" s="463" t="s">
        <v>1206</v>
      </c>
      <c r="BH11" s="463" t="s">
        <v>1206</v>
      </c>
      <c r="BI11" s="463" t="s">
        <v>1206</v>
      </c>
      <c r="BJ11" s="463" t="s">
        <v>1206</v>
      </c>
      <c r="BK11" s="463" t="s">
        <v>1206</v>
      </c>
      <c r="BL11" s="463" t="s">
        <v>1206</v>
      </c>
      <c r="BM11" s="463" t="s">
        <v>1206</v>
      </c>
      <c r="BN11" s="463" t="s">
        <v>1206</v>
      </c>
      <c r="BO11" s="463" t="s">
        <v>1206</v>
      </c>
      <c r="BP11" s="463" t="s">
        <v>1206</v>
      </c>
      <c r="BQ11" s="463" t="s">
        <v>1206</v>
      </c>
      <c r="BR11" s="463" t="s">
        <v>1206</v>
      </c>
      <c r="BS11" s="463" t="s">
        <v>1206</v>
      </c>
      <c r="BT11" s="463" t="s">
        <v>1206</v>
      </c>
      <c r="BU11" s="463" t="s">
        <v>1206</v>
      </c>
      <c r="BV11" s="463" t="s">
        <v>1206</v>
      </c>
      <c r="BW11" s="463" t="s">
        <v>1206</v>
      </c>
      <c r="BX11" s="463" t="s">
        <v>1206</v>
      </c>
      <c r="BY11" s="463" t="s">
        <v>1206</v>
      </c>
      <c r="BZ11" s="463" t="s">
        <v>1206</v>
      </c>
      <c r="CA11" s="463" t="s">
        <v>1206</v>
      </c>
      <c r="CB11" s="463" t="s">
        <v>1206</v>
      </c>
      <c r="CC11" s="463" t="s">
        <v>1206</v>
      </c>
      <c r="CD11" s="463" t="s">
        <v>1206</v>
      </c>
      <c r="CE11" s="464" t="s">
        <v>1206</v>
      </c>
      <c r="CF11" s="465" t="s">
        <v>1206</v>
      </c>
      <c r="CG11" s="465" t="s">
        <v>1206</v>
      </c>
      <c r="CH11" s="466" t="s">
        <v>1206</v>
      </c>
      <c r="CI11" s="467" t="s">
        <v>1206</v>
      </c>
      <c r="CJ11" s="468" t="s">
        <v>1206</v>
      </c>
      <c r="CK11" s="465" t="s">
        <v>1206</v>
      </c>
      <c r="CL11" s="465" t="s">
        <v>1206</v>
      </c>
      <c r="CM11" s="465" t="s">
        <v>1206</v>
      </c>
      <c r="CN11" s="466" t="s">
        <v>1206</v>
      </c>
      <c r="CO11" s="467" t="s">
        <v>1206</v>
      </c>
      <c r="CP11" s="468" t="s">
        <v>1206</v>
      </c>
      <c r="CQ11" s="465" t="s">
        <v>1206</v>
      </c>
      <c r="CR11" s="465" t="s">
        <v>1206</v>
      </c>
      <c r="CS11" s="465" t="s">
        <v>1206</v>
      </c>
      <c r="CT11" s="466" t="s">
        <v>1206</v>
      </c>
      <c r="CU11" s="467" t="s">
        <v>1206</v>
      </c>
      <c r="CV11" s="468" t="s">
        <v>1206</v>
      </c>
      <c r="CW11" s="469" t="s">
        <v>1206</v>
      </c>
      <c r="CX11" s="469" t="s">
        <v>1206</v>
      </c>
      <c r="CY11" s="469" t="s">
        <v>1206</v>
      </c>
      <c r="CZ11" s="469" t="s">
        <v>1206</v>
      </c>
      <c r="DA11" s="469" t="s">
        <v>1206</v>
      </c>
      <c r="DB11" s="469" t="s">
        <v>1206</v>
      </c>
      <c r="DC11" s="469" t="s">
        <v>1206</v>
      </c>
      <c r="DD11" s="469" t="s">
        <v>1206</v>
      </c>
      <c r="DE11" s="469" t="s">
        <v>1206</v>
      </c>
      <c r="DF11" s="469" t="s">
        <v>1206</v>
      </c>
      <c r="DG11" s="469" t="s">
        <v>1206</v>
      </c>
      <c r="DH11" s="469" t="s">
        <v>1206</v>
      </c>
      <c r="DI11" s="469" t="s">
        <v>1206</v>
      </c>
      <c r="DJ11" s="469" t="s">
        <v>1206</v>
      </c>
      <c r="DK11" s="469" t="s">
        <v>1206</v>
      </c>
      <c r="DL11" s="469" t="s">
        <v>1206</v>
      </c>
      <c r="DM11" s="469" t="s">
        <v>1206</v>
      </c>
      <c r="DN11" s="469" t="s">
        <v>1206</v>
      </c>
      <c r="DO11" s="469" t="s">
        <v>1206</v>
      </c>
      <c r="DP11" s="469" t="s">
        <v>1206</v>
      </c>
      <c r="DQ11" s="469" t="s">
        <v>1206</v>
      </c>
      <c r="DR11" s="469" t="s">
        <v>1206</v>
      </c>
      <c r="DS11" s="469" t="s">
        <v>1206</v>
      </c>
      <c r="DT11" s="469" t="s">
        <v>1206</v>
      </c>
      <c r="DU11" s="469" t="s">
        <v>1206</v>
      </c>
      <c r="DV11" s="469" t="s">
        <v>1206</v>
      </c>
      <c r="DW11" s="469" t="s">
        <v>1206</v>
      </c>
      <c r="DX11" s="469" t="s">
        <v>1206</v>
      </c>
      <c r="DY11" s="469" t="s">
        <v>1206</v>
      </c>
      <c r="DZ11" s="469" t="s">
        <v>1206</v>
      </c>
      <c r="EA11" s="469" t="s">
        <v>1206</v>
      </c>
      <c r="EB11" s="469" t="s">
        <v>1206</v>
      </c>
      <c r="EC11" s="469" t="s">
        <v>1206</v>
      </c>
      <c r="ED11" s="469" t="s">
        <v>1206</v>
      </c>
      <c r="EE11" s="469" t="s">
        <v>1206</v>
      </c>
      <c r="EF11" s="469" t="s">
        <v>1206</v>
      </c>
      <c r="EG11" s="469" t="s">
        <v>1206</v>
      </c>
      <c r="EH11" s="469" t="s">
        <v>1206</v>
      </c>
      <c r="EI11" s="469" t="s">
        <v>1206</v>
      </c>
      <c r="EJ11" s="469" t="s">
        <v>1206</v>
      </c>
      <c r="EK11" s="469" t="s">
        <v>1206</v>
      </c>
      <c r="EL11" s="469" t="s">
        <v>1206</v>
      </c>
      <c r="EM11" s="469" t="s">
        <v>1206</v>
      </c>
      <c r="EN11" s="469" t="s">
        <v>1206</v>
      </c>
      <c r="EO11" s="469" t="s">
        <v>1206</v>
      </c>
      <c r="EP11" s="469" t="s">
        <v>1206</v>
      </c>
      <c r="EQ11" s="469" t="s">
        <v>1206</v>
      </c>
      <c r="ER11" s="469" t="s">
        <v>1206</v>
      </c>
      <c r="ES11" s="469" t="s">
        <v>1206</v>
      </c>
      <c r="ET11" s="469" t="s">
        <v>1206</v>
      </c>
      <c r="EU11" s="469" t="s">
        <v>1206</v>
      </c>
      <c r="EV11" s="469" t="s">
        <v>1206</v>
      </c>
      <c r="EW11" s="469" t="s">
        <v>1206</v>
      </c>
      <c r="EX11" s="469" t="s">
        <v>1206</v>
      </c>
      <c r="EY11" s="469" t="s">
        <v>1206</v>
      </c>
      <c r="EZ11" s="469" t="s">
        <v>1206</v>
      </c>
      <c r="FA11" s="469" t="s">
        <v>1206</v>
      </c>
      <c r="FB11" s="469" t="s">
        <v>1206</v>
      </c>
      <c r="FC11" s="469" t="s">
        <v>1206</v>
      </c>
      <c r="FD11" s="469" t="s">
        <v>1206</v>
      </c>
      <c r="FE11" s="469" t="s">
        <v>1206</v>
      </c>
      <c r="FF11" s="469" t="s">
        <v>1206</v>
      </c>
      <c r="FG11" s="469" t="s">
        <v>1206</v>
      </c>
      <c r="FH11" s="469" t="s">
        <v>1206</v>
      </c>
      <c r="FI11" s="469" t="s">
        <v>1206</v>
      </c>
      <c r="FJ11" s="469" t="s">
        <v>1206</v>
      </c>
      <c r="FK11" s="469" t="s">
        <v>1206</v>
      </c>
      <c r="FL11" s="469" t="s">
        <v>1206</v>
      </c>
      <c r="FM11" s="469" t="s">
        <v>1206</v>
      </c>
      <c r="FN11" s="469" t="s">
        <v>1206</v>
      </c>
      <c r="FO11" s="469" t="s">
        <v>1206</v>
      </c>
      <c r="FP11" s="469" t="s">
        <v>1206</v>
      </c>
      <c r="FQ11" s="469" t="s">
        <v>1206</v>
      </c>
      <c r="FR11" s="469" t="s">
        <v>1206</v>
      </c>
      <c r="FS11" s="469" t="s">
        <v>1206</v>
      </c>
    </row>
    <row r="12" spans="1:175" x14ac:dyDescent="0.2">
      <c r="A12" s="458" t="s">
        <v>1206</v>
      </c>
      <c r="B12" s="458" t="s">
        <v>1206</v>
      </c>
      <c r="C12" s="458" t="s">
        <v>1206</v>
      </c>
      <c r="D12" s="458" t="s">
        <v>1206</v>
      </c>
      <c r="E12" s="470" t="s">
        <v>1206</v>
      </c>
      <c r="F12" s="459" t="s">
        <v>1206</v>
      </c>
      <c r="G12" s="460" t="s">
        <v>1206</v>
      </c>
      <c r="H12" s="461" t="s">
        <v>1206</v>
      </c>
      <c r="I12" s="462" t="s">
        <v>1206</v>
      </c>
      <c r="J12" s="462" t="s">
        <v>1206</v>
      </c>
      <c r="K12" s="462" t="s">
        <v>1206</v>
      </c>
      <c r="L12" s="462" t="s">
        <v>1206</v>
      </c>
      <c r="M12" s="462" t="s">
        <v>1206</v>
      </c>
      <c r="N12" s="462" t="s">
        <v>1206</v>
      </c>
      <c r="O12" s="462" t="s">
        <v>1206</v>
      </c>
      <c r="P12" s="462" t="s">
        <v>1206</v>
      </c>
      <c r="Q12" s="462" t="s">
        <v>1206</v>
      </c>
      <c r="R12" s="462" t="s">
        <v>1206</v>
      </c>
      <c r="S12" s="462" t="s">
        <v>1206</v>
      </c>
      <c r="T12" s="462" t="s">
        <v>1206</v>
      </c>
      <c r="U12" s="463" t="s">
        <v>1206</v>
      </c>
      <c r="V12" s="463" t="s">
        <v>1206</v>
      </c>
      <c r="W12" s="463" t="s">
        <v>1206</v>
      </c>
      <c r="X12" s="463" t="s">
        <v>1206</v>
      </c>
      <c r="Y12" s="463" t="s">
        <v>1206</v>
      </c>
      <c r="Z12" s="463" t="s">
        <v>1206</v>
      </c>
      <c r="AA12" s="463" t="s">
        <v>1206</v>
      </c>
      <c r="AB12" s="463" t="s">
        <v>1206</v>
      </c>
      <c r="AC12" s="463" t="s">
        <v>1206</v>
      </c>
      <c r="AD12" s="463" t="s">
        <v>1206</v>
      </c>
      <c r="AE12" s="463" t="s">
        <v>1206</v>
      </c>
      <c r="AF12" s="463" t="s">
        <v>1206</v>
      </c>
      <c r="AG12" s="463" t="s">
        <v>1206</v>
      </c>
      <c r="AH12" s="463" t="s">
        <v>1206</v>
      </c>
      <c r="AI12" s="463" t="s">
        <v>1206</v>
      </c>
      <c r="AJ12" s="463" t="s">
        <v>1206</v>
      </c>
      <c r="AK12" s="463" t="s">
        <v>1206</v>
      </c>
      <c r="AL12" s="463" t="s">
        <v>1206</v>
      </c>
      <c r="AM12" s="463" t="s">
        <v>1206</v>
      </c>
      <c r="AN12" s="463" t="s">
        <v>1206</v>
      </c>
      <c r="AO12" s="463" t="s">
        <v>1206</v>
      </c>
      <c r="AP12" s="463" t="s">
        <v>1206</v>
      </c>
      <c r="AQ12" s="463" t="s">
        <v>1206</v>
      </c>
      <c r="AR12" s="463" t="s">
        <v>1206</v>
      </c>
      <c r="AS12" s="463" t="s">
        <v>1206</v>
      </c>
      <c r="AT12" s="463" t="s">
        <v>1206</v>
      </c>
      <c r="AU12" s="463" t="s">
        <v>1206</v>
      </c>
      <c r="AV12" s="463" t="s">
        <v>1206</v>
      </c>
      <c r="AW12" s="463" t="s">
        <v>1206</v>
      </c>
      <c r="AX12" s="463" t="s">
        <v>1206</v>
      </c>
      <c r="AY12" s="463" t="s">
        <v>1206</v>
      </c>
      <c r="AZ12" s="463" t="s">
        <v>1206</v>
      </c>
      <c r="BA12" s="463" t="s">
        <v>1206</v>
      </c>
      <c r="BB12" s="463" t="s">
        <v>1206</v>
      </c>
      <c r="BC12" s="463" t="s">
        <v>1206</v>
      </c>
      <c r="BD12" s="463" t="s">
        <v>1206</v>
      </c>
      <c r="BE12" s="463" t="s">
        <v>1206</v>
      </c>
      <c r="BF12" s="463" t="s">
        <v>1206</v>
      </c>
      <c r="BG12" s="463" t="s">
        <v>1206</v>
      </c>
      <c r="BH12" s="463" t="s">
        <v>1206</v>
      </c>
      <c r="BI12" s="463" t="s">
        <v>1206</v>
      </c>
      <c r="BJ12" s="463" t="s">
        <v>1206</v>
      </c>
      <c r="BK12" s="463" t="s">
        <v>1206</v>
      </c>
      <c r="BL12" s="463" t="s">
        <v>1206</v>
      </c>
      <c r="BM12" s="463" t="s">
        <v>1206</v>
      </c>
      <c r="BN12" s="463" t="s">
        <v>1206</v>
      </c>
      <c r="BO12" s="463" t="s">
        <v>1206</v>
      </c>
      <c r="BP12" s="463" t="s">
        <v>1206</v>
      </c>
      <c r="BQ12" s="463" t="s">
        <v>1206</v>
      </c>
      <c r="BR12" s="463" t="s">
        <v>1206</v>
      </c>
      <c r="BS12" s="463" t="s">
        <v>1206</v>
      </c>
      <c r="BT12" s="463" t="s">
        <v>1206</v>
      </c>
      <c r="BU12" s="463" t="s">
        <v>1206</v>
      </c>
      <c r="BV12" s="463" t="s">
        <v>1206</v>
      </c>
      <c r="BW12" s="463" t="s">
        <v>1206</v>
      </c>
      <c r="BX12" s="463" t="s">
        <v>1206</v>
      </c>
      <c r="BY12" s="463" t="s">
        <v>1206</v>
      </c>
      <c r="BZ12" s="463" t="s">
        <v>1206</v>
      </c>
      <c r="CA12" s="463" t="s">
        <v>1206</v>
      </c>
      <c r="CB12" s="463" t="s">
        <v>1206</v>
      </c>
      <c r="CC12" s="463" t="s">
        <v>1206</v>
      </c>
      <c r="CD12" s="463" t="s">
        <v>1206</v>
      </c>
      <c r="CE12" s="464" t="s">
        <v>1206</v>
      </c>
      <c r="CF12" s="465" t="s">
        <v>1206</v>
      </c>
      <c r="CG12" s="465" t="s">
        <v>1206</v>
      </c>
      <c r="CH12" s="466" t="s">
        <v>1206</v>
      </c>
      <c r="CI12" s="467" t="s">
        <v>1206</v>
      </c>
      <c r="CJ12" s="468" t="s">
        <v>1206</v>
      </c>
      <c r="CK12" s="465" t="s">
        <v>1206</v>
      </c>
      <c r="CL12" s="465" t="s">
        <v>1206</v>
      </c>
      <c r="CM12" s="465" t="s">
        <v>1206</v>
      </c>
      <c r="CN12" s="466" t="s">
        <v>1206</v>
      </c>
      <c r="CO12" s="467" t="s">
        <v>1206</v>
      </c>
      <c r="CP12" s="468" t="s">
        <v>1206</v>
      </c>
      <c r="CQ12" s="465" t="s">
        <v>1206</v>
      </c>
      <c r="CR12" s="465" t="s">
        <v>1206</v>
      </c>
      <c r="CS12" s="465" t="s">
        <v>1206</v>
      </c>
      <c r="CT12" s="466" t="s">
        <v>1206</v>
      </c>
      <c r="CU12" s="467" t="s">
        <v>1206</v>
      </c>
      <c r="CV12" s="468" t="s">
        <v>1206</v>
      </c>
      <c r="CW12" s="469" t="s">
        <v>1206</v>
      </c>
      <c r="CX12" s="469" t="s">
        <v>1206</v>
      </c>
      <c r="CY12" s="469" t="s">
        <v>1206</v>
      </c>
      <c r="CZ12" s="469" t="s">
        <v>1206</v>
      </c>
      <c r="DA12" s="469" t="s">
        <v>1206</v>
      </c>
      <c r="DB12" s="469" t="s">
        <v>1206</v>
      </c>
      <c r="DC12" s="469" t="s">
        <v>1206</v>
      </c>
      <c r="DD12" s="469" t="s">
        <v>1206</v>
      </c>
      <c r="DE12" s="469" t="s">
        <v>1206</v>
      </c>
      <c r="DF12" s="469" t="s">
        <v>1206</v>
      </c>
      <c r="DG12" s="469" t="s">
        <v>1206</v>
      </c>
      <c r="DH12" s="469" t="s">
        <v>1206</v>
      </c>
      <c r="DI12" s="469" t="s">
        <v>1206</v>
      </c>
      <c r="DJ12" s="469" t="s">
        <v>1206</v>
      </c>
      <c r="DK12" s="469" t="s">
        <v>1206</v>
      </c>
      <c r="DL12" s="469" t="s">
        <v>1206</v>
      </c>
      <c r="DM12" s="469" t="s">
        <v>1206</v>
      </c>
      <c r="DN12" s="469" t="s">
        <v>1206</v>
      </c>
      <c r="DO12" s="469" t="s">
        <v>1206</v>
      </c>
      <c r="DP12" s="469" t="s">
        <v>1206</v>
      </c>
      <c r="DQ12" s="469" t="s">
        <v>1206</v>
      </c>
      <c r="DR12" s="469" t="s">
        <v>1206</v>
      </c>
      <c r="DS12" s="469" t="s">
        <v>1206</v>
      </c>
      <c r="DT12" s="469" t="s">
        <v>1206</v>
      </c>
      <c r="DU12" s="469" t="s">
        <v>1206</v>
      </c>
      <c r="DV12" s="469" t="s">
        <v>1206</v>
      </c>
      <c r="DW12" s="469" t="s">
        <v>1206</v>
      </c>
      <c r="DX12" s="469" t="s">
        <v>1206</v>
      </c>
      <c r="DY12" s="469" t="s">
        <v>1206</v>
      </c>
      <c r="DZ12" s="469" t="s">
        <v>1206</v>
      </c>
      <c r="EA12" s="469" t="s">
        <v>1206</v>
      </c>
      <c r="EB12" s="469" t="s">
        <v>1206</v>
      </c>
      <c r="EC12" s="469" t="s">
        <v>1206</v>
      </c>
      <c r="ED12" s="469" t="s">
        <v>1206</v>
      </c>
      <c r="EE12" s="469" t="s">
        <v>1206</v>
      </c>
      <c r="EF12" s="469" t="s">
        <v>1206</v>
      </c>
      <c r="EG12" s="469" t="s">
        <v>1206</v>
      </c>
      <c r="EH12" s="469" t="s">
        <v>1206</v>
      </c>
      <c r="EI12" s="469" t="s">
        <v>1206</v>
      </c>
      <c r="EJ12" s="469" t="s">
        <v>1206</v>
      </c>
      <c r="EK12" s="469" t="s">
        <v>1206</v>
      </c>
      <c r="EL12" s="469" t="s">
        <v>1206</v>
      </c>
      <c r="EM12" s="469" t="s">
        <v>1206</v>
      </c>
      <c r="EN12" s="469" t="s">
        <v>1206</v>
      </c>
      <c r="EO12" s="469" t="s">
        <v>1206</v>
      </c>
      <c r="EP12" s="469" t="s">
        <v>1206</v>
      </c>
      <c r="EQ12" s="469" t="s">
        <v>1206</v>
      </c>
      <c r="ER12" s="469" t="s">
        <v>1206</v>
      </c>
      <c r="ES12" s="469" t="s">
        <v>1206</v>
      </c>
      <c r="ET12" s="469" t="s">
        <v>1206</v>
      </c>
      <c r="EU12" s="469" t="s">
        <v>1206</v>
      </c>
      <c r="EV12" s="469" t="s">
        <v>1206</v>
      </c>
      <c r="EW12" s="469" t="s">
        <v>1206</v>
      </c>
      <c r="EX12" s="469" t="s">
        <v>1206</v>
      </c>
      <c r="EY12" s="469" t="s">
        <v>1206</v>
      </c>
      <c r="EZ12" s="469" t="s">
        <v>1206</v>
      </c>
      <c r="FA12" s="469" t="s">
        <v>1206</v>
      </c>
      <c r="FB12" s="469" t="s">
        <v>1206</v>
      </c>
      <c r="FC12" s="469" t="s">
        <v>1206</v>
      </c>
      <c r="FD12" s="469" t="s">
        <v>1206</v>
      </c>
      <c r="FE12" s="469" t="s">
        <v>1206</v>
      </c>
      <c r="FF12" s="469" t="s">
        <v>1206</v>
      </c>
      <c r="FG12" s="469" t="s">
        <v>1206</v>
      </c>
      <c r="FH12" s="469" t="s">
        <v>1206</v>
      </c>
      <c r="FI12" s="469" t="s">
        <v>1206</v>
      </c>
      <c r="FJ12" s="469" t="s">
        <v>1206</v>
      </c>
      <c r="FK12" s="469" t="s">
        <v>1206</v>
      </c>
      <c r="FL12" s="469" t="s">
        <v>1206</v>
      </c>
      <c r="FM12" s="469" t="s">
        <v>1206</v>
      </c>
      <c r="FN12" s="469" t="s">
        <v>1206</v>
      </c>
      <c r="FO12" s="469" t="s">
        <v>1206</v>
      </c>
      <c r="FP12" s="469" t="s">
        <v>1206</v>
      </c>
      <c r="FQ12" s="469" t="s">
        <v>1206</v>
      </c>
      <c r="FR12" s="469" t="s">
        <v>1206</v>
      </c>
      <c r="FS12" s="469" t="s">
        <v>1206</v>
      </c>
    </row>
    <row r="13" spans="1:175" x14ac:dyDescent="0.2">
      <c r="A13" s="458" t="s">
        <v>1206</v>
      </c>
      <c r="B13" s="458" t="s">
        <v>1206</v>
      </c>
      <c r="C13" s="458" t="s">
        <v>1206</v>
      </c>
      <c r="D13" s="458" t="s">
        <v>1206</v>
      </c>
      <c r="E13" s="470" t="s">
        <v>1206</v>
      </c>
      <c r="F13" s="459" t="s">
        <v>1206</v>
      </c>
      <c r="G13" s="460" t="s">
        <v>1206</v>
      </c>
      <c r="H13" s="461" t="s">
        <v>1206</v>
      </c>
      <c r="I13" s="462" t="s">
        <v>1206</v>
      </c>
      <c r="J13" s="462" t="s">
        <v>1206</v>
      </c>
      <c r="K13" s="462" t="s">
        <v>1206</v>
      </c>
      <c r="L13" s="462" t="s">
        <v>1206</v>
      </c>
      <c r="M13" s="462" t="s">
        <v>1206</v>
      </c>
      <c r="N13" s="462" t="s">
        <v>1206</v>
      </c>
      <c r="O13" s="462" t="s">
        <v>1206</v>
      </c>
      <c r="P13" s="462" t="s">
        <v>1206</v>
      </c>
      <c r="Q13" s="462" t="s">
        <v>1206</v>
      </c>
      <c r="R13" s="462" t="s">
        <v>1206</v>
      </c>
      <c r="S13" s="462" t="s">
        <v>1206</v>
      </c>
      <c r="T13" s="462" t="s">
        <v>1206</v>
      </c>
      <c r="U13" s="462" t="s">
        <v>1206</v>
      </c>
      <c r="V13" s="462" t="s">
        <v>1206</v>
      </c>
      <c r="W13" s="462" t="s">
        <v>1206</v>
      </c>
      <c r="X13" s="462" t="s">
        <v>1206</v>
      </c>
      <c r="Y13" s="462" t="s">
        <v>1206</v>
      </c>
      <c r="Z13" s="462" t="s">
        <v>1206</v>
      </c>
      <c r="AA13" s="462" t="s">
        <v>1206</v>
      </c>
      <c r="AB13" s="462" t="s">
        <v>1206</v>
      </c>
      <c r="AC13" s="462" t="s">
        <v>1206</v>
      </c>
      <c r="AD13" s="462" t="s">
        <v>1206</v>
      </c>
      <c r="AE13" s="462" t="s">
        <v>1206</v>
      </c>
      <c r="AF13" s="462" t="s">
        <v>1206</v>
      </c>
      <c r="AG13" s="462" t="s">
        <v>1206</v>
      </c>
      <c r="AH13" s="462" t="s">
        <v>1206</v>
      </c>
      <c r="AI13" s="462" t="s">
        <v>1206</v>
      </c>
      <c r="AJ13" s="462" t="s">
        <v>1206</v>
      </c>
      <c r="AK13" s="462" t="s">
        <v>1206</v>
      </c>
      <c r="AL13" s="462" t="s">
        <v>1206</v>
      </c>
      <c r="AM13" s="462" t="s">
        <v>1206</v>
      </c>
      <c r="AN13" s="462" t="s">
        <v>1206</v>
      </c>
      <c r="AO13" s="462" t="s">
        <v>1206</v>
      </c>
      <c r="AP13" s="462" t="s">
        <v>1206</v>
      </c>
      <c r="AQ13" s="462" t="s">
        <v>1206</v>
      </c>
      <c r="AR13" s="462" t="s">
        <v>1206</v>
      </c>
      <c r="AS13" s="462" t="s">
        <v>1206</v>
      </c>
      <c r="AT13" s="462" t="s">
        <v>1206</v>
      </c>
      <c r="AU13" s="462" t="s">
        <v>1206</v>
      </c>
      <c r="AV13" s="462" t="s">
        <v>1206</v>
      </c>
      <c r="AW13" s="462" t="s">
        <v>1206</v>
      </c>
      <c r="AX13" s="462" t="s">
        <v>1206</v>
      </c>
      <c r="AY13" s="462" t="s">
        <v>1206</v>
      </c>
      <c r="AZ13" s="462" t="s">
        <v>1206</v>
      </c>
      <c r="BA13" s="462" t="s">
        <v>1206</v>
      </c>
      <c r="BB13" s="462" t="s">
        <v>1206</v>
      </c>
      <c r="BC13" s="462" t="s">
        <v>1206</v>
      </c>
      <c r="BD13" s="462" t="s">
        <v>1206</v>
      </c>
      <c r="BE13" s="462" t="s">
        <v>1206</v>
      </c>
      <c r="BF13" s="462" t="s">
        <v>1206</v>
      </c>
      <c r="BG13" s="462" t="s">
        <v>1206</v>
      </c>
      <c r="BH13" s="462" t="s">
        <v>1206</v>
      </c>
      <c r="BI13" s="462" t="s">
        <v>1206</v>
      </c>
      <c r="BJ13" s="462" t="s">
        <v>1206</v>
      </c>
      <c r="BK13" s="462" t="s">
        <v>1206</v>
      </c>
      <c r="BL13" s="462" t="s">
        <v>1206</v>
      </c>
      <c r="BM13" s="462" t="s">
        <v>1206</v>
      </c>
      <c r="BN13" s="462" t="s">
        <v>1206</v>
      </c>
      <c r="BO13" s="462" t="s">
        <v>1206</v>
      </c>
      <c r="BP13" s="462" t="s">
        <v>1206</v>
      </c>
      <c r="BQ13" s="462" t="s">
        <v>1206</v>
      </c>
      <c r="BR13" s="462" t="s">
        <v>1206</v>
      </c>
      <c r="BS13" s="462" t="s">
        <v>1206</v>
      </c>
      <c r="BT13" s="462" t="s">
        <v>1206</v>
      </c>
      <c r="BU13" s="462" t="s">
        <v>1206</v>
      </c>
      <c r="BV13" s="462" t="s">
        <v>1206</v>
      </c>
      <c r="BW13" s="462" t="s">
        <v>1206</v>
      </c>
      <c r="BX13" s="462" t="s">
        <v>1206</v>
      </c>
      <c r="BY13" s="462" t="s">
        <v>1206</v>
      </c>
      <c r="BZ13" s="462" t="s">
        <v>1206</v>
      </c>
      <c r="CA13" s="462" t="s">
        <v>1206</v>
      </c>
      <c r="CB13" s="462" t="s">
        <v>1206</v>
      </c>
      <c r="CC13" s="462" t="s">
        <v>1206</v>
      </c>
      <c r="CD13" s="462" t="s">
        <v>1206</v>
      </c>
      <c r="CE13" s="471" t="s">
        <v>1206</v>
      </c>
      <c r="CF13" s="465" t="s">
        <v>1206</v>
      </c>
      <c r="CG13" s="465" t="s">
        <v>1206</v>
      </c>
      <c r="CH13" s="466" t="s">
        <v>1206</v>
      </c>
      <c r="CI13" s="467" t="s">
        <v>1206</v>
      </c>
      <c r="CJ13" s="468" t="s">
        <v>1206</v>
      </c>
      <c r="CK13" s="465" t="s">
        <v>1206</v>
      </c>
      <c r="CL13" s="465" t="s">
        <v>1206</v>
      </c>
      <c r="CM13" s="465" t="s">
        <v>1206</v>
      </c>
      <c r="CN13" s="466" t="s">
        <v>1206</v>
      </c>
      <c r="CO13" s="467" t="s">
        <v>1206</v>
      </c>
      <c r="CP13" s="468" t="s">
        <v>1206</v>
      </c>
      <c r="CQ13" s="465" t="s">
        <v>1206</v>
      </c>
      <c r="CR13" s="465" t="s">
        <v>1206</v>
      </c>
      <c r="CS13" s="465" t="s">
        <v>1206</v>
      </c>
      <c r="CT13" s="466" t="s">
        <v>1206</v>
      </c>
      <c r="CU13" s="467" t="s">
        <v>1206</v>
      </c>
      <c r="CV13" s="468" t="s">
        <v>1206</v>
      </c>
      <c r="CW13" s="469" t="s">
        <v>1206</v>
      </c>
      <c r="CX13" s="469" t="s">
        <v>1206</v>
      </c>
      <c r="CY13" s="469" t="s">
        <v>1206</v>
      </c>
      <c r="CZ13" s="469" t="s">
        <v>1206</v>
      </c>
      <c r="DA13" s="469" t="s">
        <v>1206</v>
      </c>
      <c r="DB13" s="469" t="s">
        <v>1206</v>
      </c>
      <c r="DC13" s="469" t="s">
        <v>1206</v>
      </c>
      <c r="DD13" s="469" t="s">
        <v>1206</v>
      </c>
      <c r="DE13" s="469" t="s">
        <v>1206</v>
      </c>
      <c r="DF13" s="469" t="s">
        <v>1206</v>
      </c>
      <c r="DG13" s="469" t="s">
        <v>1206</v>
      </c>
      <c r="DH13" s="469" t="s">
        <v>1206</v>
      </c>
      <c r="DI13" s="469" t="s">
        <v>1206</v>
      </c>
      <c r="DJ13" s="469" t="s">
        <v>1206</v>
      </c>
      <c r="DK13" s="469" t="s">
        <v>1206</v>
      </c>
      <c r="DL13" s="469" t="s">
        <v>1206</v>
      </c>
      <c r="DM13" s="469" t="s">
        <v>1206</v>
      </c>
      <c r="DN13" s="469" t="s">
        <v>1206</v>
      </c>
      <c r="DO13" s="469" t="s">
        <v>1206</v>
      </c>
      <c r="DP13" s="469" t="s">
        <v>1206</v>
      </c>
      <c r="DQ13" s="469" t="s">
        <v>1206</v>
      </c>
      <c r="DR13" s="469" t="s">
        <v>1206</v>
      </c>
      <c r="DS13" s="469" t="s">
        <v>1206</v>
      </c>
      <c r="DT13" s="469" t="s">
        <v>1206</v>
      </c>
      <c r="DU13" s="469" t="s">
        <v>1206</v>
      </c>
      <c r="DV13" s="469" t="s">
        <v>1206</v>
      </c>
      <c r="DW13" s="469" t="s">
        <v>1206</v>
      </c>
      <c r="DX13" s="469" t="s">
        <v>1206</v>
      </c>
      <c r="DY13" s="469" t="s">
        <v>1206</v>
      </c>
      <c r="DZ13" s="469" t="s">
        <v>1206</v>
      </c>
      <c r="EA13" s="469" t="s">
        <v>1206</v>
      </c>
      <c r="EB13" s="469" t="s">
        <v>1206</v>
      </c>
      <c r="EC13" s="469" t="s">
        <v>1206</v>
      </c>
      <c r="ED13" s="469" t="s">
        <v>1206</v>
      </c>
      <c r="EE13" s="469" t="s">
        <v>1206</v>
      </c>
      <c r="EF13" s="469" t="s">
        <v>1206</v>
      </c>
      <c r="EG13" s="469" t="s">
        <v>1206</v>
      </c>
      <c r="EH13" s="469" t="s">
        <v>1206</v>
      </c>
      <c r="EI13" s="469" t="s">
        <v>1206</v>
      </c>
      <c r="EJ13" s="469" t="s">
        <v>1206</v>
      </c>
      <c r="EK13" s="469" t="s">
        <v>1206</v>
      </c>
      <c r="EL13" s="469" t="s">
        <v>1206</v>
      </c>
      <c r="EM13" s="469" t="s">
        <v>1206</v>
      </c>
      <c r="EN13" s="469" t="s">
        <v>1206</v>
      </c>
      <c r="EO13" s="469" t="s">
        <v>1206</v>
      </c>
      <c r="EP13" s="469" t="s">
        <v>1206</v>
      </c>
      <c r="EQ13" s="469" t="s">
        <v>1206</v>
      </c>
      <c r="ER13" s="469" t="s">
        <v>1206</v>
      </c>
      <c r="ES13" s="469" t="s">
        <v>1206</v>
      </c>
      <c r="ET13" s="469" t="s">
        <v>1206</v>
      </c>
      <c r="EU13" s="469" t="s">
        <v>1206</v>
      </c>
      <c r="EV13" s="469" t="s">
        <v>1206</v>
      </c>
      <c r="EW13" s="469" t="s">
        <v>1206</v>
      </c>
      <c r="EX13" s="469" t="s">
        <v>1206</v>
      </c>
      <c r="EY13" s="469" t="s">
        <v>1206</v>
      </c>
      <c r="EZ13" s="469" t="s">
        <v>1206</v>
      </c>
      <c r="FA13" s="469" t="s">
        <v>1206</v>
      </c>
      <c r="FB13" s="469" t="s">
        <v>1206</v>
      </c>
      <c r="FC13" s="469" t="s">
        <v>1206</v>
      </c>
      <c r="FD13" s="469" t="s">
        <v>1206</v>
      </c>
      <c r="FE13" s="469" t="s">
        <v>1206</v>
      </c>
      <c r="FF13" s="469" t="s">
        <v>1206</v>
      </c>
      <c r="FG13" s="469" t="s">
        <v>1206</v>
      </c>
      <c r="FH13" s="469" t="s">
        <v>1206</v>
      </c>
      <c r="FI13" s="469" t="s">
        <v>1206</v>
      </c>
      <c r="FJ13" s="469" t="s">
        <v>1206</v>
      </c>
      <c r="FK13" s="469" t="s">
        <v>1206</v>
      </c>
      <c r="FL13" s="469" t="s">
        <v>1206</v>
      </c>
      <c r="FM13" s="469" t="s">
        <v>1206</v>
      </c>
      <c r="FN13" s="469" t="s">
        <v>1206</v>
      </c>
      <c r="FO13" s="469" t="s">
        <v>1206</v>
      </c>
      <c r="FP13" s="469" t="s">
        <v>1206</v>
      </c>
      <c r="FQ13" s="469" t="s">
        <v>1206</v>
      </c>
      <c r="FR13" s="469" t="s">
        <v>1206</v>
      </c>
      <c r="FS13" s="469" t="s">
        <v>1206</v>
      </c>
    </row>
    <row r="14" spans="1:175" ht="117" customHeight="1" x14ac:dyDescent="0.2">
      <c r="A14" s="472" t="s">
        <v>5</v>
      </c>
      <c r="B14" s="473" t="s">
        <v>292</v>
      </c>
      <c r="C14" s="473" t="s">
        <v>35</v>
      </c>
      <c r="D14" s="473" t="s">
        <v>6</v>
      </c>
      <c r="E14" s="473" t="s">
        <v>72</v>
      </c>
      <c r="F14" s="474" t="s">
        <v>75</v>
      </c>
      <c r="G14" s="475" t="s">
        <v>1207</v>
      </c>
      <c r="H14" s="476" t="s">
        <v>1208</v>
      </c>
      <c r="I14" s="477" t="s">
        <v>1229</v>
      </c>
      <c r="J14" s="478" t="s">
        <v>1209</v>
      </c>
      <c r="K14" s="478"/>
      <c r="L14" s="478"/>
      <c r="M14" s="477"/>
      <c r="N14" s="478"/>
      <c r="O14" s="478"/>
      <c r="P14" s="478"/>
      <c r="Q14" s="478"/>
      <c r="R14" s="478"/>
      <c r="S14" s="478"/>
      <c r="T14" s="478"/>
      <c r="U14" s="478"/>
      <c r="V14" s="478"/>
      <c r="W14" s="478"/>
      <c r="X14" s="478"/>
      <c r="Y14" s="478"/>
      <c r="Z14" s="478"/>
      <c r="AA14" s="478"/>
      <c r="AB14" s="478"/>
      <c r="AC14" s="478"/>
      <c r="AD14" s="478"/>
      <c r="AE14" s="478"/>
      <c r="AF14" s="478"/>
      <c r="AG14" s="478"/>
      <c r="AH14" s="478"/>
      <c r="AI14" s="478"/>
      <c r="AJ14" s="478"/>
      <c r="AK14" s="478"/>
      <c r="AL14" s="479"/>
      <c r="AM14" s="479"/>
      <c r="AN14" s="479"/>
      <c r="AO14" s="479"/>
      <c r="AP14" s="479"/>
      <c r="AQ14" s="479"/>
      <c r="AR14" s="479"/>
      <c r="AS14" s="479"/>
      <c r="AT14" s="479"/>
      <c r="AU14" s="479"/>
      <c r="AV14" s="479"/>
      <c r="AW14" s="479"/>
      <c r="AX14" s="479"/>
      <c r="AY14" s="479"/>
      <c r="AZ14" s="479"/>
      <c r="BA14" s="479"/>
      <c r="BB14" s="479"/>
      <c r="BC14" s="479"/>
      <c r="BD14" s="479"/>
      <c r="BE14" s="479"/>
      <c r="BF14" s="479"/>
      <c r="BG14" s="479"/>
      <c r="BH14" s="479"/>
      <c r="BI14" s="479"/>
      <c r="BJ14" s="479"/>
      <c r="BK14" s="479"/>
      <c r="BL14" s="479"/>
      <c r="BM14" s="479"/>
      <c r="BN14" s="479"/>
      <c r="BO14" s="479"/>
      <c r="BP14" s="479"/>
      <c r="BQ14" s="479"/>
      <c r="BR14" s="479"/>
      <c r="BS14" s="479"/>
      <c r="BT14" s="479"/>
      <c r="BU14" s="479"/>
      <c r="BV14" s="479"/>
      <c r="BW14" s="479"/>
      <c r="BX14" s="479"/>
      <c r="BY14" s="479"/>
      <c r="BZ14" s="479"/>
      <c r="CA14" s="479"/>
      <c r="CB14" s="479"/>
      <c r="CC14" s="479"/>
      <c r="CD14" s="479"/>
      <c r="CE14" s="480"/>
      <c r="CF14" s="254" t="s">
        <v>1210</v>
      </c>
      <c r="CG14" s="254" t="s">
        <v>1211</v>
      </c>
      <c r="CH14" s="481" t="s">
        <v>1230</v>
      </c>
      <c r="CI14" s="482" t="s">
        <v>1231</v>
      </c>
      <c r="CJ14" s="483" t="s">
        <v>1232</v>
      </c>
      <c r="CK14" s="254" t="s">
        <v>1212</v>
      </c>
      <c r="CL14" s="254" t="s">
        <v>1213</v>
      </c>
      <c r="CM14" s="254" t="s">
        <v>1214</v>
      </c>
      <c r="CN14" s="481" t="s">
        <v>1233</v>
      </c>
      <c r="CO14" s="482" t="s">
        <v>1234</v>
      </c>
      <c r="CP14" s="483" t="s">
        <v>1235</v>
      </c>
      <c r="CQ14" s="254" t="s">
        <v>1215</v>
      </c>
      <c r="CR14" s="254" t="s">
        <v>1216</v>
      </c>
      <c r="CS14" s="254" t="s">
        <v>1217</v>
      </c>
      <c r="CT14" s="481" t="s">
        <v>1238</v>
      </c>
      <c r="CU14" s="482" t="s">
        <v>1237</v>
      </c>
      <c r="CV14" s="483" t="s">
        <v>1236</v>
      </c>
      <c r="CW14" s="484" t="str">
        <f t="shared" ref="CW14:FH14" si="0">IF(I14="","",I$14)</f>
        <v>Not PEPFAR</v>
      </c>
      <c r="CX14" s="484" t="str">
        <f t="shared" si="0"/>
        <v>12345_DSD</v>
      </c>
      <c r="CY14" s="484" t="str">
        <f t="shared" si="0"/>
        <v/>
      </c>
      <c r="CZ14" s="484" t="str">
        <f t="shared" si="0"/>
        <v/>
      </c>
      <c r="DA14" s="484" t="str">
        <f t="shared" si="0"/>
        <v/>
      </c>
      <c r="DB14" s="484" t="str">
        <f t="shared" si="0"/>
        <v/>
      </c>
      <c r="DC14" s="484" t="str">
        <f t="shared" si="0"/>
        <v/>
      </c>
      <c r="DD14" s="484" t="str">
        <f t="shared" si="0"/>
        <v/>
      </c>
      <c r="DE14" s="484" t="str">
        <f t="shared" si="0"/>
        <v/>
      </c>
      <c r="DF14" s="484" t="str">
        <f t="shared" si="0"/>
        <v/>
      </c>
      <c r="DG14" s="484" t="str">
        <f t="shared" si="0"/>
        <v/>
      </c>
      <c r="DH14" s="484" t="str">
        <f t="shared" si="0"/>
        <v/>
      </c>
      <c r="DI14" s="484" t="str">
        <f t="shared" si="0"/>
        <v/>
      </c>
      <c r="DJ14" s="484" t="str">
        <f t="shared" si="0"/>
        <v/>
      </c>
      <c r="DK14" s="484" t="str">
        <f t="shared" si="0"/>
        <v/>
      </c>
      <c r="DL14" s="484" t="str">
        <f t="shared" si="0"/>
        <v/>
      </c>
      <c r="DM14" s="484" t="str">
        <f t="shared" si="0"/>
        <v/>
      </c>
      <c r="DN14" s="484" t="str">
        <f t="shared" si="0"/>
        <v/>
      </c>
      <c r="DO14" s="484" t="str">
        <f t="shared" si="0"/>
        <v/>
      </c>
      <c r="DP14" s="484" t="str">
        <f t="shared" si="0"/>
        <v/>
      </c>
      <c r="DQ14" s="484" t="str">
        <f t="shared" si="0"/>
        <v/>
      </c>
      <c r="DR14" s="484" t="str">
        <f t="shared" si="0"/>
        <v/>
      </c>
      <c r="DS14" s="484" t="str">
        <f t="shared" si="0"/>
        <v/>
      </c>
      <c r="DT14" s="484" t="str">
        <f t="shared" si="0"/>
        <v/>
      </c>
      <c r="DU14" s="484" t="str">
        <f t="shared" si="0"/>
        <v/>
      </c>
      <c r="DV14" s="484" t="str">
        <f t="shared" si="0"/>
        <v/>
      </c>
      <c r="DW14" s="484" t="str">
        <f t="shared" si="0"/>
        <v/>
      </c>
      <c r="DX14" s="484" t="str">
        <f t="shared" si="0"/>
        <v/>
      </c>
      <c r="DY14" s="484" t="str">
        <f t="shared" si="0"/>
        <v/>
      </c>
      <c r="DZ14" s="484" t="str">
        <f t="shared" si="0"/>
        <v/>
      </c>
      <c r="EA14" s="484" t="str">
        <f t="shared" si="0"/>
        <v/>
      </c>
      <c r="EB14" s="484" t="str">
        <f t="shared" si="0"/>
        <v/>
      </c>
      <c r="EC14" s="484" t="str">
        <f t="shared" si="0"/>
        <v/>
      </c>
      <c r="ED14" s="484" t="str">
        <f t="shared" si="0"/>
        <v/>
      </c>
      <c r="EE14" s="484" t="str">
        <f t="shared" si="0"/>
        <v/>
      </c>
      <c r="EF14" s="484" t="str">
        <f t="shared" si="0"/>
        <v/>
      </c>
      <c r="EG14" s="484" t="str">
        <f t="shared" si="0"/>
        <v/>
      </c>
      <c r="EH14" s="484" t="str">
        <f t="shared" si="0"/>
        <v/>
      </c>
      <c r="EI14" s="484" t="str">
        <f t="shared" si="0"/>
        <v/>
      </c>
      <c r="EJ14" s="484" t="str">
        <f t="shared" si="0"/>
        <v/>
      </c>
      <c r="EK14" s="484" t="str">
        <f t="shared" si="0"/>
        <v/>
      </c>
      <c r="EL14" s="484" t="str">
        <f t="shared" si="0"/>
        <v/>
      </c>
      <c r="EM14" s="484" t="str">
        <f t="shared" si="0"/>
        <v/>
      </c>
      <c r="EN14" s="484" t="str">
        <f t="shared" si="0"/>
        <v/>
      </c>
      <c r="EO14" s="484" t="str">
        <f t="shared" si="0"/>
        <v/>
      </c>
      <c r="EP14" s="484" t="str">
        <f t="shared" si="0"/>
        <v/>
      </c>
      <c r="EQ14" s="484" t="str">
        <f t="shared" si="0"/>
        <v/>
      </c>
      <c r="ER14" s="484" t="str">
        <f t="shared" si="0"/>
        <v/>
      </c>
      <c r="ES14" s="484" t="str">
        <f t="shared" si="0"/>
        <v/>
      </c>
      <c r="ET14" s="484" t="str">
        <f t="shared" si="0"/>
        <v/>
      </c>
      <c r="EU14" s="484" t="str">
        <f t="shared" si="0"/>
        <v/>
      </c>
      <c r="EV14" s="484" t="str">
        <f t="shared" si="0"/>
        <v/>
      </c>
      <c r="EW14" s="484" t="str">
        <f t="shared" si="0"/>
        <v/>
      </c>
      <c r="EX14" s="484" t="str">
        <f t="shared" si="0"/>
        <v/>
      </c>
      <c r="EY14" s="484" t="str">
        <f t="shared" si="0"/>
        <v/>
      </c>
      <c r="EZ14" s="484" t="str">
        <f t="shared" si="0"/>
        <v/>
      </c>
      <c r="FA14" s="484" t="str">
        <f t="shared" si="0"/>
        <v/>
      </c>
      <c r="FB14" s="484" t="str">
        <f t="shared" si="0"/>
        <v/>
      </c>
      <c r="FC14" s="484" t="str">
        <f t="shared" si="0"/>
        <v/>
      </c>
      <c r="FD14" s="484" t="str">
        <f t="shared" si="0"/>
        <v/>
      </c>
      <c r="FE14" s="484" t="str">
        <f t="shared" si="0"/>
        <v/>
      </c>
      <c r="FF14" s="484" t="str">
        <f t="shared" si="0"/>
        <v/>
      </c>
      <c r="FG14" s="484" t="str">
        <f t="shared" si="0"/>
        <v/>
      </c>
      <c r="FH14" s="484" t="str">
        <f t="shared" si="0"/>
        <v/>
      </c>
      <c r="FI14" s="484" t="str">
        <f t="shared" ref="FI14:FS14" si="1">IF(BU14="","",BU$14)</f>
        <v/>
      </c>
      <c r="FJ14" s="484" t="str">
        <f t="shared" si="1"/>
        <v/>
      </c>
      <c r="FK14" s="484" t="str">
        <f t="shared" si="1"/>
        <v/>
      </c>
      <c r="FL14" s="484" t="str">
        <f t="shared" si="1"/>
        <v/>
      </c>
      <c r="FM14" s="484" t="str">
        <f t="shared" si="1"/>
        <v/>
      </c>
      <c r="FN14" s="484" t="str">
        <f t="shared" si="1"/>
        <v/>
      </c>
      <c r="FO14" s="484" t="str">
        <f t="shared" si="1"/>
        <v/>
      </c>
      <c r="FP14" s="484" t="str">
        <f t="shared" si="1"/>
        <v/>
      </c>
      <c r="FQ14" s="484" t="str">
        <f t="shared" si="1"/>
        <v/>
      </c>
      <c r="FR14" s="484" t="str">
        <f t="shared" si="1"/>
        <v/>
      </c>
      <c r="FS14" s="484" t="str">
        <f t="shared" si="1"/>
        <v/>
      </c>
    </row>
    <row r="15" spans="1:175" x14ac:dyDescent="0.2">
      <c r="A15" s="6"/>
      <c r="B15" s="6"/>
      <c r="C15" s="6"/>
      <c r="D15" s="6"/>
      <c r="E15" s="6"/>
      <c r="F15" t="str">
        <f t="shared" ref="F15" si="2">$A15&amp;IF($C15&lt;&gt;"","|"&amp;$C15,"")&amp;IF($D15&lt;&gt;"","|"&amp;$D15,"")&amp;IF($E15&lt;&gt;"","|"&amp;$E15,"")</f>
        <v/>
      </c>
      <c r="G15" s="485"/>
      <c r="H15" s="457">
        <f>SUM($CJ15,$CW15)</f>
        <v>0</v>
      </c>
      <c r="I15" s="453"/>
      <c r="J15" s="486"/>
      <c r="K15" s="486"/>
      <c r="L15" s="486"/>
      <c r="M15" s="453"/>
      <c r="N15" s="486"/>
      <c r="O15" s="486"/>
      <c r="P15" s="486"/>
      <c r="Q15" s="486"/>
      <c r="R15" s="486"/>
      <c r="S15" s="486"/>
      <c r="T15" s="486"/>
      <c r="U15" s="486"/>
      <c r="V15" s="486"/>
      <c r="W15" s="486"/>
      <c r="X15" s="486"/>
      <c r="Y15" s="486"/>
      <c r="Z15" s="486"/>
      <c r="AA15" s="486"/>
      <c r="AB15" s="486"/>
      <c r="AC15" s="486"/>
      <c r="AD15" s="486"/>
      <c r="AE15" s="486"/>
      <c r="AF15" s="486"/>
      <c r="AG15" s="486"/>
      <c r="AH15" s="486"/>
      <c r="AI15" s="486"/>
      <c r="AJ15" s="486"/>
      <c r="AK15" s="486"/>
      <c r="AL15" s="486"/>
      <c r="AM15" s="486"/>
      <c r="AN15" s="486"/>
      <c r="AO15" s="486"/>
      <c r="AP15" s="486"/>
      <c r="AQ15" s="486"/>
      <c r="AR15" s="486"/>
      <c r="AS15" s="486"/>
      <c r="AT15" s="486"/>
      <c r="AU15" s="486"/>
      <c r="AV15" s="486"/>
      <c r="AW15" s="486"/>
      <c r="AX15" s="486"/>
      <c r="AY15" s="486"/>
      <c r="AZ15" s="486"/>
      <c r="BA15" s="486"/>
      <c r="BB15" s="486"/>
      <c r="BC15" s="486"/>
      <c r="BD15" s="486"/>
      <c r="BE15" s="486"/>
      <c r="BF15" s="486"/>
      <c r="BG15" s="486"/>
      <c r="BH15" s="486"/>
      <c r="BI15" s="486"/>
      <c r="BJ15" s="486"/>
      <c r="BK15" s="486"/>
      <c r="BL15" s="486"/>
      <c r="BM15" s="486"/>
      <c r="BN15" s="486"/>
      <c r="BO15" s="486"/>
      <c r="BP15" s="486"/>
      <c r="BQ15" s="486"/>
      <c r="BR15" s="486"/>
      <c r="BS15" s="486"/>
      <c r="BT15" s="486"/>
      <c r="BU15" s="486"/>
      <c r="BV15" s="486"/>
      <c r="BW15" s="486"/>
      <c r="BX15" s="486"/>
      <c r="BY15" s="486"/>
      <c r="BZ15" s="486"/>
      <c r="CA15" s="486"/>
      <c r="CB15" s="486"/>
      <c r="CC15" s="486"/>
      <c r="CD15" s="486"/>
      <c r="CE15" s="454"/>
      <c r="CF15" s="249">
        <f>ROUND(SUM($CP15,$CV15),0)</f>
        <v>0</v>
      </c>
      <c r="CG15" s="249">
        <f>ROUND(MAX($CP15,$CV15),0)</f>
        <v>0</v>
      </c>
      <c r="CH15" s="487"/>
      <c r="CI15" s="456"/>
      <c r="CJ15" s="457" t="str">
        <f>IF(SUM($CF15)=0,"",IF(SUM($CF15)=SUM($CG15),SUM($CF15),IF(UPPER($CH15)="MAX",$CG15,IF(UPPER($CH15)="CUSTOM",MIN(MAX(ROUND($CF15+$G15*($CI15),0),$CG15),$CF15),$CF15))))</f>
        <v/>
      </c>
      <c r="CK15" s="249">
        <f>ROUND(SUMIFS($CW15:$FS15,$CW$14:$FS$14,"*DSD*"),0)</f>
        <v>0</v>
      </c>
      <c r="CL15" s="62" cm="1">
        <f t="array" ref="CL15">MIN_DSD</f>
        <v>0</v>
      </c>
      <c r="CM15" s="249">
        <f>COUNTIFS($CW$14:$FS$14,"*DSD*",$CW15:$FS15,"&gt;0")</f>
        <v>0</v>
      </c>
      <c r="CN15" s="488"/>
      <c r="CO15" s="489"/>
      <c r="CP15" s="457" t="str">
        <f>IF(SUM($CK15)=0,"",IF(OR(SUM($CK15)=SUM($CL15),AND(SUM($CK15)=ROUND(SUM($G15)*(1-SUM($I15)),0),SUM($CQ15)=0)),SUM($CK15),IF(UPPER($CN15)="MAX",$CL15,IF(UPPER($CN15)="CUSTOM",MIN(MAX(ROUND($CK15+$G15*($CO15),0),$CL15),$CK15),$CK15))))</f>
        <v/>
      </c>
      <c r="CQ15" s="249">
        <f>ROUND(SUMIFS($CW15:$FS15,$CW$14:$FS$14,"*TA*"),0)</f>
        <v>0</v>
      </c>
      <c r="CR15" s="62" cm="1">
        <f t="array" ref="CR15">MIN_TA</f>
        <v>0</v>
      </c>
      <c r="CS15" s="62">
        <f>COUNTIFS($CW$14:$FS$14,"*TA*",$CW15:$FS15,"&gt;0")</f>
        <v>0</v>
      </c>
      <c r="CT15" s="488"/>
      <c r="CU15" s="489"/>
      <c r="CV15" s="457" t="str">
        <f>IF(SUM($CQ15)=0,"",IF(OR(SUM($CQ15)=SUM($CR15),AND(SUM($CQ15)=ROUND(SUM($G15)*(1-SUM($I15)),0),SUM($CK15)=0)),SUM($CQ15),IF(UPPER($CT15)="MAX",$CR15,IF(UPPER($CT15)="CUSTOM",MIN(MAX(ROUND($CQ15+$G15*($CU15),0),$CR15),$CQ15),$CQ15))))</f>
        <v/>
      </c>
      <c r="CW15" s="258" t="str">
        <f>IF(OR(CW$14="",SUM($G15)=0,SUM(I15)=0),"",ROUND($G15*I15,0))</f>
        <v/>
      </c>
      <c r="CX15" s="258" t="str">
        <f t="shared" ref="CX15:FI15" si="3">IF(OR(CX$14="",SUM($G15)=0,SUM(J15)=0),"",ROUND($G15*J15,0))</f>
        <v/>
      </c>
      <c r="CY15" s="258" t="str">
        <f t="shared" si="3"/>
        <v/>
      </c>
      <c r="CZ15" s="258" t="str">
        <f t="shared" si="3"/>
        <v/>
      </c>
      <c r="DA15" s="258" t="str">
        <f t="shared" si="3"/>
        <v/>
      </c>
      <c r="DB15" s="258" t="str">
        <f t="shared" si="3"/>
        <v/>
      </c>
      <c r="DC15" s="258" t="str">
        <f t="shared" si="3"/>
        <v/>
      </c>
      <c r="DD15" s="258" t="str">
        <f t="shared" si="3"/>
        <v/>
      </c>
      <c r="DE15" s="258" t="str">
        <f t="shared" si="3"/>
        <v/>
      </c>
      <c r="DF15" s="258" t="str">
        <f t="shared" si="3"/>
        <v/>
      </c>
      <c r="DG15" s="258" t="str">
        <f t="shared" si="3"/>
        <v/>
      </c>
      <c r="DH15" s="258" t="str">
        <f t="shared" si="3"/>
        <v/>
      </c>
      <c r="DI15" s="258" t="str">
        <f t="shared" si="3"/>
        <v/>
      </c>
      <c r="DJ15" s="258" t="str">
        <f t="shared" si="3"/>
        <v/>
      </c>
      <c r="DK15" s="258" t="str">
        <f t="shared" si="3"/>
        <v/>
      </c>
      <c r="DL15" s="258" t="str">
        <f t="shared" si="3"/>
        <v/>
      </c>
      <c r="DM15" s="258" t="str">
        <f t="shared" si="3"/>
        <v/>
      </c>
      <c r="DN15" s="258" t="str">
        <f t="shared" si="3"/>
        <v/>
      </c>
      <c r="DO15" s="258" t="str">
        <f t="shared" si="3"/>
        <v/>
      </c>
      <c r="DP15" s="258" t="str">
        <f t="shared" si="3"/>
        <v/>
      </c>
      <c r="DQ15" s="258" t="str">
        <f t="shared" si="3"/>
        <v/>
      </c>
      <c r="DR15" s="258" t="str">
        <f t="shared" si="3"/>
        <v/>
      </c>
      <c r="DS15" s="258" t="str">
        <f t="shared" si="3"/>
        <v/>
      </c>
      <c r="DT15" s="258" t="str">
        <f t="shared" si="3"/>
        <v/>
      </c>
      <c r="DU15" s="258" t="str">
        <f t="shared" si="3"/>
        <v/>
      </c>
      <c r="DV15" s="258" t="str">
        <f t="shared" si="3"/>
        <v/>
      </c>
      <c r="DW15" s="258" t="str">
        <f t="shared" si="3"/>
        <v/>
      </c>
      <c r="DX15" s="258" t="str">
        <f t="shared" si="3"/>
        <v/>
      </c>
      <c r="DY15" s="258" t="str">
        <f t="shared" si="3"/>
        <v/>
      </c>
      <c r="DZ15" s="258" t="str">
        <f t="shared" si="3"/>
        <v/>
      </c>
      <c r="EA15" s="258" t="str">
        <f t="shared" si="3"/>
        <v/>
      </c>
      <c r="EB15" s="258" t="str">
        <f t="shared" si="3"/>
        <v/>
      </c>
      <c r="EC15" s="258" t="str">
        <f t="shared" si="3"/>
        <v/>
      </c>
      <c r="ED15" s="258" t="str">
        <f t="shared" si="3"/>
        <v/>
      </c>
      <c r="EE15" s="258" t="str">
        <f t="shared" si="3"/>
        <v/>
      </c>
      <c r="EF15" s="258" t="str">
        <f t="shared" si="3"/>
        <v/>
      </c>
      <c r="EG15" s="258" t="str">
        <f t="shared" si="3"/>
        <v/>
      </c>
      <c r="EH15" s="258" t="str">
        <f t="shared" si="3"/>
        <v/>
      </c>
      <c r="EI15" s="258" t="str">
        <f t="shared" si="3"/>
        <v/>
      </c>
      <c r="EJ15" s="258" t="str">
        <f t="shared" si="3"/>
        <v/>
      </c>
      <c r="EK15" s="258" t="str">
        <f t="shared" si="3"/>
        <v/>
      </c>
      <c r="EL15" s="258" t="str">
        <f t="shared" si="3"/>
        <v/>
      </c>
      <c r="EM15" s="258" t="str">
        <f t="shared" si="3"/>
        <v/>
      </c>
      <c r="EN15" s="258" t="str">
        <f t="shared" si="3"/>
        <v/>
      </c>
      <c r="EO15" s="258" t="str">
        <f t="shared" si="3"/>
        <v/>
      </c>
      <c r="EP15" s="258" t="str">
        <f t="shared" si="3"/>
        <v/>
      </c>
      <c r="EQ15" s="258" t="str">
        <f t="shared" si="3"/>
        <v/>
      </c>
      <c r="ER15" s="258" t="str">
        <f t="shared" si="3"/>
        <v/>
      </c>
      <c r="ES15" s="258" t="str">
        <f t="shared" si="3"/>
        <v/>
      </c>
      <c r="ET15" s="258" t="str">
        <f t="shared" si="3"/>
        <v/>
      </c>
      <c r="EU15" s="258" t="str">
        <f t="shared" si="3"/>
        <v/>
      </c>
      <c r="EV15" s="258" t="str">
        <f t="shared" si="3"/>
        <v/>
      </c>
      <c r="EW15" s="258" t="str">
        <f t="shared" si="3"/>
        <v/>
      </c>
      <c r="EX15" s="258" t="str">
        <f t="shared" si="3"/>
        <v/>
      </c>
      <c r="EY15" s="258" t="str">
        <f t="shared" si="3"/>
        <v/>
      </c>
      <c r="EZ15" s="258" t="str">
        <f t="shared" si="3"/>
        <v/>
      </c>
      <c r="FA15" s="258" t="str">
        <f t="shared" si="3"/>
        <v/>
      </c>
      <c r="FB15" s="258" t="str">
        <f t="shared" si="3"/>
        <v/>
      </c>
      <c r="FC15" s="258" t="str">
        <f t="shared" si="3"/>
        <v/>
      </c>
      <c r="FD15" s="258" t="str">
        <f t="shared" si="3"/>
        <v/>
      </c>
      <c r="FE15" s="258" t="str">
        <f t="shared" si="3"/>
        <v/>
      </c>
      <c r="FF15" s="258" t="str">
        <f t="shared" si="3"/>
        <v/>
      </c>
      <c r="FG15" s="258" t="str">
        <f t="shared" si="3"/>
        <v/>
      </c>
      <c r="FH15" s="258" t="str">
        <f t="shared" si="3"/>
        <v/>
      </c>
      <c r="FI15" s="258" t="str">
        <f t="shared" si="3"/>
        <v/>
      </c>
      <c r="FJ15" s="258" t="str">
        <f t="shared" ref="FJ15:FS15" si="4">IF(OR(FJ$14="",SUM($G15)=0,SUM(BV15)=0),"",ROUND($G15*BV15,0))</f>
        <v/>
      </c>
      <c r="FK15" s="258" t="str">
        <f t="shared" si="4"/>
        <v/>
      </c>
      <c r="FL15" s="258" t="str">
        <f t="shared" si="4"/>
        <v/>
      </c>
      <c r="FM15" s="258" t="str">
        <f t="shared" si="4"/>
        <v/>
      </c>
      <c r="FN15" s="258" t="str">
        <f t="shared" si="4"/>
        <v/>
      </c>
      <c r="FO15" s="258" t="str">
        <f t="shared" si="4"/>
        <v/>
      </c>
      <c r="FP15" s="258" t="str">
        <f t="shared" si="4"/>
        <v/>
      </c>
      <c r="FQ15" s="258" t="str">
        <f t="shared" si="4"/>
        <v/>
      </c>
      <c r="FR15" s="258" t="str">
        <f t="shared" si="4"/>
        <v/>
      </c>
      <c r="FS15" s="258" t="str">
        <f t="shared" si="4"/>
        <v/>
      </c>
    </row>
    <row r="16" spans="1:175" x14ac:dyDescent="0.2">
      <c r="H16" s="457"/>
      <c r="CF16" s="249"/>
      <c r="CG16" s="249"/>
      <c r="CH16" s="487"/>
      <c r="CI16" s="456"/>
      <c r="CJ16" s="457"/>
      <c r="CK16" s="249"/>
      <c r="CL16" s="62"/>
      <c r="CM16" s="249"/>
      <c r="CN16" s="488"/>
      <c r="CO16" s="489"/>
      <c r="CP16" s="457"/>
      <c r="CQ16" s="249"/>
      <c r="CR16" s="62"/>
      <c r="CS16" s="62"/>
      <c r="CT16" s="488"/>
      <c r="CU16" s="489"/>
      <c r="CV16" s="457"/>
      <c r="CW16" s="258"/>
      <c r="CX16" s="258"/>
      <c r="CY16" s="258"/>
      <c r="CZ16" s="258"/>
      <c r="DA16" s="258"/>
    </row>
    <row r="17" spans="8:105" x14ac:dyDescent="0.2">
      <c r="H17" s="457"/>
      <c r="CF17" s="249"/>
      <c r="CG17" s="249"/>
      <c r="CH17" s="487"/>
      <c r="CI17" s="456"/>
      <c r="CJ17" s="457"/>
      <c r="CK17" s="249"/>
      <c r="CL17" s="62"/>
      <c r="CM17" s="249"/>
      <c r="CN17" s="488"/>
      <c r="CO17" s="489"/>
      <c r="CP17" s="457"/>
      <c r="CQ17" s="249"/>
      <c r="CR17" s="62"/>
      <c r="CS17" s="62"/>
      <c r="CT17" s="488"/>
      <c r="CU17" s="489"/>
      <c r="CV17" s="457"/>
      <c r="CW17" s="258"/>
      <c r="CX17" s="258"/>
      <c r="CY17" s="258"/>
      <c r="CZ17" s="258"/>
      <c r="DA17" s="258"/>
    </row>
    <row r="18" spans="8:105" x14ac:dyDescent="0.2">
      <c r="H18" s="457"/>
      <c r="CF18" s="249"/>
      <c r="CG18" s="249"/>
      <c r="CH18" s="487"/>
      <c r="CI18" s="456"/>
      <c r="CJ18" s="457"/>
      <c r="CK18" s="249"/>
      <c r="CL18" s="62"/>
      <c r="CM18" s="249"/>
      <c r="CN18" s="488"/>
      <c r="CO18" s="489"/>
      <c r="CP18" s="457"/>
      <c r="CQ18" s="249"/>
      <c r="CR18" s="62"/>
      <c r="CS18" s="62"/>
      <c r="CT18" s="488"/>
      <c r="CU18" s="489"/>
      <c r="CV18" s="457"/>
      <c r="CW18" s="258"/>
      <c r="CX18" s="258"/>
      <c r="CY18" s="258"/>
      <c r="CZ18" s="258"/>
      <c r="DA18" s="258"/>
    </row>
    <row r="19" spans="8:105" x14ac:dyDescent="0.2">
      <c r="H19" s="457"/>
      <c r="CF19" s="249"/>
      <c r="CG19" s="249"/>
      <c r="CH19" s="487"/>
      <c r="CI19" s="456"/>
      <c r="CJ19" s="457"/>
      <c r="CK19" s="249"/>
      <c r="CL19" s="62"/>
      <c r="CM19" s="249"/>
      <c r="CN19" s="488"/>
      <c r="CO19" s="489"/>
      <c r="CP19" s="457"/>
      <c r="CQ19" s="249"/>
      <c r="CR19" s="62"/>
      <c r="CS19" s="62"/>
      <c r="CT19" s="488"/>
      <c r="CU19" s="489"/>
      <c r="CV19" s="457"/>
      <c r="CW19" s="258"/>
      <c r="CX19" s="258"/>
      <c r="CY19" s="258"/>
      <c r="CZ19" s="258"/>
      <c r="DA19" s="258"/>
    </row>
    <row r="20" spans="8:105" x14ac:dyDescent="0.2">
      <c r="H20" s="457"/>
      <c r="CF20" s="249"/>
      <c r="CG20" s="249"/>
      <c r="CH20" s="487"/>
      <c r="CI20" s="456"/>
      <c r="CJ20" s="457"/>
      <c r="CK20" s="249"/>
      <c r="CL20" s="62"/>
      <c r="CM20" s="249"/>
      <c r="CN20" s="488"/>
      <c r="CO20" s="489"/>
      <c r="CP20" s="457"/>
      <c r="CQ20" s="249"/>
      <c r="CR20" s="62"/>
      <c r="CS20" s="62"/>
      <c r="CT20" s="488"/>
      <c r="CU20" s="489"/>
      <c r="CV20" s="457"/>
      <c r="CW20" s="258"/>
      <c r="CX20" s="258"/>
      <c r="CY20" s="258"/>
      <c r="CZ20" s="258"/>
      <c r="DA20" s="258"/>
    </row>
    <row r="21" spans="8:105" x14ac:dyDescent="0.2">
      <c r="H21" s="457"/>
      <c r="CF21" s="249"/>
      <c r="CG21" s="249"/>
      <c r="CH21" s="487"/>
      <c r="CI21" s="456"/>
      <c r="CJ21" s="457"/>
      <c r="CK21" s="249"/>
      <c r="CL21" s="62"/>
      <c r="CM21" s="249"/>
      <c r="CN21" s="488"/>
      <c r="CO21" s="489"/>
      <c r="CP21" s="457"/>
      <c r="CQ21" s="249"/>
      <c r="CR21" s="62"/>
      <c r="CS21" s="62"/>
      <c r="CT21" s="488"/>
      <c r="CU21" s="489"/>
      <c r="CV21" s="457"/>
      <c r="CW21" s="258"/>
      <c r="CX21" s="258"/>
      <c r="CY21" s="258"/>
      <c r="CZ21" s="258"/>
      <c r="DA21" s="258"/>
    </row>
    <row r="22" spans="8:105" x14ac:dyDescent="0.2">
      <c r="H22" s="457"/>
      <c r="CF22" s="249"/>
      <c r="CG22" s="249"/>
      <c r="CH22" s="487"/>
      <c r="CI22" s="456"/>
      <c r="CJ22" s="457"/>
      <c r="CK22" s="249"/>
      <c r="CL22" s="62"/>
      <c r="CM22" s="249"/>
      <c r="CN22" s="488"/>
      <c r="CO22" s="489"/>
      <c r="CP22" s="457"/>
      <c r="CQ22" s="249"/>
      <c r="CR22" s="62"/>
      <c r="CS22" s="62"/>
      <c r="CT22" s="488"/>
      <c r="CU22" s="489"/>
      <c r="CV22" s="457"/>
      <c r="CW22" s="258"/>
      <c r="CX22" s="258"/>
      <c r="CY22" s="258"/>
      <c r="CZ22" s="258"/>
      <c r="DA22" s="258"/>
    </row>
    <row r="23" spans="8:105" x14ac:dyDescent="0.2">
      <c r="H23" s="457"/>
      <c r="CF23" s="249"/>
      <c r="CG23" s="249"/>
      <c r="CH23" s="487"/>
      <c r="CI23" s="456"/>
      <c r="CJ23" s="457"/>
      <c r="CK23" s="249"/>
      <c r="CL23" s="62"/>
      <c r="CM23" s="249"/>
      <c r="CN23" s="488"/>
      <c r="CO23" s="489"/>
      <c r="CP23" s="457"/>
      <c r="CQ23" s="249"/>
      <c r="CR23" s="62"/>
      <c r="CS23" s="62"/>
      <c r="CT23" s="488"/>
      <c r="CU23" s="489"/>
      <c r="CV23" s="457"/>
      <c r="CW23" s="258"/>
      <c r="CX23" s="258"/>
      <c r="CY23" s="258"/>
      <c r="CZ23" s="258"/>
      <c r="DA23" s="258"/>
    </row>
  </sheetData>
  <mergeCells count="1">
    <mergeCell ref="A3:B3"/>
  </mergeCells>
  <conditionalFormatting sqref="CH1:CH1048576 CN1:CN1048576 CT1:CT1048576">
    <cfRule type="expression" dxfId="189" priority="13">
      <formula>AND(ROW(CH1)&gt;14,UPPER(CH1)&lt;&gt;"CUSTOM",UPPER(CH1)&lt;&gt;"MAX",UPPER(CH1)&lt;&gt;"SUM",CH1&lt;&gt;"")</formula>
    </cfRule>
  </conditionalFormatting>
  <conditionalFormatting sqref="CV1:CV1048576">
    <cfRule type="expression" dxfId="188" priority="10">
      <formula>AND(ROW($CV1)&gt;14,OR(SUM($CV1)&gt;SUM($CQ1),SUM($CV1)&lt;SUM($CR1)))</formula>
    </cfRule>
  </conditionalFormatting>
  <conditionalFormatting sqref="CJ1:CJ1048576">
    <cfRule type="expression" dxfId="187" priority="11">
      <formula>AND(ROW(CJ1)&gt;14,OR(CJ1&gt;CF1,CJ1&lt;CG1))</formula>
    </cfRule>
  </conditionalFormatting>
  <conditionalFormatting sqref="I1:CE1048576">
    <cfRule type="expression" dxfId="186" priority="3">
      <formula>AND(ROW(I1)&gt;14,OR(SUM(I1)&gt;1,SUM(I1)&lt;0))</formula>
    </cfRule>
  </conditionalFormatting>
  <conditionalFormatting sqref="CO1:CO1048576 CU1:CU1048576 CI1:CI1048576">
    <cfRule type="expression" dxfId="185" priority="12">
      <formula>AND(ROW(CI1)&gt;14,SUM(CI1)&gt;0)</formula>
    </cfRule>
  </conditionalFormatting>
  <conditionalFormatting sqref="H1:H1048576">
    <cfRule type="expression" dxfId="184" priority="4">
      <formula>AND(ROW($H1)&gt;14,ABS(ROUND(SUM($H1),0)-ROUND(SUM($G1),0))&gt;2)</formula>
    </cfRule>
    <cfRule type="expression" dxfId="183" priority="6">
      <formula>AND(ROW($H1)&gt;14,ROUND(SUM($H1),0)&lt;&gt;ROUND(SUM($G1),0))</formula>
    </cfRule>
  </conditionalFormatting>
  <conditionalFormatting sqref="CP1:CP1048576">
    <cfRule type="expression" dxfId="182" priority="14">
      <formula>AND(ROW($CP1)&gt;14,OR(SUM($CP1)&gt;SUM($CK1),SUM($CP1)&lt;SUM($CL1)))</formula>
    </cfRule>
  </conditionalFormatting>
  <conditionalFormatting sqref="CQ1:CU1048576">
    <cfRule type="expression" dxfId="181" priority="7">
      <formula>AND(ROW($CQ1)&gt;14,$A1&lt;&gt;"",OR(SUM($CQ1)=0,$CS1&lt;=1,SUM($CQ1)=SUM($CR1),AND(SUM($G1)=SUM($CQ1),SUM($CK1)=0)))</formula>
    </cfRule>
  </conditionalFormatting>
  <conditionalFormatting sqref="CF1:CI1048576">
    <cfRule type="expression" dxfId="180" priority="8">
      <formula>AND(ROW($CF1)&gt;14,$A1&lt;&gt;"",OR(SUM($CP1)=0,SUM($CV1)=0,$CM1=0,$CS1=0,SUM($CF1)=SUM($CG1),SUM($G1)&gt;=SUM($CF1)))</formula>
    </cfRule>
  </conditionalFormatting>
  <conditionalFormatting sqref="CO1:CO1048576">
    <cfRule type="expression" dxfId="179" priority="9">
      <formula>AND(ROW($CO1)&gt;14,$A1&lt;&gt;"",UPPER($CN1)&lt;&gt;"CUSTOM")</formula>
    </cfRule>
  </conditionalFormatting>
  <conditionalFormatting sqref="CK1:CO1048576">
    <cfRule type="expression" dxfId="178" priority="5">
      <formula>AND(ROW($CK1)&gt;14,$A1&lt;&gt;"",OR(SUM($CK1)=0,$CM1&lt;=1,SUM($CK1)=SUM($CL1),AND(SUM($G1)=SUM($CK1),SUM($CQ1)=0)))</formula>
    </cfRule>
  </conditionalFormatting>
  <conditionalFormatting sqref="CU1:CU1048576">
    <cfRule type="expression" dxfId="177" priority="2">
      <formula>AND(ROW($CU1)&gt;14,$A1&lt;&gt;"",UPPER($CT1)&lt;&gt;"CUSTOM")</formula>
    </cfRule>
  </conditionalFormatting>
  <conditionalFormatting sqref="CI1:CI1048576">
    <cfRule type="expression" dxfId="176"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2022-01-06T07:58:15Z</dcterms:modified>
</cp:coreProperties>
</file>