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ctrlProps/ctrlProp5.xml" ContentType="application/vnd.ms-excel.controlproperties+xml"/>
  <Override PartName="/xl/ctrlProps/ctrlProp6.xml" ContentType="application/vnd.ms-excel.controlproperties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trlProps/ctrlProp4.xml" ContentType="application/vnd.ms-excel.controlproperties+xml"/>
  <Override PartName="/xl/ctrlProps/ctrlProp3.xml" ContentType="application/vnd.ms-excel.controlpropertie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0" windowWidth="1980" windowHeight="117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Q33" i="1"/>
  <c r="H13"/>
  <c r="F13"/>
  <c r="G13"/>
  <c r="E13"/>
  <c r="D13"/>
  <c r="C13"/>
  <c r="AE17" l="1"/>
  <c r="AE20" s="1"/>
  <c r="AD17"/>
  <c r="AD20" s="1"/>
  <c r="AC17"/>
  <c r="AC20" s="1"/>
  <c r="AB17"/>
  <c r="AA17"/>
  <c r="Z17"/>
  <c r="AE16"/>
  <c r="AD16"/>
  <c r="AC16"/>
  <c r="AB16"/>
  <c r="AA16"/>
  <c r="Z16"/>
  <c r="AA20"/>
  <c r="Z20"/>
  <c r="AB20"/>
  <c r="Q37" l="1"/>
  <c r="AD54" l="1"/>
  <c r="AB54"/>
  <c r="Z54"/>
  <c r="AC53"/>
  <c r="AA53"/>
  <c r="Y53"/>
  <c r="AC54"/>
  <c r="AA54"/>
  <c r="Y54"/>
  <c r="AD53"/>
  <c r="AB53"/>
  <c r="Z53"/>
  <c r="Q34"/>
  <c r="Q36"/>
  <c r="Y50" s="1"/>
  <c r="Q38"/>
  <c r="Y51" s="1"/>
  <c r="Q32"/>
  <c r="W17"/>
  <c r="W20" s="1"/>
  <c r="V17"/>
  <c r="V20" s="1"/>
  <c r="U17"/>
  <c r="U20" s="1"/>
  <c r="T17"/>
  <c r="T20" s="1"/>
  <c r="S17"/>
  <c r="S20" s="1"/>
  <c r="R17"/>
  <c r="R20" s="1"/>
  <c r="W16"/>
  <c r="V16"/>
  <c r="U16"/>
  <c r="T16"/>
  <c r="S16"/>
  <c r="R16"/>
  <c r="Y48"/>
  <c r="C12"/>
  <c r="G4"/>
  <c r="G2"/>
  <c r="I7" s="1"/>
  <c r="E62"/>
  <c r="C63"/>
  <c r="E65"/>
  <c r="C66"/>
  <c r="D12"/>
  <c r="G12"/>
  <c r="F14"/>
  <c r="H14"/>
  <c r="E14"/>
  <c r="C14"/>
  <c r="H12"/>
  <c r="F12"/>
  <c r="E12"/>
  <c r="AD48"/>
  <c r="AC48"/>
  <c r="AB48"/>
  <c r="AA48"/>
  <c r="Z48"/>
  <c r="Y52" l="1"/>
  <c r="AC52"/>
  <c r="AA52"/>
  <c r="AD51"/>
  <c r="AB51"/>
  <c r="Z51"/>
  <c r="AD52"/>
  <c r="AB52"/>
  <c r="Z52"/>
  <c r="AC51"/>
  <c r="AA51"/>
  <c r="AD50"/>
  <c r="AB50"/>
  <c r="Z50"/>
  <c r="AC50"/>
  <c r="AA50"/>
  <c r="AD49"/>
  <c r="AB49"/>
  <c r="Z49"/>
  <c r="AC49"/>
  <c r="AA49"/>
  <c r="Y49"/>
  <c r="AC47"/>
  <c r="Z47"/>
  <c r="U47"/>
  <c r="AD46"/>
  <c r="V46"/>
  <c r="R47"/>
  <c r="R51" s="1"/>
  <c r="U51"/>
  <c r="I5"/>
  <c r="D64" s="1"/>
  <c r="I4"/>
  <c r="D63" s="1"/>
  <c r="G3"/>
  <c r="J7" s="1"/>
  <c r="C61" s="1"/>
  <c r="D66"/>
  <c r="B61"/>
  <c r="B64"/>
  <c r="I2"/>
  <c r="D61" s="1"/>
  <c r="I3"/>
  <c r="Z46" s="1"/>
  <c r="Z55" l="1"/>
  <c r="Z61" s="1"/>
  <c r="AA27" s="1"/>
  <c r="Z57"/>
  <c r="Z62" s="1"/>
  <c r="AA28" s="1"/>
  <c r="Z56"/>
  <c r="Z63" s="1"/>
  <c r="AA29" s="1"/>
  <c r="R46"/>
  <c r="T46"/>
  <c r="T50" s="1"/>
  <c r="Q46"/>
  <c r="Q50" s="1"/>
  <c r="S46"/>
  <c r="S50" s="1"/>
  <c r="Y46"/>
  <c r="AA46"/>
  <c r="AB46"/>
  <c r="V47"/>
  <c r="AD47"/>
  <c r="AD57" s="1"/>
  <c r="B65"/>
  <c r="B62"/>
  <c r="V51"/>
  <c r="J4"/>
  <c r="E66"/>
  <c r="J2"/>
  <c r="J5"/>
  <c r="E64" s="1"/>
  <c r="V50"/>
  <c r="I6"/>
  <c r="D62"/>
  <c r="B63"/>
  <c r="AA25" l="1"/>
  <c r="AD56"/>
  <c r="AD63" s="1"/>
  <c r="AE29" s="1"/>
  <c r="AD55"/>
  <c r="AD61" s="1"/>
  <c r="AE27" s="1"/>
  <c r="AD62"/>
  <c r="AE28" s="1"/>
  <c r="AE15" s="1"/>
  <c r="AE18" s="1"/>
  <c r="AA15"/>
  <c r="AA18" s="1"/>
  <c r="AA14"/>
  <c r="Z71"/>
  <c r="AA3" s="1"/>
  <c r="AA6" s="1"/>
  <c r="Z64"/>
  <c r="B66"/>
  <c r="AC46"/>
  <c r="U46"/>
  <c r="U50" s="1"/>
  <c r="U54" s="1"/>
  <c r="U62" s="1"/>
  <c r="C65"/>
  <c r="AB47"/>
  <c r="E61"/>
  <c r="Y47"/>
  <c r="Y55" s="1"/>
  <c r="C64"/>
  <c r="AA47"/>
  <c r="AA55" s="1"/>
  <c r="V54"/>
  <c r="V62" s="1"/>
  <c r="S47"/>
  <c r="S49" s="1"/>
  <c r="E63"/>
  <c r="T47"/>
  <c r="T49" s="1"/>
  <c r="V48"/>
  <c r="C62"/>
  <c r="Q47"/>
  <c r="Q51" s="1"/>
  <c r="Q54" s="1"/>
  <c r="Q62" s="1"/>
  <c r="V49"/>
  <c r="D65"/>
  <c r="AE25" l="1"/>
  <c r="Y56"/>
  <c r="Y63" s="1"/>
  <c r="AB55"/>
  <c r="AB61" s="1"/>
  <c r="AC27" s="1"/>
  <c r="AB57"/>
  <c r="AB62" s="1"/>
  <c r="AC28" s="1"/>
  <c r="AC15" s="1"/>
  <c r="AC18" s="1"/>
  <c r="AC55"/>
  <c r="AC61" s="1"/>
  <c r="AD27" s="1"/>
  <c r="AC57"/>
  <c r="AC62" s="1"/>
  <c r="AD28" s="1"/>
  <c r="AB56"/>
  <c r="AB63" s="1"/>
  <c r="AC29" s="1"/>
  <c r="Y57"/>
  <c r="Y62" s="1"/>
  <c r="Z28" s="1"/>
  <c r="Z15" s="1"/>
  <c r="AA57"/>
  <c r="AA62" s="1"/>
  <c r="AB28" s="1"/>
  <c r="AA56"/>
  <c r="AA63" s="1"/>
  <c r="AB29" s="1"/>
  <c r="AC56"/>
  <c r="AC63" s="1"/>
  <c r="AD29" s="1"/>
  <c r="AE14"/>
  <c r="Z66"/>
  <c r="AA13"/>
  <c r="AD64"/>
  <c r="AD71"/>
  <c r="AE3" s="1"/>
  <c r="AE6" s="1"/>
  <c r="Y61"/>
  <c r="Z27" s="1"/>
  <c r="AA61"/>
  <c r="AB27" s="1"/>
  <c r="Z65"/>
  <c r="Z68" s="1"/>
  <c r="Z69" s="1"/>
  <c r="AA5" s="1"/>
  <c r="AA8" s="1"/>
  <c r="V53"/>
  <c r="V63" s="1"/>
  <c r="V52"/>
  <c r="V61" s="1"/>
  <c r="S48"/>
  <c r="S52" s="1"/>
  <c r="S51"/>
  <c r="S54" s="1"/>
  <c r="S62" s="1"/>
  <c r="T28" s="1"/>
  <c r="T48"/>
  <c r="U48"/>
  <c r="T51"/>
  <c r="T54" s="1"/>
  <c r="Q49"/>
  <c r="U49"/>
  <c r="Q48"/>
  <c r="R28"/>
  <c r="W28"/>
  <c r="V28"/>
  <c r="Z29" l="1"/>
  <c r="Z25" s="1"/>
  <c r="Y71"/>
  <c r="Z3" s="1"/>
  <c r="Z6" s="1"/>
  <c r="AB25"/>
  <c r="AD25"/>
  <c r="AC25"/>
  <c r="R15"/>
  <c r="R18" s="1"/>
  <c r="R14"/>
  <c r="AC14"/>
  <c r="AB14"/>
  <c r="AB15"/>
  <c r="AB18" s="1"/>
  <c r="Z18"/>
  <c r="Z14"/>
  <c r="Y64"/>
  <c r="Z13" s="1"/>
  <c r="AD15"/>
  <c r="AD18" s="1"/>
  <c r="AD14"/>
  <c r="AD65"/>
  <c r="AD68" s="1"/>
  <c r="AD69" s="1"/>
  <c r="AE5" s="1"/>
  <c r="AE8" s="1"/>
  <c r="AE13"/>
  <c r="AA71"/>
  <c r="AB3" s="1"/>
  <c r="AB6" s="1"/>
  <c r="AB64"/>
  <c r="AD66"/>
  <c r="AB71"/>
  <c r="AC3" s="1"/>
  <c r="AC6" s="1"/>
  <c r="Z67"/>
  <c r="Z70" s="1"/>
  <c r="AA4" s="1"/>
  <c r="AA64"/>
  <c r="AC64"/>
  <c r="AC71"/>
  <c r="AD3" s="1"/>
  <c r="AD6" s="1"/>
  <c r="V71"/>
  <c r="W3" s="1"/>
  <c r="U53"/>
  <c r="U63" s="1"/>
  <c r="U52"/>
  <c r="U61" s="1"/>
  <c r="T53"/>
  <c r="T63" s="1"/>
  <c r="Q53"/>
  <c r="Q63" s="1"/>
  <c r="Q52"/>
  <c r="S61"/>
  <c r="T52"/>
  <c r="T61" s="1"/>
  <c r="S53"/>
  <c r="S63" s="1"/>
  <c r="W14"/>
  <c r="W15"/>
  <c r="W18" s="1"/>
  <c r="V15"/>
  <c r="V18" s="1"/>
  <c r="V14"/>
  <c r="H17"/>
  <c r="T15"/>
  <c r="T18" s="1"/>
  <c r="T14"/>
  <c r="T62"/>
  <c r="U28" s="1"/>
  <c r="W27"/>
  <c r="AA21" l="1"/>
  <c r="AA24" s="1"/>
  <c r="AA19"/>
  <c r="AA23" s="1"/>
  <c r="AD67"/>
  <c r="AD70" s="1"/>
  <c r="AE4" s="1"/>
  <c r="Y66"/>
  <c r="Y65"/>
  <c r="Y68" s="1"/>
  <c r="Y69" s="1"/>
  <c r="Z5" s="1"/>
  <c r="Z8" s="1"/>
  <c r="AC66"/>
  <c r="AD13"/>
  <c r="AA65"/>
  <c r="AA67" s="1"/>
  <c r="AB13"/>
  <c r="AA7"/>
  <c r="AB65"/>
  <c r="AB67" s="1"/>
  <c r="AC13"/>
  <c r="AA66"/>
  <c r="AB66"/>
  <c r="AC65"/>
  <c r="AC67" s="1"/>
  <c r="U71"/>
  <c r="V3" s="1"/>
  <c r="T71"/>
  <c r="U3" s="1"/>
  <c r="U15"/>
  <c r="U18" s="1"/>
  <c r="U14"/>
  <c r="U29"/>
  <c r="R29"/>
  <c r="V29"/>
  <c r="V64"/>
  <c r="V65" s="1"/>
  <c r="V67" s="1"/>
  <c r="T29"/>
  <c r="T27"/>
  <c r="W6"/>
  <c r="V27"/>
  <c r="Q61"/>
  <c r="R27" s="1"/>
  <c r="R48"/>
  <c r="Q71" l="1"/>
  <c r="R3" s="1"/>
  <c r="V25"/>
  <c r="T25"/>
  <c r="R25"/>
  <c r="AE21"/>
  <c r="AE24" s="1"/>
  <c r="AE19"/>
  <c r="AE23" s="1"/>
  <c r="AA68"/>
  <c r="AA69" s="1"/>
  <c r="AB5" s="1"/>
  <c r="AB8" s="1"/>
  <c r="AB68"/>
  <c r="AB69" s="1"/>
  <c r="AC5" s="1"/>
  <c r="AC8" s="1"/>
  <c r="Y67"/>
  <c r="Y70" s="1"/>
  <c r="Z4" s="1"/>
  <c r="AE7"/>
  <c r="AB70"/>
  <c r="AC4" s="1"/>
  <c r="AC21" s="1"/>
  <c r="AA22"/>
  <c r="AC70"/>
  <c r="AD4" s="1"/>
  <c r="AA70"/>
  <c r="AB4" s="1"/>
  <c r="AC68"/>
  <c r="AC69" s="1"/>
  <c r="AD5" s="1"/>
  <c r="AD8" s="1"/>
  <c r="S71"/>
  <c r="T3" s="1"/>
  <c r="T6" s="1"/>
  <c r="V6"/>
  <c r="W29"/>
  <c r="W25" s="1"/>
  <c r="U64"/>
  <c r="U65" s="1"/>
  <c r="U27"/>
  <c r="U25" s="1"/>
  <c r="T64"/>
  <c r="Q64"/>
  <c r="Q65" s="1"/>
  <c r="Q67" s="1"/>
  <c r="U6"/>
  <c r="S64"/>
  <c r="S66" s="1"/>
  <c r="W13"/>
  <c r="V66"/>
  <c r="V70" s="1"/>
  <c r="R49"/>
  <c r="R50"/>
  <c r="R54" s="1"/>
  <c r="R62" s="1"/>
  <c r="S28" s="1"/>
  <c r="V68"/>
  <c r="V69" s="1"/>
  <c r="AC24" l="1"/>
  <c r="AC19"/>
  <c r="AC23" s="1"/>
  <c r="Z21"/>
  <c r="Z24" s="1"/>
  <c r="Z19"/>
  <c r="Z23" s="1"/>
  <c r="AD21"/>
  <c r="AD24" s="1"/>
  <c r="AD19"/>
  <c r="AD23" s="1"/>
  <c r="AB21"/>
  <c r="AB24" s="1"/>
  <c r="AB19"/>
  <c r="AB23" s="1"/>
  <c r="Z7"/>
  <c r="AC7"/>
  <c r="AB7"/>
  <c r="AE22"/>
  <c r="AD7"/>
  <c r="R6"/>
  <c r="R52"/>
  <c r="R61" s="1"/>
  <c r="S27" s="1"/>
  <c r="R53"/>
  <c r="R63" s="1"/>
  <c r="U68"/>
  <c r="U67"/>
  <c r="S14"/>
  <c r="S15"/>
  <c r="S18" s="1"/>
  <c r="W5"/>
  <c r="W8" s="1"/>
  <c r="V13"/>
  <c r="W4"/>
  <c r="W19" s="1"/>
  <c r="R13"/>
  <c r="U66"/>
  <c r="Q68"/>
  <c r="Q69" s="1"/>
  <c r="Q66"/>
  <c r="Q70" s="1"/>
  <c r="S65"/>
  <c r="T13"/>
  <c r="T65"/>
  <c r="T67" s="1"/>
  <c r="U13"/>
  <c r="T66"/>
  <c r="U70" l="1"/>
  <c r="V4" s="1"/>
  <c r="V19" s="1"/>
  <c r="T70"/>
  <c r="Z22"/>
  <c r="AD22"/>
  <c r="AC22"/>
  <c r="AB22"/>
  <c r="W7"/>
  <c r="U69"/>
  <c r="V5" s="1"/>
  <c r="V8" s="1"/>
  <c r="R4"/>
  <c r="R19" s="1"/>
  <c r="S67"/>
  <c r="S70" s="1"/>
  <c r="R5"/>
  <c r="S29"/>
  <c r="S25" s="1"/>
  <c r="R71"/>
  <c r="S3" s="1"/>
  <c r="S6" s="1"/>
  <c r="R64"/>
  <c r="W21"/>
  <c r="W24" s="1"/>
  <c r="S68"/>
  <c r="S69" s="1"/>
  <c r="T68"/>
  <c r="T69" s="1"/>
  <c r="R8" l="1"/>
  <c r="R21"/>
  <c r="R24" s="1"/>
  <c r="V7"/>
  <c r="R7"/>
  <c r="T4"/>
  <c r="T19" s="1"/>
  <c r="T5"/>
  <c r="T8" s="1"/>
  <c r="U5"/>
  <c r="U8" s="1"/>
  <c r="R65"/>
  <c r="R67" s="1"/>
  <c r="R66"/>
  <c r="S13"/>
  <c r="U4"/>
  <c r="U19" s="1"/>
  <c r="W23"/>
  <c r="W22"/>
  <c r="V21"/>
  <c r="V24" s="1"/>
  <c r="R70" l="1"/>
  <c r="S4" s="1"/>
  <c r="S19" s="1"/>
  <c r="U23"/>
  <c r="U21"/>
  <c r="U24" s="1"/>
  <c r="R22"/>
  <c r="R23"/>
  <c r="T7"/>
  <c r="T22"/>
  <c r="T21"/>
  <c r="T24" s="1"/>
  <c r="U7"/>
  <c r="R68"/>
  <c r="R69" s="1"/>
  <c r="V23"/>
  <c r="V22"/>
  <c r="S7" l="1"/>
  <c r="T23"/>
  <c r="S5"/>
  <c r="S8" s="1"/>
  <c r="S21"/>
  <c r="S24" s="1"/>
  <c r="U22"/>
  <c r="S23" l="1"/>
  <c r="S22"/>
</calcChain>
</file>

<file path=xl/sharedStrings.xml><?xml version="1.0" encoding="utf-8"?>
<sst xmlns="http://schemas.openxmlformats.org/spreadsheetml/2006/main" count="133" uniqueCount="85">
  <si>
    <t>Body</t>
  </si>
  <si>
    <t>X</t>
  </si>
  <si>
    <t>Z</t>
  </si>
  <si>
    <t>Center</t>
  </si>
  <si>
    <t>X1</t>
  </si>
  <si>
    <t>Z1</t>
  </si>
  <si>
    <t>X2</t>
  </si>
  <si>
    <t>Z2</t>
  </si>
  <si>
    <t>Legs Angles</t>
  </si>
  <si>
    <t>Leg Num</t>
  </si>
  <si>
    <t>Coxa</t>
  </si>
  <si>
    <t>Femur</t>
  </si>
  <si>
    <t>Tibia</t>
  </si>
  <si>
    <t>Dimension</t>
  </si>
  <si>
    <t>Coxa Length</t>
  </si>
  <si>
    <t>Femur Length</t>
  </si>
  <si>
    <t>Tibia Length</t>
  </si>
  <si>
    <t>CoxaBodyCenterOffset</t>
  </si>
  <si>
    <t>Inputs</t>
  </si>
  <si>
    <t>PosX</t>
  </si>
  <si>
    <t>PosY</t>
  </si>
  <si>
    <t>PosZ</t>
  </si>
  <si>
    <t>RotX</t>
  </si>
  <si>
    <t>RotY</t>
  </si>
  <si>
    <t>RotZ</t>
  </si>
  <si>
    <t>LegLengthXZ</t>
  </si>
  <si>
    <t>FeetPosX</t>
  </si>
  <si>
    <t>FeetPosY</t>
  </si>
  <si>
    <t>FeetPosZ</t>
  </si>
  <si>
    <t>Display Data</t>
  </si>
  <si>
    <t>Body IK</t>
  </si>
  <si>
    <t>TotalZ</t>
  </si>
  <si>
    <t>TotalX</t>
  </si>
  <si>
    <t>DistBodyCenterFeet</t>
  </si>
  <si>
    <t>AngleBodyCenterX</t>
  </si>
  <si>
    <t>RollY</t>
  </si>
  <si>
    <t>PitchY</t>
  </si>
  <si>
    <t>LegNum</t>
  </si>
  <si>
    <t>BodyCoxaOffsetX</t>
  </si>
  <si>
    <t>BodyCoxaOffsetZ</t>
  </si>
  <si>
    <t>BodyCoxaOffset</t>
  </si>
  <si>
    <t>FeetPosX (wrt coxa)</t>
  </si>
  <si>
    <t>FeetPosY (wrt coxa)</t>
  </si>
  <si>
    <t>FeetPosZ (wrt coxa)</t>
  </si>
  <si>
    <t>Init Feet Position</t>
  </si>
  <si>
    <t>BodyIkX</t>
  </si>
  <si>
    <t>BodyIkZ</t>
  </si>
  <si>
    <t>BodyIkY</t>
  </si>
  <si>
    <t>Leg IK</t>
  </si>
  <si>
    <t>CoxaFeetDist</t>
  </si>
  <si>
    <t>IKSW</t>
  </si>
  <si>
    <t>IKA1</t>
  </si>
  <si>
    <t>IKA2</t>
  </si>
  <si>
    <t>IKFemurAngle</t>
  </si>
  <si>
    <t>TAngle</t>
  </si>
  <si>
    <t>IKTibiaAngle</t>
  </si>
  <si>
    <t>IKCoxaAngle</t>
  </si>
  <si>
    <t>New PosX</t>
  </si>
  <si>
    <t>New PosY</t>
  </si>
  <si>
    <t>New PosZ</t>
  </si>
  <si>
    <t>Y</t>
  </si>
  <si>
    <t>SideLength of Hexagon</t>
  </si>
  <si>
    <t>Body Display</t>
  </si>
  <si>
    <t>mm</t>
  </si>
  <si>
    <t>CoxaStartPosY</t>
  </si>
  <si>
    <t>CoxaEndPosY</t>
  </si>
  <si>
    <t>CoxaStartPosXZ</t>
  </si>
  <si>
    <t>CoxaEndPosXZ</t>
  </si>
  <si>
    <t>FemurStartPosY</t>
  </si>
  <si>
    <t>FemurEndPosY</t>
  </si>
  <si>
    <t>FemurStartPosXZ</t>
  </si>
  <si>
    <t>FemurEndPosXZ</t>
  </si>
  <si>
    <t>TibiaStartPosY</t>
  </si>
  <si>
    <t>TibiaEndPosY</t>
  </si>
  <si>
    <t>TibiaStartPosXZ</t>
  </si>
  <si>
    <t>TibiaEndPosXZ</t>
  </si>
  <si>
    <t>cos(rotX)</t>
  </si>
  <si>
    <t>sin(rotX)</t>
  </si>
  <si>
    <t>sin(rotZ)</t>
  </si>
  <si>
    <t>cos(rotZ)</t>
  </si>
  <si>
    <t>sin(rotY+rotationY)</t>
  </si>
  <si>
    <t>cos(rotY+rotationY)</t>
  </si>
  <si>
    <t>TotalY</t>
  </si>
  <si>
    <t>IK Algor. 2</t>
  </si>
  <si>
    <t>IK Algor. 1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</si>
</sst>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EFFC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D87B7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10" xfId="0" applyBorder="1"/>
    <xf numFmtId="0" fontId="0" fillId="0" borderId="11" xfId="0" applyFill="1" applyBorder="1"/>
    <xf numFmtId="0" fontId="0" fillId="0" borderId="12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3" borderId="13" xfId="0" applyFont="1" applyFill="1" applyBorder="1"/>
    <xf numFmtId="0" fontId="0" fillId="0" borderId="1" xfId="0" applyBorder="1"/>
    <xf numFmtId="0" fontId="0" fillId="3" borderId="0" xfId="0" applyFill="1"/>
    <xf numFmtId="0" fontId="0" fillId="0" borderId="12" xfId="0" applyFont="1" applyFill="1" applyBorder="1"/>
    <xf numFmtId="0" fontId="0" fillId="0" borderId="3" xfId="0" applyBorder="1"/>
    <xf numFmtId="0" fontId="0" fillId="5" borderId="9" xfId="0" applyFill="1" applyBorder="1"/>
    <xf numFmtId="0" fontId="3" fillId="0" borderId="14" xfId="0" applyFont="1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3" xfId="0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4" xfId="0" applyNumberFormat="1" applyFill="1" applyBorder="1"/>
    <xf numFmtId="164" fontId="0" fillId="2" borderId="5" xfId="0" applyNumberFormat="1" applyFill="1" applyBorder="1"/>
    <xf numFmtId="164" fontId="0" fillId="2" borderId="0" xfId="0" applyNumberFormat="1" applyFill="1" applyBorder="1"/>
    <xf numFmtId="164" fontId="0" fillId="2" borderId="6" xfId="0" applyNumberFormat="1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164" fontId="3" fillId="2" borderId="2" xfId="0" applyNumberFormat="1" applyFont="1" applyFill="1" applyBorder="1"/>
    <xf numFmtId="164" fontId="0" fillId="2" borderId="9" xfId="0" applyNumberFormat="1" applyFill="1" applyBorder="1"/>
    <xf numFmtId="164" fontId="0" fillId="4" borderId="13" xfId="0" applyNumberFormat="1" applyFill="1" applyBorder="1"/>
    <xf numFmtId="164" fontId="0" fillId="4" borderId="14" xfId="0" applyNumberFormat="1" applyFill="1" applyBorder="1"/>
    <xf numFmtId="164" fontId="0" fillId="4" borderId="14" xfId="0" applyNumberFormat="1" applyFont="1" applyFill="1" applyBorder="1"/>
    <xf numFmtId="164" fontId="0" fillId="4" borderId="15" xfId="0" applyNumberFormat="1" applyFont="1" applyFill="1" applyBorder="1"/>
    <xf numFmtId="164" fontId="0" fillId="4" borderId="0" xfId="0" applyNumberFormat="1" applyFill="1" applyBorder="1"/>
    <xf numFmtId="164" fontId="0" fillId="4" borderId="6" xfId="0" applyNumberFormat="1" applyFill="1" applyBorder="1"/>
    <xf numFmtId="164" fontId="0" fillId="4" borderId="8" xfId="0" applyNumberFormat="1" applyFill="1" applyBorder="1"/>
    <xf numFmtId="164" fontId="0" fillId="4" borderId="9" xfId="0" applyNumberFormat="1" applyFill="1" applyBorder="1"/>
    <xf numFmtId="164" fontId="0" fillId="0" borderId="4" xfId="0" applyNumberFormat="1" applyFill="1" applyBorder="1"/>
    <xf numFmtId="164" fontId="0" fillId="0" borderId="0" xfId="0" applyNumberFormat="1" applyBorder="1"/>
    <xf numFmtId="164" fontId="0" fillId="0" borderId="6" xfId="0" applyNumberFormat="1" applyBorder="1"/>
    <xf numFmtId="164" fontId="0" fillId="0" borderId="8" xfId="0" applyNumberFormat="1" applyBorder="1"/>
    <xf numFmtId="0" fontId="0" fillId="7" borderId="8" xfId="0" applyFill="1" applyBorder="1"/>
    <xf numFmtId="0" fontId="0" fillId="7" borderId="9" xfId="0" applyFill="1" applyBorder="1"/>
    <xf numFmtId="0" fontId="1" fillId="3" borderId="10" xfId="0" applyFont="1" applyFill="1" applyBorder="1"/>
    <xf numFmtId="0" fontId="0" fillId="5" borderId="7" xfId="0" applyFill="1" applyBorder="1"/>
    <xf numFmtId="0" fontId="1" fillId="3" borderId="11" xfId="0" applyFont="1" applyFill="1" applyBorder="1"/>
    <xf numFmtId="0" fontId="1" fillId="3" borderId="12" xfId="0" applyFont="1" applyFill="1" applyBorder="1"/>
    <xf numFmtId="164" fontId="0" fillId="4" borderId="15" xfId="0" applyNumberFormat="1" applyFill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9" xfId="0" applyNumberFormat="1" applyBorder="1"/>
    <xf numFmtId="0" fontId="0" fillId="0" borderId="1" xfId="0" applyFont="1" applyFill="1" applyBorder="1"/>
    <xf numFmtId="0" fontId="4" fillId="0" borderId="5" xfId="0" applyFont="1" applyBorder="1"/>
    <xf numFmtId="0" fontId="0" fillId="0" borderId="5" xfId="0" applyFont="1" applyBorder="1"/>
    <xf numFmtId="0" fontId="0" fillId="0" borderId="2" xfId="0" applyFont="1" applyBorder="1"/>
    <xf numFmtId="0" fontId="4" fillId="0" borderId="7" xfId="0" applyFont="1" applyBorder="1"/>
    <xf numFmtId="0" fontId="5" fillId="0" borderId="0" xfId="0" applyFont="1"/>
    <xf numFmtId="0" fontId="0" fillId="5" borderId="13" xfId="0" applyFill="1" applyBorder="1"/>
    <xf numFmtId="2" fontId="0" fillId="6" borderId="0" xfId="0" applyNumberFormat="1" applyFill="1" applyBorder="1"/>
    <xf numFmtId="2" fontId="0" fillId="6" borderId="6" xfId="0" applyNumberFormat="1" applyFill="1" applyBorder="1"/>
    <xf numFmtId="0" fontId="0" fillId="0" borderId="4" xfId="0" applyBorder="1"/>
    <xf numFmtId="0" fontId="0" fillId="5" borderId="12" xfId="0" applyFill="1" applyBorder="1"/>
    <xf numFmtId="0" fontId="0" fillId="0" borderId="13" xfId="0" applyFont="1" applyFill="1" applyBorder="1"/>
    <xf numFmtId="0" fontId="0" fillId="0" borderId="4" xfId="0" applyFont="1" applyFill="1" applyBorder="1"/>
    <xf numFmtId="2" fontId="0" fillId="8" borderId="0" xfId="0" applyNumberFormat="1" applyFill="1" applyBorder="1"/>
    <xf numFmtId="2" fontId="0" fillId="8" borderId="8" xfId="0" applyNumberFormat="1" applyFill="1" applyBorder="1"/>
    <xf numFmtId="2" fontId="0" fillId="9" borderId="0" xfId="0" applyNumberFormat="1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6" fillId="11" borderId="0" xfId="0" applyFont="1" applyFill="1"/>
    <xf numFmtId="0" fontId="6" fillId="10" borderId="0" xfId="0" applyFont="1" applyFill="1"/>
    <xf numFmtId="2" fontId="0" fillId="9" borderId="6" xfId="0" applyNumberFormat="1" applyFont="1" applyFill="1" applyBorder="1"/>
    <xf numFmtId="2" fontId="0" fillId="8" borderId="6" xfId="0" applyNumberFormat="1" applyFill="1" applyBorder="1"/>
    <xf numFmtId="2" fontId="0" fillId="8" borderId="9" xfId="0" applyNumberFormat="1" applyFill="1" applyBorder="1"/>
    <xf numFmtId="1" fontId="0" fillId="0" borderId="3" xfId="0" applyNumberFormat="1" applyFill="1" applyBorder="1"/>
    <xf numFmtId="1" fontId="0" fillId="0" borderId="4" xfId="0" applyNumberFormat="1" applyFill="1" applyBorder="1"/>
    <xf numFmtId="1" fontId="0" fillId="0" borderId="2" xfId="0" applyNumberFormat="1" applyBorder="1"/>
    <xf numFmtId="165" fontId="0" fillId="6" borderId="0" xfId="0" applyNumberFormat="1" applyFill="1" applyBorder="1"/>
    <xf numFmtId="165" fontId="0" fillId="6" borderId="6" xfId="0" applyNumberFormat="1" applyFill="1" applyBorder="1"/>
    <xf numFmtId="0" fontId="0" fillId="1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D87B7"/>
      <color rgb="FFCEFFC1"/>
      <color rgb="FF51FF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7.1514410906691916E-2"/>
          <c:y val="3.8651069399614865E-2"/>
          <c:w val="0.8689170263042616"/>
          <c:h val="0.92269786120077146"/>
        </c:manualLayout>
      </c:layout>
      <c:scatterChart>
        <c:scatterStyle val="lineMarker"/>
        <c:ser>
          <c:idx val="6"/>
          <c:order val="0"/>
          <c:tx>
            <c:v>Leg1</c:v>
          </c:tx>
          <c:spPr>
            <a:ln w="317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(Sheet1!$I$2,Sheet1!$R$27)</c:f>
              <c:numCache>
                <c:formatCode>0.0</c:formatCode>
                <c:ptCount val="2"/>
                <c:pt idx="0">
                  <c:v>22</c:v>
                </c:pt>
                <c:pt idx="1">
                  <c:v>45.500008867730152</c:v>
                </c:pt>
              </c:numCache>
            </c:numRef>
          </c:xVal>
          <c:yVal>
            <c:numRef>
              <c:f>(Sheet1!$J$2,Sheet1!$R$29)</c:f>
              <c:numCache>
                <c:formatCode>0.0</c:formatCode>
                <c:ptCount val="2"/>
                <c:pt idx="0">
                  <c:v>38.105117766515299</c:v>
                </c:pt>
                <c:pt idx="1">
                  <c:v>78.808306624596241</c:v>
                </c:pt>
              </c:numCache>
            </c:numRef>
          </c:yVal>
        </c:ser>
        <c:ser>
          <c:idx val="7"/>
          <c:order val="1"/>
          <c:tx>
            <c:v>Leg2</c:v>
          </c:tx>
          <c:spPr>
            <a:ln w="317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(Sheet1!$I$3,Sheet1!$S$27)</c:f>
              <c:numCache>
                <c:formatCode>0.0</c:formatCode>
                <c:ptCount val="2"/>
                <c:pt idx="0">
                  <c:v>44</c:v>
                </c:pt>
                <c:pt idx="1">
                  <c:v>91</c:v>
                </c:pt>
              </c:numCache>
            </c:numRef>
          </c:xVal>
          <c:yVal>
            <c:numRef>
              <c:f>(Sheet1!$J$3,Sheet1!$S$29)</c:f>
              <c:numCache>
                <c:formatCode>0.0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ser>
          <c:idx val="8"/>
          <c:order val="2"/>
          <c:tx>
            <c:v>Leg3</c:v>
          </c:tx>
          <c:spPr>
            <a:ln w="317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(Sheet1!$I$4,Sheet1!$T$27)</c:f>
              <c:numCache>
                <c:formatCode>0.0</c:formatCode>
                <c:ptCount val="2"/>
                <c:pt idx="0">
                  <c:v>22</c:v>
                </c:pt>
                <c:pt idx="1">
                  <c:v>45.500008867730152</c:v>
                </c:pt>
              </c:numCache>
            </c:numRef>
          </c:xVal>
          <c:yVal>
            <c:numRef>
              <c:f>(Sheet1!$J$4,Sheet1!$T$29)</c:f>
              <c:numCache>
                <c:formatCode>0.0</c:formatCode>
                <c:ptCount val="2"/>
                <c:pt idx="0">
                  <c:v>-38.105117766515299</c:v>
                </c:pt>
                <c:pt idx="1">
                  <c:v>-78.808306624596241</c:v>
                </c:pt>
              </c:numCache>
            </c:numRef>
          </c:yVal>
        </c:ser>
        <c:ser>
          <c:idx val="9"/>
          <c:order val="3"/>
          <c:tx>
            <c:v>Leg4</c:v>
          </c:tx>
          <c:spPr>
            <a:ln w="317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(Sheet1!$I$5,Sheet1!$U$27)</c:f>
              <c:numCache>
                <c:formatCode>0.0</c:formatCode>
                <c:ptCount val="2"/>
                <c:pt idx="0">
                  <c:v>-22</c:v>
                </c:pt>
                <c:pt idx="1">
                  <c:v>-45.500008867730152</c:v>
                </c:pt>
              </c:numCache>
            </c:numRef>
          </c:xVal>
          <c:yVal>
            <c:numRef>
              <c:f>(Sheet1!$J$5,Sheet1!$U$29)</c:f>
              <c:numCache>
                <c:formatCode>0.0</c:formatCode>
                <c:ptCount val="2"/>
                <c:pt idx="0">
                  <c:v>-38.105117766515299</c:v>
                </c:pt>
                <c:pt idx="1">
                  <c:v>-78.808306624596241</c:v>
                </c:pt>
              </c:numCache>
            </c:numRef>
          </c:yVal>
        </c:ser>
        <c:ser>
          <c:idx val="10"/>
          <c:order val="4"/>
          <c:tx>
            <c:v>Leg5</c:v>
          </c:tx>
          <c:spPr>
            <a:ln w="317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(Sheet1!$I$6,Sheet1!$V$27)</c:f>
              <c:numCache>
                <c:formatCode>0.0</c:formatCode>
                <c:ptCount val="2"/>
                <c:pt idx="0">
                  <c:v>-44</c:v>
                </c:pt>
                <c:pt idx="1">
                  <c:v>-91</c:v>
                </c:pt>
              </c:numCache>
            </c:numRef>
          </c:xVal>
          <c:yVal>
            <c:numRef>
              <c:f>(Sheet1!$J$6,Sheet1!$V$29)</c:f>
              <c:numCache>
                <c:formatCode>0.0</c:formatCode>
                <c:ptCount val="2"/>
                <c:pt idx="0">
                  <c:v>0</c:v>
                </c:pt>
                <c:pt idx="1">
                  <c:v>1.1148850939668442E-14</c:v>
                </c:pt>
              </c:numCache>
            </c:numRef>
          </c:yVal>
        </c:ser>
        <c:ser>
          <c:idx val="11"/>
          <c:order val="5"/>
          <c:tx>
            <c:v>Leg6</c:v>
          </c:tx>
          <c:spPr>
            <a:ln w="317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(Sheet1!$I$7,Sheet1!$W$27)</c:f>
              <c:numCache>
                <c:formatCode>0.0</c:formatCode>
                <c:ptCount val="2"/>
                <c:pt idx="0">
                  <c:v>-22</c:v>
                </c:pt>
                <c:pt idx="1">
                  <c:v>-45.500008867730152</c:v>
                </c:pt>
              </c:numCache>
            </c:numRef>
          </c:xVal>
          <c:yVal>
            <c:numRef>
              <c:f>(Sheet1!$J$7,Sheet1!$W$29)</c:f>
              <c:numCache>
                <c:formatCode>0.0</c:formatCode>
                <c:ptCount val="2"/>
                <c:pt idx="0">
                  <c:v>38.105117766515299</c:v>
                </c:pt>
                <c:pt idx="1">
                  <c:v>78.808306624596241</c:v>
                </c:pt>
              </c:numCache>
            </c:numRef>
          </c:yVal>
        </c:ser>
        <c:ser>
          <c:idx val="0"/>
          <c:order val="6"/>
          <c:tx>
            <c:v>Body1</c:v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(Sheet1!$B$61,Sheet1!$D$61)</c:f>
              <c:numCache>
                <c:formatCode>0.0</c:formatCode>
                <c:ptCount val="2"/>
                <c:pt idx="0">
                  <c:v>-22</c:v>
                </c:pt>
                <c:pt idx="1">
                  <c:v>22</c:v>
                </c:pt>
              </c:numCache>
            </c:numRef>
          </c:xVal>
          <c:yVal>
            <c:numRef>
              <c:f>(Sheet1!$C$61,Sheet1!$E$61)</c:f>
              <c:numCache>
                <c:formatCode>0.0</c:formatCode>
                <c:ptCount val="2"/>
                <c:pt idx="0">
                  <c:v>38.105117766515299</c:v>
                </c:pt>
                <c:pt idx="1">
                  <c:v>38.105117766515299</c:v>
                </c:pt>
              </c:numCache>
            </c:numRef>
          </c:yVal>
        </c:ser>
        <c:ser>
          <c:idx val="1"/>
          <c:order val="7"/>
          <c:tx>
            <c:v>Body2</c:v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(Sheet1!$B$62,Sheet1!$D$62)</c:f>
              <c:numCache>
                <c:formatCode>0.0</c:formatCode>
                <c:ptCount val="2"/>
                <c:pt idx="0">
                  <c:v>22</c:v>
                </c:pt>
                <c:pt idx="1">
                  <c:v>44</c:v>
                </c:pt>
              </c:numCache>
            </c:numRef>
          </c:xVal>
          <c:yVal>
            <c:numRef>
              <c:f>(Sheet1!$C$62,Sheet1!$E$62)</c:f>
              <c:numCache>
                <c:formatCode>0.0</c:formatCode>
                <c:ptCount val="2"/>
                <c:pt idx="0">
                  <c:v>38.105117766515299</c:v>
                </c:pt>
                <c:pt idx="1">
                  <c:v>0</c:v>
                </c:pt>
              </c:numCache>
            </c:numRef>
          </c:yVal>
        </c:ser>
        <c:ser>
          <c:idx val="2"/>
          <c:order val="8"/>
          <c:tx>
            <c:v>Body3</c:v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(Sheet1!$B$63,Sheet1!$D$63)</c:f>
              <c:numCache>
                <c:formatCode>0.0</c:formatCode>
                <c:ptCount val="2"/>
                <c:pt idx="0">
                  <c:v>44</c:v>
                </c:pt>
                <c:pt idx="1">
                  <c:v>22</c:v>
                </c:pt>
              </c:numCache>
            </c:numRef>
          </c:xVal>
          <c:yVal>
            <c:numRef>
              <c:f>(Sheet1!$C$63,Sheet1!$E$63)</c:f>
              <c:numCache>
                <c:formatCode>0.0</c:formatCode>
                <c:ptCount val="2"/>
                <c:pt idx="0">
                  <c:v>0</c:v>
                </c:pt>
                <c:pt idx="1">
                  <c:v>-38.105117766515299</c:v>
                </c:pt>
              </c:numCache>
            </c:numRef>
          </c:yVal>
        </c:ser>
        <c:ser>
          <c:idx val="3"/>
          <c:order val="9"/>
          <c:tx>
            <c:v>Body4</c:v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(Sheet1!$B$64,Sheet1!$D$64)</c:f>
              <c:numCache>
                <c:formatCode>0.0</c:formatCode>
                <c:ptCount val="2"/>
                <c:pt idx="0">
                  <c:v>22</c:v>
                </c:pt>
                <c:pt idx="1">
                  <c:v>-22</c:v>
                </c:pt>
              </c:numCache>
            </c:numRef>
          </c:xVal>
          <c:yVal>
            <c:numRef>
              <c:f>(Sheet1!$C$64,Sheet1!$E$64)</c:f>
              <c:numCache>
                <c:formatCode>0.0</c:formatCode>
                <c:ptCount val="2"/>
                <c:pt idx="0">
                  <c:v>-38.105117766515299</c:v>
                </c:pt>
                <c:pt idx="1">
                  <c:v>-38.105117766515299</c:v>
                </c:pt>
              </c:numCache>
            </c:numRef>
          </c:yVal>
        </c:ser>
        <c:ser>
          <c:idx val="4"/>
          <c:order val="10"/>
          <c:tx>
            <c:v>Body5</c:v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(Sheet1!$B$65,Sheet1!$D$65)</c:f>
              <c:numCache>
                <c:formatCode>0.0</c:formatCode>
                <c:ptCount val="2"/>
                <c:pt idx="0">
                  <c:v>-22</c:v>
                </c:pt>
                <c:pt idx="1">
                  <c:v>-44</c:v>
                </c:pt>
              </c:numCache>
            </c:numRef>
          </c:xVal>
          <c:yVal>
            <c:numRef>
              <c:f>(Sheet1!$C$65,Sheet1!$E$65)</c:f>
              <c:numCache>
                <c:formatCode>0.0</c:formatCode>
                <c:ptCount val="2"/>
                <c:pt idx="0">
                  <c:v>-38.105117766515299</c:v>
                </c:pt>
                <c:pt idx="1">
                  <c:v>0</c:v>
                </c:pt>
              </c:numCache>
            </c:numRef>
          </c:yVal>
        </c:ser>
        <c:ser>
          <c:idx val="5"/>
          <c:order val="11"/>
          <c:tx>
            <c:v>Body6</c:v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(Sheet1!$B$66,Sheet1!$D$66)</c:f>
              <c:numCache>
                <c:formatCode>0.0</c:formatCode>
                <c:ptCount val="2"/>
                <c:pt idx="0">
                  <c:v>-44</c:v>
                </c:pt>
                <c:pt idx="1">
                  <c:v>-22</c:v>
                </c:pt>
              </c:numCache>
            </c:numRef>
          </c:xVal>
          <c:yVal>
            <c:numRef>
              <c:f>(Sheet1!$C$66,Sheet1!$E$66)</c:f>
              <c:numCache>
                <c:formatCode>0.0</c:formatCode>
                <c:ptCount val="2"/>
                <c:pt idx="0">
                  <c:v>0</c:v>
                </c:pt>
                <c:pt idx="1">
                  <c:v>38.105117766515299</c:v>
                </c:pt>
              </c:numCache>
            </c:numRef>
          </c:yVal>
        </c:ser>
        <c:dLbls/>
        <c:axId val="48943872"/>
        <c:axId val="48945408"/>
      </c:scatterChart>
      <c:valAx>
        <c:axId val="48943872"/>
        <c:scaling>
          <c:orientation val="minMax"/>
          <c:max val="150"/>
          <c:min val="-150"/>
        </c:scaling>
        <c:axPos val="b"/>
        <c:numFmt formatCode="0.0" sourceLinked="1"/>
        <c:majorTickMark val="cross"/>
        <c:tickLblPos val="nextTo"/>
        <c:crossAx val="48945408"/>
        <c:crosses val="autoZero"/>
        <c:crossBetween val="midCat"/>
      </c:valAx>
      <c:valAx>
        <c:axId val="48945408"/>
        <c:scaling>
          <c:orientation val="minMax"/>
          <c:max val="150"/>
          <c:min val="-150"/>
        </c:scaling>
        <c:axPos val="l"/>
        <c:numFmt formatCode="0.0" sourceLinked="1"/>
        <c:majorTickMark val="cross"/>
        <c:tickLblPos val="nextTo"/>
        <c:crossAx val="48943872"/>
        <c:crosses val="autoZero"/>
        <c:crossBetween val="midCat"/>
      </c:valAx>
    </c:plotArea>
    <c:plotVisOnly val="1"/>
    <c:dispBlanksAs val="gap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smoothMarker"/>
        <c:ser>
          <c:idx val="0"/>
          <c:order val="0"/>
          <c:tx>
            <c:v>Coxa</c:v>
          </c:tx>
          <c:marker>
            <c:symbol val="none"/>
          </c:marker>
          <c:xVal>
            <c:numRef>
              <c:f>Sheet1!$R$16:$R$17</c:f>
              <c:numCache>
                <c:formatCode>0.0</c:formatCode>
                <c:ptCount val="2"/>
                <c:pt idx="0">
                  <c:v>0</c:v>
                </c:pt>
                <c:pt idx="1">
                  <c:v>13</c:v>
                </c:pt>
              </c:numCache>
            </c:numRef>
          </c:xVal>
          <c:yVal>
            <c:numRef>
              <c:f>Sheet1!$R$14:$R$15</c:f>
              <c:numCache>
                <c:formatCode>0.0</c:formatCode>
                <c:ptCount val="2"/>
                <c:pt idx="0">
                  <c:v>78.894831979589284</c:v>
                </c:pt>
                <c:pt idx="1">
                  <c:v>78.894831979589284</c:v>
                </c:pt>
              </c:numCache>
            </c:numRef>
          </c:yVal>
          <c:smooth val="1"/>
        </c:ser>
        <c:ser>
          <c:idx val="1"/>
          <c:order val="1"/>
          <c:tx>
            <c:v>Femur</c:v>
          </c:tx>
          <c:marker>
            <c:symbol val="none"/>
          </c:marker>
          <c:xVal>
            <c:numRef>
              <c:f>Sheet1!$R$20:$R$21</c:f>
              <c:numCache>
                <c:formatCode>0.0</c:formatCode>
                <c:ptCount val="2"/>
                <c:pt idx="0">
                  <c:v>13</c:v>
                </c:pt>
                <c:pt idx="1">
                  <c:v>46.292842942159041</c:v>
                </c:pt>
              </c:numCache>
            </c:numRef>
          </c:xVal>
          <c:yVal>
            <c:numRef>
              <c:f>Sheet1!$R$18:$R$19</c:f>
              <c:numCache>
                <c:formatCode>0.0</c:formatCode>
                <c:ptCount val="2"/>
                <c:pt idx="0">
                  <c:v>78.894831979589284</c:v>
                </c:pt>
                <c:pt idx="1">
                  <c:v>71.996527200244486</c:v>
                </c:pt>
              </c:numCache>
            </c:numRef>
          </c:yVal>
          <c:smooth val="1"/>
        </c:ser>
        <c:ser>
          <c:idx val="2"/>
          <c:order val="2"/>
          <c:tx>
            <c:v>Tibia</c:v>
          </c:tx>
          <c:marker>
            <c:symbol val="none"/>
          </c:marker>
          <c:xVal>
            <c:numRef>
              <c:f>Sheet1!$R$24:$R$25</c:f>
              <c:numCache>
                <c:formatCode>0.0</c:formatCode>
                <c:ptCount val="2"/>
                <c:pt idx="0">
                  <c:v>46.292842942159041</c:v>
                </c:pt>
                <c:pt idx="1">
                  <c:v>47.000000000000007</c:v>
                </c:pt>
              </c:numCache>
            </c:numRef>
          </c:xVal>
          <c:yVal>
            <c:numRef>
              <c:f>Sheet1!$R$22:$R$23</c:f>
              <c:numCache>
                <c:formatCode>0.0</c:formatCode>
                <c:ptCount val="2"/>
                <c:pt idx="0">
                  <c:v>71.996527200244486</c:v>
                </c:pt>
                <c:pt idx="1">
                  <c:v>1.6409128606336196</c:v>
                </c:pt>
              </c:numCache>
            </c:numRef>
          </c:yVal>
          <c:smooth val="1"/>
        </c:ser>
        <c:dLbls/>
        <c:axId val="46968832"/>
        <c:axId val="46970368"/>
      </c:scatterChart>
      <c:valAx>
        <c:axId val="46968832"/>
        <c:scaling>
          <c:orientation val="minMax"/>
          <c:max val="80"/>
          <c:min val="0"/>
        </c:scaling>
        <c:axPos val="b"/>
        <c:numFmt formatCode="0" sourceLinked="0"/>
        <c:tickLblPos val="nextTo"/>
        <c:crossAx val="46970368"/>
        <c:crosses val="autoZero"/>
        <c:crossBetween val="midCat"/>
        <c:majorUnit val="20"/>
      </c:valAx>
      <c:valAx>
        <c:axId val="46970368"/>
        <c:scaling>
          <c:orientation val="minMax"/>
          <c:max val="80"/>
          <c:min val="-40"/>
        </c:scaling>
        <c:axPos val="l"/>
        <c:numFmt formatCode="0" sourceLinked="0"/>
        <c:tickLblPos val="nextTo"/>
        <c:crossAx val="46968832"/>
        <c:crosses val="autoZero"/>
        <c:crossBetween val="midCat"/>
      </c:valAx>
    </c:plotArea>
    <c:plotVisOnly val="1"/>
    <c:dispBlanksAs val="gap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smoothMarker"/>
        <c:ser>
          <c:idx val="0"/>
          <c:order val="0"/>
          <c:tx>
            <c:v>Coxa</c:v>
          </c:tx>
          <c:marker>
            <c:symbol val="none"/>
          </c:marker>
          <c:xVal>
            <c:numRef>
              <c:f>Sheet1!$S$16:$S$17</c:f>
              <c:numCache>
                <c:formatCode>0.0</c:formatCode>
                <c:ptCount val="2"/>
                <c:pt idx="0">
                  <c:v>0</c:v>
                </c:pt>
                <c:pt idx="1">
                  <c:v>13</c:v>
                </c:pt>
              </c:numCache>
            </c:numRef>
          </c:xVal>
          <c:yVal>
            <c:numRef>
              <c:f>Sheet1!$S$14:$S$15</c:f>
              <c:numCache>
                <c:formatCode>0.0</c:formatCode>
                <c:ptCount val="2"/>
                <c:pt idx="0">
                  <c:v>72</c:v>
                </c:pt>
                <c:pt idx="1">
                  <c:v>72</c:v>
                </c:pt>
              </c:numCache>
            </c:numRef>
          </c:yVal>
          <c:smooth val="1"/>
        </c:ser>
        <c:ser>
          <c:idx val="1"/>
          <c:order val="1"/>
          <c:tx>
            <c:v>Femur</c:v>
          </c:tx>
          <c:marker>
            <c:symbol val="none"/>
          </c:marker>
          <c:xVal>
            <c:numRef>
              <c:f>Sheet1!$S$20:$S$21</c:f>
              <c:numCache>
                <c:formatCode>0.0</c:formatCode>
                <c:ptCount val="2"/>
                <c:pt idx="0">
                  <c:v>13</c:v>
                </c:pt>
                <c:pt idx="1">
                  <c:v>47</c:v>
                </c:pt>
              </c:numCache>
            </c:numRef>
          </c:xVal>
          <c:yVal>
            <c:numRef>
              <c:f>Sheet1!$S$18:$S$19</c:f>
              <c:numCache>
                <c:formatCode>0.0</c:formatCode>
                <c:ptCount val="2"/>
                <c:pt idx="0">
                  <c:v>72</c:v>
                </c:pt>
                <c:pt idx="1">
                  <c:v>72</c:v>
                </c:pt>
              </c:numCache>
            </c:numRef>
          </c:yVal>
          <c:smooth val="1"/>
        </c:ser>
        <c:ser>
          <c:idx val="2"/>
          <c:order val="2"/>
          <c:tx>
            <c:v>Tibia</c:v>
          </c:tx>
          <c:marker>
            <c:symbol val="none"/>
          </c:marker>
          <c:xVal>
            <c:numRef>
              <c:f>Sheet1!$S$24:$S$25</c:f>
              <c:numCache>
                <c:formatCode>0.0</c:formatCode>
                <c:ptCount val="2"/>
                <c:pt idx="0">
                  <c:v>47</c:v>
                </c:pt>
                <c:pt idx="1">
                  <c:v>47</c:v>
                </c:pt>
              </c:numCache>
            </c:numRef>
          </c:xVal>
          <c:yVal>
            <c:numRef>
              <c:f>Sheet1!$S$22:$S$23</c:f>
              <c:numCache>
                <c:formatCode>0.0</c:formatCode>
                <c:ptCount val="2"/>
                <c:pt idx="0">
                  <c:v>72</c:v>
                </c:pt>
                <c:pt idx="1">
                  <c:v>0</c:v>
                </c:pt>
              </c:numCache>
            </c:numRef>
          </c:yVal>
          <c:smooth val="1"/>
        </c:ser>
        <c:dLbls/>
        <c:axId val="48778240"/>
        <c:axId val="48784128"/>
      </c:scatterChart>
      <c:valAx>
        <c:axId val="48778240"/>
        <c:scaling>
          <c:orientation val="minMax"/>
          <c:max val="80"/>
          <c:min val="0"/>
        </c:scaling>
        <c:axPos val="b"/>
        <c:numFmt formatCode="0" sourceLinked="0"/>
        <c:tickLblPos val="nextTo"/>
        <c:crossAx val="48784128"/>
        <c:crosses val="autoZero"/>
        <c:crossBetween val="midCat"/>
        <c:majorUnit val="20"/>
      </c:valAx>
      <c:valAx>
        <c:axId val="48784128"/>
        <c:scaling>
          <c:orientation val="minMax"/>
          <c:max val="80"/>
          <c:min val="-40"/>
        </c:scaling>
        <c:axPos val="l"/>
        <c:numFmt formatCode="0" sourceLinked="0"/>
        <c:tickLblPos val="nextTo"/>
        <c:crossAx val="48778240"/>
        <c:crosses val="autoZero"/>
        <c:crossBetween val="midCat"/>
      </c:valAx>
    </c:plotArea>
    <c:plotVisOnly val="1"/>
    <c:dispBlanksAs val="gap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smoothMarker"/>
        <c:ser>
          <c:idx val="0"/>
          <c:order val="0"/>
          <c:tx>
            <c:v>Coxa</c:v>
          </c:tx>
          <c:marker>
            <c:symbol val="none"/>
          </c:marker>
          <c:xVal>
            <c:numRef>
              <c:f>Sheet1!$T$16:$T$17</c:f>
              <c:numCache>
                <c:formatCode>0.0</c:formatCode>
                <c:ptCount val="2"/>
                <c:pt idx="0">
                  <c:v>0</c:v>
                </c:pt>
                <c:pt idx="1">
                  <c:v>13</c:v>
                </c:pt>
              </c:numCache>
            </c:numRef>
          </c:xVal>
          <c:yVal>
            <c:numRef>
              <c:f>Sheet1!$T$14:$T$15</c:f>
              <c:numCache>
                <c:formatCode>0.0</c:formatCode>
                <c:ptCount val="2"/>
                <c:pt idx="0">
                  <c:v>65.105168020410716</c:v>
                </c:pt>
                <c:pt idx="1">
                  <c:v>65.105168020410716</c:v>
                </c:pt>
              </c:numCache>
            </c:numRef>
          </c:yVal>
          <c:smooth val="1"/>
        </c:ser>
        <c:ser>
          <c:idx val="1"/>
          <c:order val="1"/>
          <c:tx>
            <c:v>Femur</c:v>
          </c:tx>
          <c:marker>
            <c:symbol val="none"/>
          </c:marker>
          <c:xVal>
            <c:numRef>
              <c:f>Sheet1!$T$20:$T$21</c:f>
              <c:numCache>
                <c:formatCode>0.0</c:formatCode>
                <c:ptCount val="2"/>
                <c:pt idx="0">
                  <c:v>13</c:v>
                </c:pt>
                <c:pt idx="1">
                  <c:v>46.29427840523693</c:v>
                </c:pt>
              </c:numCache>
            </c:numRef>
          </c:xVal>
          <c:yVal>
            <c:numRef>
              <c:f>Sheet1!$T$18:$T$19</c:f>
              <c:numCache>
                <c:formatCode>0.0</c:formatCode>
                <c:ptCount val="2"/>
                <c:pt idx="0">
                  <c:v>65.105168020410716</c:v>
                </c:pt>
                <c:pt idx="1">
                  <c:v>71.996541285194283</c:v>
                </c:pt>
              </c:numCache>
            </c:numRef>
          </c:yVal>
          <c:smooth val="1"/>
        </c:ser>
        <c:ser>
          <c:idx val="2"/>
          <c:order val="2"/>
          <c:tx>
            <c:v>Tibia</c:v>
          </c:tx>
          <c:marker>
            <c:symbol val="none"/>
          </c:marker>
          <c:xVal>
            <c:numRef>
              <c:f>Sheet1!$T$24:$T$25</c:f>
              <c:numCache>
                <c:formatCode>0.0</c:formatCode>
                <c:ptCount val="2"/>
                <c:pt idx="0">
                  <c:v>46.29427840523693</c:v>
                </c:pt>
                <c:pt idx="1">
                  <c:v>47.000000000000007</c:v>
                </c:pt>
              </c:numCache>
            </c:numRef>
          </c:xVal>
          <c:yVal>
            <c:numRef>
              <c:f>Sheet1!$T$22:$T$23</c:f>
              <c:numCache>
                <c:formatCode>0.0</c:formatCode>
                <c:ptCount val="2"/>
                <c:pt idx="0">
                  <c:v>71.996541285194283</c:v>
                </c:pt>
                <c:pt idx="1">
                  <c:v>1.3513565589024097</c:v>
                </c:pt>
              </c:numCache>
            </c:numRef>
          </c:yVal>
          <c:smooth val="1"/>
        </c:ser>
        <c:dLbls/>
        <c:axId val="48814336"/>
        <c:axId val="48963584"/>
      </c:scatterChart>
      <c:valAx>
        <c:axId val="48814336"/>
        <c:scaling>
          <c:orientation val="minMax"/>
          <c:max val="80"/>
          <c:min val="0"/>
        </c:scaling>
        <c:axPos val="b"/>
        <c:numFmt formatCode="0" sourceLinked="0"/>
        <c:tickLblPos val="nextTo"/>
        <c:crossAx val="48963584"/>
        <c:crosses val="autoZero"/>
        <c:crossBetween val="midCat"/>
        <c:majorUnit val="20"/>
      </c:valAx>
      <c:valAx>
        <c:axId val="48963584"/>
        <c:scaling>
          <c:orientation val="minMax"/>
          <c:max val="80"/>
          <c:min val="-40"/>
        </c:scaling>
        <c:axPos val="l"/>
        <c:numFmt formatCode="0" sourceLinked="0"/>
        <c:tickLblPos val="nextTo"/>
        <c:crossAx val="48814336"/>
        <c:crosses val="autoZero"/>
        <c:crossBetween val="midCat"/>
      </c:valAx>
    </c:plotArea>
    <c:plotVisOnly val="1"/>
    <c:dispBlanksAs val="gap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smoothMarker"/>
        <c:ser>
          <c:idx val="0"/>
          <c:order val="0"/>
          <c:tx>
            <c:v>Coxa</c:v>
          </c:tx>
          <c:marker>
            <c:symbol val="none"/>
          </c:marker>
          <c:xVal>
            <c:numRef>
              <c:f>Sheet1!$W$16:$W$17</c:f>
              <c:numCache>
                <c:formatCode>0.0</c:formatCode>
                <c:ptCount val="2"/>
                <c:pt idx="0">
                  <c:v>0</c:v>
                </c:pt>
                <c:pt idx="1">
                  <c:v>-13</c:v>
                </c:pt>
              </c:numCache>
            </c:numRef>
          </c:xVal>
          <c:yVal>
            <c:numRef>
              <c:f>Sheet1!$W$14:$W$15</c:f>
              <c:numCache>
                <c:formatCode>0.0</c:formatCode>
                <c:ptCount val="2"/>
                <c:pt idx="0">
                  <c:v>78.894831979589284</c:v>
                </c:pt>
                <c:pt idx="1">
                  <c:v>78.894831979589284</c:v>
                </c:pt>
              </c:numCache>
            </c:numRef>
          </c:yVal>
          <c:smooth val="1"/>
        </c:ser>
        <c:ser>
          <c:idx val="1"/>
          <c:order val="1"/>
          <c:tx>
            <c:v>Femur</c:v>
          </c:tx>
          <c:marker>
            <c:symbol val="none"/>
          </c:marker>
          <c:xVal>
            <c:numRef>
              <c:f>Sheet1!$W$20:$W$21</c:f>
              <c:numCache>
                <c:formatCode>0.0</c:formatCode>
                <c:ptCount val="2"/>
                <c:pt idx="0">
                  <c:v>-13</c:v>
                </c:pt>
                <c:pt idx="1">
                  <c:v>-46.292842942159041</c:v>
                </c:pt>
              </c:numCache>
            </c:numRef>
          </c:xVal>
          <c:yVal>
            <c:numRef>
              <c:f>Sheet1!$W$18:$W$19</c:f>
              <c:numCache>
                <c:formatCode>0.0</c:formatCode>
                <c:ptCount val="2"/>
                <c:pt idx="0">
                  <c:v>78.894831979589284</c:v>
                </c:pt>
                <c:pt idx="1">
                  <c:v>71.996527200244486</c:v>
                </c:pt>
              </c:numCache>
            </c:numRef>
          </c:yVal>
          <c:smooth val="1"/>
        </c:ser>
        <c:ser>
          <c:idx val="2"/>
          <c:order val="2"/>
          <c:tx>
            <c:v>Tibia</c:v>
          </c:tx>
          <c:marker>
            <c:symbol val="none"/>
          </c:marker>
          <c:xVal>
            <c:numRef>
              <c:f>Sheet1!$W$24:$W$25</c:f>
              <c:numCache>
                <c:formatCode>0.0</c:formatCode>
                <c:ptCount val="2"/>
                <c:pt idx="0">
                  <c:v>-46.292842942159041</c:v>
                </c:pt>
                <c:pt idx="1">
                  <c:v>-47.000000000000007</c:v>
                </c:pt>
              </c:numCache>
            </c:numRef>
          </c:xVal>
          <c:yVal>
            <c:numRef>
              <c:f>Sheet1!$W$22:$W$23</c:f>
              <c:numCache>
                <c:formatCode>0.0</c:formatCode>
                <c:ptCount val="2"/>
                <c:pt idx="0">
                  <c:v>71.996527200244486</c:v>
                </c:pt>
                <c:pt idx="1">
                  <c:v>1.6409128606336196</c:v>
                </c:pt>
              </c:numCache>
            </c:numRef>
          </c:yVal>
          <c:smooth val="1"/>
        </c:ser>
        <c:dLbls/>
        <c:axId val="48993792"/>
        <c:axId val="48995328"/>
      </c:scatterChart>
      <c:valAx>
        <c:axId val="48993792"/>
        <c:scaling>
          <c:orientation val="minMax"/>
          <c:max val="0"/>
          <c:min val="-80"/>
        </c:scaling>
        <c:axPos val="b"/>
        <c:numFmt formatCode="0" sourceLinked="0"/>
        <c:tickLblPos val="nextTo"/>
        <c:crossAx val="48995328"/>
        <c:crosses val="autoZero"/>
        <c:crossBetween val="midCat"/>
        <c:majorUnit val="20"/>
      </c:valAx>
      <c:valAx>
        <c:axId val="48995328"/>
        <c:scaling>
          <c:orientation val="minMax"/>
          <c:max val="80"/>
          <c:min val="-40"/>
        </c:scaling>
        <c:axPos val="l"/>
        <c:numFmt formatCode="0" sourceLinked="0"/>
        <c:tickLblPos val="nextTo"/>
        <c:crossAx val="48993792"/>
        <c:crosses val="autoZero"/>
        <c:crossBetween val="midCat"/>
      </c:valAx>
    </c:plotArea>
    <c:plotVisOnly val="1"/>
    <c:dispBlanksAs val="gap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smoothMarker"/>
        <c:ser>
          <c:idx val="0"/>
          <c:order val="0"/>
          <c:tx>
            <c:v>Coxa</c:v>
          </c:tx>
          <c:marker>
            <c:symbol val="none"/>
          </c:marker>
          <c:xVal>
            <c:numRef>
              <c:f>Sheet1!$V$16:$V$17</c:f>
              <c:numCache>
                <c:formatCode>0.0</c:formatCode>
                <c:ptCount val="2"/>
                <c:pt idx="0">
                  <c:v>0</c:v>
                </c:pt>
                <c:pt idx="1">
                  <c:v>-13</c:v>
                </c:pt>
              </c:numCache>
            </c:numRef>
          </c:xVal>
          <c:yVal>
            <c:numRef>
              <c:f>Sheet1!$V$14:$V$15</c:f>
              <c:numCache>
                <c:formatCode>0.0</c:formatCode>
                <c:ptCount val="2"/>
                <c:pt idx="0">
                  <c:v>72</c:v>
                </c:pt>
                <c:pt idx="1">
                  <c:v>72</c:v>
                </c:pt>
              </c:numCache>
            </c:numRef>
          </c:yVal>
          <c:smooth val="1"/>
        </c:ser>
        <c:ser>
          <c:idx val="1"/>
          <c:order val="1"/>
          <c:tx>
            <c:v>Femur</c:v>
          </c:tx>
          <c:marker>
            <c:symbol val="none"/>
          </c:marker>
          <c:xVal>
            <c:numRef>
              <c:f>Sheet1!$V$20:$V$21</c:f>
              <c:numCache>
                <c:formatCode>0.0</c:formatCode>
                <c:ptCount val="2"/>
                <c:pt idx="0">
                  <c:v>-13</c:v>
                </c:pt>
                <c:pt idx="1">
                  <c:v>-47</c:v>
                </c:pt>
              </c:numCache>
            </c:numRef>
          </c:xVal>
          <c:yVal>
            <c:numRef>
              <c:f>Sheet1!$V$18:$V$19</c:f>
              <c:numCache>
                <c:formatCode>0.0</c:formatCode>
                <c:ptCount val="2"/>
                <c:pt idx="0">
                  <c:v>72</c:v>
                </c:pt>
                <c:pt idx="1">
                  <c:v>72</c:v>
                </c:pt>
              </c:numCache>
            </c:numRef>
          </c:yVal>
          <c:smooth val="1"/>
        </c:ser>
        <c:ser>
          <c:idx val="2"/>
          <c:order val="2"/>
          <c:tx>
            <c:v>Tibia</c:v>
          </c:tx>
          <c:marker>
            <c:symbol val="none"/>
          </c:marker>
          <c:xVal>
            <c:numRef>
              <c:f>Sheet1!$V$24:$V$25</c:f>
              <c:numCache>
                <c:formatCode>0.0</c:formatCode>
                <c:ptCount val="2"/>
                <c:pt idx="0">
                  <c:v>-47</c:v>
                </c:pt>
                <c:pt idx="1">
                  <c:v>-47</c:v>
                </c:pt>
              </c:numCache>
            </c:numRef>
          </c:xVal>
          <c:yVal>
            <c:numRef>
              <c:f>Sheet1!$V$22:$V$23</c:f>
              <c:numCache>
                <c:formatCode>0.0</c:formatCode>
                <c:ptCount val="2"/>
                <c:pt idx="0">
                  <c:v>72</c:v>
                </c:pt>
                <c:pt idx="1">
                  <c:v>0</c:v>
                </c:pt>
              </c:numCache>
            </c:numRef>
          </c:yVal>
          <c:smooth val="1"/>
        </c:ser>
        <c:dLbls/>
        <c:axId val="48853760"/>
        <c:axId val="48855296"/>
      </c:scatterChart>
      <c:valAx>
        <c:axId val="48853760"/>
        <c:scaling>
          <c:orientation val="minMax"/>
          <c:max val="0"/>
          <c:min val="-80"/>
        </c:scaling>
        <c:axPos val="b"/>
        <c:numFmt formatCode="0" sourceLinked="0"/>
        <c:tickLblPos val="nextTo"/>
        <c:crossAx val="48855296"/>
        <c:crosses val="autoZero"/>
        <c:crossBetween val="midCat"/>
        <c:majorUnit val="20"/>
      </c:valAx>
      <c:valAx>
        <c:axId val="48855296"/>
        <c:scaling>
          <c:orientation val="minMax"/>
          <c:max val="80"/>
          <c:min val="-40"/>
        </c:scaling>
        <c:axPos val="l"/>
        <c:numFmt formatCode="0" sourceLinked="0"/>
        <c:tickLblPos val="nextTo"/>
        <c:crossAx val="48853760"/>
        <c:crosses val="autoZero"/>
        <c:crossBetween val="midCat"/>
      </c:valAx>
    </c:plotArea>
    <c:plotVisOnly val="1"/>
    <c:dispBlanksAs val="gap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smoothMarker"/>
        <c:ser>
          <c:idx val="0"/>
          <c:order val="0"/>
          <c:tx>
            <c:v>Coxa</c:v>
          </c:tx>
          <c:marker>
            <c:symbol val="none"/>
          </c:marker>
          <c:xVal>
            <c:numRef>
              <c:f>Sheet1!$U$16:$U$17</c:f>
              <c:numCache>
                <c:formatCode>0.0</c:formatCode>
                <c:ptCount val="2"/>
                <c:pt idx="0">
                  <c:v>0</c:v>
                </c:pt>
                <c:pt idx="1">
                  <c:v>-13</c:v>
                </c:pt>
              </c:numCache>
            </c:numRef>
          </c:xVal>
          <c:yVal>
            <c:numRef>
              <c:f>Sheet1!$U$14:$U$15</c:f>
              <c:numCache>
                <c:formatCode>0.0</c:formatCode>
                <c:ptCount val="2"/>
                <c:pt idx="0">
                  <c:v>65.105168020410716</c:v>
                </c:pt>
                <c:pt idx="1">
                  <c:v>65.105168020410716</c:v>
                </c:pt>
              </c:numCache>
            </c:numRef>
          </c:yVal>
          <c:smooth val="1"/>
        </c:ser>
        <c:ser>
          <c:idx val="1"/>
          <c:order val="1"/>
          <c:tx>
            <c:v>Femur</c:v>
          </c:tx>
          <c:marker>
            <c:symbol val="none"/>
          </c:marker>
          <c:xVal>
            <c:numRef>
              <c:f>Sheet1!$U$20:$U$21</c:f>
              <c:numCache>
                <c:formatCode>0.0</c:formatCode>
                <c:ptCount val="2"/>
                <c:pt idx="0">
                  <c:v>-13</c:v>
                </c:pt>
                <c:pt idx="1">
                  <c:v>-46.29427840523693</c:v>
                </c:pt>
              </c:numCache>
            </c:numRef>
          </c:xVal>
          <c:yVal>
            <c:numRef>
              <c:f>Sheet1!$U$18:$U$19</c:f>
              <c:numCache>
                <c:formatCode>0.0</c:formatCode>
                <c:ptCount val="2"/>
                <c:pt idx="0">
                  <c:v>65.105168020410716</c:v>
                </c:pt>
                <c:pt idx="1">
                  <c:v>71.996541285194283</c:v>
                </c:pt>
              </c:numCache>
            </c:numRef>
          </c:yVal>
          <c:smooth val="1"/>
        </c:ser>
        <c:ser>
          <c:idx val="2"/>
          <c:order val="2"/>
          <c:tx>
            <c:v>Tibia</c:v>
          </c:tx>
          <c:marker>
            <c:symbol val="none"/>
          </c:marker>
          <c:xVal>
            <c:numRef>
              <c:f>Sheet1!$U$24:$U$25</c:f>
              <c:numCache>
                <c:formatCode>0.0</c:formatCode>
                <c:ptCount val="2"/>
                <c:pt idx="0">
                  <c:v>-46.29427840523693</c:v>
                </c:pt>
                <c:pt idx="1">
                  <c:v>-47.000000000000007</c:v>
                </c:pt>
              </c:numCache>
            </c:numRef>
          </c:xVal>
          <c:yVal>
            <c:numRef>
              <c:f>Sheet1!$U$22:$U$23</c:f>
              <c:numCache>
                <c:formatCode>0.0</c:formatCode>
                <c:ptCount val="2"/>
                <c:pt idx="0">
                  <c:v>71.996541285194283</c:v>
                </c:pt>
                <c:pt idx="1">
                  <c:v>1.3513565589024097</c:v>
                </c:pt>
              </c:numCache>
            </c:numRef>
          </c:yVal>
          <c:smooth val="1"/>
        </c:ser>
        <c:dLbls/>
        <c:axId val="49029120"/>
        <c:axId val="49030656"/>
      </c:scatterChart>
      <c:valAx>
        <c:axId val="49029120"/>
        <c:scaling>
          <c:orientation val="minMax"/>
          <c:max val="0"/>
          <c:min val="-80"/>
        </c:scaling>
        <c:axPos val="b"/>
        <c:numFmt formatCode="0" sourceLinked="0"/>
        <c:tickLblPos val="nextTo"/>
        <c:crossAx val="49030656"/>
        <c:crosses val="autoZero"/>
        <c:crossBetween val="midCat"/>
        <c:majorUnit val="20"/>
      </c:valAx>
      <c:valAx>
        <c:axId val="49030656"/>
        <c:scaling>
          <c:orientation val="minMax"/>
          <c:max val="80"/>
          <c:min val="-40"/>
        </c:scaling>
        <c:axPos val="l"/>
        <c:numFmt formatCode="0" sourceLinked="0"/>
        <c:tickLblPos val="nextTo"/>
        <c:crossAx val="49029120"/>
        <c:crosses val="autoZero"/>
        <c:crossBetween val="midCat"/>
      </c:valAx>
    </c:plotArea>
    <c:plotVisOnly val="1"/>
    <c:dispBlanksAs val="gap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7.1514451955082922E-2"/>
          <c:y val="2.4504264359666548E-2"/>
          <c:w val="0.8689170263042616"/>
          <c:h val="0.9226978612007718"/>
        </c:manualLayout>
      </c:layout>
      <c:scatterChart>
        <c:scatterStyle val="lineMarker"/>
        <c:ser>
          <c:idx val="6"/>
          <c:order val="0"/>
          <c:tx>
            <c:v>Leg1</c:v>
          </c:tx>
          <c:spPr>
            <a:ln w="317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(Sheet1!$I$2,Sheet1!$Z$27)</c:f>
              <c:numCache>
                <c:formatCode>0.0</c:formatCode>
                <c:ptCount val="2"/>
                <c:pt idx="0">
                  <c:v>22</c:v>
                </c:pt>
                <c:pt idx="1">
                  <c:v>45.500008867730152</c:v>
                </c:pt>
              </c:numCache>
            </c:numRef>
          </c:xVal>
          <c:yVal>
            <c:numRef>
              <c:f>(Sheet1!$J$2,Sheet1!$Z$29)</c:f>
              <c:numCache>
                <c:formatCode>0.0</c:formatCode>
                <c:ptCount val="2"/>
                <c:pt idx="0">
                  <c:v>38.105117766515299</c:v>
                </c:pt>
                <c:pt idx="1">
                  <c:v>72.233203747179971</c:v>
                </c:pt>
              </c:numCache>
            </c:numRef>
          </c:yVal>
        </c:ser>
        <c:ser>
          <c:idx val="7"/>
          <c:order val="1"/>
          <c:tx>
            <c:v>Leg2</c:v>
          </c:tx>
          <c:spPr>
            <a:ln w="317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(Sheet1!$I$3,Sheet1!$AA$27)</c:f>
              <c:numCache>
                <c:formatCode>0.0</c:formatCode>
                <c:ptCount val="2"/>
                <c:pt idx="0">
                  <c:v>44</c:v>
                </c:pt>
                <c:pt idx="1">
                  <c:v>91</c:v>
                </c:pt>
              </c:numCache>
            </c:numRef>
          </c:xVal>
          <c:yVal>
            <c:numRef>
              <c:f>(Sheet1!$J$3,Sheet1!$AA$29)</c:f>
              <c:numCache>
                <c:formatCode>0.0</c:formatCode>
                <c:ptCount val="2"/>
                <c:pt idx="0">
                  <c:v>0</c:v>
                </c:pt>
                <c:pt idx="1">
                  <c:v>-6.2752134778313877</c:v>
                </c:pt>
              </c:numCache>
            </c:numRef>
          </c:yVal>
        </c:ser>
        <c:ser>
          <c:idx val="8"/>
          <c:order val="2"/>
          <c:tx>
            <c:v>Leg3</c:v>
          </c:tx>
          <c:spPr>
            <a:ln w="317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(Sheet1!$I$4,Sheet1!$AB$27)</c:f>
              <c:numCache>
                <c:formatCode>0.0</c:formatCode>
                <c:ptCount val="2"/>
                <c:pt idx="0">
                  <c:v>22</c:v>
                </c:pt>
                <c:pt idx="1">
                  <c:v>45.500008867730152</c:v>
                </c:pt>
              </c:numCache>
            </c:numRef>
          </c:xVal>
          <c:yVal>
            <c:numRef>
              <c:f>(Sheet1!$J$4,Sheet1!$AB$29)</c:f>
              <c:numCache>
                <c:formatCode>0.0</c:formatCode>
                <c:ptCount val="2"/>
                <c:pt idx="0">
                  <c:v>-38.105117766515299</c:v>
                </c:pt>
                <c:pt idx="1">
                  <c:v>-84.783630702842743</c:v>
                </c:pt>
              </c:numCache>
            </c:numRef>
          </c:yVal>
        </c:ser>
        <c:ser>
          <c:idx val="9"/>
          <c:order val="3"/>
          <c:tx>
            <c:v>Leg4</c:v>
          </c:tx>
          <c:spPr>
            <a:ln w="317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(Sheet1!$I$5,Sheet1!$AC$27)</c:f>
              <c:numCache>
                <c:formatCode>0.0</c:formatCode>
                <c:ptCount val="2"/>
                <c:pt idx="0">
                  <c:v>-22</c:v>
                </c:pt>
                <c:pt idx="1">
                  <c:v>-45.500008867730152</c:v>
                </c:pt>
              </c:numCache>
            </c:numRef>
          </c:xVal>
          <c:yVal>
            <c:numRef>
              <c:f>(Sheet1!$J$5,Sheet1!$AC$29)</c:f>
              <c:numCache>
                <c:formatCode>0.0</c:formatCode>
                <c:ptCount val="2"/>
                <c:pt idx="0">
                  <c:v>-38.105117766515299</c:v>
                </c:pt>
                <c:pt idx="1">
                  <c:v>-84.783630702842743</c:v>
                </c:pt>
              </c:numCache>
            </c:numRef>
          </c:yVal>
        </c:ser>
        <c:ser>
          <c:idx val="10"/>
          <c:order val="4"/>
          <c:tx>
            <c:v>Leg5</c:v>
          </c:tx>
          <c:spPr>
            <a:ln w="317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(Sheet1!$I$6,Sheet1!$AD$27)</c:f>
              <c:numCache>
                <c:formatCode>0.0</c:formatCode>
                <c:ptCount val="2"/>
                <c:pt idx="0">
                  <c:v>-44</c:v>
                </c:pt>
                <c:pt idx="1">
                  <c:v>-91</c:v>
                </c:pt>
              </c:numCache>
            </c:numRef>
          </c:xVal>
          <c:yVal>
            <c:numRef>
              <c:f>(Sheet1!$J$6,Sheet1!$AD$29)</c:f>
              <c:numCache>
                <c:formatCode>0.0</c:formatCode>
                <c:ptCount val="2"/>
                <c:pt idx="0">
                  <c:v>0</c:v>
                </c:pt>
                <c:pt idx="1">
                  <c:v>-6.2752134778313877</c:v>
                </c:pt>
              </c:numCache>
            </c:numRef>
          </c:yVal>
        </c:ser>
        <c:ser>
          <c:idx val="11"/>
          <c:order val="5"/>
          <c:tx>
            <c:v>Leg6</c:v>
          </c:tx>
          <c:spPr>
            <a:ln w="317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(Sheet1!$I$7,Sheet1!$AE$27)</c:f>
              <c:numCache>
                <c:formatCode>0.0</c:formatCode>
                <c:ptCount val="2"/>
                <c:pt idx="0">
                  <c:v>-22</c:v>
                </c:pt>
                <c:pt idx="1">
                  <c:v>-45.500008867730152</c:v>
                </c:pt>
              </c:numCache>
            </c:numRef>
          </c:xVal>
          <c:yVal>
            <c:numRef>
              <c:f>(Sheet1!$J$7,Sheet1!$AE$29)</c:f>
              <c:numCache>
                <c:formatCode>0.0</c:formatCode>
                <c:ptCount val="2"/>
                <c:pt idx="0">
                  <c:v>38.105117766515299</c:v>
                </c:pt>
                <c:pt idx="1">
                  <c:v>72.233203747179971</c:v>
                </c:pt>
              </c:numCache>
            </c:numRef>
          </c:yVal>
        </c:ser>
        <c:ser>
          <c:idx val="0"/>
          <c:order val="6"/>
          <c:tx>
            <c:v>Body1</c:v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(Sheet1!$B$61,Sheet1!$D$61)</c:f>
              <c:numCache>
                <c:formatCode>0.0</c:formatCode>
                <c:ptCount val="2"/>
                <c:pt idx="0">
                  <c:v>-22</c:v>
                </c:pt>
                <c:pt idx="1">
                  <c:v>22</c:v>
                </c:pt>
              </c:numCache>
            </c:numRef>
          </c:xVal>
          <c:yVal>
            <c:numRef>
              <c:f>(Sheet1!$C$61,Sheet1!$E$61)</c:f>
              <c:numCache>
                <c:formatCode>0.0</c:formatCode>
                <c:ptCount val="2"/>
                <c:pt idx="0">
                  <c:v>38.105117766515299</c:v>
                </c:pt>
                <c:pt idx="1">
                  <c:v>38.105117766515299</c:v>
                </c:pt>
              </c:numCache>
            </c:numRef>
          </c:yVal>
        </c:ser>
        <c:ser>
          <c:idx val="1"/>
          <c:order val="7"/>
          <c:tx>
            <c:v>Body2</c:v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(Sheet1!$B$62,Sheet1!$D$62)</c:f>
              <c:numCache>
                <c:formatCode>0.0</c:formatCode>
                <c:ptCount val="2"/>
                <c:pt idx="0">
                  <c:v>22</c:v>
                </c:pt>
                <c:pt idx="1">
                  <c:v>44</c:v>
                </c:pt>
              </c:numCache>
            </c:numRef>
          </c:xVal>
          <c:yVal>
            <c:numRef>
              <c:f>(Sheet1!$C$62,Sheet1!$E$62)</c:f>
              <c:numCache>
                <c:formatCode>0.0</c:formatCode>
                <c:ptCount val="2"/>
                <c:pt idx="0">
                  <c:v>38.105117766515299</c:v>
                </c:pt>
                <c:pt idx="1">
                  <c:v>0</c:v>
                </c:pt>
              </c:numCache>
            </c:numRef>
          </c:yVal>
        </c:ser>
        <c:ser>
          <c:idx val="2"/>
          <c:order val="8"/>
          <c:tx>
            <c:v>Body3</c:v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(Sheet1!$B$63,Sheet1!$D$63)</c:f>
              <c:numCache>
                <c:formatCode>0.0</c:formatCode>
                <c:ptCount val="2"/>
                <c:pt idx="0">
                  <c:v>44</c:v>
                </c:pt>
                <c:pt idx="1">
                  <c:v>22</c:v>
                </c:pt>
              </c:numCache>
            </c:numRef>
          </c:xVal>
          <c:yVal>
            <c:numRef>
              <c:f>(Sheet1!$C$63,Sheet1!$E$63)</c:f>
              <c:numCache>
                <c:formatCode>0.0</c:formatCode>
                <c:ptCount val="2"/>
                <c:pt idx="0">
                  <c:v>0</c:v>
                </c:pt>
                <c:pt idx="1">
                  <c:v>-38.105117766515299</c:v>
                </c:pt>
              </c:numCache>
            </c:numRef>
          </c:yVal>
        </c:ser>
        <c:ser>
          <c:idx val="3"/>
          <c:order val="9"/>
          <c:tx>
            <c:v>Body4</c:v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(Sheet1!$B$64,Sheet1!$D$64)</c:f>
              <c:numCache>
                <c:formatCode>0.0</c:formatCode>
                <c:ptCount val="2"/>
                <c:pt idx="0">
                  <c:v>22</c:v>
                </c:pt>
                <c:pt idx="1">
                  <c:v>-22</c:v>
                </c:pt>
              </c:numCache>
            </c:numRef>
          </c:xVal>
          <c:yVal>
            <c:numRef>
              <c:f>(Sheet1!$C$64,Sheet1!$E$64)</c:f>
              <c:numCache>
                <c:formatCode>0.0</c:formatCode>
                <c:ptCount val="2"/>
                <c:pt idx="0">
                  <c:v>-38.105117766515299</c:v>
                </c:pt>
                <c:pt idx="1">
                  <c:v>-38.105117766515299</c:v>
                </c:pt>
              </c:numCache>
            </c:numRef>
          </c:yVal>
        </c:ser>
        <c:ser>
          <c:idx val="4"/>
          <c:order val="10"/>
          <c:tx>
            <c:v>Body5</c:v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(Sheet1!$B$65,Sheet1!$D$65)</c:f>
              <c:numCache>
                <c:formatCode>0.0</c:formatCode>
                <c:ptCount val="2"/>
                <c:pt idx="0">
                  <c:v>-22</c:v>
                </c:pt>
                <c:pt idx="1">
                  <c:v>-44</c:v>
                </c:pt>
              </c:numCache>
            </c:numRef>
          </c:xVal>
          <c:yVal>
            <c:numRef>
              <c:f>(Sheet1!$C$65,Sheet1!$E$65)</c:f>
              <c:numCache>
                <c:formatCode>0.0</c:formatCode>
                <c:ptCount val="2"/>
                <c:pt idx="0">
                  <c:v>-38.105117766515299</c:v>
                </c:pt>
                <c:pt idx="1">
                  <c:v>0</c:v>
                </c:pt>
              </c:numCache>
            </c:numRef>
          </c:yVal>
        </c:ser>
        <c:ser>
          <c:idx val="5"/>
          <c:order val="11"/>
          <c:tx>
            <c:v>Body6</c:v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(Sheet1!$B$66,Sheet1!$D$66)</c:f>
              <c:numCache>
                <c:formatCode>0.0</c:formatCode>
                <c:ptCount val="2"/>
                <c:pt idx="0">
                  <c:v>-44</c:v>
                </c:pt>
                <c:pt idx="1">
                  <c:v>-22</c:v>
                </c:pt>
              </c:numCache>
            </c:numRef>
          </c:xVal>
          <c:yVal>
            <c:numRef>
              <c:f>(Sheet1!$C$66,Sheet1!$E$66)</c:f>
              <c:numCache>
                <c:formatCode>0.0</c:formatCode>
                <c:ptCount val="2"/>
                <c:pt idx="0">
                  <c:v>0</c:v>
                </c:pt>
                <c:pt idx="1">
                  <c:v>38.105117766515299</c:v>
                </c:pt>
              </c:numCache>
            </c:numRef>
          </c:yVal>
        </c:ser>
        <c:dLbls/>
        <c:axId val="49162112"/>
        <c:axId val="49163648"/>
      </c:scatterChart>
      <c:valAx>
        <c:axId val="49162112"/>
        <c:scaling>
          <c:orientation val="minMax"/>
          <c:max val="150"/>
          <c:min val="-150"/>
        </c:scaling>
        <c:axPos val="b"/>
        <c:numFmt formatCode="0.0" sourceLinked="1"/>
        <c:majorTickMark val="cross"/>
        <c:tickLblPos val="nextTo"/>
        <c:crossAx val="49163648"/>
        <c:crosses val="autoZero"/>
        <c:crossBetween val="midCat"/>
      </c:valAx>
      <c:valAx>
        <c:axId val="49163648"/>
        <c:scaling>
          <c:orientation val="minMax"/>
          <c:max val="150"/>
          <c:min val="-150"/>
        </c:scaling>
        <c:axPos val="l"/>
        <c:numFmt formatCode="0.0" sourceLinked="1"/>
        <c:majorTickMark val="cross"/>
        <c:tickLblPos val="nextTo"/>
        <c:crossAx val="49162112"/>
        <c:crosses val="autoZero"/>
        <c:crossBetween val="midCat"/>
      </c:valAx>
    </c:plotArea>
    <c:plotVisOnly val="1"/>
    <c:dispBlanksAs val="gap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smoothMarker"/>
        <c:ser>
          <c:idx val="0"/>
          <c:order val="0"/>
          <c:tx>
            <c:v>Coxa</c:v>
          </c:tx>
          <c:marker>
            <c:symbol val="none"/>
          </c:marker>
          <c:xVal>
            <c:numRef>
              <c:f>Sheet1!$Z$16:$Z$17</c:f>
              <c:numCache>
                <c:formatCode>0.0</c:formatCode>
                <c:ptCount val="2"/>
                <c:pt idx="0">
                  <c:v>0</c:v>
                </c:pt>
                <c:pt idx="1">
                  <c:v>13</c:v>
                </c:pt>
              </c:numCache>
            </c:numRef>
          </c:xVal>
          <c:yVal>
            <c:numRef>
              <c:f>Sheet1!$Z$14:$Z$15</c:f>
              <c:numCache>
                <c:formatCode>0.0</c:formatCode>
                <c:ptCount val="2"/>
                <c:pt idx="0">
                  <c:v>78.594614761157558</c:v>
                </c:pt>
                <c:pt idx="1">
                  <c:v>78.594614761157558</c:v>
                </c:pt>
              </c:numCache>
            </c:numRef>
          </c:yVal>
          <c:smooth val="1"/>
        </c:ser>
        <c:ser>
          <c:idx val="1"/>
          <c:order val="1"/>
          <c:tx>
            <c:v>Femur</c:v>
          </c:tx>
          <c:marker>
            <c:symbol val="none"/>
          </c:marker>
          <c:xVal>
            <c:numRef>
              <c:f>Sheet1!$Z$20:$Z$21</c:f>
              <c:numCache>
                <c:formatCode>0.0</c:formatCode>
                <c:ptCount val="2"/>
                <c:pt idx="0">
                  <c:v>13</c:v>
                </c:pt>
                <c:pt idx="1">
                  <c:v>46.321098794743932</c:v>
                </c:pt>
              </c:numCache>
            </c:numRef>
          </c:xVal>
          <c:yVal>
            <c:numRef>
              <c:f>Sheet1!$Z$18:$Z$19</c:f>
              <c:numCache>
                <c:formatCode>0.0</c:formatCode>
                <c:ptCount val="2"/>
                <c:pt idx="0">
                  <c:v>78.594614761157558</c:v>
                </c:pt>
                <c:pt idx="1">
                  <c:v>71.834113662058868</c:v>
                </c:pt>
              </c:numCache>
            </c:numRef>
          </c:yVal>
          <c:smooth val="1"/>
        </c:ser>
        <c:ser>
          <c:idx val="2"/>
          <c:order val="2"/>
          <c:tx>
            <c:v>Tibia</c:v>
          </c:tx>
          <c:marker>
            <c:symbol val="none"/>
          </c:marker>
          <c:xVal>
            <c:numRef>
              <c:f>Sheet1!$Z$24:$Z$25</c:f>
              <c:numCache>
                <c:formatCode>0.0</c:formatCode>
                <c:ptCount val="2"/>
                <c:pt idx="0">
                  <c:v>46.321098794743932</c:v>
                </c:pt>
                <c:pt idx="1">
                  <c:v>41.436417189315925</c:v>
                </c:pt>
              </c:numCache>
            </c:numRef>
          </c:xVal>
          <c:yVal>
            <c:numRef>
              <c:f>Sheet1!$Z$22:$Z$23</c:f>
              <c:numCache>
                <c:formatCode>0.0</c:formatCode>
                <c:ptCount val="2"/>
                <c:pt idx="0">
                  <c:v>71.834113662058868</c:v>
                </c:pt>
                <c:pt idx="1">
                  <c:v>0.46309914651264705</c:v>
                </c:pt>
              </c:numCache>
            </c:numRef>
          </c:yVal>
          <c:smooth val="1"/>
        </c:ser>
        <c:dLbls/>
        <c:axId val="49210880"/>
        <c:axId val="49212416"/>
      </c:scatterChart>
      <c:valAx>
        <c:axId val="49210880"/>
        <c:scaling>
          <c:orientation val="minMax"/>
          <c:max val="80"/>
          <c:min val="0"/>
        </c:scaling>
        <c:axPos val="b"/>
        <c:numFmt formatCode="0" sourceLinked="0"/>
        <c:tickLblPos val="nextTo"/>
        <c:crossAx val="49212416"/>
        <c:crosses val="autoZero"/>
        <c:crossBetween val="midCat"/>
        <c:majorUnit val="20"/>
      </c:valAx>
      <c:valAx>
        <c:axId val="49212416"/>
        <c:scaling>
          <c:orientation val="minMax"/>
          <c:max val="80"/>
          <c:min val="-40"/>
        </c:scaling>
        <c:axPos val="l"/>
        <c:numFmt formatCode="0" sourceLinked="0"/>
        <c:tickLblPos val="nextTo"/>
        <c:crossAx val="49210880"/>
        <c:crosses val="autoZero"/>
        <c:crossBetween val="midCat"/>
      </c:valAx>
    </c:plotArea>
    <c:plotVisOnly val="1"/>
    <c:dispBlanksAs val="gap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smoothMarker"/>
        <c:ser>
          <c:idx val="0"/>
          <c:order val="0"/>
          <c:tx>
            <c:v>Coxa</c:v>
          </c:tx>
          <c:marker>
            <c:symbol val="none"/>
          </c:marker>
          <c:xVal>
            <c:numRef>
              <c:f>Sheet1!$AA$16:$AA$17</c:f>
              <c:numCache>
                <c:formatCode>0.0</c:formatCode>
                <c:ptCount val="2"/>
                <c:pt idx="0">
                  <c:v>0</c:v>
                </c:pt>
                <c:pt idx="1">
                  <c:v>13</c:v>
                </c:pt>
              </c:numCache>
            </c:numRef>
          </c:xVal>
          <c:yVal>
            <c:numRef>
              <c:f>Sheet1!$AA$14:$AA$15</c:f>
              <c:numCache>
                <c:formatCode>0.0</c:formatCode>
                <c:ptCount val="2"/>
                <c:pt idx="0">
                  <c:v>71.726018262605677</c:v>
                </c:pt>
                <c:pt idx="1">
                  <c:v>71.726018262605677</c:v>
                </c:pt>
              </c:numCache>
            </c:numRef>
          </c:yVal>
          <c:smooth val="1"/>
        </c:ser>
        <c:ser>
          <c:idx val="1"/>
          <c:order val="1"/>
          <c:tx>
            <c:v>Femur</c:v>
          </c:tx>
          <c:marker>
            <c:symbol val="none"/>
          </c:marker>
          <c:xVal>
            <c:numRef>
              <c:f>Sheet1!$AA$20:$AA$21</c:f>
              <c:numCache>
                <c:formatCode>0.0</c:formatCode>
                <c:ptCount val="2"/>
                <c:pt idx="0">
                  <c:v>13</c:v>
                </c:pt>
                <c:pt idx="1">
                  <c:v>46.99890583432159</c:v>
                </c:pt>
              </c:numCache>
            </c:numRef>
          </c:xVal>
          <c:yVal>
            <c:numRef>
              <c:f>Sheet1!$AA$18:$AA$19</c:f>
              <c:numCache>
                <c:formatCode>0.0</c:formatCode>
                <c:ptCount val="2"/>
                <c:pt idx="0">
                  <c:v>71.726018262605677</c:v>
                </c:pt>
                <c:pt idx="1">
                  <c:v>71.99878568905757</c:v>
                </c:pt>
              </c:numCache>
            </c:numRef>
          </c:yVal>
          <c:smooth val="1"/>
        </c:ser>
        <c:ser>
          <c:idx val="2"/>
          <c:order val="2"/>
          <c:tx>
            <c:v>Tibia</c:v>
          </c:tx>
          <c:marker>
            <c:symbol val="none"/>
          </c:marker>
          <c:xVal>
            <c:numRef>
              <c:f>Sheet1!$AA$24:$AA$25</c:f>
              <c:numCache>
                <c:formatCode>0.0</c:formatCode>
                <c:ptCount val="2"/>
                <c:pt idx="0">
                  <c:v>46.99890583432159</c:v>
                </c:pt>
                <c:pt idx="1">
                  <c:v>47.417067646495781</c:v>
                </c:pt>
              </c:numCache>
            </c:numRef>
          </c:xVal>
          <c:yVal>
            <c:numRef>
              <c:f>Sheet1!$AA$22:$AA$23</c:f>
              <c:numCache>
                <c:formatCode>0.0</c:formatCode>
                <c:ptCount val="2"/>
                <c:pt idx="0">
                  <c:v>71.99878568905757</c:v>
                </c:pt>
                <c:pt idx="1">
                  <c:v>-1.0377153282092877E-3</c:v>
                </c:pt>
              </c:numCache>
            </c:numRef>
          </c:yVal>
          <c:smooth val="1"/>
        </c:ser>
        <c:dLbls/>
        <c:axId val="49242880"/>
        <c:axId val="49244416"/>
      </c:scatterChart>
      <c:valAx>
        <c:axId val="49242880"/>
        <c:scaling>
          <c:orientation val="minMax"/>
          <c:max val="80"/>
          <c:min val="0"/>
        </c:scaling>
        <c:axPos val="b"/>
        <c:numFmt formatCode="0" sourceLinked="0"/>
        <c:tickLblPos val="nextTo"/>
        <c:crossAx val="49244416"/>
        <c:crosses val="autoZero"/>
        <c:crossBetween val="midCat"/>
        <c:majorUnit val="20"/>
      </c:valAx>
      <c:valAx>
        <c:axId val="49244416"/>
        <c:scaling>
          <c:orientation val="minMax"/>
          <c:max val="80"/>
          <c:min val="-40"/>
        </c:scaling>
        <c:axPos val="l"/>
        <c:numFmt formatCode="0" sourceLinked="0"/>
        <c:tickLblPos val="nextTo"/>
        <c:crossAx val="49242880"/>
        <c:crosses val="autoZero"/>
        <c:crossBetween val="midCat"/>
      </c:valAx>
    </c:plotArea>
    <c:plotVisOnly val="1"/>
    <c:dispBlanksAs val="gap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smoothMarker"/>
        <c:ser>
          <c:idx val="0"/>
          <c:order val="0"/>
          <c:tx>
            <c:v>Coxa</c:v>
          </c:tx>
          <c:marker>
            <c:symbol val="none"/>
          </c:marker>
          <c:xVal>
            <c:numRef>
              <c:f>Sheet1!$AB$16:$AB$17</c:f>
              <c:numCache>
                <c:formatCode>0.0</c:formatCode>
                <c:ptCount val="2"/>
                <c:pt idx="0">
                  <c:v>0</c:v>
                </c:pt>
                <c:pt idx="1">
                  <c:v>13</c:v>
                </c:pt>
              </c:numCache>
            </c:numRef>
          </c:xVal>
          <c:yVal>
            <c:numRef>
              <c:f>Sheet1!$AB$14:$AB$15</c:f>
              <c:numCache>
                <c:formatCode>0.0</c:formatCode>
                <c:ptCount val="2"/>
                <c:pt idx="0">
                  <c:v>64.857421764053797</c:v>
                </c:pt>
                <c:pt idx="1">
                  <c:v>64.857421764053797</c:v>
                </c:pt>
              </c:numCache>
            </c:numRef>
          </c:yVal>
          <c:smooth val="1"/>
        </c:ser>
        <c:ser>
          <c:idx val="1"/>
          <c:order val="1"/>
          <c:tx>
            <c:v>Femur</c:v>
          </c:tx>
          <c:marker>
            <c:symbol val="none"/>
          </c:marker>
          <c:xVal>
            <c:numRef>
              <c:f>Sheet1!$AB$20:$AB$21</c:f>
              <c:numCache>
                <c:formatCode>0.0</c:formatCode>
                <c:ptCount val="2"/>
                <c:pt idx="0">
                  <c:v>13</c:v>
                </c:pt>
                <c:pt idx="1">
                  <c:v>46.293544315009832</c:v>
                </c:pt>
              </c:numCache>
            </c:numRef>
          </c:xVal>
          <c:yVal>
            <c:numRef>
              <c:f>Sheet1!$AB$18:$AB$19</c:f>
              <c:numCache>
                <c:formatCode>0.0</c:formatCode>
                <c:ptCount val="2"/>
                <c:pt idx="0">
                  <c:v>64.857421764053797</c:v>
                </c:pt>
                <c:pt idx="1">
                  <c:v>71.752340686309267</c:v>
                </c:pt>
              </c:numCache>
            </c:numRef>
          </c:yVal>
          <c:smooth val="1"/>
        </c:ser>
        <c:ser>
          <c:idx val="2"/>
          <c:order val="2"/>
          <c:tx>
            <c:v>Tibia</c:v>
          </c:tx>
          <c:marker>
            <c:symbol val="none"/>
          </c:marker>
          <c:xVal>
            <c:numRef>
              <c:f>Sheet1!$AB$24:$AB$25</c:f>
              <c:numCache>
                <c:formatCode>0.0</c:formatCode>
                <c:ptCount val="2"/>
                <c:pt idx="0">
                  <c:v>46.293544315009832</c:v>
                </c:pt>
                <c:pt idx="1">
                  <c:v>52.260252455669253</c:v>
                </c:pt>
              </c:numCache>
            </c:numRef>
          </c:xVal>
          <c:yVal>
            <c:numRef>
              <c:f>Sheet1!$AB$22:$AB$23</c:f>
              <c:numCache>
                <c:formatCode>0.0</c:formatCode>
                <c:ptCount val="2"/>
                <c:pt idx="0">
                  <c:v>71.752340686309267</c:v>
                </c:pt>
                <c:pt idx="1">
                  <c:v>0.28087882725255042</c:v>
                </c:pt>
              </c:numCache>
            </c:numRef>
          </c:yVal>
          <c:smooth val="1"/>
        </c:ser>
        <c:dLbls/>
        <c:axId val="49290624"/>
        <c:axId val="49300608"/>
      </c:scatterChart>
      <c:valAx>
        <c:axId val="49290624"/>
        <c:scaling>
          <c:orientation val="minMax"/>
          <c:max val="80"/>
          <c:min val="0"/>
        </c:scaling>
        <c:axPos val="b"/>
        <c:numFmt formatCode="0" sourceLinked="0"/>
        <c:tickLblPos val="nextTo"/>
        <c:crossAx val="49300608"/>
        <c:crosses val="autoZero"/>
        <c:crossBetween val="midCat"/>
        <c:majorUnit val="20"/>
      </c:valAx>
      <c:valAx>
        <c:axId val="49300608"/>
        <c:scaling>
          <c:orientation val="minMax"/>
          <c:max val="80"/>
          <c:min val="-40"/>
        </c:scaling>
        <c:axPos val="l"/>
        <c:numFmt formatCode="0" sourceLinked="0"/>
        <c:tickLblPos val="nextTo"/>
        <c:crossAx val="49290624"/>
        <c:crosses val="autoZero"/>
        <c:crossBetween val="midCat"/>
      </c:valAx>
    </c:plotArea>
    <c:plotVisOnly val="1"/>
    <c:dispBlanksAs val="gap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smoothMarker"/>
        <c:ser>
          <c:idx val="0"/>
          <c:order val="0"/>
          <c:tx>
            <c:v>Coxa</c:v>
          </c:tx>
          <c:marker>
            <c:symbol val="none"/>
          </c:marker>
          <c:xVal>
            <c:numRef>
              <c:f>Sheet1!$AC$16:$AC$17</c:f>
              <c:numCache>
                <c:formatCode>0.0</c:formatCode>
                <c:ptCount val="2"/>
                <c:pt idx="0">
                  <c:v>0</c:v>
                </c:pt>
                <c:pt idx="1">
                  <c:v>-13</c:v>
                </c:pt>
              </c:numCache>
            </c:numRef>
          </c:xVal>
          <c:yVal>
            <c:numRef>
              <c:f>Sheet1!$AC$14:$AC$15</c:f>
              <c:numCache>
                <c:formatCode>0.0</c:formatCode>
                <c:ptCount val="2"/>
                <c:pt idx="0">
                  <c:v>64.857421764053797</c:v>
                </c:pt>
                <c:pt idx="1">
                  <c:v>64.857421764053797</c:v>
                </c:pt>
              </c:numCache>
            </c:numRef>
          </c:yVal>
          <c:smooth val="1"/>
        </c:ser>
        <c:ser>
          <c:idx val="1"/>
          <c:order val="1"/>
          <c:tx>
            <c:v>Femur</c:v>
          </c:tx>
          <c:marker>
            <c:symbol val="none"/>
          </c:marker>
          <c:xVal>
            <c:numRef>
              <c:f>Sheet1!$AC$20:$AC$21</c:f>
              <c:numCache>
                <c:formatCode>0.0</c:formatCode>
                <c:ptCount val="2"/>
                <c:pt idx="0">
                  <c:v>-13</c:v>
                </c:pt>
                <c:pt idx="1">
                  <c:v>-46.293544315009832</c:v>
                </c:pt>
              </c:numCache>
            </c:numRef>
          </c:xVal>
          <c:yVal>
            <c:numRef>
              <c:f>Sheet1!$AC$18:$AC$19</c:f>
              <c:numCache>
                <c:formatCode>0.0</c:formatCode>
                <c:ptCount val="2"/>
                <c:pt idx="0">
                  <c:v>64.857421764053797</c:v>
                </c:pt>
                <c:pt idx="1">
                  <c:v>71.752340686309267</c:v>
                </c:pt>
              </c:numCache>
            </c:numRef>
          </c:yVal>
          <c:smooth val="1"/>
        </c:ser>
        <c:ser>
          <c:idx val="2"/>
          <c:order val="2"/>
          <c:tx>
            <c:v>Tibia</c:v>
          </c:tx>
          <c:marker>
            <c:symbol val="none"/>
          </c:marker>
          <c:xVal>
            <c:numRef>
              <c:f>Sheet1!$AC$24:$AC$25</c:f>
              <c:numCache>
                <c:formatCode>0.0</c:formatCode>
                <c:ptCount val="2"/>
                <c:pt idx="0">
                  <c:v>-46.293544315009832</c:v>
                </c:pt>
                <c:pt idx="1">
                  <c:v>-52.260252455669253</c:v>
                </c:pt>
              </c:numCache>
            </c:numRef>
          </c:xVal>
          <c:yVal>
            <c:numRef>
              <c:f>Sheet1!$AC$22:$AC$23</c:f>
              <c:numCache>
                <c:formatCode>0.0</c:formatCode>
                <c:ptCount val="2"/>
                <c:pt idx="0">
                  <c:v>71.752340686309267</c:v>
                </c:pt>
                <c:pt idx="1">
                  <c:v>0.28087882725255042</c:v>
                </c:pt>
              </c:numCache>
            </c:numRef>
          </c:yVal>
          <c:smooth val="1"/>
        </c:ser>
        <c:dLbls/>
        <c:axId val="49331200"/>
        <c:axId val="49337088"/>
      </c:scatterChart>
      <c:valAx>
        <c:axId val="49331200"/>
        <c:scaling>
          <c:orientation val="minMax"/>
          <c:max val="0"/>
          <c:min val="-80"/>
        </c:scaling>
        <c:axPos val="b"/>
        <c:numFmt formatCode="0" sourceLinked="0"/>
        <c:tickLblPos val="nextTo"/>
        <c:crossAx val="49337088"/>
        <c:crosses val="autoZero"/>
        <c:crossBetween val="midCat"/>
        <c:majorUnit val="20"/>
      </c:valAx>
      <c:valAx>
        <c:axId val="49337088"/>
        <c:scaling>
          <c:orientation val="minMax"/>
          <c:max val="80"/>
          <c:min val="-40"/>
        </c:scaling>
        <c:axPos val="l"/>
        <c:numFmt formatCode="0" sourceLinked="0"/>
        <c:tickLblPos val="nextTo"/>
        <c:crossAx val="49331200"/>
        <c:crosses val="autoZero"/>
        <c:crossBetween val="midCat"/>
      </c:valAx>
    </c:plotArea>
    <c:plotVisOnly val="1"/>
    <c:dispBlanksAs val="gap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smoothMarker"/>
        <c:ser>
          <c:idx val="0"/>
          <c:order val="0"/>
          <c:tx>
            <c:v>Coxa</c:v>
          </c:tx>
          <c:marker>
            <c:symbol val="none"/>
          </c:marker>
          <c:xVal>
            <c:numRef>
              <c:f>Sheet1!$AD$16:$AD$17</c:f>
              <c:numCache>
                <c:formatCode>0.0</c:formatCode>
                <c:ptCount val="2"/>
                <c:pt idx="0">
                  <c:v>0</c:v>
                </c:pt>
                <c:pt idx="1">
                  <c:v>-13</c:v>
                </c:pt>
              </c:numCache>
            </c:numRef>
          </c:xVal>
          <c:yVal>
            <c:numRef>
              <c:f>Sheet1!$AD$14:$AD$15</c:f>
              <c:numCache>
                <c:formatCode>0.0</c:formatCode>
                <c:ptCount val="2"/>
                <c:pt idx="0">
                  <c:v>71.726018262605677</c:v>
                </c:pt>
                <c:pt idx="1">
                  <c:v>71.726018262605677</c:v>
                </c:pt>
              </c:numCache>
            </c:numRef>
          </c:yVal>
          <c:smooth val="1"/>
        </c:ser>
        <c:ser>
          <c:idx val="1"/>
          <c:order val="1"/>
          <c:tx>
            <c:v>Femur</c:v>
          </c:tx>
          <c:marker>
            <c:symbol val="none"/>
          </c:marker>
          <c:xVal>
            <c:numRef>
              <c:f>Sheet1!$AD$20:$AD$21</c:f>
              <c:numCache>
                <c:formatCode>0.0</c:formatCode>
                <c:ptCount val="2"/>
                <c:pt idx="0">
                  <c:v>-13</c:v>
                </c:pt>
                <c:pt idx="1">
                  <c:v>-46.99890583432159</c:v>
                </c:pt>
              </c:numCache>
            </c:numRef>
          </c:xVal>
          <c:yVal>
            <c:numRef>
              <c:f>Sheet1!$AD$18:$AD$19</c:f>
              <c:numCache>
                <c:formatCode>0.0</c:formatCode>
                <c:ptCount val="2"/>
                <c:pt idx="0">
                  <c:v>71.726018262605677</c:v>
                </c:pt>
                <c:pt idx="1">
                  <c:v>71.99878568905757</c:v>
                </c:pt>
              </c:numCache>
            </c:numRef>
          </c:yVal>
          <c:smooth val="1"/>
        </c:ser>
        <c:ser>
          <c:idx val="2"/>
          <c:order val="2"/>
          <c:tx>
            <c:v>Tibia</c:v>
          </c:tx>
          <c:marker>
            <c:symbol val="none"/>
          </c:marker>
          <c:xVal>
            <c:numRef>
              <c:f>Sheet1!$AD$24:$AD$25</c:f>
              <c:numCache>
                <c:formatCode>0.0</c:formatCode>
                <c:ptCount val="2"/>
                <c:pt idx="0">
                  <c:v>-46.99890583432159</c:v>
                </c:pt>
                <c:pt idx="1">
                  <c:v>-47.417067646495781</c:v>
                </c:pt>
              </c:numCache>
            </c:numRef>
          </c:xVal>
          <c:yVal>
            <c:numRef>
              <c:f>Sheet1!$AD$22:$AD$23</c:f>
              <c:numCache>
                <c:formatCode>0.0</c:formatCode>
                <c:ptCount val="2"/>
                <c:pt idx="0">
                  <c:v>71.99878568905757</c:v>
                </c:pt>
                <c:pt idx="1">
                  <c:v>-1.0377153282092877E-3</c:v>
                </c:pt>
              </c:numCache>
            </c:numRef>
          </c:yVal>
          <c:smooth val="1"/>
        </c:ser>
        <c:dLbls/>
        <c:axId val="49379584"/>
        <c:axId val="49393664"/>
      </c:scatterChart>
      <c:valAx>
        <c:axId val="49379584"/>
        <c:scaling>
          <c:orientation val="minMax"/>
          <c:max val="0"/>
          <c:min val="-80"/>
        </c:scaling>
        <c:axPos val="b"/>
        <c:numFmt formatCode="0" sourceLinked="0"/>
        <c:tickLblPos val="nextTo"/>
        <c:crossAx val="49393664"/>
        <c:crosses val="autoZero"/>
        <c:crossBetween val="midCat"/>
        <c:majorUnit val="20"/>
      </c:valAx>
      <c:valAx>
        <c:axId val="49393664"/>
        <c:scaling>
          <c:orientation val="minMax"/>
          <c:max val="80"/>
          <c:min val="-40"/>
        </c:scaling>
        <c:axPos val="l"/>
        <c:numFmt formatCode="0" sourceLinked="0"/>
        <c:tickLblPos val="nextTo"/>
        <c:crossAx val="49379584"/>
        <c:crosses val="autoZero"/>
        <c:crossBetween val="midCat"/>
      </c:valAx>
    </c:plotArea>
    <c:plotVisOnly val="1"/>
    <c:dispBlanksAs val="gap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smoothMarker"/>
        <c:ser>
          <c:idx val="0"/>
          <c:order val="0"/>
          <c:tx>
            <c:v>Coxa</c:v>
          </c:tx>
          <c:marker>
            <c:symbol val="none"/>
          </c:marker>
          <c:xVal>
            <c:numRef>
              <c:f>Sheet1!$AE$16:$AE$17</c:f>
              <c:numCache>
                <c:formatCode>0.0</c:formatCode>
                <c:ptCount val="2"/>
                <c:pt idx="0">
                  <c:v>0</c:v>
                </c:pt>
                <c:pt idx="1">
                  <c:v>-13</c:v>
                </c:pt>
              </c:numCache>
            </c:numRef>
          </c:xVal>
          <c:yVal>
            <c:numRef>
              <c:f>Sheet1!$AE$14:$AE$15</c:f>
              <c:numCache>
                <c:formatCode>0.0</c:formatCode>
                <c:ptCount val="2"/>
                <c:pt idx="0">
                  <c:v>78.594614761157558</c:v>
                </c:pt>
                <c:pt idx="1">
                  <c:v>78.594614761157558</c:v>
                </c:pt>
              </c:numCache>
            </c:numRef>
          </c:yVal>
          <c:smooth val="1"/>
        </c:ser>
        <c:ser>
          <c:idx val="1"/>
          <c:order val="1"/>
          <c:tx>
            <c:v>Femur</c:v>
          </c:tx>
          <c:marker>
            <c:symbol val="none"/>
          </c:marker>
          <c:xVal>
            <c:numRef>
              <c:f>Sheet1!$AE$20:$AE$21</c:f>
              <c:numCache>
                <c:formatCode>0.0</c:formatCode>
                <c:ptCount val="2"/>
                <c:pt idx="0">
                  <c:v>-13</c:v>
                </c:pt>
                <c:pt idx="1">
                  <c:v>-46.321098794743932</c:v>
                </c:pt>
              </c:numCache>
            </c:numRef>
          </c:xVal>
          <c:yVal>
            <c:numRef>
              <c:f>Sheet1!$AE$18:$AE$19</c:f>
              <c:numCache>
                <c:formatCode>0.0</c:formatCode>
                <c:ptCount val="2"/>
                <c:pt idx="0">
                  <c:v>78.594614761157558</c:v>
                </c:pt>
                <c:pt idx="1">
                  <c:v>71.834113662058868</c:v>
                </c:pt>
              </c:numCache>
            </c:numRef>
          </c:yVal>
          <c:smooth val="1"/>
        </c:ser>
        <c:ser>
          <c:idx val="2"/>
          <c:order val="2"/>
          <c:tx>
            <c:v>Tibia</c:v>
          </c:tx>
          <c:marker>
            <c:symbol val="none"/>
          </c:marker>
          <c:xVal>
            <c:numRef>
              <c:f>Sheet1!$AE$24:$AE$25</c:f>
              <c:numCache>
                <c:formatCode>0.0</c:formatCode>
                <c:ptCount val="2"/>
                <c:pt idx="0">
                  <c:v>-46.321098794743932</c:v>
                </c:pt>
                <c:pt idx="1">
                  <c:v>-41.436417189315925</c:v>
                </c:pt>
              </c:numCache>
            </c:numRef>
          </c:xVal>
          <c:yVal>
            <c:numRef>
              <c:f>Sheet1!$AE$22:$AE$23</c:f>
              <c:numCache>
                <c:formatCode>0.0</c:formatCode>
                <c:ptCount val="2"/>
                <c:pt idx="0">
                  <c:v>71.834113662058868</c:v>
                </c:pt>
                <c:pt idx="1">
                  <c:v>0.46309914651264705</c:v>
                </c:pt>
              </c:numCache>
            </c:numRef>
          </c:yVal>
          <c:smooth val="1"/>
        </c:ser>
        <c:dLbls/>
        <c:axId val="49419776"/>
        <c:axId val="49421312"/>
      </c:scatterChart>
      <c:valAx>
        <c:axId val="49419776"/>
        <c:scaling>
          <c:orientation val="minMax"/>
          <c:max val="0"/>
          <c:min val="-80"/>
        </c:scaling>
        <c:axPos val="b"/>
        <c:numFmt formatCode="0" sourceLinked="0"/>
        <c:tickLblPos val="nextTo"/>
        <c:crossAx val="49421312"/>
        <c:crosses val="autoZero"/>
        <c:crossBetween val="midCat"/>
        <c:majorUnit val="20"/>
      </c:valAx>
      <c:valAx>
        <c:axId val="49421312"/>
        <c:scaling>
          <c:orientation val="minMax"/>
          <c:max val="80"/>
          <c:min val="-40"/>
        </c:scaling>
        <c:axPos val="l"/>
        <c:numFmt formatCode="0" sourceLinked="0"/>
        <c:tickLblPos val="nextTo"/>
        <c:crossAx val="49419776"/>
        <c:crosses val="autoZero"/>
        <c:crossBetween val="midCat"/>
      </c:valAx>
    </c:plotArea>
    <c:plotVisOnly val="1"/>
    <c:dispBlanksAs val="gap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Spin" dx="16" fmlaLink="$R$32" max="20" noThreeD="1" page="10" val="10"/>
</file>

<file path=xl/ctrlProps/ctrlProp2.xml><?xml version="1.0" encoding="utf-8"?>
<formControlPr xmlns="http://schemas.microsoft.com/office/spreadsheetml/2009/9/main" objectType="Spin" dx="16" fmlaLink="$R$33" max="60" noThreeD="1" page="10" val="11"/>
</file>

<file path=xl/ctrlProps/ctrlProp3.xml><?xml version="1.0" encoding="utf-8"?>
<formControlPr xmlns="http://schemas.microsoft.com/office/spreadsheetml/2009/9/main" objectType="Spin" dx="16" fmlaLink="$R$34" max="20" noThreeD="1" page="10" val="10"/>
</file>

<file path=xl/ctrlProps/ctrlProp4.xml><?xml version="1.0" encoding="utf-8"?>
<formControlPr xmlns="http://schemas.microsoft.com/office/spreadsheetml/2009/9/main" objectType="Spin" dx="16" fmlaLink="$R$36" max="20" noThreeD="1" page="10" val="10"/>
</file>

<file path=xl/ctrlProps/ctrlProp5.xml><?xml version="1.0" encoding="utf-8"?>
<formControlPr xmlns="http://schemas.microsoft.com/office/spreadsheetml/2009/9/main" objectType="Spin" dx="16" fmlaLink="$R$37" max="30" noThreeD="1" page="10" val="15"/>
</file>

<file path=xl/ctrlProps/ctrlProp6.xml><?xml version="1.0" encoding="utf-8"?>
<formControlPr xmlns="http://schemas.microsoft.com/office/spreadsheetml/2009/9/main" objectType="Spin" dx="16" fmlaLink="$R$38" max="20" noThreeD="1" page="10" val="1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171448</xdr:colOff>
      <xdr:row>17</xdr:row>
      <xdr:rowOff>161925</xdr:rowOff>
    </xdr:from>
    <xdr:to>
      <xdr:col>10</xdr:col>
      <xdr:colOff>219075</xdr:colOff>
      <xdr:row>36</xdr:row>
      <xdr:rowOff>133351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480332</xdr:colOff>
      <xdr:row>21</xdr:row>
      <xdr:rowOff>95248</xdr:rowOff>
    </xdr:from>
    <xdr:to>
      <xdr:col>8</xdr:col>
      <xdr:colOff>326572</xdr:colOff>
      <xdr:row>33</xdr:row>
      <xdr:rowOff>5248</xdr:rowOff>
    </xdr:to>
    <xdr:sp macro="" textlink="">
      <xdr:nvSpPr>
        <xdr:cNvPr id="3" name="Oval 55"/>
        <xdr:cNvSpPr>
          <a:spLocks noChangeAspect="1" noChangeArrowheads="1"/>
        </xdr:cNvSpPr>
      </xdr:nvSpPr>
      <xdr:spPr bwMode="auto">
        <a:xfrm>
          <a:off x="2412546" y="4095748"/>
          <a:ext cx="2417990" cy="2196000"/>
        </a:xfrm>
        <a:prstGeom prst="ellips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380054</xdr:colOff>
      <xdr:row>15</xdr:row>
      <xdr:rowOff>99899</xdr:rowOff>
    </xdr:from>
    <xdr:to>
      <xdr:col>14</xdr:col>
      <xdr:colOff>18104</xdr:colOff>
      <xdr:row>22</xdr:row>
      <xdr:rowOff>26399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402167</xdr:colOff>
      <xdr:row>22</xdr:row>
      <xdr:rowOff>127000</xdr:rowOff>
    </xdr:from>
    <xdr:to>
      <xdr:col>14</xdr:col>
      <xdr:colOff>34925</xdr:colOff>
      <xdr:row>29</xdr:row>
      <xdr:rowOff>53500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390638</xdr:colOff>
      <xdr:row>30</xdr:row>
      <xdr:rowOff>12661</xdr:rowOff>
    </xdr:from>
    <xdr:to>
      <xdr:col>14</xdr:col>
      <xdr:colOff>23396</xdr:colOff>
      <xdr:row>36</xdr:row>
      <xdr:rowOff>129661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40822</xdr:colOff>
      <xdr:row>15</xdr:row>
      <xdr:rowOff>161585</xdr:rowOff>
    </xdr:from>
    <xdr:to>
      <xdr:col>2</xdr:col>
      <xdr:colOff>126547</xdr:colOff>
      <xdr:row>22</xdr:row>
      <xdr:rowOff>88085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21167</xdr:colOff>
      <xdr:row>22</xdr:row>
      <xdr:rowOff>158751</xdr:rowOff>
    </xdr:from>
    <xdr:to>
      <xdr:col>2</xdr:col>
      <xdr:colOff>106892</xdr:colOff>
      <xdr:row>29</xdr:row>
      <xdr:rowOff>85251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9260</xdr:colOff>
      <xdr:row>30</xdr:row>
      <xdr:rowOff>4536</xdr:rowOff>
    </xdr:from>
    <xdr:to>
      <xdr:col>2</xdr:col>
      <xdr:colOff>94985</xdr:colOff>
      <xdr:row>36</xdr:row>
      <xdr:rowOff>121536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158749</xdr:colOff>
      <xdr:row>38</xdr:row>
      <xdr:rowOff>10584</xdr:rowOff>
    </xdr:from>
    <xdr:to>
      <xdr:col>10</xdr:col>
      <xdr:colOff>206376</xdr:colOff>
      <xdr:row>56</xdr:row>
      <xdr:rowOff>172510</xdr:rowOff>
    </xdr:to>
    <xdr:graphicFrame macro="">
      <xdr:nvGraphicFramePr>
        <xdr:cNvPr id="12" name="Chart 1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476250</xdr:colOff>
      <xdr:row>41</xdr:row>
      <xdr:rowOff>54429</xdr:rowOff>
    </xdr:from>
    <xdr:to>
      <xdr:col>8</xdr:col>
      <xdr:colOff>321735</xdr:colOff>
      <xdr:row>52</xdr:row>
      <xdr:rowOff>171407</xdr:rowOff>
    </xdr:to>
    <xdr:sp macro="" textlink="">
      <xdr:nvSpPr>
        <xdr:cNvPr id="13" name="Oval 55"/>
        <xdr:cNvSpPr>
          <a:spLocks noChangeAspect="1" noChangeArrowheads="1"/>
        </xdr:cNvSpPr>
      </xdr:nvSpPr>
      <xdr:spPr bwMode="auto">
        <a:xfrm>
          <a:off x="2408464" y="7864929"/>
          <a:ext cx="2417235" cy="2212478"/>
        </a:xfrm>
        <a:prstGeom prst="ellips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281215</xdr:colOff>
      <xdr:row>37</xdr:row>
      <xdr:rowOff>93739</xdr:rowOff>
    </xdr:from>
    <xdr:to>
      <xdr:col>13</xdr:col>
      <xdr:colOff>215598</xdr:colOff>
      <xdr:row>44</xdr:row>
      <xdr:rowOff>20239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264584</xdr:colOff>
      <xdr:row>44</xdr:row>
      <xdr:rowOff>84667</xdr:rowOff>
    </xdr:from>
    <xdr:to>
      <xdr:col>13</xdr:col>
      <xdr:colOff>198967</xdr:colOff>
      <xdr:row>51</xdr:row>
      <xdr:rowOff>11167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291799</xdr:colOff>
      <xdr:row>51</xdr:row>
      <xdr:rowOff>87688</xdr:rowOff>
    </xdr:from>
    <xdr:to>
      <xdr:col>13</xdr:col>
      <xdr:colOff>226182</xdr:colOff>
      <xdr:row>58</xdr:row>
      <xdr:rowOff>14188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51</xdr:row>
      <xdr:rowOff>9071</xdr:rowOff>
    </xdr:from>
    <xdr:to>
      <xdr:col>2</xdr:col>
      <xdr:colOff>93133</xdr:colOff>
      <xdr:row>57</xdr:row>
      <xdr:rowOff>126071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10583</xdr:colOff>
      <xdr:row>44</xdr:row>
      <xdr:rowOff>63500</xdr:rowOff>
    </xdr:from>
    <xdr:to>
      <xdr:col>2</xdr:col>
      <xdr:colOff>103716</xdr:colOff>
      <xdr:row>50</xdr:row>
      <xdr:rowOff>180500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37</xdr:row>
      <xdr:rowOff>63500</xdr:rowOff>
    </xdr:from>
    <xdr:to>
      <xdr:col>2</xdr:col>
      <xdr:colOff>93133</xdr:colOff>
      <xdr:row>43</xdr:row>
      <xdr:rowOff>180500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E72"/>
  <sheetViews>
    <sheetView tabSelected="1" topLeftCell="G1" zoomScale="80" zoomScaleNormal="80" workbookViewId="0">
      <selection activeCell="Z4" sqref="Z4"/>
    </sheetView>
  </sheetViews>
  <sheetFormatPr defaultRowHeight="15"/>
  <cols>
    <col min="1" max="1" width="11.5703125" customWidth="1"/>
    <col min="2" max="2" width="8.85546875" customWidth="1"/>
    <col min="3" max="3" width="8.5703125" customWidth="1"/>
    <col min="4" max="4" width="8.42578125" customWidth="1"/>
    <col min="5" max="5" width="8.28515625" customWidth="1"/>
    <col min="6" max="6" width="7.85546875" customWidth="1"/>
    <col min="7" max="7" width="7" customWidth="1"/>
    <col min="8" max="8" width="6.85546875" customWidth="1"/>
    <col min="9" max="9" width="6.7109375" customWidth="1"/>
    <col min="10" max="10" width="7.85546875" customWidth="1"/>
    <col min="11" max="11" width="6.42578125" customWidth="1"/>
    <col min="12" max="12" width="8.5703125" customWidth="1"/>
    <col min="13" max="13" width="7.7109375" customWidth="1"/>
    <col min="14" max="14" width="4.42578125" customWidth="1"/>
    <col min="15" max="15" width="7.7109375" customWidth="1"/>
    <col min="16" max="16" width="11" customWidth="1"/>
    <col min="18" max="18" width="11.28515625" customWidth="1"/>
    <col min="24" max="24" width="13.28515625" customWidth="1"/>
  </cols>
  <sheetData>
    <row r="1" spans="1:31">
      <c r="A1" s="8" t="s">
        <v>61</v>
      </c>
      <c r="B1" s="14"/>
      <c r="E1" s="8" t="s">
        <v>17</v>
      </c>
      <c r="F1" s="13"/>
      <c r="G1" s="14"/>
      <c r="H1" s="57"/>
      <c r="I1" s="59" t="s">
        <v>1</v>
      </c>
      <c r="J1" s="60" t="s">
        <v>2</v>
      </c>
      <c r="P1" s="8" t="s">
        <v>8</v>
      </c>
      <c r="Q1" s="13"/>
      <c r="R1" s="13"/>
      <c r="S1" s="13"/>
      <c r="T1" s="13"/>
      <c r="U1" s="13"/>
      <c r="V1" s="14"/>
      <c r="W1" s="25"/>
      <c r="X1" s="8" t="s">
        <v>8</v>
      </c>
      <c r="Y1" s="13"/>
      <c r="Z1" s="13"/>
      <c r="AA1" s="13"/>
      <c r="AB1" s="13"/>
      <c r="AC1" s="13"/>
      <c r="AD1" s="14"/>
      <c r="AE1" s="25"/>
    </row>
    <row r="2" spans="1:31">
      <c r="A2" s="58">
        <v>44</v>
      </c>
      <c r="B2" s="28"/>
      <c r="D2">
        <v>45</v>
      </c>
      <c r="E2" s="1" t="s">
        <v>38</v>
      </c>
      <c r="F2" s="27"/>
      <c r="G2" s="43">
        <f>A2/2</f>
        <v>22</v>
      </c>
      <c r="H2" s="20">
        <v>1</v>
      </c>
      <c r="I2" s="47">
        <f>G2</f>
        <v>22</v>
      </c>
      <c r="J2" s="48">
        <f>G3</f>
        <v>38.105117766515299</v>
      </c>
      <c r="P2" s="15" t="s">
        <v>9</v>
      </c>
      <c r="Q2" s="18"/>
      <c r="R2" s="16">
        <v>1</v>
      </c>
      <c r="S2" s="16">
        <v>2</v>
      </c>
      <c r="T2" s="16">
        <v>3</v>
      </c>
      <c r="U2" s="16">
        <v>4</v>
      </c>
      <c r="V2" s="16">
        <v>5</v>
      </c>
      <c r="W2" s="17">
        <v>6</v>
      </c>
      <c r="X2" s="15" t="s">
        <v>9</v>
      </c>
      <c r="Y2" s="18"/>
      <c r="Z2" s="16">
        <v>1</v>
      </c>
      <c r="AA2" s="16">
        <v>2</v>
      </c>
      <c r="AB2" s="16">
        <v>3</v>
      </c>
      <c r="AC2" s="16">
        <v>4</v>
      </c>
      <c r="AD2" s="16">
        <v>5</v>
      </c>
      <c r="AE2" s="17">
        <v>6</v>
      </c>
    </row>
    <row r="3" spans="1:31">
      <c r="A3" s="8" t="s">
        <v>13</v>
      </c>
      <c r="B3" s="13"/>
      <c r="C3" s="14"/>
      <c r="E3" s="2" t="s">
        <v>39</v>
      </c>
      <c r="F3" s="3"/>
      <c r="G3" s="45">
        <f>SQRT(A2*A2-G2*G2)</f>
        <v>38.105117766515299</v>
      </c>
      <c r="H3" s="21">
        <v>2</v>
      </c>
      <c r="I3" s="47">
        <f>G4</f>
        <v>44</v>
      </c>
      <c r="J3" s="48">
        <v>0</v>
      </c>
      <c r="P3" s="20" t="s">
        <v>10</v>
      </c>
      <c r="Q3" s="20"/>
      <c r="R3" s="33">
        <f>Q71-60</f>
        <v>-1.2482645558975491E-5</v>
      </c>
      <c r="S3" s="33">
        <f>R71</f>
        <v>0</v>
      </c>
      <c r="T3" s="33">
        <f>S71+60</f>
        <v>1.2482645587397201E-5</v>
      </c>
      <c r="U3" s="33">
        <f>T71-60-180</f>
        <v>-1.2482645587397201E-5</v>
      </c>
      <c r="V3" s="33">
        <f>U71-180</f>
        <v>0</v>
      </c>
      <c r="W3" s="33">
        <f>V71+60-180</f>
        <v>1.2482645558975491E-5</v>
      </c>
      <c r="X3" s="20" t="s">
        <v>10</v>
      </c>
      <c r="Y3" s="20"/>
      <c r="Z3" s="33">
        <f>Y71-60</f>
        <v>-4.5506248548833668</v>
      </c>
      <c r="AA3" s="33">
        <f>Z71</f>
        <v>-7.6048802004103635</v>
      </c>
      <c r="AB3" s="33">
        <f>AA71+60</f>
        <v>-3.2773132843689154</v>
      </c>
      <c r="AC3" s="33">
        <f>AB71-60-180</f>
        <v>3.2773132843689154</v>
      </c>
      <c r="AD3" s="33">
        <f>AC71-180</f>
        <v>7.6048802004103777</v>
      </c>
      <c r="AE3" s="33">
        <f>AD71+60-180</f>
        <v>4.550624854883381</v>
      </c>
    </row>
    <row r="4" spans="1:31">
      <c r="A4" s="1" t="s">
        <v>14</v>
      </c>
      <c r="B4" s="27"/>
      <c r="C4" s="43">
        <v>13</v>
      </c>
      <c r="D4">
        <v>12</v>
      </c>
      <c r="E4" s="5" t="s">
        <v>40</v>
      </c>
      <c r="F4" s="6"/>
      <c r="G4" s="46">
        <f>A2</f>
        <v>44</v>
      </c>
      <c r="H4" s="21">
        <v>3</v>
      </c>
      <c r="I4" s="47">
        <f>G2</f>
        <v>22</v>
      </c>
      <c r="J4" s="48">
        <f>-G3</f>
        <v>-38.105117766515299</v>
      </c>
      <c r="P4" s="21" t="s">
        <v>11</v>
      </c>
      <c r="Q4" s="21"/>
      <c r="R4" s="36">
        <f t="shared" ref="R4:W4" si="0">Q70</f>
        <v>-11.706086529971429</v>
      </c>
      <c r="S4" s="36">
        <f t="shared" si="0"/>
        <v>0</v>
      </c>
      <c r="T4" s="36">
        <f t="shared" si="0"/>
        <v>11.694157901115844</v>
      </c>
      <c r="U4" s="36">
        <f t="shared" si="0"/>
        <v>11.694157901115844</v>
      </c>
      <c r="V4" s="36">
        <f t="shared" si="0"/>
        <v>0</v>
      </c>
      <c r="W4" s="36">
        <f t="shared" si="0"/>
        <v>-11.706086529971429</v>
      </c>
      <c r="X4" s="21" t="s">
        <v>11</v>
      </c>
      <c r="Y4" s="21"/>
      <c r="Z4" s="36">
        <f t="shared" ref="Z4:AE4" si="1">Y70</f>
        <v>11.4690323094691</v>
      </c>
      <c r="AA4" s="36">
        <f t="shared" si="1"/>
        <v>-0.45966441101094802</v>
      </c>
      <c r="AB4" s="36">
        <f t="shared" si="1"/>
        <v>-11.700259653666023</v>
      </c>
      <c r="AC4" s="36">
        <f t="shared" si="1"/>
        <v>-11.700259653666023</v>
      </c>
      <c r="AD4" s="36">
        <f t="shared" si="1"/>
        <v>-0.45966441101094802</v>
      </c>
      <c r="AE4" s="36">
        <f t="shared" si="1"/>
        <v>11.4690323094691</v>
      </c>
    </row>
    <row r="5" spans="1:31">
      <c r="A5" s="2" t="s">
        <v>15</v>
      </c>
      <c r="B5" s="3"/>
      <c r="C5" s="44">
        <v>34</v>
      </c>
      <c r="D5">
        <v>35</v>
      </c>
      <c r="E5" s="2"/>
      <c r="F5" s="3"/>
      <c r="G5" s="4"/>
      <c r="H5" s="21">
        <v>4</v>
      </c>
      <c r="I5" s="47">
        <f>-G2</f>
        <v>-22</v>
      </c>
      <c r="J5" s="48">
        <f>-G3</f>
        <v>-38.105117766515299</v>
      </c>
      <c r="P5" s="22" t="s">
        <v>12</v>
      </c>
      <c r="Q5" s="22"/>
      <c r="R5" s="39">
        <f t="shared" ref="R5:W5" si="2">Q69</f>
        <v>-12.268833284205684</v>
      </c>
      <c r="S5" s="39">
        <f t="shared" si="2"/>
        <v>0</v>
      </c>
      <c r="T5" s="39">
        <f t="shared" si="2"/>
        <v>11.132553507092013</v>
      </c>
      <c r="U5" s="39">
        <f t="shared" si="2"/>
        <v>11.132553507092013</v>
      </c>
      <c r="V5" s="39">
        <f t="shared" si="2"/>
        <v>0</v>
      </c>
      <c r="W5" s="39">
        <f t="shared" si="2"/>
        <v>-12.268833284205684</v>
      </c>
      <c r="X5" s="22" t="s">
        <v>12</v>
      </c>
      <c r="Y5" s="22"/>
      <c r="Z5" s="39">
        <f t="shared" ref="Z5:AE5" si="3">Y69</f>
        <v>-7.5789381732991927</v>
      </c>
      <c r="AA5" s="39">
        <f t="shared" si="3"/>
        <v>0.12689994317132403</v>
      </c>
      <c r="AB5" s="39">
        <f t="shared" si="3"/>
        <v>6.9466525824140462</v>
      </c>
      <c r="AC5" s="39">
        <f t="shared" si="3"/>
        <v>6.9466525824140462</v>
      </c>
      <c r="AD5" s="39">
        <f t="shared" si="3"/>
        <v>0.12689994317132403</v>
      </c>
      <c r="AE5" s="39">
        <f t="shared" si="3"/>
        <v>-7.5789381732991927</v>
      </c>
    </row>
    <row r="6" spans="1:31">
      <c r="A6" s="5" t="s">
        <v>16</v>
      </c>
      <c r="B6" s="6"/>
      <c r="C6" s="61">
        <v>72</v>
      </c>
      <c r="D6">
        <v>38</v>
      </c>
      <c r="E6" s="5"/>
      <c r="F6" s="6"/>
      <c r="G6" s="94"/>
      <c r="H6" s="21">
        <v>5</v>
      </c>
      <c r="I6" s="47">
        <f>-G4</f>
        <v>-44</v>
      </c>
      <c r="J6" s="48">
        <v>0</v>
      </c>
      <c r="P6" s="1"/>
      <c r="Q6" s="74"/>
      <c r="R6" s="62">
        <f t="shared" ref="R6:W6" si="4">(R3+90)/180*1800+600</f>
        <v>1499.9998751735443</v>
      </c>
      <c r="S6" s="62">
        <f t="shared" si="4"/>
        <v>1500</v>
      </c>
      <c r="T6" s="62">
        <f t="shared" si="4"/>
        <v>1500.0001248264559</v>
      </c>
      <c r="U6" s="62">
        <f t="shared" si="4"/>
        <v>1499.9998751735443</v>
      </c>
      <c r="V6" s="62">
        <f t="shared" si="4"/>
        <v>1500</v>
      </c>
      <c r="W6" s="63">
        <f t="shared" si="4"/>
        <v>1500.0001248264557</v>
      </c>
      <c r="X6" s="1"/>
      <c r="Y6" s="74"/>
      <c r="Z6" s="62">
        <f t="shared" ref="Z6:AE6" si="5">(Z3+90)/180*1800+600</f>
        <v>1454.4937514511662</v>
      </c>
      <c r="AA6" s="62">
        <f t="shared" si="5"/>
        <v>1423.9511979958963</v>
      </c>
      <c r="AB6" s="62">
        <f t="shared" si="5"/>
        <v>1467.2268671563108</v>
      </c>
      <c r="AC6" s="62">
        <f t="shared" si="5"/>
        <v>1532.7731328436892</v>
      </c>
      <c r="AD6" s="62">
        <f t="shared" si="5"/>
        <v>1576.0488020041039</v>
      </c>
      <c r="AE6" s="63">
        <f t="shared" si="5"/>
        <v>1545.5062485488338</v>
      </c>
    </row>
    <row r="7" spans="1:31">
      <c r="H7" s="22">
        <v>6</v>
      </c>
      <c r="I7" s="49">
        <f>-G2</f>
        <v>-22</v>
      </c>
      <c r="J7" s="50">
        <f>G3</f>
        <v>38.105117766515299</v>
      </c>
      <c r="P7" s="2"/>
      <c r="Q7" s="4"/>
      <c r="R7" s="52">
        <f t="shared" ref="R7:W8" si="6">(R4+90)/180*1800+600</f>
        <v>1382.9391347002856</v>
      </c>
      <c r="S7" s="52">
        <f t="shared" si="6"/>
        <v>1500</v>
      </c>
      <c r="T7" s="52">
        <f t="shared" si="6"/>
        <v>1616.9415790111584</v>
      </c>
      <c r="U7" s="52">
        <f t="shared" si="6"/>
        <v>1616.9415790111584</v>
      </c>
      <c r="V7" s="52">
        <f t="shared" si="6"/>
        <v>1500</v>
      </c>
      <c r="W7" s="53">
        <f t="shared" si="6"/>
        <v>1382.9391347002856</v>
      </c>
      <c r="X7" s="2"/>
      <c r="Y7" s="4"/>
      <c r="Z7" s="52">
        <f t="shared" ref="Z7:AE7" si="7">(Z4+90)/180*1800+600</f>
        <v>1614.6903230946909</v>
      </c>
      <c r="AA7" s="52">
        <f t="shared" si="7"/>
        <v>1495.4033558898905</v>
      </c>
      <c r="AB7" s="52">
        <f t="shared" si="7"/>
        <v>1382.9974034633397</v>
      </c>
      <c r="AC7" s="52">
        <f t="shared" si="7"/>
        <v>1382.9974034633397</v>
      </c>
      <c r="AD7" s="52">
        <f t="shared" si="7"/>
        <v>1495.4033558898905</v>
      </c>
      <c r="AE7" s="53">
        <f t="shared" si="7"/>
        <v>1614.6903230946909</v>
      </c>
    </row>
    <row r="8" spans="1:31">
      <c r="P8" s="5"/>
      <c r="Q8" s="7"/>
      <c r="R8" s="54">
        <f t="shared" si="6"/>
        <v>1377.3116671579432</v>
      </c>
      <c r="S8" s="54">
        <f t="shared" si="6"/>
        <v>1500</v>
      </c>
      <c r="T8" s="54">
        <f t="shared" si="6"/>
        <v>1611.3255350709201</v>
      </c>
      <c r="U8" s="54">
        <f t="shared" si="6"/>
        <v>1611.3255350709201</v>
      </c>
      <c r="V8" s="54">
        <f t="shared" si="6"/>
        <v>1500</v>
      </c>
      <c r="W8" s="64">
        <f t="shared" si="6"/>
        <v>1377.3116671579432</v>
      </c>
      <c r="X8" s="5"/>
      <c r="Y8" s="7"/>
      <c r="Z8" s="54">
        <f t="shared" ref="Z8:AE8" si="8">(Z5+90)/180*1800+600</f>
        <v>1424.2106182670082</v>
      </c>
      <c r="AA8" s="54">
        <f t="shared" si="8"/>
        <v>1501.2689994317134</v>
      </c>
      <c r="AB8" s="54">
        <f t="shared" si="8"/>
        <v>1569.4665258241405</v>
      </c>
      <c r="AC8" s="54">
        <f t="shared" si="8"/>
        <v>1569.4665258241405</v>
      </c>
      <c r="AD8" s="54">
        <f t="shared" si="8"/>
        <v>1501.2689994317134</v>
      </c>
      <c r="AE8" s="64">
        <f t="shared" si="8"/>
        <v>1424.2106182670082</v>
      </c>
    </row>
    <row r="10" spans="1:31">
      <c r="A10" s="8" t="s">
        <v>44</v>
      </c>
      <c r="B10" s="13"/>
      <c r="C10" s="13"/>
      <c r="D10" s="9"/>
      <c r="E10" s="9"/>
      <c r="F10" s="9"/>
      <c r="G10" s="9"/>
      <c r="H10" s="10"/>
    </row>
    <row r="11" spans="1:31">
      <c r="A11" s="15" t="s">
        <v>9</v>
      </c>
      <c r="B11" s="17"/>
      <c r="C11" s="16">
        <v>1</v>
      </c>
      <c r="D11" s="16">
        <v>2</v>
      </c>
      <c r="E11" s="16">
        <v>3</v>
      </c>
      <c r="F11" s="16">
        <v>4</v>
      </c>
      <c r="G11" s="16">
        <v>5</v>
      </c>
      <c r="H11" s="17">
        <v>6</v>
      </c>
      <c r="P11" s="8" t="s">
        <v>29</v>
      </c>
      <c r="Q11" s="13"/>
      <c r="R11" s="13"/>
      <c r="S11" s="9"/>
      <c r="T11" s="9"/>
      <c r="U11" s="9"/>
      <c r="V11" s="9"/>
      <c r="W11" s="10"/>
      <c r="X11" s="8" t="s">
        <v>29</v>
      </c>
      <c r="Y11" s="13"/>
      <c r="Z11" s="13"/>
      <c r="AA11" s="9"/>
      <c r="AB11" s="9"/>
      <c r="AC11" s="9"/>
      <c r="AD11" s="9"/>
      <c r="AE11" s="10"/>
    </row>
    <row r="12" spans="1:31">
      <c r="A12" s="2" t="s">
        <v>41</v>
      </c>
      <c r="B12" s="4"/>
      <c r="C12" s="41">
        <f>COS(60/180*3.141592)*(C4+C5)</f>
        <v>23.500008867730152</v>
      </c>
      <c r="D12" s="34">
        <f>C4+C5</f>
        <v>47</v>
      </c>
      <c r="E12" s="34">
        <f>COS(60/180*3.141592)*(C4+C5)</f>
        <v>23.500008867730152</v>
      </c>
      <c r="F12" s="34">
        <f>-COS(60/180*3.141592)*(C4+C5)</f>
        <v>-23.500008867730152</v>
      </c>
      <c r="G12" s="34">
        <f>-(C4+C5)</f>
        <v>-47</v>
      </c>
      <c r="H12" s="35">
        <f>-COS(60/180*3.141592)*(C4+C5)</f>
        <v>-23.500008867730152</v>
      </c>
      <c r="P12" s="1" t="s">
        <v>9</v>
      </c>
      <c r="Q12" s="51"/>
      <c r="R12" s="89">
        <v>1</v>
      </c>
      <c r="S12" s="89">
        <v>2</v>
      </c>
      <c r="T12" s="89">
        <v>3</v>
      </c>
      <c r="U12" s="89">
        <v>4</v>
      </c>
      <c r="V12" s="89">
        <v>5</v>
      </c>
      <c r="W12" s="90">
        <v>6</v>
      </c>
      <c r="X12" s="91" t="s">
        <v>9</v>
      </c>
      <c r="Y12" s="90"/>
      <c r="Z12" s="89">
        <v>1</v>
      </c>
      <c r="AA12" s="89">
        <v>2</v>
      </c>
      <c r="AB12" s="89">
        <v>3</v>
      </c>
      <c r="AC12" s="89">
        <v>4</v>
      </c>
      <c r="AD12" s="89">
        <v>5</v>
      </c>
      <c r="AE12" s="90">
        <v>6</v>
      </c>
    </row>
    <row r="13" spans="1:31">
      <c r="A13" s="2" t="s">
        <v>42</v>
      </c>
      <c r="B13" s="4"/>
      <c r="C13" s="36">
        <f>C6</f>
        <v>72</v>
      </c>
      <c r="D13" s="37">
        <f>C6</f>
        <v>72</v>
      </c>
      <c r="E13" s="37">
        <f>C6</f>
        <v>72</v>
      </c>
      <c r="F13" s="37">
        <f>C6</f>
        <v>72</v>
      </c>
      <c r="G13" s="37">
        <f>C6</f>
        <v>72</v>
      </c>
      <c r="H13" s="38">
        <f>C6</f>
        <v>72</v>
      </c>
      <c r="P13" s="5" t="s">
        <v>25</v>
      </c>
      <c r="Q13" s="64"/>
      <c r="R13" s="40">
        <f t="shared" ref="R13:W13" si="9">Q64</f>
        <v>46.999999999999993</v>
      </c>
      <c r="S13" s="40">
        <f t="shared" si="9"/>
        <v>47</v>
      </c>
      <c r="T13" s="40">
        <f t="shared" si="9"/>
        <v>46.999999999999993</v>
      </c>
      <c r="U13" s="40">
        <f t="shared" si="9"/>
        <v>46.999999999999993</v>
      </c>
      <c r="V13" s="40">
        <f t="shared" si="9"/>
        <v>47</v>
      </c>
      <c r="W13" s="42">
        <f t="shared" si="9"/>
        <v>46.999999999999993</v>
      </c>
      <c r="X13" s="5" t="s">
        <v>25</v>
      </c>
      <c r="Y13" s="64"/>
      <c r="Z13" s="40">
        <f t="shared" ref="Z13:AE13" si="10">Y64</f>
        <v>41.436417189315918</v>
      </c>
      <c r="AA13" s="40">
        <f t="shared" si="10"/>
        <v>47.417067646495781</v>
      </c>
      <c r="AB13" s="40">
        <f t="shared" si="10"/>
        <v>52.260252455669246</v>
      </c>
      <c r="AC13" s="40">
        <f t="shared" si="10"/>
        <v>52.260252455669246</v>
      </c>
      <c r="AD13" s="40">
        <f t="shared" si="10"/>
        <v>47.417067646495781</v>
      </c>
      <c r="AE13" s="42">
        <f t="shared" si="10"/>
        <v>41.436417189315918</v>
      </c>
    </row>
    <row r="14" spans="1:31">
      <c r="A14" s="5" t="s">
        <v>43</v>
      </c>
      <c r="B14" s="7"/>
      <c r="C14" s="39">
        <f>SIN(60/180*3.141592)*(C4+C5)</f>
        <v>40.703188858080935</v>
      </c>
      <c r="D14" s="40">
        <v>0</v>
      </c>
      <c r="E14" s="40">
        <f>SIN(-60/180*3.141592)*(C4+C5)</f>
        <v>-40.703188858080935</v>
      </c>
      <c r="F14" s="40">
        <f>SIN(-60/180*3.141592)*(C4+C5)</f>
        <v>-40.703188858080935</v>
      </c>
      <c r="G14" s="40">
        <v>0</v>
      </c>
      <c r="H14" s="42">
        <f>SIN(60/180*3.141592)*(C4+C5)</f>
        <v>40.703188858080935</v>
      </c>
      <c r="P14" s="68" t="s">
        <v>64</v>
      </c>
      <c r="Q14" s="63"/>
      <c r="R14" s="34">
        <f>R28</f>
        <v>78.894831979589284</v>
      </c>
      <c r="S14" s="34">
        <f t="shared" ref="S14:W14" si="11">S28</f>
        <v>72</v>
      </c>
      <c r="T14" s="34">
        <f t="shared" si="11"/>
        <v>65.105168020410716</v>
      </c>
      <c r="U14" s="34">
        <f t="shared" si="11"/>
        <v>65.105168020410716</v>
      </c>
      <c r="V14" s="34">
        <f t="shared" si="11"/>
        <v>72</v>
      </c>
      <c r="W14" s="34">
        <f t="shared" si="11"/>
        <v>78.894831979589284</v>
      </c>
      <c r="X14" s="68" t="s">
        <v>64</v>
      </c>
      <c r="Y14" s="63"/>
      <c r="Z14" s="34">
        <f t="shared" ref="Z14:AE14" si="12">Z28</f>
        <v>78.594614761157558</v>
      </c>
      <c r="AA14" s="34">
        <f t="shared" si="12"/>
        <v>71.726018262605677</v>
      </c>
      <c r="AB14" s="34">
        <f t="shared" si="12"/>
        <v>64.857421764053797</v>
      </c>
      <c r="AC14" s="34">
        <f t="shared" si="12"/>
        <v>64.857421764053797</v>
      </c>
      <c r="AD14" s="34">
        <f t="shared" si="12"/>
        <v>71.726018262605677</v>
      </c>
      <c r="AE14" s="34">
        <f t="shared" si="12"/>
        <v>78.594614761157558</v>
      </c>
    </row>
    <row r="15" spans="1:31">
      <c r="P15" s="66" t="s">
        <v>65</v>
      </c>
      <c r="Q15" s="53"/>
      <c r="R15" s="37">
        <f t="shared" ref="R15:W15" si="13">R28</f>
        <v>78.894831979589284</v>
      </c>
      <c r="S15" s="37">
        <f t="shared" si="13"/>
        <v>72</v>
      </c>
      <c r="T15" s="37">
        <f t="shared" si="13"/>
        <v>65.105168020410716</v>
      </c>
      <c r="U15" s="37">
        <f t="shared" si="13"/>
        <v>65.105168020410716</v>
      </c>
      <c r="V15" s="37">
        <f t="shared" si="13"/>
        <v>72</v>
      </c>
      <c r="W15" s="37">
        <f t="shared" si="13"/>
        <v>78.894831979589284</v>
      </c>
      <c r="X15" s="66" t="s">
        <v>65</v>
      </c>
      <c r="Y15" s="53"/>
      <c r="Z15" s="37">
        <f>Z28</f>
        <v>78.594614761157558</v>
      </c>
      <c r="AA15" s="37">
        <f t="shared" ref="AA15:AE15" si="14">AA28</f>
        <v>71.726018262605677</v>
      </c>
      <c r="AB15" s="37">
        <f t="shared" si="14"/>
        <v>64.857421764053797</v>
      </c>
      <c r="AC15" s="37">
        <f t="shared" si="14"/>
        <v>64.857421764053797</v>
      </c>
      <c r="AD15" s="37">
        <f t="shared" si="14"/>
        <v>71.726018262605677</v>
      </c>
      <c r="AE15" s="37">
        <f t="shared" si="14"/>
        <v>78.594614761157558</v>
      </c>
    </row>
    <row r="16" spans="1:31">
      <c r="E16" s="57" t="s">
        <v>3</v>
      </c>
      <c r="F16" s="13" t="s">
        <v>1</v>
      </c>
      <c r="G16" s="13" t="s">
        <v>2</v>
      </c>
      <c r="H16" s="14" t="s">
        <v>60</v>
      </c>
      <c r="P16" s="67" t="s">
        <v>66</v>
      </c>
      <c r="Q16" s="53"/>
      <c r="R16" s="37">
        <f>F17</f>
        <v>0</v>
      </c>
      <c r="S16" s="37">
        <f>F17</f>
        <v>0</v>
      </c>
      <c r="T16" s="37">
        <f>F17</f>
        <v>0</v>
      </c>
      <c r="U16" s="37">
        <f>F17</f>
        <v>0</v>
      </c>
      <c r="V16" s="37">
        <f>F17</f>
        <v>0</v>
      </c>
      <c r="W16" s="38">
        <f>F17</f>
        <v>0</v>
      </c>
      <c r="X16" s="67" t="s">
        <v>66</v>
      </c>
      <c r="Y16" s="53"/>
      <c r="Z16" s="37">
        <f>F17</f>
        <v>0</v>
      </c>
      <c r="AA16" s="37">
        <f>F17</f>
        <v>0</v>
      </c>
      <c r="AB16" s="37">
        <f>F17</f>
        <v>0</v>
      </c>
      <c r="AC16" s="37">
        <f>F17</f>
        <v>0</v>
      </c>
      <c r="AD16" s="37">
        <f>F17</f>
        <v>0</v>
      </c>
      <c r="AE16" s="38">
        <f>F17</f>
        <v>0</v>
      </c>
    </row>
    <row r="17" spans="5:31">
      <c r="E17" s="5" t="s">
        <v>63</v>
      </c>
      <c r="F17" s="55">
        <v>0</v>
      </c>
      <c r="G17" s="55">
        <v>0</v>
      </c>
      <c r="H17" s="56">
        <f>R28</f>
        <v>78.894831979589284</v>
      </c>
      <c r="P17" s="66" t="s">
        <v>67</v>
      </c>
      <c r="Q17" s="53"/>
      <c r="R17" s="37">
        <f>C4</f>
        <v>13</v>
      </c>
      <c r="S17" s="37">
        <f>C4</f>
        <v>13</v>
      </c>
      <c r="T17" s="37">
        <f>C4</f>
        <v>13</v>
      </c>
      <c r="U17" s="37">
        <f>-C4</f>
        <v>-13</v>
      </c>
      <c r="V17" s="37">
        <f>-C4</f>
        <v>-13</v>
      </c>
      <c r="W17" s="38">
        <f>-C4</f>
        <v>-13</v>
      </c>
      <c r="X17" s="66" t="s">
        <v>67</v>
      </c>
      <c r="Y17" s="53"/>
      <c r="Z17" s="37">
        <f>C4</f>
        <v>13</v>
      </c>
      <c r="AA17" s="37">
        <f>C4</f>
        <v>13</v>
      </c>
      <c r="AB17" s="37">
        <f>C4</f>
        <v>13</v>
      </c>
      <c r="AC17" s="37">
        <f>-C4</f>
        <v>-13</v>
      </c>
      <c r="AD17" s="37">
        <f>-C4</f>
        <v>-13</v>
      </c>
      <c r="AE17" s="38">
        <f>-C4</f>
        <v>-13</v>
      </c>
    </row>
    <row r="18" spans="5:31">
      <c r="P18" s="2" t="s">
        <v>68</v>
      </c>
      <c r="Q18" s="53"/>
      <c r="R18" s="37">
        <f t="shared" ref="R18:W18" si="15">R15</f>
        <v>78.894831979589284</v>
      </c>
      <c r="S18" s="37">
        <f t="shared" si="15"/>
        <v>72</v>
      </c>
      <c r="T18" s="37">
        <f t="shared" si="15"/>
        <v>65.105168020410716</v>
      </c>
      <c r="U18" s="37">
        <f t="shared" si="15"/>
        <v>65.105168020410716</v>
      </c>
      <c r="V18" s="37">
        <f t="shared" si="15"/>
        <v>72</v>
      </c>
      <c r="W18" s="38">
        <f t="shared" si="15"/>
        <v>78.894831979589284</v>
      </c>
      <c r="X18" s="2" t="s">
        <v>68</v>
      </c>
      <c r="Y18" s="53"/>
      <c r="Z18" s="37">
        <f t="shared" ref="Z18:AE18" si="16">Z15</f>
        <v>78.594614761157558</v>
      </c>
      <c r="AA18" s="37">
        <f t="shared" si="16"/>
        <v>71.726018262605677</v>
      </c>
      <c r="AB18" s="37">
        <f t="shared" si="16"/>
        <v>64.857421764053797</v>
      </c>
      <c r="AC18" s="37">
        <f t="shared" si="16"/>
        <v>64.857421764053797</v>
      </c>
      <c r="AD18" s="37">
        <f t="shared" si="16"/>
        <v>71.726018262605677</v>
      </c>
      <c r="AE18" s="38">
        <f t="shared" si="16"/>
        <v>78.594614761157558</v>
      </c>
    </row>
    <row r="19" spans="5:31">
      <c r="P19" s="66" t="s">
        <v>69</v>
      </c>
      <c r="Q19" s="53"/>
      <c r="R19" s="37">
        <f>R18+ C5*SIN(R4*PI()/180)</f>
        <v>71.996527200244486</v>
      </c>
      <c r="S19" s="37">
        <f>S18+C5*SIN(S4*PI()/180)</f>
        <v>72</v>
      </c>
      <c r="T19" s="37">
        <f>T18+C5*SIN(T4*PI()/180)</f>
        <v>71.996541285194283</v>
      </c>
      <c r="U19" s="37">
        <f>U18+C5*SIN(U4*PI()/180)</f>
        <v>71.996541285194283</v>
      </c>
      <c r="V19" s="37">
        <f>V18+C5*SIN(V4*PI()/180)</f>
        <v>72</v>
      </c>
      <c r="W19" s="38">
        <f>W18+C5*SIN(W4*PI()/180)</f>
        <v>71.996527200244486</v>
      </c>
      <c r="X19" s="66" t="s">
        <v>69</v>
      </c>
      <c r="Y19" s="53"/>
      <c r="Z19" s="37">
        <f>Z18 - C5*SIN(Z4*PI()/180)</f>
        <v>71.834113662058868</v>
      </c>
      <c r="AA19" s="37">
        <f>AA18-C5*SIN(AA4*PI()/180)</f>
        <v>71.99878568905757</v>
      </c>
      <c r="AB19" s="37">
        <f>AB18-C5*SIN(AB4*PI()/180)</f>
        <v>71.752340686309267</v>
      </c>
      <c r="AC19" s="37">
        <f>AC18-C5*SIN(AC4*PI()/180)</f>
        <v>71.752340686309267</v>
      </c>
      <c r="AD19" s="37">
        <f>AD18-C5*SIN(AD4*PI()/180)</f>
        <v>71.99878568905757</v>
      </c>
      <c r="AE19" s="38">
        <f>AE18-C5*SIN(AE4*PI()/180)</f>
        <v>71.834113662058868</v>
      </c>
    </row>
    <row r="20" spans="5:31">
      <c r="P20" s="2" t="s">
        <v>70</v>
      </c>
      <c r="Q20" s="53"/>
      <c r="R20" s="37">
        <f t="shared" ref="R20:W20" si="17">R17</f>
        <v>13</v>
      </c>
      <c r="S20" s="37">
        <f t="shared" si="17"/>
        <v>13</v>
      </c>
      <c r="T20" s="37">
        <f t="shared" si="17"/>
        <v>13</v>
      </c>
      <c r="U20" s="37">
        <f t="shared" si="17"/>
        <v>-13</v>
      </c>
      <c r="V20" s="37">
        <f t="shared" si="17"/>
        <v>-13</v>
      </c>
      <c r="W20" s="38">
        <f t="shared" si="17"/>
        <v>-13</v>
      </c>
      <c r="X20" s="2" t="s">
        <v>70</v>
      </c>
      <c r="Y20" s="53"/>
      <c r="Z20" s="37">
        <f t="shared" ref="Z20:AE20" si="18">Z17</f>
        <v>13</v>
      </c>
      <c r="AA20" s="37">
        <f t="shared" si="18"/>
        <v>13</v>
      </c>
      <c r="AB20" s="37">
        <f t="shared" si="18"/>
        <v>13</v>
      </c>
      <c r="AC20" s="37">
        <f t="shared" si="18"/>
        <v>-13</v>
      </c>
      <c r="AD20" s="37">
        <f t="shared" si="18"/>
        <v>-13</v>
      </c>
      <c r="AE20" s="38">
        <f t="shared" si="18"/>
        <v>-13</v>
      </c>
    </row>
    <row r="21" spans="5:31">
      <c r="P21" s="66" t="s">
        <v>71</v>
      </c>
      <c r="Q21" s="53"/>
      <c r="R21" s="37">
        <f>C5*COS(R4*PI()/180)+R20</f>
        <v>46.292842942159041</v>
      </c>
      <c r="S21" s="37">
        <f>C5*COS(-S4*PI()/180)+S20</f>
        <v>47</v>
      </c>
      <c r="T21" s="37">
        <f>C5*COS(-T4*PI()/180)+T20</f>
        <v>46.29427840523693</v>
      </c>
      <c r="U21" s="37">
        <f>-C5*COS(U4*PI()/180)+U20</f>
        <v>-46.29427840523693</v>
      </c>
      <c r="V21" s="37">
        <f>-C5*COS(V4*PI()/180)+V20</f>
        <v>-47</v>
      </c>
      <c r="W21" s="38">
        <f>-C5*COS(W4*PI()/180)+W20</f>
        <v>-46.292842942159041</v>
      </c>
      <c r="X21" s="66" t="s">
        <v>71</v>
      </c>
      <c r="Y21" s="53"/>
      <c r="Z21" s="37">
        <f>C5*COS(Z4*PI()/180)+Z20</f>
        <v>46.321098794743932</v>
      </c>
      <c r="AA21" s="37">
        <f>C5*COS(-AA4*PI()/180)+AA20</f>
        <v>46.99890583432159</v>
      </c>
      <c r="AB21" s="37">
        <f>C5*COS(-AB4*PI()/180)+AB20</f>
        <v>46.293544315009832</v>
      </c>
      <c r="AC21" s="37">
        <f>-C5*COS(AC4*PI()/180)+AC20</f>
        <v>-46.293544315009832</v>
      </c>
      <c r="AD21" s="37">
        <f>-C5*COS(AD4*PI()/180)+AD20</f>
        <v>-46.99890583432159</v>
      </c>
      <c r="AE21" s="38">
        <f>-C5*COS(AE4*PI()/180)+AE20</f>
        <v>-46.321098794743932</v>
      </c>
    </row>
    <row r="22" spans="5:31">
      <c r="P22" s="67" t="s">
        <v>72</v>
      </c>
      <c r="Q22" s="53"/>
      <c r="R22" s="37">
        <f t="shared" ref="R22:W22" si="19">R19</f>
        <v>71.996527200244486</v>
      </c>
      <c r="S22" s="37">
        <f t="shared" si="19"/>
        <v>72</v>
      </c>
      <c r="T22" s="37">
        <f t="shared" si="19"/>
        <v>71.996541285194283</v>
      </c>
      <c r="U22" s="37">
        <f t="shared" si="19"/>
        <v>71.996541285194283</v>
      </c>
      <c r="V22" s="37">
        <f t="shared" si="19"/>
        <v>72</v>
      </c>
      <c r="W22" s="38">
        <f t="shared" si="19"/>
        <v>71.996527200244486</v>
      </c>
      <c r="X22" s="67" t="s">
        <v>72</v>
      </c>
      <c r="Y22" s="53"/>
      <c r="Z22" s="37">
        <f t="shared" ref="Z22:AE22" si="20">Z19</f>
        <v>71.834113662058868</v>
      </c>
      <c r="AA22" s="37">
        <f t="shared" si="20"/>
        <v>71.99878568905757</v>
      </c>
      <c r="AB22" s="37">
        <f t="shared" si="20"/>
        <v>71.752340686309267</v>
      </c>
      <c r="AC22" s="37">
        <f t="shared" si="20"/>
        <v>71.752340686309267</v>
      </c>
      <c r="AD22" s="37">
        <f t="shared" si="20"/>
        <v>71.99878568905757</v>
      </c>
      <c r="AE22" s="38">
        <f t="shared" si="20"/>
        <v>71.834113662058868</v>
      </c>
    </row>
    <row r="23" spans="5:31">
      <c r="P23" s="66" t="s">
        <v>73</v>
      </c>
      <c r="Q23" s="53"/>
      <c r="R23" s="37">
        <f>R19-C6*COS(R5*PI()/180)</f>
        <v>1.6409128606336196</v>
      </c>
      <c r="S23" s="37">
        <f>S19-C6*COS(S5*PI()/180)</f>
        <v>0</v>
      </c>
      <c r="T23" s="37">
        <f>T19-C6*COS(T5*PI()/180)</f>
        <v>1.3513565589024097</v>
      </c>
      <c r="U23" s="37">
        <f>U19-C6*COS(U5*PI()/180)</f>
        <v>1.3513565589024097</v>
      </c>
      <c r="V23" s="37">
        <f>V19-C6*COS(V5*PI()/180)</f>
        <v>0</v>
      </c>
      <c r="W23" s="38">
        <f>W19-C6*COS(W5*PI()/180)</f>
        <v>1.6409128606336196</v>
      </c>
      <c r="X23" s="66" t="s">
        <v>73</v>
      </c>
      <c r="Y23" s="53"/>
      <c r="Z23" s="37">
        <f>Z19-C6*COS(Z5*PI()/180)</f>
        <v>0.46309914651264705</v>
      </c>
      <c r="AA23" s="37">
        <f>AA19-C6*COS(AA5*PI()/180)</f>
        <v>-1.0377153282092877E-3</v>
      </c>
      <c r="AB23" s="37">
        <f>AB19-C6*COS(AB5*PI()/180)</f>
        <v>0.28087882725255042</v>
      </c>
      <c r="AC23" s="37">
        <f>AC19-C6*COS(AC5*PI()/180)</f>
        <v>0.28087882725255042</v>
      </c>
      <c r="AD23" s="37">
        <f>AD19-C6*COS(AD5*PI()/180)</f>
        <v>-1.0377153282092877E-3</v>
      </c>
      <c r="AE23" s="38">
        <f>AE19-C6*COS(AE5*PI()/180)</f>
        <v>0.46309914651264705</v>
      </c>
    </row>
    <row r="24" spans="5:31">
      <c r="P24" s="67" t="s">
        <v>74</v>
      </c>
      <c r="Q24" s="53"/>
      <c r="R24" s="37">
        <f t="shared" ref="R24:W24" si="21">R21</f>
        <v>46.292842942159041</v>
      </c>
      <c r="S24" s="37">
        <f t="shared" si="21"/>
        <v>47</v>
      </c>
      <c r="T24" s="37">
        <f t="shared" si="21"/>
        <v>46.29427840523693</v>
      </c>
      <c r="U24" s="37">
        <f t="shared" si="21"/>
        <v>-46.29427840523693</v>
      </c>
      <c r="V24" s="37">
        <f t="shared" si="21"/>
        <v>-47</v>
      </c>
      <c r="W24" s="38">
        <f t="shared" si="21"/>
        <v>-46.292842942159041</v>
      </c>
      <c r="X24" s="67" t="s">
        <v>74</v>
      </c>
      <c r="Y24" s="53"/>
      <c r="Z24" s="37">
        <f t="shared" ref="Z24:AE24" si="22">Z21</f>
        <v>46.321098794743932</v>
      </c>
      <c r="AA24" s="37">
        <f t="shared" si="22"/>
        <v>46.99890583432159</v>
      </c>
      <c r="AB24" s="37">
        <f t="shared" si="22"/>
        <v>46.293544315009832</v>
      </c>
      <c r="AC24" s="37">
        <f t="shared" si="22"/>
        <v>-46.293544315009832</v>
      </c>
      <c r="AD24" s="37">
        <f t="shared" si="22"/>
        <v>-46.99890583432159</v>
      </c>
      <c r="AE24" s="38">
        <f t="shared" si="22"/>
        <v>-46.321098794743932</v>
      </c>
    </row>
    <row r="25" spans="5:31">
      <c r="P25" s="69" t="s">
        <v>75</v>
      </c>
      <c r="Q25" s="64"/>
      <c r="R25" s="40">
        <f>SQRT((R27-G2)*(R27-G2)+(R29-G3)*(R29-G3))</f>
        <v>47.000000000000007</v>
      </c>
      <c r="S25" s="40">
        <f>SQRT((S27-I3)*(S27-A2)+(S29-J3)*(S29-J3))</f>
        <v>47</v>
      </c>
      <c r="T25" s="40">
        <f>SQRT((T27-I4)*(T27-I4)+(T29-J4)*(T29-J4))</f>
        <v>47.000000000000007</v>
      </c>
      <c r="U25" s="40">
        <f>-SQRT((U27-I5)*(U27-I5)+(U29-J5)*(U29-J5))</f>
        <v>-47.000000000000007</v>
      </c>
      <c r="V25" s="40">
        <f>-SQRT((V27-I6)*(V27-I6)+(V29-J6)*(V29-J6))</f>
        <v>-47</v>
      </c>
      <c r="W25" s="40">
        <f>-SQRT((W27-I7)*(W27-I7)+(W29-J7)*(W29-J7))</f>
        <v>-47.000000000000007</v>
      </c>
      <c r="X25" s="69" t="s">
        <v>75</v>
      </c>
      <c r="Y25" s="64"/>
      <c r="Z25" s="40">
        <f>SQRT((Z27-I2)*(Z27-I2)+(Z29-J2)*(Z29-J2))</f>
        <v>41.436417189315925</v>
      </c>
      <c r="AA25" s="40">
        <f>SQRT((AA27-I3)*(AA27-I3)+(AA29-J3)*(AA29-J3))</f>
        <v>47.417067646495781</v>
      </c>
      <c r="AB25" s="40">
        <f>SQRT((AB27-I4)*(AB27-I4)+(AB29-J4)*(AB29-J4))</f>
        <v>52.260252455669253</v>
      </c>
      <c r="AC25" s="40">
        <f>-SQRT((AC27-I5)*(AC27-I5)+(AC29-J5)*(AC29-J5))</f>
        <v>-52.260252455669253</v>
      </c>
      <c r="AD25" s="40">
        <f>-SQRT((AD27-I6)*(AD27-I6)+(AD29-J6)*(AD29-J6))</f>
        <v>-47.417067646495781</v>
      </c>
      <c r="AE25" s="40">
        <f>-SQRT((AE27-I7)*(AE27-I7)+(AE29-J7)*(AE29-J7))</f>
        <v>-41.436417189315925</v>
      </c>
    </row>
    <row r="26" spans="5:31">
      <c r="P26" s="2"/>
      <c r="Q26" s="53"/>
      <c r="R26" s="52"/>
      <c r="S26" s="52"/>
      <c r="T26" s="52"/>
      <c r="U26" s="52"/>
      <c r="V26" s="52"/>
      <c r="W26" s="53"/>
      <c r="X26" s="2"/>
      <c r="Y26" s="53"/>
      <c r="Z26" s="52"/>
      <c r="AA26" s="52"/>
      <c r="AB26" s="52"/>
      <c r="AC26" s="52"/>
      <c r="AD26" s="52"/>
      <c r="AE26" s="53"/>
    </row>
    <row r="27" spans="5:31">
      <c r="P27" s="1" t="s">
        <v>26</v>
      </c>
      <c r="Q27" s="63"/>
      <c r="R27" s="34">
        <f>Q61+I2</f>
        <v>45.500008867730152</v>
      </c>
      <c r="S27" s="34">
        <f>R61+I3</f>
        <v>91</v>
      </c>
      <c r="T27" s="34">
        <f>S61+I4</f>
        <v>45.500008867730152</v>
      </c>
      <c r="U27" s="34">
        <f>T61+I5</f>
        <v>-45.500008867730152</v>
      </c>
      <c r="V27" s="34">
        <f>U61+I6</f>
        <v>-91</v>
      </c>
      <c r="W27" s="35">
        <f>V61+I7</f>
        <v>-45.500008867730152</v>
      </c>
      <c r="X27" s="1" t="s">
        <v>26</v>
      </c>
      <c r="Y27" s="63"/>
      <c r="Z27" s="34">
        <f>Y61+I2</f>
        <v>45.500008867730152</v>
      </c>
      <c r="AA27" s="34">
        <f>Z61+I3</f>
        <v>91</v>
      </c>
      <c r="AB27" s="34">
        <f>AA61+I4</f>
        <v>45.500008867730152</v>
      </c>
      <c r="AC27" s="34">
        <f>AB61+I5</f>
        <v>-45.500008867730152</v>
      </c>
      <c r="AD27" s="34">
        <f>AC61+I6</f>
        <v>-91</v>
      </c>
      <c r="AE27" s="35">
        <f>AD61+I7</f>
        <v>-45.500008867730152</v>
      </c>
    </row>
    <row r="28" spans="5:31">
      <c r="P28" s="2" t="s">
        <v>27</v>
      </c>
      <c r="Q28" s="53"/>
      <c r="R28" s="37">
        <f t="shared" ref="R28:W28" si="23">Q62</f>
        <v>78.894831979589284</v>
      </c>
      <c r="S28" s="37">
        <f t="shared" si="23"/>
        <v>72</v>
      </c>
      <c r="T28" s="37">
        <f t="shared" si="23"/>
        <v>65.105168020410716</v>
      </c>
      <c r="U28" s="37">
        <f t="shared" si="23"/>
        <v>65.105168020410716</v>
      </c>
      <c r="V28" s="37">
        <f t="shared" si="23"/>
        <v>72</v>
      </c>
      <c r="W28" s="38">
        <f t="shared" si="23"/>
        <v>78.894831979589284</v>
      </c>
      <c r="X28" s="2" t="s">
        <v>27</v>
      </c>
      <c r="Y28" s="53"/>
      <c r="Z28" s="37">
        <f t="shared" ref="Z28:AE28" si="24">Y62</f>
        <v>78.594614761157558</v>
      </c>
      <c r="AA28" s="37">
        <f t="shared" si="24"/>
        <v>71.726018262605677</v>
      </c>
      <c r="AB28" s="37">
        <f t="shared" si="24"/>
        <v>64.857421764053797</v>
      </c>
      <c r="AC28" s="37">
        <f t="shared" si="24"/>
        <v>64.857421764053797</v>
      </c>
      <c r="AD28" s="37">
        <f t="shared" si="24"/>
        <v>71.726018262605677</v>
      </c>
      <c r="AE28" s="38">
        <f t="shared" si="24"/>
        <v>78.594614761157558</v>
      </c>
    </row>
    <row r="29" spans="5:31">
      <c r="P29" s="5" t="s">
        <v>28</v>
      </c>
      <c r="Q29" s="64"/>
      <c r="R29" s="40">
        <f>Q63+J2</f>
        <v>78.808306624596241</v>
      </c>
      <c r="S29" s="40">
        <f>R63+J3</f>
        <v>0</v>
      </c>
      <c r="T29" s="40">
        <f>S63+J4</f>
        <v>-78.808306624596241</v>
      </c>
      <c r="U29" s="40">
        <f>T63+J5</f>
        <v>-78.808306624596241</v>
      </c>
      <c r="V29" s="40">
        <f>U63+J6</f>
        <v>1.1148850939668442E-14</v>
      </c>
      <c r="W29" s="42">
        <f>V63+J7</f>
        <v>78.808306624596241</v>
      </c>
      <c r="X29" s="5" t="s">
        <v>28</v>
      </c>
      <c r="Y29" s="64"/>
      <c r="Z29" s="40">
        <f>Y63+J2</f>
        <v>72.233203747179971</v>
      </c>
      <c r="AA29" s="40">
        <f>Z63+J3</f>
        <v>-6.2752134778313877</v>
      </c>
      <c r="AB29" s="40">
        <f>AA63+J4</f>
        <v>-84.783630702842743</v>
      </c>
      <c r="AC29" s="40">
        <f>AB63+J5</f>
        <v>-84.783630702842743</v>
      </c>
      <c r="AD29" s="40">
        <f>AC63+J6</f>
        <v>-6.2752134778313877</v>
      </c>
      <c r="AE29" s="42">
        <f>AD63+J7</f>
        <v>72.233203747179971</v>
      </c>
    </row>
    <row r="30" spans="5:31">
      <c r="R30" s="70">
        <v>10</v>
      </c>
    </row>
    <row r="31" spans="5:31">
      <c r="P31" s="8" t="s">
        <v>18</v>
      </c>
      <c r="Q31" s="14"/>
      <c r="R31" s="70">
        <v>10</v>
      </c>
    </row>
    <row r="32" spans="5:31">
      <c r="P32" s="20" t="s">
        <v>19</v>
      </c>
      <c r="Q32" s="71">
        <f>R32-10</f>
        <v>0</v>
      </c>
      <c r="R32" s="70">
        <v>10</v>
      </c>
    </row>
    <row r="33" spans="15:31">
      <c r="P33" s="29" t="s">
        <v>20</v>
      </c>
      <c r="Q33" s="71">
        <f>R33-30</f>
        <v>0</v>
      </c>
      <c r="R33" s="70">
        <v>30</v>
      </c>
    </row>
    <row r="34" spans="15:31">
      <c r="P34" s="30" t="s">
        <v>21</v>
      </c>
      <c r="Q34" s="71">
        <f t="shared" ref="Q34:Q38" si="25">R34-10</f>
        <v>0</v>
      </c>
      <c r="R34" s="70">
        <v>10</v>
      </c>
    </row>
    <row r="35" spans="15:31">
      <c r="P35" s="21"/>
      <c r="Q35" s="71"/>
      <c r="R35" s="70">
        <v>10</v>
      </c>
    </row>
    <row r="36" spans="15:31">
      <c r="P36" s="30" t="s">
        <v>22</v>
      </c>
      <c r="Q36" s="71">
        <f t="shared" si="25"/>
        <v>5</v>
      </c>
      <c r="R36" s="70">
        <v>15</v>
      </c>
    </row>
    <row r="37" spans="15:31">
      <c r="P37" s="30" t="s">
        <v>23</v>
      </c>
      <c r="Q37" s="71">
        <f>R37-15</f>
        <v>0</v>
      </c>
      <c r="R37" s="70">
        <v>15</v>
      </c>
    </row>
    <row r="38" spans="15:31">
      <c r="P38" s="31" t="s">
        <v>24</v>
      </c>
      <c r="Q38" s="71">
        <f t="shared" si="25"/>
        <v>0</v>
      </c>
      <c r="R38" s="70">
        <v>10</v>
      </c>
    </row>
    <row r="40" spans="15:31">
      <c r="P40" s="24"/>
      <c r="Q40" s="75"/>
    </row>
    <row r="43" spans="15:31">
      <c r="O43" s="81"/>
      <c r="P43" s="85" t="s">
        <v>84</v>
      </c>
      <c r="Q43" s="81"/>
      <c r="R43" s="81"/>
      <c r="S43" s="81"/>
      <c r="T43" s="81"/>
      <c r="U43" s="81"/>
      <c r="V43" s="81"/>
      <c r="W43" s="83"/>
      <c r="X43" s="84" t="s">
        <v>83</v>
      </c>
      <c r="Y43" s="82"/>
      <c r="Z43" s="82"/>
      <c r="AA43" s="82"/>
      <c r="AB43" s="82"/>
      <c r="AC43" s="82"/>
      <c r="AD43" s="82"/>
      <c r="AE43" s="82"/>
    </row>
    <row r="44" spans="15:31">
      <c r="O44" s="81"/>
      <c r="P44" s="8" t="s">
        <v>30</v>
      </c>
      <c r="Q44" s="10"/>
      <c r="R44" s="11"/>
      <c r="S44" s="11"/>
      <c r="T44" s="11"/>
      <c r="U44" s="11"/>
      <c r="V44" s="12"/>
      <c r="W44" s="83"/>
      <c r="X44" s="8" t="s">
        <v>30</v>
      </c>
      <c r="Y44" s="10"/>
      <c r="Z44" s="11"/>
      <c r="AA44" s="11"/>
      <c r="AB44" s="11"/>
      <c r="AC44" s="11"/>
      <c r="AD44" s="12"/>
      <c r="AE44" s="82"/>
    </row>
    <row r="45" spans="15:31">
      <c r="O45" s="81"/>
      <c r="P45" s="65" t="s">
        <v>37</v>
      </c>
      <c r="Q45" s="26">
        <v>1</v>
      </c>
      <c r="R45" s="18">
        <v>2</v>
      </c>
      <c r="S45" s="18">
        <v>3</v>
      </c>
      <c r="T45" s="18">
        <v>4</v>
      </c>
      <c r="U45" s="18">
        <v>5</v>
      </c>
      <c r="V45" s="19">
        <v>6</v>
      </c>
      <c r="W45" s="83"/>
      <c r="X45" s="76" t="s">
        <v>37</v>
      </c>
      <c r="Y45" s="77">
        <v>1</v>
      </c>
      <c r="Z45" s="27">
        <v>2</v>
      </c>
      <c r="AA45" s="27">
        <v>3</v>
      </c>
      <c r="AB45" s="27">
        <v>4</v>
      </c>
      <c r="AC45" s="27">
        <v>5</v>
      </c>
      <c r="AD45" s="74">
        <v>6</v>
      </c>
      <c r="AE45" s="82"/>
    </row>
    <row r="46" spans="15:31">
      <c r="O46" s="81"/>
      <c r="P46" s="21" t="s">
        <v>32</v>
      </c>
      <c r="Q46" s="72">
        <f>C12+I2+Q32</f>
        <v>45.500008867730152</v>
      </c>
      <c r="R46" s="72">
        <f>D12+Q32+I3</f>
        <v>91</v>
      </c>
      <c r="S46" s="72">
        <f>E12+Q32+I4</f>
        <v>45.500008867730152</v>
      </c>
      <c r="T46" s="72">
        <f>F12+I5+Q32</f>
        <v>-45.500008867730152</v>
      </c>
      <c r="U46" s="72">
        <f>G12+I6+Q32</f>
        <v>-91</v>
      </c>
      <c r="V46" s="73">
        <f>H12+I7+Q32</f>
        <v>-45.500008867730152</v>
      </c>
      <c r="W46" s="83"/>
      <c r="X46" s="21" t="s">
        <v>32</v>
      </c>
      <c r="Y46" s="72">
        <f>C12+I2+Q32</f>
        <v>45.500008867730152</v>
      </c>
      <c r="Z46" s="72">
        <f>D12+Q32+I3</f>
        <v>91</v>
      </c>
      <c r="AA46" s="72">
        <f>E12+Q32+I4</f>
        <v>45.500008867730152</v>
      </c>
      <c r="AB46" s="72">
        <f>F12+I5+Q32</f>
        <v>-45.500008867730152</v>
      </c>
      <c r="AC46" s="72">
        <f>G12+I6+Q32</f>
        <v>-91</v>
      </c>
      <c r="AD46" s="73">
        <f>H12+I7+Q32</f>
        <v>-45.500008867730152</v>
      </c>
      <c r="AE46" s="82"/>
    </row>
    <row r="47" spans="15:31">
      <c r="O47" s="81"/>
      <c r="P47" s="20" t="s">
        <v>31</v>
      </c>
      <c r="Q47" s="72">
        <f>C14+J2+Q34</f>
        <v>78.808306624596241</v>
      </c>
      <c r="R47" s="72">
        <f>D14+Q34+J3</f>
        <v>0</v>
      </c>
      <c r="S47" s="72">
        <f>E14+J4+Q34</f>
        <v>-78.808306624596241</v>
      </c>
      <c r="T47" s="72">
        <f>F14+J5+Q34</f>
        <v>-78.808306624596241</v>
      </c>
      <c r="U47" s="72">
        <f>G14+J6+Q34</f>
        <v>0</v>
      </c>
      <c r="V47" s="73">
        <f>H14+J7+Q34</f>
        <v>78.808306624596241</v>
      </c>
      <c r="W47" s="83"/>
      <c r="X47" s="21" t="s">
        <v>31</v>
      </c>
      <c r="Y47" s="72">
        <f>C14+J2+Q34</f>
        <v>78.808306624596241</v>
      </c>
      <c r="Z47" s="72">
        <f>D14+Q34+J3</f>
        <v>0</v>
      </c>
      <c r="AA47" s="72">
        <f>E14+J4+Q34</f>
        <v>-78.808306624596241</v>
      </c>
      <c r="AB47" s="72">
        <f>F14+J5+Q34</f>
        <v>-78.808306624596241</v>
      </c>
      <c r="AC47" s="72">
        <f>G14+J6+Q34</f>
        <v>0</v>
      </c>
      <c r="AD47" s="73">
        <f>H14+J7+Q34</f>
        <v>78.808306624596241</v>
      </c>
      <c r="AE47" s="82"/>
    </row>
    <row r="48" spans="15:31">
      <c r="O48" s="81"/>
      <c r="P48" s="21" t="s">
        <v>33</v>
      </c>
      <c r="Q48" s="72">
        <f t="shared" ref="Q48:V48" si="26">SQRT(Q47*Q47+Q46*Q46)</f>
        <v>90.99999999999946</v>
      </c>
      <c r="R48" s="72">
        <f t="shared" si="26"/>
        <v>91</v>
      </c>
      <c r="S48" s="72">
        <f t="shared" si="26"/>
        <v>90.99999999999946</v>
      </c>
      <c r="T48" s="72">
        <f t="shared" si="26"/>
        <v>90.99999999999946</v>
      </c>
      <c r="U48" s="72">
        <f t="shared" si="26"/>
        <v>91</v>
      </c>
      <c r="V48" s="73">
        <f t="shared" si="26"/>
        <v>90.99999999999946</v>
      </c>
      <c r="W48" s="83"/>
      <c r="X48" s="21" t="s">
        <v>82</v>
      </c>
      <c r="Y48" s="72">
        <f>C13</f>
        <v>72</v>
      </c>
      <c r="Z48" s="72">
        <f t="shared" ref="Z48:AD48" si="27">D13</f>
        <v>72</v>
      </c>
      <c r="AA48" s="72">
        <f t="shared" si="27"/>
        <v>72</v>
      </c>
      <c r="AB48" s="72">
        <f t="shared" si="27"/>
        <v>72</v>
      </c>
      <c r="AC48" s="72">
        <f t="shared" si="27"/>
        <v>72</v>
      </c>
      <c r="AD48" s="73">
        <f t="shared" si="27"/>
        <v>72</v>
      </c>
      <c r="AE48" s="82"/>
    </row>
    <row r="49" spans="1:31">
      <c r="O49" s="81"/>
      <c r="P49" s="21" t="s">
        <v>34</v>
      </c>
      <c r="Q49" s="72">
        <f t="shared" ref="Q49:V49" si="28">PI()/2-ATAN2(Q47,Q46)</f>
        <v>1.047197438673813</v>
      </c>
      <c r="R49" s="72">
        <f t="shared" si="28"/>
        <v>0</v>
      </c>
      <c r="S49" s="72">
        <f t="shared" si="28"/>
        <v>-1.047197438673813</v>
      </c>
      <c r="T49" s="72">
        <f t="shared" si="28"/>
        <v>4.1887900922636057</v>
      </c>
      <c r="U49" s="72">
        <f t="shared" si="28"/>
        <v>3.1415926535897931</v>
      </c>
      <c r="V49" s="73">
        <f t="shared" si="28"/>
        <v>2.0943952149159801</v>
      </c>
      <c r="W49" s="83"/>
      <c r="X49" s="21" t="s">
        <v>77</v>
      </c>
      <c r="Y49" s="92">
        <f>SIN(Q36*PI()/180)</f>
        <v>8.7155742747658166E-2</v>
      </c>
      <c r="Z49" s="92">
        <f>SIN(Q36*PI()/180)</f>
        <v>8.7155742747658166E-2</v>
      </c>
      <c r="AA49" s="92">
        <f>SIN(Q36*PI()/180)</f>
        <v>8.7155742747658166E-2</v>
      </c>
      <c r="AB49" s="92">
        <f>SIN(Q36*PI()/180)</f>
        <v>8.7155742747658166E-2</v>
      </c>
      <c r="AC49" s="92">
        <f>SIN(Q36*PI()/180)</f>
        <v>8.7155742747658166E-2</v>
      </c>
      <c r="AD49" s="93">
        <f>SIN(Q36*PI()/180)</f>
        <v>8.7155742747658166E-2</v>
      </c>
      <c r="AE49" s="82"/>
    </row>
    <row r="50" spans="1:31">
      <c r="O50" s="81"/>
      <c r="P50" s="21" t="s">
        <v>35</v>
      </c>
      <c r="Q50" s="72">
        <f>TAN(Q38*3.141592/180)*Q46</f>
        <v>0</v>
      </c>
      <c r="R50" s="72">
        <f>TAN(Q38*3.141592/180)*R46</f>
        <v>0</v>
      </c>
      <c r="S50" s="72">
        <f>TAN(Q38*3.141592/180)*S46</f>
        <v>0</v>
      </c>
      <c r="T50" s="72">
        <f>TAN(Q38*3.141592/180)*T46</f>
        <v>0</v>
      </c>
      <c r="U50" s="72">
        <f>TAN(Q38*3.141592/180)*U46</f>
        <v>0</v>
      </c>
      <c r="V50" s="73">
        <f>TAN(Q38*3.141592/180)*V46</f>
        <v>0</v>
      </c>
      <c r="W50" s="83"/>
      <c r="X50" s="21" t="s">
        <v>76</v>
      </c>
      <c r="Y50" s="92">
        <f>COS(Q36*PI()/180)</f>
        <v>0.99619469809174555</v>
      </c>
      <c r="Z50" s="92">
        <f>COS(Q36*PI()/180)</f>
        <v>0.99619469809174555</v>
      </c>
      <c r="AA50" s="92">
        <f>COS(Q36*PI()/180)</f>
        <v>0.99619469809174555</v>
      </c>
      <c r="AB50" s="92">
        <f>COS(Q36*PI()/180)</f>
        <v>0.99619469809174555</v>
      </c>
      <c r="AC50" s="92">
        <f>COS(Q36*PI()/180)</f>
        <v>0.99619469809174555</v>
      </c>
      <c r="AD50" s="93">
        <f>COS(Q36*PI()/180)</f>
        <v>0.99619469809174555</v>
      </c>
      <c r="AE50" s="82"/>
    </row>
    <row r="51" spans="1:31">
      <c r="O51" s="81"/>
      <c r="P51" s="21" t="s">
        <v>36</v>
      </c>
      <c r="Q51" s="72">
        <f>TAN(Q36*3.141592/180)*Q47</f>
        <v>6.8948319795892852</v>
      </c>
      <c r="R51" s="72">
        <f>TAN(Q36*3.141592/180)*R47</f>
        <v>0</v>
      </c>
      <c r="S51" s="72">
        <f>TAN(Q36*3.141592/180)*S47</f>
        <v>-6.8948319795892852</v>
      </c>
      <c r="T51" s="72">
        <f>TAN(Q36*3.141592/180)*T47</f>
        <v>-6.8948319795892852</v>
      </c>
      <c r="U51" s="72">
        <f>TAN(Q36*3.141592/180)*U47</f>
        <v>0</v>
      </c>
      <c r="V51" s="73">
        <f>TAN(Q36*3.141592/180)*V47</f>
        <v>6.8948319795892852</v>
      </c>
      <c r="W51" s="83"/>
      <c r="X51" s="21" t="s">
        <v>78</v>
      </c>
      <c r="Y51" s="92">
        <f>SIN(Q38*PI()/180)</f>
        <v>0</v>
      </c>
      <c r="Z51" s="92">
        <f>SIN(Q38*PI()/180)</f>
        <v>0</v>
      </c>
      <c r="AA51" s="92">
        <f>SIN(Q38*PI()/180)</f>
        <v>0</v>
      </c>
      <c r="AB51" s="92">
        <f>SIN(Q38*PI()/180)</f>
        <v>0</v>
      </c>
      <c r="AC51" s="92">
        <f>SIN(Q38*PI()/180)</f>
        <v>0</v>
      </c>
      <c r="AD51" s="93">
        <f>SIN(Q38*PI()/180)</f>
        <v>0</v>
      </c>
      <c r="AE51" s="82"/>
    </row>
    <row r="52" spans="1:31">
      <c r="O52" s="81"/>
      <c r="P52" s="21" t="s">
        <v>45</v>
      </c>
      <c r="Q52" s="78">
        <f>COS(Q49+(Q37*3.141592/180))*Q48-Q46</f>
        <v>0</v>
      </c>
      <c r="R52" s="78">
        <f>COS(R49+(Q37*3.141592/180))*R48-R46</f>
        <v>0</v>
      </c>
      <c r="S52" s="78">
        <f>COS(S49+(Q37*3.141592/180))*S48-S46</f>
        <v>0</v>
      </c>
      <c r="T52" s="78">
        <f>COS(T49+(Q37*3.141592/180))*T48-T46</f>
        <v>0</v>
      </c>
      <c r="U52" s="78">
        <f>COS(U49+(Q37*3.141592/180))*U48-U46</f>
        <v>0</v>
      </c>
      <c r="V52" s="87">
        <f>COS(V49+(Q37*3.141592/180))*V48-V46</f>
        <v>0</v>
      </c>
      <c r="W52" s="83"/>
      <c r="X52" s="21" t="s">
        <v>79</v>
      </c>
      <c r="Y52" s="92">
        <f>COS(Q38*PI()/180)</f>
        <v>1</v>
      </c>
      <c r="Z52" s="92">
        <f>COS(Q38*PI()/180)</f>
        <v>1</v>
      </c>
      <c r="AA52" s="92">
        <f>COS(Q38*PI()/180)</f>
        <v>1</v>
      </c>
      <c r="AB52" s="92">
        <f>COS(Q38*PI()/180)</f>
        <v>1</v>
      </c>
      <c r="AC52" s="92">
        <f>COS(Q38*PI()/180)</f>
        <v>1</v>
      </c>
      <c r="AD52" s="93">
        <f>COS(Q38*PI()/180)</f>
        <v>1</v>
      </c>
      <c r="AE52" s="82"/>
    </row>
    <row r="53" spans="1:31">
      <c r="O53" s="81"/>
      <c r="P53" s="21" t="s">
        <v>46</v>
      </c>
      <c r="Q53" s="78">
        <f>(SIN(Q49+(Q37*3.141592/180))*Q48)-Q47</f>
        <v>0</v>
      </c>
      <c r="R53" s="78">
        <f>(SIN(R49+(Q37*3.141592/180))*R48)-R47</f>
        <v>0</v>
      </c>
      <c r="S53" s="78">
        <f>(SIN(S49+(Q37*3.141592/180))*S48)-S47</f>
        <v>0</v>
      </c>
      <c r="T53" s="78">
        <f>(SIN(T49+(Q37*3.141592/180))*T48)-T47</f>
        <v>0</v>
      </c>
      <c r="U53" s="78">
        <f>(SIN(U49+(Q37*3.141592/180))*U48)-U47</f>
        <v>1.1148850939668442E-14</v>
      </c>
      <c r="V53" s="87">
        <f>(SIN(V49+(Q37*3.141592/180))*V48)-V47</f>
        <v>0</v>
      </c>
      <c r="W53" s="83"/>
      <c r="X53" s="21" t="s">
        <v>80</v>
      </c>
      <c r="Y53" s="92">
        <f>SIN(Q37*PI()/180)</f>
        <v>0</v>
      </c>
      <c r="Z53" s="92">
        <f>SIN(Q37*PI()/180)</f>
        <v>0</v>
      </c>
      <c r="AA53" s="92">
        <f>SIN(Q37*PI()/180)</f>
        <v>0</v>
      </c>
      <c r="AB53" s="92">
        <f>SIN(Q37*PI()/180)</f>
        <v>0</v>
      </c>
      <c r="AC53" s="92">
        <f>SIN(Q37*PI()/180)</f>
        <v>0</v>
      </c>
      <c r="AD53" s="93">
        <f>SIN(Q37*PI()/180)</f>
        <v>0</v>
      </c>
      <c r="AE53" s="82"/>
    </row>
    <row r="54" spans="1:31">
      <c r="O54" s="81"/>
      <c r="P54" s="22" t="s">
        <v>47</v>
      </c>
      <c r="Q54" s="79">
        <f t="shared" ref="Q54:V54" si="29">Q50+Q51</f>
        <v>6.8948319795892852</v>
      </c>
      <c r="R54" s="79">
        <f t="shared" si="29"/>
        <v>0</v>
      </c>
      <c r="S54" s="79">
        <f t="shared" si="29"/>
        <v>-6.8948319795892852</v>
      </c>
      <c r="T54" s="79">
        <f t="shared" si="29"/>
        <v>-6.8948319795892852</v>
      </c>
      <c r="U54" s="79">
        <f t="shared" si="29"/>
        <v>0</v>
      </c>
      <c r="V54" s="88">
        <f t="shared" si="29"/>
        <v>6.8948319795892852</v>
      </c>
      <c r="W54" s="83"/>
      <c r="X54" s="21" t="s">
        <v>81</v>
      </c>
      <c r="Y54" s="92">
        <f>COS(Q37*PI()/180)</f>
        <v>1</v>
      </c>
      <c r="Z54" s="92">
        <f>COS(Q37*PI()/180)</f>
        <v>1</v>
      </c>
      <c r="AA54" s="92">
        <f>COS(Q37*PI()/180)</f>
        <v>1</v>
      </c>
      <c r="AB54" s="92">
        <f>COS(Q37*PI()/180)</f>
        <v>1</v>
      </c>
      <c r="AC54" s="92">
        <f>COS(Q37*PI()/180)</f>
        <v>1</v>
      </c>
      <c r="AD54" s="93">
        <f>COS(Q37*PI()/180)</f>
        <v>1</v>
      </c>
      <c r="AE54" s="82"/>
    </row>
    <row r="55" spans="1:31">
      <c r="O55" s="81"/>
      <c r="W55" s="83"/>
      <c r="X55" s="21" t="s">
        <v>45</v>
      </c>
      <c r="Y55" s="78">
        <f>Y46*Y52*Y54-Y47*Y52*Y53+Y48*Y51 - Y46</f>
        <v>0</v>
      </c>
      <c r="Z55" s="78">
        <f>Z46*Z54*Z52 - Z47*Z52*Z53 + Z48*Z51 -Z46</f>
        <v>0</v>
      </c>
      <c r="AA55" s="78">
        <f>AA46*AA54*AA52 - AA47*AA52*AA53 + AA48*AA51 - AA46</f>
        <v>0</v>
      </c>
      <c r="AB55" s="78">
        <f>AB46*AB54*AB52 - AB47*AB52*AB53 + AB48*AB51 -AB46</f>
        <v>0</v>
      </c>
      <c r="AC55" s="78">
        <f>AC46*AC54*AC52 - AC47*AC52*AC53 + AC48*AC51 - AC46</f>
        <v>0</v>
      </c>
      <c r="AD55" s="87">
        <f>AD46*AD54*AD52 - AD47*AD52*AD53 + AD48*AD51 - AD46</f>
        <v>0</v>
      </c>
      <c r="AE55" s="82"/>
    </row>
    <row r="56" spans="1:31">
      <c r="O56" s="81"/>
      <c r="W56" s="83"/>
      <c r="X56" s="21" t="s">
        <v>46</v>
      </c>
      <c r="Y56" s="78">
        <f t="shared" ref="Y56:AD56" si="30">(Y46*Y50*Y53+Y46*Y54*Y51*Y49+Y47*Y54*Y50-Y47*Y53*Y51*Y49-Y48*Y52*Y49)-Y47</f>
        <v>-6.5751028774162705</v>
      </c>
      <c r="Z56" s="78">
        <f t="shared" si="30"/>
        <v>-6.2752134778313877</v>
      </c>
      <c r="AA56" s="78">
        <f t="shared" si="30"/>
        <v>-5.9753240782465014</v>
      </c>
      <c r="AB56" s="78">
        <f t="shared" si="30"/>
        <v>-5.9753240782465014</v>
      </c>
      <c r="AC56" s="78">
        <f t="shared" si="30"/>
        <v>-6.2752134778313877</v>
      </c>
      <c r="AD56" s="87">
        <f t="shared" si="30"/>
        <v>-6.5751028774162705</v>
      </c>
      <c r="AE56" s="82"/>
    </row>
    <row r="57" spans="1:31">
      <c r="O57" s="81"/>
      <c r="W57" s="83"/>
      <c r="X57" s="22" t="s">
        <v>47</v>
      </c>
      <c r="Y57" s="79">
        <f xml:space="preserve"> (Y46*Y53*Y49 - Y46*Y54*Y50*Y51 + Y47*Y54*Y49 + Y47*Y50*Y53*Y51 + Y48*Y52*Y50) - Y48</f>
        <v>6.5946147611575583</v>
      </c>
      <c r="Z57" s="79">
        <f xml:space="preserve"> (Z46*Z53*Z49 - Z46*Z54*Z50*Z51 + Z47*Z54*Z49 + Z47*Z50*Z53*Z51 + Z48*Z52*Z50)-Z48</f>
        <v>-0.27398173739432252</v>
      </c>
      <c r="AA57" s="79">
        <f xml:space="preserve"> (AA46*AA53*AA49 - AA46*AA54*AA50*AA51 + AA47*AA54*AA49 + AA47*AA50*AA53*AA51 + AA48*AA52*AA50)-AA48</f>
        <v>-7.1425782359462033</v>
      </c>
      <c r="AB57" s="79">
        <f>(AB46*AB53*AB49 - AB46*AB54*AB50*AB51 + AB47*AB54*AB49 + AB47*AB50*AB53*AB51 + AB48*AB52*AB50)-AB48</f>
        <v>-7.1425782359462033</v>
      </c>
      <c r="AC57" s="79">
        <f xml:space="preserve"> (AC46*AC53*AC49 - AC46*AC54*AC50*AC51 + AC47*AC54*AC49 + AC47*AC50*AC53*AC51 + AC48*AC52*AC50)-AC48</f>
        <v>-0.27398173739432252</v>
      </c>
      <c r="AD57" s="88">
        <f xml:space="preserve"> (AD46*AD53*AD49 - AD46*AD54*AD50*AD51 + AD47*AD54*AD49 + AD47*AD50*AD53*AD51 + AD48*AD52*AD50)-AD48</f>
        <v>6.5946147611575583</v>
      </c>
      <c r="AE57" s="82"/>
    </row>
    <row r="58" spans="1:31">
      <c r="O58" s="81"/>
      <c r="W58" s="83"/>
      <c r="AE58" s="82"/>
    </row>
    <row r="59" spans="1:31">
      <c r="A59" s="23" t="s">
        <v>62</v>
      </c>
      <c r="B59" s="11"/>
      <c r="C59" s="11"/>
      <c r="D59" s="11"/>
      <c r="E59" s="12"/>
      <c r="O59" s="81"/>
      <c r="P59" s="8" t="s">
        <v>48</v>
      </c>
      <c r="Q59" s="10"/>
      <c r="R59" s="11"/>
      <c r="S59" s="11"/>
      <c r="T59" s="11"/>
      <c r="U59" s="11"/>
      <c r="V59" s="12"/>
      <c r="W59" s="83"/>
      <c r="X59" s="8" t="s">
        <v>48</v>
      </c>
      <c r="Y59" s="10"/>
      <c r="Z59" s="11"/>
      <c r="AA59" s="11"/>
      <c r="AB59" s="11"/>
      <c r="AC59" s="11"/>
      <c r="AD59" s="12"/>
      <c r="AE59" s="82"/>
    </row>
    <row r="60" spans="1:31">
      <c r="A60" s="24" t="s">
        <v>0</v>
      </c>
      <c r="B60" s="18" t="s">
        <v>4</v>
      </c>
      <c r="C60" s="18" t="s">
        <v>5</v>
      </c>
      <c r="D60" s="18" t="s">
        <v>6</v>
      </c>
      <c r="E60" s="19" t="s">
        <v>7</v>
      </c>
      <c r="O60" s="81"/>
      <c r="P60" s="65" t="s">
        <v>37</v>
      </c>
      <c r="Q60" s="26">
        <v>1</v>
      </c>
      <c r="R60" s="18">
        <v>2</v>
      </c>
      <c r="S60" s="18">
        <v>3</v>
      </c>
      <c r="T60" s="18">
        <v>4</v>
      </c>
      <c r="U60" s="18">
        <v>5</v>
      </c>
      <c r="V60" s="19">
        <v>6</v>
      </c>
      <c r="W60" s="83"/>
      <c r="X60" s="65" t="s">
        <v>37</v>
      </c>
      <c r="Y60" s="26">
        <v>1</v>
      </c>
      <c r="Z60" s="18">
        <v>2</v>
      </c>
      <c r="AA60" s="18">
        <v>3</v>
      </c>
      <c r="AB60" s="18">
        <v>4</v>
      </c>
      <c r="AC60" s="18">
        <v>5</v>
      </c>
      <c r="AD60" s="19">
        <v>6</v>
      </c>
      <c r="AE60" s="82"/>
    </row>
    <row r="61" spans="1:31">
      <c r="A61" s="21">
        <v>1</v>
      </c>
      <c r="B61" s="47">
        <f>I7</f>
        <v>-22</v>
      </c>
      <c r="C61" s="47">
        <f>J7</f>
        <v>38.105117766515299</v>
      </c>
      <c r="D61" s="47">
        <f t="shared" ref="D61:E66" si="31">I2</f>
        <v>22</v>
      </c>
      <c r="E61" s="48">
        <f t="shared" si="31"/>
        <v>38.105117766515299</v>
      </c>
      <c r="O61" s="81"/>
      <c r="P61" s="32" t="s">
        <v>57</v>
      </c>
      <c r="Q61" s="80">
        <f>C12+Q32+Q52</f>
        <v>23.500008867730152</v>
      </c>
      <c r="R61" s="80">
        <f>D12+Q32+R52</f>
        <v>47</v>
      </c>
      <c r="S61" s="80">
        <f>E12+Q32+S52</f>
        <v>23.500008867730152</v>
      </c>
      <c r="T61" s="80">
        <f>F12+Q32+T52</f>
        <v>-23.500008867730152</v>
      </c>
      <c r="U61" s="80">
        <f>G12+Q32+U52</f>
        <v>-47</v>
      </c>
      <c r="V61" s="86">
        <f>H12+Q32+V52</f>
        <v>-23.500008867730152</v>
      </c>
      <c r="W61" s="83"/>
      <c r="X61" s="32" t="s">
        <v>57</v>
      </c>
      <c r="Y61" s="80">
        <f>C12+Q32+Y55</f>
        <v>23.500008867730152</v>
      </c>
      <c r="Z61" s="80">
        <f>D12+Q32+Z55</f>
        <v>47</v>
      </c>
      <c r="AA61" s="80">
        <f>E12+Q32+AA55</f>
        <v>23.500008867730152</v>
      </c>
      <c r="AB61" s="80">
        <f>F12+Q32+AB55</f>
        <v>-23.500008867730152</v>
      </c>
      <c r="AC61" s="80">
        <f>G12+Q32+AC55</f>
        <v>-47</v>
      </c>
      <c r="AD61" s="86">
        <f>H12+Q32+AD55</f>
        <v>-23.500008867730152</v>
      </c>
      <c r="AE61" s="82"/>
    </row>
    <row r="62" spans="1:31">
      <c r="A62" s="21">
        <v>2</v>
      </c>
      <c r="B62" s="47">
        <f t="shared" ref="B62:C66" si="32">I2</f>
        <v>22</v>
      </c>
      <c r="C62" s="47">
        <f t="shared" si="32"/>
        <v>38.105117766515299</v>
      </c>
      <c r="D62" s="47">
        <f t="shared" si="31"/>
        <v>44</v>
      </c>
      <c r="E62" s="48">
        <f t="shared" si="31"/>
        <v>0</v>
      </c>
      <c r="O62" s="81"/>
      <c r="P62" s="30" t="s">
        <v>58</v>
      </c>
      <c r="Q62" s="80">
        <f>C13+Q33+Q54</f>
        <v>78.894831979589284</v>
      </c>
      <c r="R62" s="80">
        <f>D13+Q33+R54</f>
        <v>72</v>
      </c>
      <c r="S62" s="80">
        <f>E13+Q33+S54</f>
        <v>65.105168020410716</v>
      </c>
      <c r="T62" s="80">
        <f>F13+Q33+T54</f>
        <v>65.105168020410716</v>
      </c>
      <c r="U62" s="80">
        <f>G13+Q33+U54</f>
        <v>72</v>
      </c>
      <c r="V62" s="86">
        <f>H13+Q33+V54</f>
        <v>78.894831979589284</v>
      </c>
      <c r="W62" s="83"/>
      <c r="X62" s="30" t="s">
        <v>58</v>
      </c>
      <c r="Y62" s="80">
        <f>C13+Q33+Y57</f>
        <v>78.594614761157558</v>
      </c>
      <c r="Z62" s="80">
        <f>D13+Q33+Z57</f>
        <v>71.726018262605677</v>
      </c>
      <c r="AA62" s="80">
        <f>E13+Q33+AA57</f>
        <v>64.857421764053797</v>
      </c>
      <c r="AB62" s="80">
        <f>F13+Q33+AB57</f>
        <v>64.857421764053797</v>
      </c>
      <c r="AC62" s="80">
        <f>G13+Q33+AC57</f>
        <v>71.726018262605677</v>
      </c>
      <c r="AD62" s="86">
        <f>H13+Q33+AD57</f>
        <v>78.594614761157558</v>
      </c>
      <c r="AE62" s="82"/>
    </row>
    <row r="63" spans="1:31">
      <c r="A63" s="21">
        <v>3</v>
      </c>
      <c r="B63" s="47">
        <f t="shared" si="32"/>
        <v>44</v>
      </c>
      <c r="C63" s="47">
        <f t="shared" si="32"/>
        <v>0</v>
      </c>
      <c r="D63" s="47">
        <f t="shared" si="31"/>
        <v>22</v>
      </c>
      <c r="E63" s="48">
        <f t="shared" si="31"/>
        <v>-38.105117766515299</v>
      </c>
      <c r="O63" s="81"/>
      <c r="P63" s="30" t="s">
        <v>59</v>
      </c>
      <c r="Q63" s="80">
        <f>C14+Q34+Q53</f>
        <v>40.703188858080935</v>
      </c>
      <c r="R63" s="80">
        <f>D14+Q34+R53</f>
        <v>0</v>
      </c>
      <c r="S63" s="80">
        <f>E14+Q34+S53</f>
        <v>-40.703188858080935</v>
      </c>
      <c r="T63" s="80">
        <f>F14+Q34+T53</f>
        <v>-40.703188858080935</v>
      </c>
      <c r="U63" s="80">
        <f>G14+Q34+U53</f>
        <v>1.1148850939668442E-14</v>
      </c>
      <c r="V63" s="86">
        <f>H14+Q34+V53</f>
        <v>40.703188858080935</v>
      </c>
      <c r="W63" s="83"/>
      <c r="X63" s="30" t="s">
        <v>59</v>
      </c>
      <c r="Y63" s="80">
        <f>C14+Q34+Y56</f>
        <v>34.128085980664665</v>
      </c>
      <c r="Z63" s="80">
        <f>D14+Q34+Z56</f>
        <v>-6.2752134778313877</v>
      </c>
      <c r="AA63" s="80">
        <f>E14+Q34+AA56</f>
        <v>-46.678512936327436</v>
      </c>
      <c r="AB63" s="80">
        <f>F14+Q34+AB56</f>
        <v>-46.678512936327436</v>
      </c>
      <c r="AC63" s="80">
        <f>G14+Q34+AC56</f>
        <v>-6.2752134778313877</v>
      </c>
      <c r="AD63" s="86">
        <f>H14+Q34+AD56</f>
        <v>34.128085980664665</v>
      </c>
      <c r="AE63" s="82"/>
    </row>
    <row r="64" spans="1:31">
      <c r="A64" s="21">
        <v>4</v>
      </c>
      <c r="B64" s="47">
        <f t="shared" si="32"/>
        <v>22</v>
      </c>
      <c r="C64" s="47">
        <f t="shared" si="32"/>
        <v>-38.105117766515299</v>
      </c>
      <c r="D64" s="47">
        <f t="shared" si="31"/>
        <v>-22</v>
      </c>
      <c r="E64" s="48">
        <f t="shared" si="31"/>
        <v>-38.105117766515299</v>
      </c>
      <c r="O64" s="81"/>
      <c r="P64" s="21" t="s">
        <v>49</v>
      </c>
      <c r="Q64" s="72">
        <f t="shared" ref="Q64:V64" si="33">SQRT(Q61*Q61+Q63*Q63)</f>
        <v>46.999999999999993</v>
      </c>
      <c r="R64" s="72">
        <f t="shared" si="33"/>
        <v>47</v>
      </c>
      <c r="S64" s="72">
        <f t="shared" si="33"/>
        <v>46.999999999999993</v>
      </c>
      <c r="T64" s="72">
        <f t="shared" si="33"/>
        <v>46.999999999999993</v>
      </c>
      <c r="U64" s="72">
        <f t="shared" si="33"/>
        <v>47</v>
      </c>
      <c r="V64" s="73">
        <f t="shared" si="33"/>
        <v>46.999999999999993</v>
      </c>
      <c r="W64" s="83"/>
      <c r="X64" s="21" t="s">
        <v>49</v>
      </c>
      <c r="Y64" s="72">
        <f t="shared" ref="Y64:AD64" si="34">SQRT(Y61*Y61+Y63*Y63)</f>
        <v>41.436417189315918</v>
      </c>
      <c r="Z64" s="72">
        <f t="shared" si="34"/>
        <v>47.417067646495781</v>
      </c>
      <c r="AA64" s="72">
        <f t="shared" si="34"/>
        <v>52.260252455669246</v>
      </c>
      <c r="AB64" s="72">
        <f t="shared" si="34"/>
        <v>52.260252455669246</v>
      </c>
      <c r="AC64" s="72">
        <f t="shared" si="34"/>
        <v>47.417067646495781</v>
      </c>
      <c r="AD64" s="73">
        <f t="shared" si="34"/>
        <v>41.436417189315918</v>
      </c>
      <c r="AE64" s="82"/>
    </row>
    <row r="65" spans="1:31">
      <c r="A65" s="21">
        <v>5</v>
      </c>
      <c r="B65" s="47">
        <f t="shared" si="32"/>
        <v>-22</v>
      </c>
      <c r="C65" s="47">
        <f t="shared" si="32"/>
        <v>-38.105117766515299</v>
      </c>
      <c r="D65" s="47">
        <f t="shared" si="31"/>
        <v>-44</v>
      </c>
      <c r="E65" s="48">
        <f t="shared" si="31"/>
        <v>0</v>
      </c>
      <c r="O65" s="81"/>
      <c r="P65" s="21" t="s">
        <v>50</v>
      </c>
      <c r="Q65" s="72">
        <f>SQRT((Q64-C4)*(Q64-C4)+Q62*Q62)</f>
        <v>85.909222514742993</v>
      </c>
      <c r="R65" s="72">
        <f>SQRT((R64-C4)*(R64-C4)+R62*R62)</f>
        <v>79.624116949577527</v>
      </c>
      <c r="S65" s="72">
        <f>SQRT((S64-C4)*(S64-C4)+S62*S62)</f>
        <v>73.448505110491595</v>
      </c>
      <c r="T65" s="72">
        <f>SQRT((T64-C4)*(T64-C4)+T62*T62)</f>
        <v>73.448505110491595</v>
      </c>
      <c r="U65" s="72">
        <f>SQRT((U64-C4)*(U64-C4)+U62*U62)</f>
        <v>79.624116949577527</v>
      </c>
      <c r="V65" s="73">
        <f>SQRT((V64-C4)*(V64-C4)+V62*V62)</f>
        <v>85.909222514742993</v>
      </c>
      <c r="W65" s="83"/>
      <c r="X65" s="21" t="s">
        <v>50</v>
      </c>
      <c r="Y65" s="72">
        <f>SQRT((Y64-C4)*(Y64-C4)+Y62*Y62)</f>
        <v>83.580759101719025</v>
      </c>
      <c r="Z65" s="72">
        <f>SQRT((Z64-C4)*(Z64-C4)+Z62*Z62)</f>
        <v>79.55599437623232</v>
      </c>
      <c r="AA65" s="72">
        <f>SQRT((AA64-C4)*(AA64-C4)+AA62*AA62)</f>
        <v>75.814593455107584</v>
      </c>
      <c r="AB65" s="72">
        <f>SQRT((AB64-C4)*(AB64-C4)+AB62*AB62)</f>
        <v>75.814593455107584</v>
      </c>
      <c r="AC65" s="72">
        <f>SQRT((AC64-C4)*(AC64-C4)+AC62*AC62)</f>
        <v>79.55599437623232</v>
      </c>
      <c r="AD65" s="73">
        <f>SQRT((AD64-C4)*(AD64-C4)+AD62*AD62)</f>
        <v>83.580759101719025</v>
      </c>
      <c r="AE65" s="82"/>
    </row>
    <row r="66" spans="1:31">
      <c r="A66" s="22">
        <v>6</v>
      </c>
      <c r="B66" s="49">
        <f t="shared" si="32"/>
        <v>-44</v>
      </c>
      <c r="C66" s="49">
        <f t="shared" si="32"/>
        <v>0</v>
      </c>
      <c r="D66" s="49">
        <f t="shared" si="31"/>
        <v>-22</v>
      </c>
      <c r="E66" s="50">
        <f t="shared" si="31"/>
        <v>38.105117766515299</v>
      </c>
      <c r="O66" s="81"/>
      <c r="P66" s="21" t="s">
        <v>51</v>
      </c>
      <c r="Q66" s="72">
        <f>ATAN((Q64-C4)/Q62)</f>
        <v>0.40690244657304309</v>
      </c>
      <c r="R66" s="72">
        <f>ATAN((R64-C4)/R62)</f>
        <v>0.44117948041498062</v>
      </c>
      <c r="S66" s="72">
        <f>ATAN((S64-C4)/S62)</f>
        <v>0.48127458806340173</v>
      </c>
      <c r="T66" s="72">
        <f>ATAN((T64-C4)/T62)</f>
        <v>0.48127458806340173</v>
      </c>
      <c r="U66" s="72">
        <f>ATAN((U64-C4)/U62)</f>
        <v>0.44117948041498062</v>
      </c>
      <c r="V66" s="73">
        <f>ATAN((V64-C4)/V62)</f>
        <v>0.40690244657304309</v>
      </c>
      <c r="W66" s="83"/>
      <c r="X66" s="21" t="s">
        <v>51</v>
      </c>
      <c r="Y66" s="72">
        <f>ATAN((Y64-C4)/Y62)</f>
        <v>0.34715811338762681</v>
      </c>
      <c r="Z66" s="72">
        <f>ATAN((Z64-C4)/Z62)</f>
        <v>0.4473905518154046</v>
      </c>
      <c r="AA66" s="72">
        <f>ATAN((AA64-C4)/AA62)</f>
        <v>0.54433063768243606</v>
      </c>
      <c r="AB66" s="72">
        <f>ATAN((AB64-C4)/AB62)</f>
        <v>0.54433063768243606</v>
      </c>
      <c r="AC66" s="72">
        <f>ATAN((AC64-C4)/AC62)</f>
        <v>0.4473905518154046</v>
      </c>
      <c r="AD66" s="73">
        <f>ATAN((AD64-C4)/AD62)</f>
        <v>0.34715811338762681</v>
      </c>
      <c r="AE66" s="82"/>
    </row>
    <row r="67" spans="1:31">
      <c r="O67" s="81"/>
      <c r="P67" s="21" t="s">
        <v>52</v>
      </c>
      <c r="Q67" s="72">
        <f>ACOS((C6*C6-C5*C5-Q65*Q65)/(-2*Q65*C5))</f>
        <v>0.95958412775049418</v>
      </c>
      <c r="R67" s="72">
        <f>ACOS((C6*C6-C5*C5-R65*R65)/(-2*R65*C5))</f>
        <v>1.1296168463799159</v>
      </c>
      <c r="S67" s="72">
        <f>ACOS((C6*C6-C5*C5-S65*S65)/(-2*S65*C5))</f>
        <v>1.2936232973540758</v>
      </c>
      <c r="T67" s="72">
        <f>ACOS((C6*C6-C5*C5-T65*T65)/(-2*T65*C5))</f>
        <v>1.2936232973540758</v>
      </c>
      <c r="U67" s="72">
        <f>ACOS((C6*C6-C5*C5-U65*U65)/(-2*U65*C5))</f>
        <v>1.1296168463799159</v>
      </c>
      <c r="V67" s="73">
        <f>ACOS((C6*C6-C5*C5-V65*V65)/(-2*V65*C5))</f>
        <v>0.95958412775049418</v>
      </c>
      <c r="W67" s="83"/>
      <c r="X67" s="21" t="s">
        <v>52</v>
      </c>
      <c r="Y67" s="72">
        <f>ACOS((C6*C6-C5*C5-Y65*Y65)/(-2*Y65*C5))</f>
        <v>1.0234658375894248</v>
      </c>
      <c r="Z67" s="72">
        <f>ACOS((C6*C6-C5*C5-Z65*Z65)/(-2*Z65*C5))</f>
        <v>1.1314284324058734</v>
      </c>
      <c r="AA67" s="72">
        <f>ACOS((C6*C6-C5*C5-AA65*AA65)/(-2*AA65*C5))</f>
        <v>1.2306737434071837</v>
      </c>
      <c r="AB67" s="72">
        <f>ACOS((C6*C6-C5*C5-AB65*AB65)/(-2*AB65*C5))</f>
        <v>1.2306737434071837</v>
      </c>
      <c r="AC67" s="72">
        <f>ACOS((C6*C6-C5*C5-AC65*AC65)/(-2*AC65*C5))</f>
        <v>1.1314284324058734</v>
      </c>
      <c r="AD67" s="73">
        <f>ACOS((C6*C6-C5*C5-AD65*AD65)/(-2*AD65*C5))</f>
        <v>1.0234658375894248</v>
      </c>
      <c r="AE67" s="82"/>
    </row>
    <row r="68" spans="1:31">
      <c r="O68" s="81"/>
      <c r="P68" s="21" t="s">
        <v>54</v>
      </c>
      <c r="Q68" s="72">
        <f>ACOS((Q65*Q65-C6*C6-C5*C5)/(-2*C5*C6))</f>
        <v>1.7849278629825551</v>
      </c>
      <c r="R68" s="72">
        <f>ACOS((R65*R65-C6*C6-C5*C5)/(-2*C5*C6))</f>
        <v>1.5707963267948963</v>
      </c>
      <c r="S68" s="72">
        <f>ACOS((S65*S65-C6*C6-C5*C5)/(-2*C5*C6))</f>
        <v>1.376496613941699</v>
      </c>
      <c r="T68" s="72">
        <f>ACOS((T65*T65-C6*C6-C5*C5)/(-2*C5*C6))</f>
        <v>1.376496613941699</v>
      </c>
      <c r="U68" s="72">
        <f>ACOS((U65*U65-C6*C6-C5*C5)/(-2*C5*C6))</f>
        <v>1.5707963267948963</v>
      </c>
      <c r="V68" s="73">
        <f>ACOS((V65*V65-C6*C6-C5*C5)/(-2*C5*C6))</f>
        <v>1.7849278629825551</v>
      </c>
      <c r="W68" s="83"/>
      <c r="X68" s="21" t="s">
        <v>54</v>
      </c>
      <c r="Y68" s="72">
        <f>ACOS((Y65*Y65-C6*C6-C5*C5)/(-2*C5*C6))</f>
        <v>1.703073751724052</v>
      </c>
      <c r="Z68" s="72">
        <f>ACOS((Z65*Z65-C6*C6-C5*C5)/(-2*C5*C6))</f>
        <v>1.5685815049659633</v>
      </c>
      <c r="AA68" s="72">
        <f>ACOS((AA65*AA65-C6*C6-C5*C5)/(-2*C5*C6))</f>
        <v>1.4495543672396047</v>
      </c>
      <c r="AB68" s="72">
        <f>ACOS((AB65*AB65-C6*C6-C5*C5)/(-2*C5*C6))</f>
        <v>1.4495543672396047</v>
      </c>
      <c r="AC68" s="72">
        <f>ACOS((AC65*AC65-C6*C6-C5*C5)/(-2*C5*C6))</f>
        <v>1.5685815049659633</v>
      </c>
      <c r="AD68" s="73">
        <f>ACOS((AD65*AD65-C6*C6-C5*C5)/(-2*C5*C6))</f>
        <v>1.703073751724052</v>
      </c>
      <c r="AE68" s="82"/>
    </row>
    <row r="69" spans="1:31">
      <c r="O69" s="81"/>
      <c r="P69" s="21" t="s">
        <v>55</v>
      </c>
      <c r="Q69" s="78">
        <f t="shared" ref="Q69:V69" si="35">90-Q68*180/PI()</f>
        <v>-12.268833284205684</v>
      </c>
      <c r="R69" s="78">
        <f t="shared" si="35"/>
        <v>0</v>
      </c>
      <c r="S69" s="78">
        <f t="shared" si="35"/>
        <v>11.132553507092013</v>
      </c>
      <c r="T69" s="78">
        <f t="shared" si="35"/>
        <v>11.132553507092013</v>
      </c>
      <c r="U69" s="78">
        <f t="shared" si="35"/>
        <v>0</v>
      </c>
      <c r="V69" s="87">
        <f t="shared" si="35"/>
        <v>-12.268833284205684</v>
      </c>
      <c r="W69" s="83"/>
      <c r="X69" s="21" t="s">
        <v>55</v>
      </c>
      <c r="Y69" s="78">
        <f t="shared" ref="Y69:AD69" si="36">90-Y68*180/PI()</f>
        <v>-7.5789381732991927</v>
      </c>
      <c r="Z69" s="78">
        <f t="shared" si="36"/>
        <v>0.12689994317132403</v>
      </c>
      <c r="AA69" s="78">
        <f t="shared" si="36"/>
        <v>6.9466525824140462</v>
      </c>
      <c r="AB69" s="78">
        <f t="shared" si="36"/>
        <v>6.9466525824140462</v>
      </c>
      <c r="AC69" s="78">
        <f t="shared" si="36"/>
        <v>0.12689994317132403</v>
      </c>
      <c r="AD69" s="87">
        <f t="shared" si="36"/>
        <v>-7.5789381732991927</v>
      </c>
      <c r="AE69" s="82"/>
    </row>
    <row r="70" spans="1:31">
      <c r="O70" s="81"/>
      <c r="P70" s="21" t="s">
        <v>53</v>
      </c>
      <c r="Q70" s="78">
        <f>(Q66+Q67)*180/PI()-90</f>
        <v>-11.706086529971429</v>
      </c>
      <c r="R70" s="78">
        <f t="shared" ref="R70:V70" si="37">(R66+R67)*180/PI()-90</f>
        <v>0</v>
      </c>
      <c r="S70" s="78">
        <f t="shared" si="37"/>
        <v>11.694157901115844</v>
      </c>
      <c r="T70" s="78">
        <f t="shared" si="37"/>
        <v>11.694157901115844</v>
      </c>
      <c r="U70" s="78">
        <f t="shared" si="37"/>
        <v>0</v>
      </c>
      <c r="V70" s="78">
        <f t="shared" si="37"/>
        <v>-11.706086529971429</v>
      </c>
      <c r="W70" s="83"/>
      <c r="X70" s="21" t="s">
        <v>53</v>
      </c>
      <c r="Y70" s="78">
        <f t="shared" ref="Y70:AD70" si="38">90-(Y66+Y67)*180/PI()</f>
        <v>11.4690323094691</v>
      </c>
      <c r="Z70" s="78">
        <f t="shared" si="38"/>
        <v>-0.45966441101094802</v>
      </c>
      <c r="AA70" s="78">
        <f t="shared" si="38"/>
        <v>-11.700259653666023</v>
      </c>
      <c r="AB70" s="78">
        <f t="shared" si="38"/>
        <v>-11.700259653666023</v>
      </c>
      <c r="AC70" s="78">
        <f t="shared" si="38"/>
        <v>-0.45966441101094802</v>
      </c>
      <c r="AD70" s="87">
        <f t="shared" si="38"/>
        <v>11.4690323094691</v>
      </c>
      <c r="AE70" s="82"/>
    </row>
    <row r="71" spans="1:31">
      <c r="O71" s="81"/>
      <c r="P71" s="22" t="s">
        <v>56</v>
      </c>
      <c r="Q71" s="79">
        <f>90-ATAN2(Q63,Q61)*180/PI()</f>
        <v>59.999987517354441</v>
      </c>
      <c r="R71" s="79">
        <f>90-ATAN2(R63,R61)*180/PI()</f>
        <v>0</v>
      </c>
      <c r="S71" s="79">
        <f>90-ATAN2(S63,S61)*180/PI()</f>
        <v>-59.999987517354413</v>
      </c>
      <c r="T71" s="79">
        <f>90-ATAN2(T63,T61)*180/PI()</f>
        <v>239.99998751735441</v>
      </c>
      <c r="U71" s="79">
        <f t="shared" ref="U71:V71" si="39">90-ATAN2(U63,U61)*180/PI()</f>
        <v>180</v>
      </c>
      <c r="V71" s="88">
        <f t="shared" si="39"/>
        <v>120.00001248264556</v>
      </c>
      <c r="W71" s="83"/>
      <c r="X71" s="22" t="s">
        <v>56</v>
      </c>
      <c r="Y71" s="79">
        <f>90-ATAN2(Y63,Y61)*180/PI()</f>
        <v>55.449375145116633</v>
      </c>
      <c r="Z71" s="79">
        <f>90-ATAN2(Z63,Z61)*180/PI()</f>
        <v>-7.6048802004103635</v>
      </c>
      <c r="AA71" s="79">
        <f>90-ATAN2(AA63,AA61)*180/PI()</f>
        <v>-63.277313284368915</v>
      </c>
      <c r="AB71" s="79">
        <f>90-ATAN2(AB63,AB61)*180/PI()</f>
        <v>243.27731328436892</v>
      </c>
      <c r="AC71" s="79">
        <f t="shared" ref="AC71:AD71" si="40">90-ATAN2(AC63,AC61)*180/PI()</f>
        <v>187.60488020041038</v>
      </c>
      <c r="AD71" s="88">
        <f t="shared" si="40"/>
        <v>124.55062485488337</v>
      </c>
      <c r="AE71" s="82"/>
    </row>
    <row r="72" spans="1:31">
      <c r="O72" s="81"/>
      <c r="P72" s="81"/>
      <c r="Q72" s="81"/>
      <c r="R72" s="81"/>
      <c r="S72" s="81"/>
      <c r="T72" s="81"/>
      <c r="U72" s="81"/>
      <c r="V72" s="81"/>
      <c r="W72" s="83"/>
      <c r="X72" s="82"/>
      <c r="Y72" s="82"/>
      <c r="Z72" s="82"/>
      <c r="AA72" s="82"/>
      <c r="AB72" s="82"/>
      <c r="AC72" s="82"/>
      <c r="AD72" s="82"/>
      <c r="AE72" s="82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Study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Liang</dc:creator>
  <cp:lastModifiedBy>Oscar Zhihang Liang</cp:lastModifiedBy>
  <dcterms:created xsi:type="dcterms:W3CDTF">2012-01-27T10:10:51Z</dcterms:created>
  <dcterms:modified xsi:type="dcterms:W3CDTF">2012-02-12T17:03:55Z</dcterms:modified>
</cp:coreProperties>
</file>