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optb-my.sharepoint.com/personal/tusharg_stoptb_org/Documents/Research/Xpert pooling 202401/"/>
    </mc:Choice>
  </mc:AlternateContent>
  <xr:revisionPtr revIDLastSave="60" documentId="13_ncr:1_{670CD50C-2928-E741-8339-C3B4ED5B2A20}" xr6:coauthVersionLast="47" xr6:coauthVersionMax="47" xr10:uidLastSave="{740A6509-76D7-BF44-91F6-C86346EF193F}"/>
  <bookViews>
    <workbookView xWindow="0" yWindow="500" windowWidth="28800" windowHeight="17500" xr2:uid="{00000000-000D-0000-FFFF-FFFF00000000}"/>
  </bookViews>
  <sheets>
    <sheet name="Instruction" sheetId="1" r:id="rId1"/>
    <sheet name="Demo" sheetId="10" r:id="rId2"/>
    <sheet name="Empty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9" l="1"/>
  <c r="H9" i="9" s="1"/>
  <c r="H16" i="10"/>
  <c r="I16" i="10" s="1"/>
  <c r="J16" i="10" s="1"/>
  <c r="E46" i="10"/>
  <c r="D46" i="10"/>
  <c r="E45" i="10"/>
  <c r="D45" i="10"/>
  <c r="E44" i="10"/>
  <c r="F44" i="10" s="1"/>
  <c r="H44" i="10" s="1"/>
  <c r="I44" i="10" s="1"/>
  <c r="D44" i="10"/>
  <c r="E43" i="10"/>
  <c r="D43" i="10"/>
  <c r="I43" i="10" s="1"/>
  <c r="E42" i="10"/>
  <c r="D42" i="10"/>
  <c r="E39" i="10"/>
  <c r="D39" i="10"/>
  <c r="E38" i="10"/>
  <c r="D38" i="10"/>
  <c r="E37" i="10"/>
  <c r="D37" i="10"/>
  <c r="E36" i="10"/>
  <c r="D36" i="10"/>
  <c r="I36" i="10" s="1"/>
  <c r="E35" i="10"/>
  <c r="D35" i="10"/>
  <c r="E32" i="10"/>
  <c r="F32" i="10" s="1"/>
  <c r="H32" i="10" s="1"/>
  <c r="I32" i="10" s="1"/>
  <c r="D32" i="10"/>
  <c r="E31" i="10"/>
  <c r="D31" i="10"/>
  <c r="E30" i="10"/>
  <c r="D30" i="10"/>
  <c r="E29" i="10"/>
  <c r="D29" i="10"/>
  <c r="I29" i="10" s="1"/>
  <c r="E28" i="10"/>
  <c r="D28" i="10"/>
  <c r="E25" i="10"/>
  <c r="D25" i="10"/>
  <c r="E24" i="10"/>
  <c r="D24" i="10"/>
  <c r="E23" i="10"/>
  <c r="D23" i="10"/>
  <c r="V22" i="10"/>
  <c r="Q22" i="10"/>
  <c r="E22" i="10"/>
  <c r="D22" i="10"/>
  <c r="I22" i="10" s="1"/>
  <c r="E21" i="10"/>
  <c r="D21" i="10"/>
  <c r="D17" i="10"/>
  <c r="Q21" i="10" s="1"/>
  <c r="F16" i="10"/>
  <c r="F15" i="10"/>
  <c r="H15" i="10" s="1"/>
  <c r="I15" i="10" s="1"/>
  <c r="J15" i="10" s="1"/>
  <c r="F14" i="10"/>
  <c r="H14" i="10" s="1"/>
  <c r="I14" i="10" s="1"/>
  <c r="J14" i="10" s="1"/>
  <c r="F13" i="10"/>
  <c r="H13" i="10" s="1"/>
  <c r="I13" i="10" s="1"/>
  <c r="J13" i="10" s="1"/>
  <c r="F12" i="10"/>
  <c r="H12" i="10" s="1"/>
  <c r="I12" i="10" s="1"/>
  <c r="J12" i="10" s="1"/>
  <c r="G11" i="10"/>
  <c r="F11" i="10"/>
  <c r="H11" i="10" s="1"/>
  <c r="I11" i="10" s="1"/>
  <c r="J11" i="10" s="1"/>
  <c r="G10" i="10"/>
  <c r="F10" i="10"/>
  <c r="H10" i="10" s="1"/>
  <c r="I10" i="10" s="1"/>
  <c r="J10" i="10" s="1"/>
  <c r="G9" i="10"/>
  <c r="F9" i="10"/>
  <c r="H9" i="10" s="1"/>
  <c r="I9" i="10" s="1"/>
  <c r="J9" i="10" s="1"/>
  <c r="F8" i="10"/>
  <c r="H8" i="10" s="1"/>
  <c r="I8" i="10" s="1"/>
  <c r="J8" i="10" s="1"/>
  <c r="F7" i="10"/>
  <c r="H7" i="10" s="1"/>
  <c r="I7" i="10" s="1"/>
  <c r="F16" i="9"/>
  <c r="H16" i="9" s="1"/>
  <c r="I16" i="9" s="1"/>
  <c r="J16" i="9" s="1"/>
  <c r="E46" i="9"/>
  <c r="D46" i="9"/>
  <c r="E45" i="9"/>
  <c r="D45" i="9"/>
  <c r="E44" i="9"/>
  <c r="D44" i="9"/>
  <c r="E43" i="9"/>
  <c r="D43" i="9"/>
  <c r="I43" i="9" s="1"/>
  <c r="E42" i="9"/>
  <c r="D42" i="9"/>
  <c r="E39" i="9"/>
  <c r="D39" i="9"/>
  <c r="E38" i="9"/>
  <c r="D38" i="9"/>
  <c r="E37" i="9"/>
  <c r="D37" i="9"/>
  <c r="E36" i="9"/>
  <c r="D36" i="9"/>
  <c r="I36" i="9" s="1"/>
  <c r="E35" i="9"/>
  <c r="D35" i="9"/>
  <c r="E32" i="9"/>
  <c r="D32" i="9"/>
  <c r="E31" i="9"/>
  <c r="D31" i="9"/>
  <c r="E30" i="9"/>
  <c r="D30" i="9"/>
  <c r="E29" i="9"/>
  <c r="D29" i="9"/>
  <c r="I29" i="9" s="1"/>
  <c r="E28" i="9"/>
  <c r="D28" i="9"/>
  <c r="E25" i="9"/>
  <c r="D25" i="9"/>
  <c r="E24" i="9"/>
  <c r="D24" i="9"/>
  <c r="E23" i="9"/>
  <c r="D23" i="9"/>
  <c r="V22" i="9"/>
  <c r="Q22" i="9"/>
  <c r="E22" i="9"/>
  <c r="D22" i="9"/>
  <c r="I22" i="9" s="1"/>
  <c r="E21" i="9"/>
  <c r="D21" i="9"/>
  <c r="D17" i="9"/>
  <c r="Q21" i="9" s="1"/>
  <c r="F15" i="9"/>
  <c r="H15" i="9" s="1"/>
  <c r="I15" i="9" s="1"/>
  <c r="J15" i="9" s="1"/>
  <c r="F14" i="9"/>
  <c r="H14" i="9" s="1"/>
  <c r="I14" i="9" s="1"/>
  <c r="J14" i="9" s="1"/>
  <c r="F13" i="9"/>
  <c r="H13" i="9" s="1"/>
  <c r="I13" i="9" s="1"/>
  <c r="J13" i="9" s="1"/>
  <c r="F12" i="9"/>
  <c r="H12" i="9" s="1"/>
  <c r="I12" i="9" s="1"/>
  <c r="J12" i="9" s="1"/>
  <c r="G11" i="9"/>
  <c r="F11" i="9"/>
  <c r="H11" i="9" s="1"/>
  <c r="I11" i="9" s="1"/>
  <c r="J11" i="9" s="1"/>
  <c r="G10" i="9"/>
  <c r="F10" i="9"/>
  <c r="G9" i="9"/>
  <c r="F8" i="9"/>
  <c r="H8" i="9" s="1"/>
  <c r="I8" i="9" s="1"/>
  <c r="J8" i="9" s="1"/>
  <c r="F7" i="9"/>
  <c r="H7" i="9" s="1"/>
  <c r="I7" i="9" s="1"/>
  <c r="F37" i="9" l="1"/>
  <c r="H37" i="9" s="1"/>
  <c r="I37" i="9" s="1"/>
  <c r="E40" i="9"/>
  <c r="H10" i="9"/>
  <c r="I10" i="9" s="1"/>
  <c r="J10" i="9" s="1"/>
  <c r="F22" i="9"/>
  <c r="F25" i="10"/>
  <c r="H25" i="10" s="1"/>
  <c r="I25" i="10" s="1"/>
  <c r="F23" i="10"/>
  <c r="H23" i="10" s="1"/>
  <c r="I23" i="10" s="1"/>
  <c r="F30" i="10"/>
  <c r="H30" i="10" s="1"/>
  <c r="I30" i="10" s="1"/>
  <c r="F43" i="10"/>
  <c r="F24" i="10"/>
  <c r="H24" i="10" s="1"/>
  <c r="I24" i="10" s="1"/>
  <c r="K25" i="10" s="1"/>
  <c r="F46" i="10"/>
  <c r="H46" i="10" s="1"/>
  <c r="I46" i="10" s="1"/>
  <c r="I9" i="9"/>
  <c r="J9" i="9" s="1"/>
  <c r="F32" i="9"/>
  <c r="H32" i="9" s="1"/>
  <c r="I32" i="9" s="1"/>
  <c r="F37" i="10"/>
  <c r="H37" i="10" s="1"/>
  <c r="I37" i="10" s="1"/>
  <c r="M39" i="10"/>
  <c r="V25" i="10" s="1"/>
  <c r="F39" i="10"/>
  <c r="H39" i="10" s="1"/>
  <c r="I39" i="10" s="1"/>
  <c r="F31" i="10"/>
  <c r="H31" i="10" s="1"/>
  <c r="I31" i="10" s="1"/>
  <c r="K32" i="10" s="1"/>
  <c r="F38" i="10"/>
  <c r="H38" i="10" s="1"/>
  <c r="I38" i="10" s="1"/>
  <c r="K39" i="10" s="1"/>
  <c r="Q25" i="10" s="1"/>
  <c r="T25" i="10" s="1"/>
  <c r="U25" i="10" s="1"/>
  <c r="M25" i="10"/>
  <c r="V23" i="10" s="1"/>
  <c r="M32" i="10"/>
  <c r="V24" i="10" s="1"/>
  <c r="F36" i="10"/>
  <c r="F22" i="10"/>
  <c r="F45" i="10"/>
  <c r="H45" i="10" s="1"/>
  <c r="I45" i="10" s="1"/>
  <c r="F29" i="10"/>
  <c r="M46" i="10"/>
  <c r="V26" i="10" s="1"/>
  <c r="J7" i="10"/>
  <c r="J17" i="10" s="1"/>
  <c r="I17" i="10"/>
  <c r="I18" i="10" s="1"/>
  <c r="J18" i="10" s="1"/>
  <c r="T22" i="10"/>
  <c r="U22" i="10" s="1"/>
  <c r="R22" i="10"/>
  <c r="S22" i="10" s="1"/>
  <c r="F44" i="9"/>
  <c r="H44" i="9" s="1"/>
  <c r="I44" i="9" s="1"/>
  <c r="F38" i="9"/>
  <c r="H38" i="9" s="1"/>
  <c r="I38" i="9" s="1"/>
  <c r="K39" i="9" s="1"/>
  <c r="F39" i="9"/>
  <c r="H39" i="9" s="1"/>
  <c r="I39" i="9" s="1"/>
  <c r="F23" i="9"/>
  <c r="H23" i="9" s="1"/>
  <c r="I23" i="9" s="1"/>
  <c r="F25" i="9"/>
  <c r="H25" i="9" s="1"/>
  <c r="I25" i="9" s="1"/>
  <c r="M25" i="9"/>
  <c r="V23" i="9" s="1"/>
  <c r="F43" i="9"/>
  <c r="F30" i="9"/>
  <c r="H30" i="9" s="1"/>
  <c r="I30" i="9" s="1"/>
  <c r="K32" i="9" s="1"/>
  <c r="F45" i="9"/>
  <c r="H45" i="9" s="1"/>
  <c r="I45" i="9" s="1"/>
  <c r="F24" i="9"/>
  <c r="H24" i="9" s="1"/>
  <c r="I24" i="9" s="1"/>
  <c r="F36" i="9"/>
  <c r="F29" i="9"/>
  <c r="F31" i="9"/>
  <c r="H31" i="9" s="1"/>
  <c r="I31" i="9" s="1"/>
  <c r="M46" i="9"/>
  <c r="V26" i="9" s="1"/>
  <c r="F46" i="9"/>
  <c r="H46" i="9" s="1"/>
  <c r="I46" i="9" s="1"/>
  <c r="J7" i="9"/>
  <c r="M32" i="9"/>
  <c r="V24" i="9" s="1"/>
  <c r="M39" i="9"/>
  <c r="V25" i="9" s="1"/>
  <c r="R22" i="9"/>
  <c r="S22" i="9" s="1"/>
  <c r="T22" i="9"/>
  <c r="U22" i="9" s="1"/>
  <c r="K25" i="9" l="1"/>
  <c r="K46" i="10"/>
  <c r="Q26" i="10" s="1"/>
  <c r="T26" i="10" s="1"/>
  <c r="U26" i="10" s="1"/>
  <c r="J17" i="9"/>
  <c r="I17" i="9"/>
  <c r="I18" i="9" s="1"/>
  <c r="J18" i="9" s="1"/>
  <c r="L39" i="10"/>
  <c r="Q24" i="10"/>
  <c r="R25" i="10" s="1"/>
  <c r="S25" i="10" s="1"/>
  <c r="L32" i="10"/>
  <c r="Q23" i="10"/>
  <c r="L25" i="10"/>
  <c r="R26" i="10"/>
  <c r="S26" i="10" s="1"/>
  <c r="L46" i="10"/>
  <c r="K46" i="9"/>
  <c r="Q26" i="9" s="1"/>
  <c r="T26" i="9" s="1"/>
  <c r="U26" i="9" s="1"/>
  <c r="L46" i="9"/>
  <c r="L25" i="9"/>
  <c r="Q23" i="9"/>
  <c r="L32" i="9"/>
  <c r="Q24" i="9"/>
  <c r="Q25" i="9"/>
  <c r="L39" i="9"/>
  <c r="T24" i="10" l="1"/>
  <c r="U24" i="10" s="1"/>
  <c r="R24" i="10"/>
  <c r="S24" i="10" s="1"/>
  <c r="R23" i="10"/>
  <c r="S23" i="10" s="1"/>
  <c r="T23" i="10"/>
  <c r="U23" i="10" s="1"/>
  <c r="R26" i="9"/>
  <c r="S26" i="9" s="1"/>
  <c r="T25" i="9"/>
  <c r="U25" i="9" s="1"/>
  <c r="R24" i="9"/>
  <c r="S24" i="9" s="1"/>
  <c r="T23" i="9"/>
  <c r="U23" i="9" s="1"/>
  <c r="R23" i="9"/>
  <c r="S23" i="9" s="1"/>
  <c r="R25" i="9"/>
  <c r="S25" i="9" s="1"/>
  <c r="T24" i="9"/>
  <c r="U24" i="9" s="1"/>
</calcChain>
</file>

<file path=xl/sharedStrings.xml><?xml version="1.0" encoding="utf-8"?>
<sst xmlns="http://schemas.openxmlformats.org/spreadsheetml/2006/main" count="180" uniqueCount="65">
  <si>
    <t>10-19</t>
  </si>
  <si>
    <t>20-29</t>
  </si>
  <si>
    <t>30-39</t>
  </si>
  <si>
    <t>40-49</t>
  </si>
  <si>
    <t>50-59</t>
  </si>
  <si>
    <t>60-69</t>
  </si>
  <si>
    <t>70-79</t>
  </si>
  <si>
    <t>80-89</t>
  </si>
  <si>
    <t>90-99</t>
  </si>
  <si>
    <t>0.90–0.99</t>
  </si>
  <si>
    <t>0.80–0.89</t>
  </si>
  <si>
    <t>0.70–0.79</t>
  </si>
  <si>
    <t>0.60–0.69</t>
  </si>
  <si>
    <t>0.50–0.59</t>
  </si>
  <si>
    <t>0.40–0.49</t>
  </si>
  <si>
    <t>0.30–0.39</t>
  </si>
  <si>
    <t>0.20–0.29</t>
  </si>
  <si>
    <t>0.10–0.19</t>
  </si>
  <si>
    <t>0–0.09</t>
  </si>
  <si>
    <t>Test positive</t>
  </si>
  <si>
    <t>Tests performed</t>
  </si>
  <si>
    <t>Proportion positive</t>
  </si>
  <si>
    <t>Pool size (n)</t>
  </si>
  <si>
    <t>Test per person</t>
  </si>
  <si>
    <t>Test performed</t>
  </si>
  <si>
    <t>Tests saved</t>
  </si>
  <si>
    <t>Pooling scenario</t>
  </si>
  <si>
    <t>No test</t>
  </si>
  <si>
    <t>Missed cases</t>
  </si>
  <si>
    <t>Individual testing</t>
  </si>
  <si>
    <t>Pooling group 1</t>
  </si>
  <si>
    <t>Pooling group 2</t>
  </si>
  <si>
    <t>Country</t>
  </si>
  <si>
    <t>Bangladesh</t>
  </si>
  <si>
    <t>Platform</t>
  </si>
  <si>
    <t>Cut-off Score</t>
  </si>
  <si>
    <t>Total tests</t>
  </si>
  <si>
    <t>Assumption</t>
  </si>
  <si>
    <t>Sensitivity = 1</t>
  </si>
  <si>
    <t>Specificity = 1</t>
  </si>
  <si>
    <t>No testing</t>
  </si>
  <si>
    <t>Total</t>
  </si>
  <si>
    <t>Pooling group 3</t>
  </si>
  <si>
    <t>User Input</t>
  </si>
  <si>
    <t>Base case</t>
  </si>
  <si>
    <t>CXR case</t>
  </si>
  <si>
    <t>General pooling case</t>
  </si>
  <si>
    <t>Mixed pooling case</t>
  </si>
  <si>
    <t>CAD cohort pooling case</t>
  </si>
  <si>
    <t>Combination 1</t>
  </si>
  <si>
    <t>Combination approach 1</t>
  </si>
  <si>
    <t>Combination 2</t>
  </si>
  <si>
    <t>Combination 3</t>
  </si>
  <si>
    <t>Combination 4</t>
  </si>
  <si>
    <t>Combination approach 2</t>
  </si>
  <si>
    <t>Combination approach 3</t>
  </si>
  <si>
    <t>Combination approach 4</t>
  </si>
  <si>
    <t>Summary table</t>
  </si>
  <si>
    <t>Use Case</t>
  </si>
  <si>
    <t xml:space="preserve">Total Tests Done </t>
  </si>
  <si>
    <t>Tests saved from prior case</t>
  </si>
  <si>
    <t>Tests saved from base case</t>
  </si>
  <si>
    <t>Cut-Off Sensitivity</t>
  </si>
  <si>
    <t>CAD4TB6</t>
  </si>
  <si>
    <t>0-9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</si>
</sst>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64" fontId="0" fillId="0" borderId="0" xfId="1" applyNumberFormat="1" applyFont="1" applyAlignment="1">
      <alignment vertical="center"/>
    </xf>
    <xf numFmtId="2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0" fontId="0" fillId="0" borderId="2" xfId="0" applyBorder="1" applyAlignment="1">
      <alignment vertical="center"/>
    </xf>
    <xf numFmtId="164" fontId="0" fillId="0" borderId="2" xfId="1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164" fontId="0" fillId="0" borderId="4" xfId="1" applyNumberFormat="1" applyFont="1" applyBorder="1" applyAlignment="1">
      <alignment vertical="center"/>
    </xf>
    <xf numFmtId="2" fontId="0" fillId="0" borderId="4" xfId="0" applyNumberFormat="1" applyBorder="1" applyAlignment="1">
      <alignment vertical="center"/>
    </xf>
    <xf numFmtId="1" fontId="0" fillId="0" borderId="4" xfId="0" applyNumberFormat="1" applyBorder="1" applyAlignment="1">
      <alignment vertical="center"/>
    </xf>
    <xf numFmtId="9" fontId="4" fillId="0" borderId="3" xfId="0" applyNumberFormat="1" applyFont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horizontal="left"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0" borderId="0" xfId="0" applyAlignment="1">
      <alignment horizontal="right" vertical="center"/>
    </xf>
    <xf numFmtId="0" fontId="2" fillId="2" borderId="5" xfId="0" applyFont="1" applyFill="1" applyBorder="1" applyAlignment="1">
      <alignment vertical="center"/>
    </xf>
    <xf numFmtId="9" fontId="4" fillId="4" borderId="3" xfId="0" applyNumberFormat="1" applyFont="1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5" fillId="0" borderId="2" xfId="0" applyFont="1" applyBorder="1" applyAlignment="1">
      <alignment horizontal="right" vertical="center"/>
    </xf>
    <xf numFmtId="9" fontId="4" fillId="0" borderId="0" xfId="0" applyNumberFormat="1" applyFont="1" applyAlignment="1">
      <alignment vertical="center"/>
    </xf>
    <xf numFmtId="0" fontId="3" fillId="6" borderId="0" xfId="0" applyFont="1" applyFill="1" applyAlignment="1">
      <alignment vertical="center"/>
    </xf>
    <xf numFmtId="164" fontId="0" fillId="0" borderId="0" xfId="0" applyNumberFormat="1" applyAlignment="1">
      <alignment vertical="center"/>
    </xf>
    <xf numFmtId="0" fontId="3" fillId="8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3" fillId="6" borderId="1" xfId="0" applyFont="1" applyFill="1" applyBorder="1" applyAlignment="1">
      <alignment horizontal="right" vertical="center"/>
    </xf>
    <xf numFmtId="1" fontId="0" fillId="0" borderId="1" xfId="0" applyNumberFormat="1" applyBorder="1" applyAlignment="1">
      <alignment vertical="center"/>
    </xf>
    <xf numFmtId="0" fontId="3" fillId="8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right" vertical="center"/>
    </xf>
    <xf numFmtId="164" fontId="0" fillId="0" borderId="1" xfId="1" applyNumberFormat="1" applyFont="1" applyBorder="1" applyAlignment="1">
      <alignment vertical="center"/>
    </xf>
    <xf numFmtId="164" fontId="0" fillId="0" borderId="0" xfId="1" applyNumberFormat="1" applyFont="1" applyAlignment="1">
      <alignment horizontal="left" vertical="center"/>
    </xf>
    <xf numFmtId="164" fontId="0" fillId="0" borderId="4" xfId="1" applyNumberFormat="1" applyFont="1" applyBorder="1" applyAlignment="1">
      <alignment horizontal="left" vertical="center"/>
    </xf>
    <xf numFmtId="164" fontId="6" fillId="9" borderId="0" xfId="1" applyNumberFormat="1" applyFont="1" applyFill="1" applyAlignment="1">
      <alignment vertical="center"/>
    </xf>
    <xf numFmtId="0" fontId="3" fillId="10" borderId="0" xfId="0" applyFont="1" applyFill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2</xdr:row>
      <xdr:rowOff>25400</xdr:rowOff>
    </xdr:from>
    <xdr:to>
      <xdr:col>12</xdr:col>
      <xdr:colOff>426719</xdr:colOff>
      <xdr:row>34</xdr:row>
      <xdr:rowOff>144779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140EC7A-4844-FD4A-9775-8135EE6A6333}"/>
                </a:ext>
              </a:extLst>
            </xdr:cNvPr>
            <xdr:cNvSpPr txBox="1"/>
          </xdr:nvSpPr>
          <xdr:spPr>
            <a:xfrm>
              <a:off x="508000" y="431800"/>
              <a:ext cx="9812019" cy="6621779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400" b="1"/>
                <a:t>Purpose of the Sheet:</a:t>
              </a:r>
              <a:r>
                <a:rPr lang="en-IN" sz="1400"/>
                <a:t> </a:t>
              </a:r>
            </a:p>
            <a:p>
              <a:r>
                <a:rPr lang="en-IN" sz="1400"/>
                <a:t>This Excel sheet is designed to calculate the efficiency of</a:t>
              </a:r>
              <a:r>
                <a:rPr lang="en-IN" sz="1400" baseline="0"/>
                <a:t> Xpert </a:t>
              </a:r>
              <a:r>
                <a:rPr lang="en-IN" sz="1400"/>
                <a:t>pooling strategy </a:t>
              </a:r>
              <a:r>
                <a:rPr lang="en-IN" sz="1400" baseline="0"/>
                <a:t>for individuals screened using chest X-ray and CAD combination. It follows a two-stage hierarchical testing algorithm where both the stages are Xpert. </a:t>
              </a:r>
            </a:p>
            <a:p>
              <a:endParaRPr lang="en-IN" sz="1400" b="1" baseline="0"/>
            </a:p>
            <a:p>
              <a:r>
                <a:rPr lang="en-IN" sz="1400" b="1"/>
                <a:t>How It Works:</a:t>
              </a:r>
              <a:r>
                <a:rPr lang="en-IN" sz="1400"/>
                <a:t> </a:t>
              </a:r>
            </a:p>
            <a:p>
              <a:r>
                <a:rPr lang="en-IN" sz="1400"/>
                <a:t>It</a:t>
              </a:r>
              <a:r>
                <a:rPr lang="en-IN" sz="1400" baseline="0"/>
                <a:t> uses the following formiula:</a:t>
              </a:r>
              <a:endParaRPr lang="en-IN" sz="14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𝑇𝑒𝑠𝑡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𝑝𝑒𝑟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𝑝𝑒𝑟𝑠𝑜𝑛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sub>
                    </m:sSub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</m:t>
                    </m:r>
                    <m:sSup>
                      <m:sSupPr>
                        <m:ctrlPr>
                          <a:rPr lang="en-IN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IN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d>
                                  <m:dPr>
                                    <m:ctrlPr>
                                      <a:rPr lang="en-IN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  <m:r>
                                      <a:rPr lang="en-US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</m:t>
                                    </m:r>
                                    <m:r>
                                      <a:rPr lang="en-GB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e>
                                </m:d>
                              </m:num>
                              <m:den>
                                <m: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den>
                            </m:f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IN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1−</m:t>
                                    </m:r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𝑝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𝑚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</m:sSup>
                          </m:e>
                        </m:d>
                      </m:e>
                      <m:sup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r>
                      <m:rPr>
                        <m:nor/>
                      </m:rPr>
                      <a:rPr lang="en-IN" sz="1400">
                        <a:effectLst/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IN" sz="1400"/>
            </a:p>
            <a:p>
              <a:endParaRPr lang="en-IN" sz="1400"/>
            </a:p>
            <a:p>
              <a:r>
                <a:rPr lang="en-IN" sz="1400"/>
                <a:t>where </a:t>
              </a:r>
              <a:r>
                <a:rPr lang="en-IN" sz="1400" i="1"/>
                <a:t>n</a:t>
              </a:r>
              <a:r>
                <a:rPr lang="en-IN" sz="1400"/>
                <a:t> is the pool size and </a:t>
              </a:r>
              <a:r>
                <a:rPr lang="en-ZA" sz="14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</a:t>
              </a:r>
              <a:r>
                <a:rPr lang="en-ZA" sz="1400" i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</a:t>
              </a:r>
              <a:r>
                <a:rPr lang="en-ZA" sz="14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400"/>
                <a:t>is the positivity rate . This sheet uses the values entered by the user for</a:t>
              </a:r>
              <a:r>
                <a:rPr lang="en-IN" sz="1400" baseline="0"/>
                <a:t> </a:t>
              </a:r>
              <a:r>
                <a:rPr lang="en-IN" sz="1400" i="1" baseline="0"/>
                <a:t>n </a:t>
              </a:r>
              <a:r>
                <a:rPr lang="en-IN" sz="1400" i="0" baseline="0"/>
                <a:t>and </a:t>
              </a:r>
              <a:r>
                <a:rPr lang="en-ZA" sz="14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</a:t>
              </a:r>
              <a:r>
                <a:rPr lang="en-ZA" sz="1400" i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</a:t>
              </a:r>
              <a:r>
                <a:rPr lang="en-IN" sz="1400" i="1" baseline="0"/>
                <a:t> </a:t>
              </a:r>
              <a:r>
                <a:rPr lang="en-IN" sz="1400" i="0" baseline="0"/>
                <a:t>(labelled </a:t>
              </a:r>
              <a:r>
                <a:rPr lang="en-IN" sz="1400" i="1" baseline="0"/>
                <a:t>proportion positive</a:t>
              </a:r>
              <a:r>
                <a:rPr lang="en-IN" sz="1400" i="0" baseline="0"/>
                <a:t>)</a:t>
              </a:r>
              <a:r>
                <a:rPr lang="en-IN" sz="1400"/>
                <a:t>.</a:t>
              </a:r>
            </a:p>
            <a:p>
              <a:endParaRPr lang="en-IN" sz="1400"/>
            </a:p>
            <a:p>
              <a:r>
                <a:rPr lang="en-IN" sz="1400"/>
                <a:t>[ Dorfman, R. The detection of defective members of large populations. </a:t>
              </a:r>
              <a:r>
                <a:rPr lang="en-IN" sz="1400" i="1"/>
                <a:t>Ann. Math. Stat.</a:t>
              </a:r>
              <a:r>
                <a:rPr lang="en-IN" sz="1400"/>
                <a:t> </a:t>
              </a:r>
              <a:r>
                <a:rPr lang="en-IN" sz="1400" b="1"/>
                <a:t>14</a:t>
              </a:r>
              <a:r>
                <a:rPr lang="en-IN" sz="1400"/>
                <a:t>, 436–440. </a:t>
              </a:r>
              <a:r>
                <a:rPr lang="en-IN" sz="1400">
                  <a:hlinkClick xmlns:r="http://schemas.openxmlformats.org/officeDocument/2006/relationships" r:id=""/>
                </a:rPr>
                <a:t>https://doi.org/10.1214/aoms/1177731363</a:t>
              </a:r>
              <a:r>
                <a:rPr lang="en-IN" sz="1400"/>
                <a:t> ]</a:t>
              </a:r>
            </a:p>
            <a:p>
              <a:endParaRPr lang="en-IN" sz="1400" b="1"/>
            </a:p>
            <a:p>
              <a:r>
                <a:rPr lang="en-IN" sz="1400" b="1"/>
                <a:t>Instructions for Use:</a:t>
              </a:r>
              <a:endParaRPr lang="en-IN" sz="1400"/>
            </a:p>
            <a:p>
              <a:pPr>
                <a:buFont typeface="+mj-lt"/>
                <a:buAutoNum type="arabicPeriod"/>
              </a:pPr>
              <a:r>
                <a:rPr lang="en-IN" sz="1400"/>
                <a:t>Input the pool size (number of individual samples in each pooled test) in cell I5.</a:t>
              </a:r>
            </a:p>
            <a:p>
              <a:pPr>
                <a:buFont typeface="+mj-lt"/>
                <a:buAutoNum type="arabicPeriod"/>
              </a:pPr>
              <a:r>
                <a:rPr lang="en-IN" sz="1400"/>
                <a:t>Input</a:t>
              </a:r>
              <a:r>
                <a:rPr lang="en-IN" sz="1400" baseline="0"/>
                <a:t> the CAD output (</a:t>
              </a:r>
              <a:r>
                <a:rPr lang="en-IN" sz="14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Cut-off Score,</a:t>
              </a:r>
              <a:r>
                <a:rPr lang="en-IN" sz="1400"/>
                <a:t> </a:t>
              </a:r>
              <a:r>
                <a:rPr lang="en-IN" sz="14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Tests performed,</a:t>
              </a:r>
              <a:r>
                <a:rPr lang="en-IN" sz="14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4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Test positive)</a:t>
              </a:r>
              <a:r>
                <a:rPr lang="en-IN" sz="14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>
                <a:buFont typeface="+mj-lt"/>
                <a:buAutoNum type="arabicPeriod"/>
              </a:pPr>
              <a:r>
                <a:rPr lang="en-IN" sz="14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r>
                <a:rPr lang="en-IN" sz="1400"/>
                <a:t>he propotion</a:t>
              </a:r>
              <a:r>
                <a:rPr lang="en-IN" sz="1400" baseline="0"/>
                <a:t> positive</a:t>
              </a:r>
              <a:r>
                <a:rPr lang="en-IN" sz="1400"/>
                <a:t> (</a:t>
              </a:r>
              <a:r>
                <a:rPr lang="en-ZA" sz="14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</a:t>
              </a:r>
              <a:r>
                <a:rPr lang="en-ZA" sz="1400" i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</a:t>
              </a:r>
              <a:r>
                <a:rPr lang="en-IN" sz="1400"/>
                <a:t>) in column F</a:t>
              </a:r>
              <a:r>
                <a:rPr lang="en-IN" sz="1400" baseline="0"/>
                <a:t> (7 onwards) is calculated as a decimal or percentage</a:t>
              </a:r>
              <a:r>
                <a:rPr lang="en-IN" sz="1400"/>
                <a:t>. </a:t>
              </a:r>
              <a:r>
                <a:rPr lang="en-IN" sz="1400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IN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</m:e>
                    <m:sub>
                      <m:r>
                        <a:rPr lang="en-US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sub>
                  </m:sSub>
                  <m:r>
                    <a:rPr lang="en-IN" sz="1400" i="1" baseline="0"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ctrlPr>
                        <a:rPr lang="en-IN" sz="140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n-IN" sz="140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IN" sz="1400" i="0" baseline="0">
                              <a:latin typeface="Cambria Math" panose="02040503050406030204" pitchFamily="18" charset="0"/>
                            </a:rPr>
                            <m:t>Test</m:t>
                          </m:r>
                          <m:r>
                            <m:rPr>
                              <m:nor/>
                            </m:rPr>
                            <a:rPr lang="en-IN" sz="1400" i="0" baseline="0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en-IN" sz="1400" i="0" baseline="0">
                              <a:latin typeface="Cambria Math" panose="02040503050406030204" pitchFamily="18" charset="0"/>
                            </a:rPr>
                            <m:t>positive</m:t>
                          </m:r>
                        </m:num>
                        <m:den>
                          <m:r>
                            <m:rPr>
                              <m:nor/>
                            </m:rPr>
                            <a:rPr lang="en-IN" sz="1400" i="0" baseline="0">
                              <a:latin typeface="Cambria Math" panose="02040503050406030204" pitchFamily="18" charset="0"/>
                            </a:rPr>
                            <m:t>Tests</m:t>
                          </m:r>
                          <m:r>
                            <m:rPr>
                              <m:nor/>
                            </m:rPr>
                            <a:rPr lang="en-IN" sz="1400" i="0" baseline="0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en-IN" sz="1400" i="0" baseline="0">
                              <a:latin typeface="Cambria Math" panose="02040503050406030204" pitchFamily="18" charset="0"/>
                            </a:rPr>
                            <m:t>performed</m:t>
                          </m:r>
                        </m:den>
                      </m:f>
                    </m:e>
                  </m:d>
                </m:oMath>
              </a14:m>
              <a:endParaRPr lang="en-IN" sz="1400"/>
            </a:p>
            <a:p>
              <a:pPr>
                <a:buFont typeface="+mj-lt"/>
                <a:buAutoNum type="arabicPeriod"/>
              </a:pPr>
              <a:r>
                <a:rPr lang="en-IN" sz="1400"/>
                <a:t>The efficiency calculation will automatically update.</a:t>
              </a:r>
              <a:endParaRPr lang="en-IN" sz="1400" b="1"/>
            </a:p>
            <a:p>
              <a:pPr>
                <a:buFont typeface="+mj-lt"/>
                <a:buAutoNum type="arabicPeriod"/>
              </a:pPr>
              <a:r>
                <a:rPr lang="en-IN" sz="1400"/>
                <a:t>Combination</a:t>
              </a:r>
              <a:r>
                <a:rPr lang="en-IN" sz="1400" baseline="0"/>
                <a:t> approach provides results for different combination groups (</a:t>
              </a:r>
              <a:r>
                <a:rPr lang="en-IN" sz="14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No test,</a:t>
              </a:r>
              <a:r>
                <a:rPr lang="en-IN" sz="1400"/>
                <a:t> </a:t>
              </a:r>
              <a:r>
                <a:rPr lang="en-IN" sz="14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Individual test,</a:t>
              </a:r>
              <a:r>
                <a:rPr lang="en-IN" sz="1400"/>
                <a:t> </a:t>
              </a:r>
              <a:r>
                <a:rPr lang="en-IN" sz="14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Pooling).</a:t>
              </a:r>
              <a:br>
                <a:rPr lang="en-IN" sz="14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IN" sz="14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You can change the option in column L for each CAD score band.</a:t>
              </a:r>
              <a:endParaRPr lang="en-IN" sz="1400"/>
            </a:p>
            <a:p>
              <a:br>
                <a:rPr lang="en-IN" sz="1400" b="1"/>
              </a:br>
              <a:r>
                <a:rPr lang="en-IN" sz="1400" b="1"/>
                <a:t>Limitations:</a:t>
              </a:r>
              <a:endParaRPr lang="en-IN" sz="1400"/>
            </a:p>
            <a:p>
              <a:pPr>
                <a:buFont typeface="Arial" panose="020B0604020202020204" pitchFamily="34" charset="0"/>
                <a:buChar char="•"/>
              </a:pPr>
              <a:r>
                <a:rPr lang="en-IN" sz="1400"/>
                <a:t>The formula assumes perfect test sensitivity and specificity (=1).</a:t>
              </a:r>
            </a:p>
            <a:p>
              <a:endParaRPr lang="en-GB" sz="1400"/>
            </a:p>
            <a:p>
              <a:r>
                <a:rPr lang="en-GB" sz="1400"/>
                <a:t>Refer</a:t>
              </a:r>
              <a:r>
                <a:rPr lang="en-GB" sz="1400" baseline="0"/>
                <a:t> to the app for pooled testing: </a:t>
              </a:r>
              <a:r>
                <a:rPr lang="en-GB" sz="1400"/>
                <a:t>https://bilder.shinyapps.io/PooledTesting/</a:t>
              </a:r>
            </a:p>
            <a:p>
              <a:endParaRPr lang="en-GB" sz="1400" b="0" i="0">
                <a:latin typeface="+mn-lt"/>
              </a:endParaRPr>
            </a:p>
            <a:p>
              <a:endParaRPr lang="en-GB" sz="14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140EC7A-4844-FD4A-9775-8135EE6A6333}"/>
                </a:ext>
              </a:extLst>
            </xdr:cNvPr>
            <xdr:cNvSpPr txBox="1"/>
          </xdr:nvSpPr>
          <xdr:spPr>
            <a:xfrm>
              <a:off x="508000" y="431800"/>
              <a:ext cx="9812019" cy="6621779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400" b="1"/>
                <a:t>Purpose of the Sheet:</a:t>
              </a:r>
              <a:r>
                <a:rPr lang="en-IN" sz="1400"/>
                <a:t> </a:t>
              </a:r>
            </a:p>
            <a:p>
              <a:r>
                <a:rPr lang="en-IN" sz="1400"/>
                <a:t>This Excel sheet is designed to calculate the efficiency of</a:t>
              </a:r>
              <a:r>
                <a:rPr lang="en-IN" sz="1400" baseline="0"/>
                <a:t> Xpert </a:t>
              </a:r>
              <a:r>
                <a:rPr lang="en-IN" sz="1400"/>
                <a:t>pooling strategy </a:t>
              </a:r>
              <a:r>
                <a:rPr lang="en-IN" sz="1400" baseline="0"/>
                <a:t>for individuals screened using chest X-ray and CAD combination. It follows a two-stage hierarchical testing algorithm where both the stages are Xpert. </a:t>
              </a:r>
            </a:p>
            <a:p>
              <a:endParaRPr lang="en-IN" sz="1400" b="1" baseline="0"/>
            </a:p>
            <a:p>
              <a:r>
                <a:rPr lang="en-IN" sz="1400" b="1"/>
                <a:t>How It Works:</a:t>
              </a:r>
              <a:r>
                <a:rPr lang="en-IN" sz="1400"/>
                <a:t> </a:t>
              </a:r>
            </a:p>
            <a:p>
              <a:r>
                <a:rPr lang="en-IN" sz="1400"/>
                <a:t>It</a:t>
              </a:r>
              <a:r>
                <a:rPr lang="en-IN" sz="1400" baseline="0"/>
                <a:t> uses the following formiula:</a:t>
              </a:r>
              <a:endParaRPr lang="en-IN" sz="1400"/>
            </a:p>
            <a:p>
              <a:pPr/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𝑇𝑒𝑠𝑡 𝑝𝑒𝑟 𝑝𝑒𝑟𝑠𝑜𝑛 =𝑇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  =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(((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𝑛−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1−𝑝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 )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)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^(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IN" sz="1400" i="0">
                  <a:effectLst/>
                  <a:latin typeface="Cambria Math" panose="02040503050406030204" pitchFamily="18" charset="0"/>
                </a:rPr>
                <a:t> </a:t>
              </a:r>
              <a:r>
                <a:rPr lang="en-GB" sz="1400" i="0">
                  <a:effectLst/>
                  <a:latin typeface="Cambria Math" panose="02040503050406030204" pitchFamily="18" charset="0"/>
                </a:rPr>
                <a:t>"</a:t>
              </a:r>
              <a:endParaRPr lang="en-IN" sz="1400"/>
            </a:p>
            <a:p>
              <a:endParaRPr lang="en-IN" sz="1400"/>
            </a:p>
            <a:p>
              <a:r>
                <a:rPr lang="en-IN" sz="1400"/>
                <a:t>where </a:t>
              </a:r>
              <a:r>
                <a:rPr lang="en-IN" sz="1400" i="1"/>
                <a:t>n</a:t>
              </a:r>
              <a:r>
                <a:rPr lang="en-IN" sz="1400"/>
                <a:t> is the pool size and </a:t>
              </a:r>
              <a:r>
                <a:rPr lang="en-ZA" sz="14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</a:t>
              </a:r>
              <a:r>
                <a:rPr lang="en-ZA" sz="1400" i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</a:t>
              </a:r>
              <a:r>
                <a:rPr lang="en-ZA" sz="14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400"/>
                <a:t>is the positivity rate . This sheet uses the values entered by the user for</a:t>
              </a:r>
              <a:r>
                <a:rPr lang="en-IN" sz="1400" baseline="0"/>
                <a:t> </a:t>
              </a:r>
              <a:r>
                <a:rPr lang="en-IN" sz="1400" i="1" baseline="0"/>
                <a:t>n </a:t>
              </a:r>
              <a:r>
                <a:rPr lang="en-IN" sz="1400" i="0" baseline="0"/>
                <a:t>and </a:t>
              </a:r>
              <a:r>
                <a:rPr lang="en-ZA" sz="14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</a:t>
              </a:r>
              <a:r>
                <a:rPr lang="en-ZA" sz="1400" i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</a:t>
              </a:r>
              <a:r>
                <a:rPr lang="en-IN" sz="1400" i="1" baseline="0"/>
                <a:t> </a:t>
              </a:r>
              <a:r>
                <a:rPr lang="en-IN" sz="1400" i="0" baseline="0"/>
                <a:t>(labelled </a:t>
              </a:r>
              <a:r>
                <a:rPr lang="en-IN" sz="1400" i="1" baseline="0"/>
                <a:t>proportion positive</a:t>
              </a:r>
              <a:r>
                <a:rPr lang="en-IN" sz="1400" i="0" baseline="0"/>
                <a:t>)</a:t>
              </a:r>
              <a:r>
                <a:rPr lang="en-IN" sz="1400"/>
                <a:t>.</a:t>
              </a:r>
            </a:p>
            <a:p>
              <a:endParaRPr lang="en-IN" sz="1400"/>
            </a:p>
            <a:p>
              <a:r>
                <a:rPr lang="en-IN" sz="1400"/>
                <a:t>[ Dorfman, R. The detection of defective members of large populations. </a:t>
              </a:r>
              <a:r>
                <a:rPr lang="en-IN" sz="1400" i="1"/>
                <a:t>Ann. Math. Stat.</a:t>
              </a:r>
              <a:r>
                <a:rPr lang="en-IN" sz="1400"/>
                <a:t> </a:t>
              </a:r>
              <a:r>
                <a:rPr lang="en-IN" sz="1400" b="1"/>
                <a:t>14</a:t>
              </a:r>
              <a:r>
                <a:rPr lang="en-IN" sz="1400"/>
                <a:t>, 436–440. </a:t>
              </a:r>
              <a:r>
                <a:rPr lang="en-IN" sz="1400">
                  <a:hlinkClick xmlns:r="http://schemas.openxmlformats.org/officeDocument/2006/relationships" r:id=""/>
                </a:rPr>
                <a:t>https://doi.org/10.1214/aoms/1177731363</a:t>
              </a:r>
              <a:r>
                <a:rPr lang="en-IN" sz="1400"/>
                <a:t> ]</a:t>
              </a:r>
            </a:p>
            <a:p>
              <a:endParaRPr lang="en-IN" sz="1400" b="1"/>
            </a:p>
            <a:p>
              <a:r>
                <a:rPr lang="en-IN" sz="1400" b="1"/>
                <a:t>Instructions for Use:</a:t>
              </a:r>
              <a:endParaRPr lang="en-IN" sz="1400"/>
            </a:p>
            <a:p>
              <a:pPr>
                <a:buFont typeface="+mj-lt"/>
                <a:buAutoNum type="arabicPeriod"/>
              </a:pPr>
              <a:r>
                <a:rPr lang="en-IN" sz="1400"/>
                <a:t>Input the pool size (number of individual samples in each pooled test) in cell I5.</a:t>
              </a:r>
            </a:p>
            <a:p>
              <a:pPr>
                <a:buFont typeface="+mj-lt"/>
                <a:buAutoNum type="arabicPeriod"/>
              </a:pPr>
              <a:r>
                <a:rPr lang="en-IN" sz="1400"/>
                <a:t>Input</a:t>
              </a:r>
              <a:r>
                <a:rPr lang="en-IN" sz="1400" baseline="0"/>
                <a:t> the CAD output (</a:t>
              </a:r>
              <a:r>
                <a:rPr lang="en-IN" sz="14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Cut-off Score,</a:t>
              </a:r>
              <a:r>
                <a:rPr lang="en-IN" sz="1400"/>
                <a:t> </a:t>
              </a:r>
              <a:r>
                <a:rPr lang="en-IN" sz="14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Tests performed,</a:t>
              </a:r>
              <a:r>
                <a:rPr lang="en-IN" sz="14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4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Test positive)</a:t>
              </a:r>
              <a:r>
                <a:rPr lang="en-IN" sz="14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>
                <a:buFont typeface="+mj-lt"/>
                <a:buAutoNum type="arabicPeriod"/>
              </a:pPr>
              <a:r>
                <a:rPr lang="en-IN" sz="14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r>
                <a:rPr lang="en-IN" sz="1400"/>
                <a:t>he propotion</a:t>
              </a:r>
              <a:r>
                <a:rPr lang="en-IN" sz="1400" baseline="0"/>
                <a:t> positive</a:t>
              </a:r>
              <a:r>
                <a:rPr lang="en-IN" sz="1400"/>
                <a:t> (</a:t>
              </a:r>
              <a:r>
                <a:rPr lang="en-ZA" sz="14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</a:t>
              </a:r>
              <a:r>
                <a:rPr lang="en-ZA" sz="1400" i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</a:t>
              </a:r>
              <a:r>
                <a:rPr lang="en-IN" sz="1400"/>
                <a:t>) in column F</a:t>
              </a:r>
              <a:r>
                <a:rPr lang="en-IN" sz="1400" baseline="0"/>
                <a:t> (7 onwards) is calculated as a decimal or percentage</a:t>
              </a:r>
              <a:r>
                <a:rPr lang="en-IN" sz="1400"/>
                <a:t>. </a:t>
              </a:r>
              <a:r>
                <a:rPr lang="en-IN" sz="1400" baseline="0"/>
                <a:t> </a:t>
              </a:r>
              <a:r>
                <a:rPr lang="en-US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</a:t>
              </a:r>
              <a:r>
                <a:rPr lang="en-IN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IN" sz="1400" i="0" baseline="0">
                  <a:latin typeface="Cambria Math" panose="02040503050406030204" pitchFamily="18" charset="0"/>
                </a:rPr>
                <a:t>=</a:t>
              </a:r>
              <a:r>
                <a:rPr lang="en-IN" sz="14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("</a:t>
              </a:r>
              <a:r>
                <a:rPr lang="en-IN" sz="1400" i="0" baseline="0">
                  <a:latin typeface="Cambria Math" panose="02040503050406030204" pitchFamily="18" charset="0"/>
                </a:rPr>
                <a:t>Test positive" </a:t>
              </a:r>
              <a:r>
                <a:rPr lang="en-IN" sz="14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/"</a:t>
              </a:r>
              <a:r>
                <a:rPr lang="en-IN" sz="1400" i="0" baseline="0">
                  <a:latin typeface="Cambria Math" panose="02040503050406030204" pitchFamily="18" charset="0"/>
                </a:rPr>
                <a:t>Tests performed" )</a:t>
              </a:r>
              <a:endParaRPr lang="en-IN" sz="1400"/>
            </a:p>
            <a:p>
              <a:pPr>
                <a:buFont typeface="+mj-lt"/>
                <a:buAutoNum type="arabicPeriod"/>
              </a:pPr>
              <a:r>
                <a:rPr lang="en-IN" sz="1400"/>
                <a:t>The efficiency calculation will automatically update.</a:t>
              </a:r>
              <a:endParaRPr lang="en-IN" sz="1400" b="1"/>
            </a:p>
            <a:p>
              <a:pPr>
                <a:buFont typeface="+mj-lt"/>
                <a:buAutoNum type="arabicPeriod"/>
              </a:pPr>
              <a:r>
                <a:rPr lang="en-IN" sz="1400"/>
                <a:t>Combination</a:t>
              </a:r>
              <a:r>
                <a:rPr lang="en-IN" sz="1400" baseline="0"/>
                <a:t> approach provides results for different combination groups (</a:t>
              </a:r>
              <a:r>
                <a:rPr lang="en-IN" sz="14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No test,</a:t>
              </a:r>
              <a:r>
                <a:rPr lang="en-IN" sz="1400"/>
                <a:t> </a:t>
              </a:r>
              <a:r>
                <a:rPr lang="en-IN" sz="14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Individual test,</a:t>
              </a:r>
              <a:r>
                <a:rPr lang="en-IN" sz="1400"/>
                <a:t> </a:t>
              </a:r>
              <a:r>
                <a:rPr lang="en-IN" sz="14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Pooling).</a:t>
              </a:r>
              <a:br>
                <a:rPr lang="en-IN" sz="14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IN" sz="14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You can change the option in column L for each CAD score band.</a:t>
              </a:r>
              <a:endParaRPr lang="en-IN" sz="1400"/>
            </a:p>
            <a:p>
              <a:br>
                <a:rPr lang="en-IN" sz="1400" b="1"/>
              </a:br>
              <a:r>
                <a:rPr lang="en-IN" sz="1400" b="1"/>
                <a:t>Limitations:</a:t>
              </a:r>
              <a:endParaRPr lang="en-IN" sz="1400"/>
            </a:p>
            <a:p>
              <a:pPr>
                <a:buFont typeface="Arial" panose="020B0604020202020204" pitchFamily="34" charset="0"/>
                <a:buChar char="•"/>
              </a:pPr>
              <a:r>
                <a:rPr lang="en-IN" sz="1400"/>
                <a:t>The formula assumes perfect test sensitivity and specificity (=1).</a:t>
              </a:r>
            </a:p>
            <a:p>
              <a:endParaRPr lang="en-GB" sz="1400"/>
            </a:p>
            <a:p>
              <a:r>
                <a:rPr lang="en-GB" sz="1400"/>
                <a:t>Refer</a:t>
              </a:r>
              <a:r>
                <a:rPr lang="en-GB" sz="1400" baseline="0"/>
                <a:t> to the app for pooled testing: </a:t>
              </a:r>
              <a:r>
                <a:rPr lang="en-GB" sz="1400"/>
                <a:t>https://bilder.shinyapps.io/PooledTesting/</a:t>
              </a:r>
            </a:p>
            <a:p>
              <a:endParaRPr lang="en-GB" sz="1400" b="0" i="0">
                <a:latin typeface="+mn-lt"/>
              </a:endParaRPr>
            </a:p>
            <a:p>
              <a:endParaRPr lang="en-GB" sz="14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B8"/>
  <sheetViews>
    <sheetView showGridLines="0" tabSelected="1" zoomScaleNormal="100" workbookViewId="0">
      <selection activeCell="O21" sqref="O21"/>
    </sheetView>
  </sheetViews>
  <sheetFormatPr baseColWidth="10" defaultColWidth="11.1640625" defaultRowHeight="16" x14ac:dyDescent="0.2"/>
  <cols>
    <col min="1" max="1" width="10.33203125" customWidth="1"/>
    <col min="2" max="2" width="7.83203125" customWidth="1"/>
  </cols>
  <sheetData>
    <row r="3" spans="2:2" x14ac:dyDescent="0.2">
      <c r="B3" s="1"/>
    </row>
    <row r="5" spans="2:2" x14ac:dyDescent="0.2">
      <c r="B5" s="2"/>
    </row>
    <row r="6" spans="2:2" x14ac:dyDescent="0.2">
      <c r="B6" s="2"/>
    </row>
    <row r="7" spans="2:2" x14ac:dyDescent="0.2">
      <c r="B7" s="2"/>
    </row>
    <row r="8" spans="2:2" x14ac:dyDescent="0.2">
      <c r="B8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3E5FA-B747-884E-8E39-36677EC139F5}">
  <dimension ref="B1:V1048576"/>
  <sheetViews>
    <sheetView zoomScaleNormal="100" workbookViewId="0">
      <selection activeCell="P25" sqref="P25"/>
    </sheetView>
  </sheetViews>
  <sheetFormatPr baseColWidth="10" defaultColWidth="10.83203125" defaultRowHeight="16" x14ac:dyDescent="0.2"/>
  <cols>
    <col min="1" max="1" width="4.1640625" style="3" customWidth="1"/>
    <col min="2" max="2" width="10.83203125" style="3"/>
    <col min="3" max="3" width="15.1640625" style="3" bestFit="1" customWidth="1"/>
    <col min="4" max="4" width="14.6640625" style="3" bestFit="1" customWidth="1"/>
    <col min="5" max="5" width="10.83203125" style="3"/>
    <col min="6" max="6" width="16.83203125" style="3" bestFit="1" customWidth="1"/>
    <col min="7" max="7" width="10.83203125" style="3" customWidth="1"/>
    <col min="8" max="11" width="10.83203125" style="3"/>
    <col min="12" max="12" width="13.6640625" style="3" customWidth="1"/>
    <col min="13" max="13" width="15.1640625" style="3" bestFit="1" customWidth="1"/>
    <col min="14" max="14" width="13" style="3" bestFit="1" customWidth="1"/>
    <col min="15" max="15" width="13.6640625" style="3" bestFit="1" customWidth="1"/>
    <col min="16" max="16" width="21" style="3" bestFit="1" customWidth="1"/>
    <col min="17" max="17" width="15.5" style="3" bestFit="1" customWidth="1"/>
    <col min="18" max="20" width="12" style="3" customWidth="1"/>
    <col min="21" max="22" width="12" style="3" bestFit="1" customWidth="1"/>
    <col min="23" max="16384" width="10.83203125" style="3"/>
  </cols>
  <sheetData>
    <row r="1" spans="2:16" x14ac:dyDescent="0.2">
      <c r="B1" s="3" t="s">
        <v>37</v>
      </c>
      <c r="C1" s="3" t="s">
        <v>38</v>
      </c>
      <c r="E1" s="15" t="s">
        <v>43</v>
      </c>
      <c r="L1" s="22">
        <v>0</v>
      </c>
      <c r="M1" s="23" t="s">
        <v>27</v>
      </c>
    </row>
    <row r="2" spans="2:16" x14ac:dyDescent="0.2">
      <c r="C2" s="3" t="s">
        <v>39</v>
      </c>
      <c r="L2" s="24">
        <v>1</v>
      </c>
      <c r="M2" s="25" t="s">
        <v>29</v>
      </c>
    </row>
    <row r="3" spans="2:16" x14ac:dyDescent="0.2">
      <c r="L3" s="24">
        <v>11</v>
      </c>
      <c r="M3" s="25" t="s">
        <v>30</v>
      </c>
    </row>
    <row r="4" spans="2:16" x14ac:dyDescent="0.2">
      <c r="B4" s="4" t="s">
        <v>32</v>
      </c>
      <c r="C4" s="32" t="s">
        <v>33</v>
      </c>
      <c r="H4" s="50" t="s">
        <v>26</v>
      </c>
      <c r="I4" s="50"/>
      <c r="J4" s="50"/>
      <c r="L4" s="24">
        <v>22</v>
      </c>
      <c r="M4" s="25" t="s">
        <v>31</v>
      </c>
    </row>
    <row r="5" spans="2:16" x14ac:dyDescent="0.2">
      <c r="B5" s="3" t="s">
        <v>34</v>
      </c>
      <c r="C5" s="33" t="s">
        <v>63</v>
      </c>
      <c r="H5" s="28" t="s">
        <v>22</v>
      </c>
      <c r="I5" s="29">
        <v>4</v>
      </c>
      <c r="L5" s="26">
        <v>33</v>
      </c>
      <c r="M5" s="27" t="s">
        <v>42</v>
      </c>
    </row>
    <row r="6" spans="2:16" x14ac:dyDescent="0.2">
      <c r="C6" s="4" t="s">
        <v>35</v>
      </c>
      <c r="D6" s="4" t="s">
        <v>20</v>
      </c>
      <c r="E6" s="4" t="s">
        <v>19</v>
      </c>
      <c r="F6" s="4" t="s">
        <v>21</v>
      </c>
      <c r="G6" s="4" t="s">
        <v>62</v>
      </c>
      <c r="H6" s="4" t="s">
        <v>23</v>
      </c>
      <c r="I6" s="4" t="s">
        <v>24</v>
      </c>
      <c r="J6" s="4" t="s">
        <v>25</v>
      </c>
      <c r="L6" s="49" t="s">
        <v>45</v>
      </c>
      <c r="M6" s="36" t="s">
        <v>49</v>
      </c>
      <c r="N6" s="38" t="s">
        <v>51</v>
      </c>
      <c r="O6" s="33" t="s">
        <v>52</v>
      </c>
      <c r="P6" s="39" t="s">
        <v>53</v>
      </c>
    </row>
    <row r="7" spans="2:16" x14ac:dyDescent="0.2">
      <c r="C7" s="3" t="s">
        <v>64</v>
      </c>
      <c r="D7" s="19">
        <v>10588</v>
      </c>
      <c r="E7" s="16">
        <v>143</v>
      </c>
      <c r="F7" s="5">
        <f>E7/D7</f>
        <v>1.3505855685681904E-2</v>
      </c>
      <c r="H7" s="6">
        <f t="shared" ref="H7:H15" si="0">(((I$5+1)/I$5)-(1-$F7)^I$5)</f>
        <v>0.3029387949551241</v>
      </c>
      <c r="I7" s="7">
        <f>CEILING(H7*D7,1)</f>
        <v>3208</v>
      </c>
      <c r="J7" s="7">
        <f>MAX(0,D7-I7)</f>
        <v>7380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</row>
    <row r="8" spans="2:16" x14ac:dyDescent="0.2">
      <c r="C8" s="3" t="s">
        <v>0</v>
      </c>
      <c r="D8" s="20">
        <v>1741</v>
      </c>
      <c r="E8" s="17">
        <v>46</v>
      </c>
      <c r="F8" s="5">
        <f t="shared" ref="F8:F16" si="1">E8/D8</f>
        <v>2.6421596783457783E-2</v>
      </c>
      <c r="H8" s="6">
        <f t="shared" si="0"/>
        <v>0.351571074878544</v>
      </c>
      <c r="I8" s="7">
        <f t="shared" ref="I8:I15" si="2">CEILING(H8*D8,1)</f>
        <v>613</v>
      </c>
      <c r="J8" s="7">
        <f t="shared" ref="J8:J15" si="3">MAX(0,D8-I8)</f>
        <v>1128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</row>
    <row r="9" spans="2:16" x14ac:dyDescent="0.2">
      <c r="C9" s="3" t="s">
        <v>1</v>
      </c>
      <c r="D9" s="20">
        <v>1024</v>
      </c>
      <c r="E9" s="17">
        <v>46</v>
      </c>
      <c r="F9" s="5">
        <f t="shared" si="1"/>
        <v>4.4921875E-2</v>
      </c>
      <c r="G9" s="48">
        <f>SUM(E9:$E$16)/SUM($E$7:$E$16)</f>
        <v>0.94862734438706175</v>
      </c>
      <c r="H9" s="6">
        <f t="shared" si="0"/>
        <v>0.41793818351288792</v>
      </c>
      <c r="I9" s="7">
        <f t="shared" si="2"/>
        <v>428</v>
      </c>
      <c r="J9" s="7">
        <f t="shared" si="3"/>
        <v>596</v>
      </c>
      <c r="L9" s="20">
        <v>1</v>
      </c>
      <c r="M9" s="20">
        <v>11</v>
      </c>
      <c r="N9" s="20">
        <v>11</v>
      </c>
      <c r="O9" s="20">
        <v>11</v>
      </c>
      <c r="P9" s="20">
        <v>11</v>
      </c>
    </row>
    <row r="10" spans="2:16" x14ac:dyDescent="0.2">
      <c r="C10" s="3" t="s">
        <v>2</v>
      </c>
      <c r="D10" s="20">
        <v>915</v>
      </c>
      <c r="E10" s="17">
        <v>54</v>
      </c>
      <c r="F10" s="5">
        <f t="shared" si="1"/>
        <v>5.9016393442622953E-2</v>
      </c>
      <c r="G10" s="5">
        <f>SUM(E10:$E$16)/SUM($E$7:$E$16)</f>
        <v>0.93612394672465349</v>
      </c>
      <c r="H10" s="6">
        <f t="shared" si="0"/>
        <v>0.46597803574372987</v>
      </c>
      <c r="I10" s="7">
        <f t="shared" si="2"/>
        <v>427</v>
      </c>
      <c r="J10" s="7">
        <f t="shared" si="3"/>
        <v>488</v>
      </c>
      <c r="L10" s="20">
        <v>1</v>
      </c>
      <c r="M10" s="20">
        <v>11</v>
      </c>
      <c r="N10" s="20">
        <v>11</v>
      </c>
      <c r="O10" s="20">
        <v>11</v>
      </c>
      <c r="P10" s="20">
        <v>11</v>
      </c>
    </row>
    <row r="11" spans="2:16" x14ac:dyDescent="0.2">
      <c r="C11" s="3" t="s">
        <v>3</v>
      </c>
      <c r="D11" s="20">
        <v>1021</v>
      </c>
      <c r="E11" s="17">
        <v>82</v>
      </c>
      <c r="F11" s="5">
        <f t="shared" si="1"/>
        <v>8.0313418217433888E-2</v>
      </c>
      <c r="G11" s="5">
        <f>SUM(E11:$E$16)/SUM($E$7:$E$16)</f>
        <v>0.92144604512095674</v>
      </c>
      <c r="H11" s="6">
        <f t="shared" si="0"/>
        <v>0.5345827612766727</v>
      </c>
      <c r="I11" s="7">
        <f t="shared" si="2"/>
        <v>546</v>
      </c>
      <c r="J11" s="7">
        <f t="shared" si="3"/>
        <v>475</v>
      </c>
      <c r="L11" s="20">
        <v>1</v>
      </c>
      <c r="M11" s="20">
        <v>11</v>
      </c>
      <c r="N11" s="20">
        <v>11</v>
      </c>
      <c r="O11" s="20">
        <v>11</v>
      </c>
      <c r="P11" s="20">
        <v>11</v>
      </c>
    </row>
    <row r="12" spans="2:16" x14ac:dyDescent="0.2">
      <c r="C12" s="3" t="s">
        <v>4</v>
      </c>
      <c r="D12" s="20">
        <v>892</v>
      </c>
      <c r="E12" s="17">
        <v>80</v>
      </c>
      <c r="F12" s="5">
        <f t="shared" si="1"/>
        <v>8.9686098654708515E-2</v>
      </c>
      <c r="H12" s="6">
        <f t="shared" si="0"/>
        <v>0.56330371250841116</v>
      </c>
      <c r="I12" s="7">
        <f t="shared" si="2"/>
        <v>503</v>
      </c>
      <c r="J12" s="7">
        <f t="shared" si="3"/>
        <v>389</v>
      </c>
      <c r="L12" s="20">
        <v>1</v>
      </c>
      <c r="M12" s="20">
        <v>11</v>
      </c>
      <c r="N12" s="20">
        <v>11</v>
      </c>
      <c r="O12" s="20">
        <v>11</v>
      </c>
      <c r="P12" s="20">
        <v>22</v>
      </c>
    </row>
    <row r="13" spans="2:16" x14ac:dyDescent="0.2">
      <c r="C13" s="3" t="s">
        <v>5</v>
      </c>
      <c r="D13" s="20">
        <v>877</v>
      </c>
      <c r="E13" s="17">
        <v>103</v>
      </c>
      <c r="F13" s="5">
        <f t="shared" si="1"/>
        <v>0.11744583808437856</v>
      </c>
      <c r="H13" s="6">
        <f t="shared" si="0"/>
        <v>0.6433119100690019</v>
      </c>
      <c r="I13" s="7">
        <f t="shared" si="2"/>
        <v>565</v>
      </c>
      <c r="J13" s="7">
        <f t="shared" si="3"/>
        <v>312</v>
      </c>
      <c r="L13" s="20">
        <v>1</v>
      </c>
      <c r="M13" s="20">
        <v>11</v>
      </c>
      <c r="N13" s="20">
        <v>11</v>
      </c>
      <c r="O13" s="20">
        <v>22</v>
      </c>
      <c r="P13" s="20">
        <v>22</v>
      </c>
    </row>
    <row r="14" spans="2:16" x14ac:dyDescent="0.2">
      <c r="C14" s="3" t="s">
        <v>6</v>
      </c>
      <c r="D14" s="20">
        <v>1011</v>
      </c>
      <c r="E14" s="17">
        <v>175</v>
      </c>
      <c r="F14" s="5">
        <f t="shared" si="1"/>
        <v>0.17309594460929772</v>
      </c>
      <c r="H14" s="6">
        <f t="shared" si="0"/>
        <v>0.78245815383370276</v>
      </c>
      <c r="I14" s="7">
        <f t="shared" si="2"/>
        <v>792</v>
      </c>
      <c r="J14" s="7">
        <f t="shared" si="3"/>
        <v>219</v>
      </c>
      <c r="L14" s="20">
        <v>1</v>
      </c>
      <c r="M14" s="20">
        <v>11</v>
      </c>
      <c r="N14" s="20">
        <v>11</v>
      </c>
      <c r="O14" s="20">
        <v>22</v>
      </c>
      <c r="P14" s="20">
        <v>33</v>
      </c>
    </row>
    <row r="15" spans="2:16" x14ac:dyDescent="0.2">
      <c r="C15" s="3" t="s">
        <v>7</v>
      </c>
      <c r="D15" s="20">
        <v>1342</v>
      </c>
      <c r="E15" s="17">
        <v>283</v>
      </c>
      <c r="F15" s="5">
        <f t="shared" si="1"/>
        <v>0.21087928464977646</v>
      </c>
      <c r="H15" s="6">
        <f t="shared" si="0"/>
        <v>0.86223038353972759</v>
      </c>
      <c r="I15" s="7">
        <f t="shared" si="2"/>
        <v>1158</v>
      </c>
      <c r="J15" s="7">
        <f t="shared" si="3"/>
        <v>184</v>
      </c>
      <c r="L15" s="20">
        <v>1</v>
      </c>
      <c r="M15" s="20">
        <v>11</v>
      </c>
      <c r="N15" s="20">
        <v>11</v>
      </c>
      <c r="O15" s="20">
        <v>33</v>
      </c>
      <c r="P15" s="20">
        <v>1</v>
      </c>
    </row>
    <row r="16" spans="2:16" x14ac:dyDescent="0.2">
      <c r="C16" s="3" t="s">
        <v>8</v>
      </c>
      <c r="D16" s="21">
        <v>4668</v>
      </c>
      <c r="E16" s="18">
        <v>2667</v>
      </c>
      <c r="F16" s="5">
        <f t="shared" si="1"/>
        <v>0.57133676092544983</v>
      </c>
      <c r="H16" s="6">
        <f t="shared" ref="H16" si="4">(((I$5+1)/I$5)-(1-$F16)^I$5)</f>
        <v>1.2162351390890773</v>
      </c>
      <c r="I16" s="7">
        <f t="shared" ref="I16" si="5">CEILING(H16*D16,1)</f>
        <v>5678</v>
      </c>
      <c r="J16" s="7">
        <f t="shared" ref="J16" si="6">MAX(0,D16-I16)</f>
        <v>0</v>
      </c>
      <c r="L16" s="21">
        <v>1</v>
      </c>
      <c r="M16" s="21">
        <v>11</v>
      </c>
      <c r="N16" s="21">
        <v>1</v>
      </c>
      <c r="O16" s="21">
        <v>1</v>
      </c>
      <c r="P16" s="21">
        <v>1</v>
      </c>
    </row>
    <row r="17" spans="2:22" ht="17" thickBot="1" x14ac:dyDescent="0.25">
      <c r="C17" s="34" t="s">
        <v>41</v>
      </c>
      <c r="D17" s="8">
        <f>SUM(D7:D16)</f>
        <v>24079</v>
      </c>
      <c r="E17" s="8"/>
      <c r="F17" s="9"/>
      <c r="H17" s="6"/>
      <c r="I17" s="8">
        <f t="shared" ref="I17:J17" si="7">SUM(I7:I16)</f>
        <v>13918</v>
      </c>
      <c r="J17" s="31">
        <f t="shared" si="7"/>
        <v>11171</v>
      </c>
    </row>
    <row r="18" spans="2:22" ht="17" thickBot="1" x14ac:dyDescent="0.25">
      <c r="D18" s="14">
        <v>1</v>
      </c>
      <c r="I18" s="14">
        <f>I17/D17</f>
        <v>0.57801403712778765</v>
      </c>
      <c r="J18" s="30">
        <f>1-I18</f>
        <v>0.42198596287221235</v>
      </c>
    </row>
    <row r="19" spans="2:22" x14ac:dyDescent="0.2">
      <c r="D19" s="35"/>
      <c r="I19" s="35"/>
      <c r="J19" s="35"/>
      <c r="P19" s="3" t="s">
        <v>57</v>
      </c>
    </row>
    <row r="20" spans="2:22" x14ac:dyDescent="0.2">
      <c r="C20" s="51" t="s">
        <v>50</v>
      </c>
      <c r="D20" s="51"/>
      <c r="E20" s="51"/>
      <c r="F20" s="51"/>
      <c r="G20" s="51"/>
      <c r="H20" s="51"/>
      <c r="I20" s="51"/>
      <c r="J20" s="51"/>
      <c r="P20" s="4" t="s">
        <v>58</v>
      </c>
      <c r="Q20" s="4" t="s">
        <v>59</v>
      </c>
      <c r="R20" s="52" t="s">
        <v>60</v>
      </c>
      <c r="S20" s="52"/>
      <c r="T20" s="52" t="s">
        <v>61</v>
      </c>
      <c r="U20" s="52"/>
      <c r="V20" s="4" t="s">
        <v>28</v>
      </c>
    </row>
    <row r="21" spans="2:22" x14ac:dyDescent="0.2">
      <c r="B21" s="3">
        <v>0</v>
      </c>
      <c r="C21" s="3" t="s">
        <v>40</v>
      </c>
      <c r="D21" s="3">
        <f t="shared" ref="D21:E25" si="8">SUMIF($M$7:$M$16,$B21,D$7:D$16)</f>
        <v>12329</v>
      </c>
      <c r="E21" s="3">
        <f t="shared" si="8"/>
        <v>189</v>
      </c>
      <c r="F21" s="5"/>
      <c r="H21" s="6"/>
      <c r="I21" s="7">
        <v>0</v>
      </c>
      <c r="J21" s="7"/>
      <c r="P21" s="3" t="s">
        <v>44</v>
      </c>
      <c r="Q21" s="3">
        <f>D17</f>
        <v>24079</v>
      </c>
    </row>
    <row r="22" spans="2:22" x14ac:dyDescent="0.2">
      <c r="B22" s="3">
        <v>1</v>
      </c>
      <c r="C22" s="3" t="s">
        <v>29</v>
      </c>
      <c r="D22" s="3">
        <f t="shared" si="8"/>
        <v>0</v>
      </c>
      <c r="E22" s="3">
        <f t="shared" si="8"/>
        <v>0</v>
      </c>
      <c r="F22" s="5">
        <f t="shared" ref="F22:F25" si="9">IFERROR(E22/D22,0)</f>
        <v>0</v>
      </c>
      <c r="H22" s="6"/>
      <c r="I22" s="7">
        <f>D22</f>
        <v>0</v>
      </c>
      <c r="J22" s="7"/>
      <c r="O22" s="49" t="s">
        <v>45</v>
      </c>
      <c r="P22" s="3" t="s">
        <v>45</v>
      </c>
      <c r="Q22" s="7">
        <f>SUMIF($L$7:$L$16,1,D$7:D$16)</f>
        <v>11750</v>
      </c>
      <c r="R22" s="7">
        <f>Q21-Q22</f>
        <v>12329</v>
      </c>
      <c r="S22" s="46">
        <f>R22/Q21</f>
        <v>0.5120229245400556</v>
      </c>
      <c r="T22" s="7">
        <f>$Q$21-Q22</f>
        <v>12329</v>
      </c>
      <c r="U22" s="46">
        <f>T22/$Q$21</f>
        <v>0.5120229245400556</v>
      </c>
      <c r="V22" s="5">
        <f>SUMIF($L$7:$L$16,0,E$7:E$16)/SUM(E7:E16)</f>
        <v>5.1372655612938301E-2</v>
      </c>
    </row>
    <row r="23" spans="2:22" x14ac:dyDescent="0.2">
      <c r="B23" s="3">
        <v>11</v>
      </c>
      <c r="C23" s="3" t="s">
        <v>30</v>
      </c>
      <c r="D23" s="3">
        <f t="shared" si="8"/>
        <v>11750</v>
      </c>
      <c r="E23" s="3">
        <f t="shared" si="8"/>
        <v>3490</v>
      </c>
      <c r="F23" s="5">
        <f>IFERROR(E23/D23,0)</f>
        <v>0.29702127659574468</v>
      </c>
      <c r="H23" s="6">
        <f>(((I$5+1)/I$5)-(1-$F23)^I$5)</f>
        <v>1.0057870313959951</v>
      </c>
      <c r="I23" s="7">
        <f>CEILING(H23*D23,1)</f>
        <v>11818</v>
      </c>
      <c r="J23" s="7"/>
      <c r="O23" s="36" t="s">
        <v>49</v>
      </c>
      <c r="P23" s="3" t="s">
        <v>46</v>
      </c>
      <c r="Q23" s="7">
        <f>K25</f>
        <v>11818</v>
      </c>
      <c r="R23" s="7">
        <f t="shared" ref="R23:R26" si="10">Q22-Q23</f>
        <v>-68</v>
      </c>
      <c r="S23" s="46">
        <f t="shared" ref="S23:S26" si="11">R23/Q22</f>
        <v>-5.7872340425531915E-3</v>
      </c>
      <c r="T23" s="7">
        <f t="shared" ref="T23:T26" si="12">$Q$21-Q23</f>
        <v>12261</v>
      </c>
      <c r="U23" s="46">
        <f t="shared" ref="U23:U26" si="13">T23/$Q$21</f>
        <v>0.50919888699696836</v>
      </c>
      <c r="V23" s="37">
        <f>M25</f>
        <v>5.1372655612938301E-2</v>
      </c>
    </row>
    <row r="24" spans="2:22" x14ac:dyDescent="0.2">
      <c r="B24" s="3">
        <v>22</v>
      </c>
      <c r="C24" s="3" t="s">
        <v>31</v>
      </c>
      <c r="D24" s="3">
        <f t="shared" si="8"/>
        <v>0</v>
      </c>
      <c r="E24" s="3">
        <f t="shared" si="8"/>
        <v>0</v>
      </c>
      <c r="F24" s="5">
        <f t="shared" si="9"/>
        <v>0</v>
      </c>
      <c r="H24" s="6">
        <f>(((I$5+1)/I$5)-(1-$F24)^I$5)</f>
        <v>0.25</v>
      </c>
      <c r="I24" s="7">
        <f t="shared" ref="I24:I25" si="14">CEILING(H24*D24,1)</f>
        <v>0</v>
      </c>
      <c r="J24" s="7"/>
      <c r="K24" s="40" t="s">
        <v>36</v>
      </c>
      <c r="L24" s="40" t="s">
        <v>25</v>
      </c>
      <c r="M24" s="40" t="s">
        <v>28</v>
      </c>
      <c r="O24" s="38" t="s">
        <v>51</v>
      </c>
      <c r="P24" s="3" t="s">
        <v>47</v>
      </c>
      <c r="Q24" s="7">
        <f>K32</f>
        <v>9200</v>
      </c>
      <c r="R24" s="7">
        <f t="shared" si="10"/>
        <v>2618</v>
      </c>
      <c r="S24" s="46">
        <f t="shared" si="11"/>
        <v>0.2215264850228465</v>
      </c>
      <c r="T24" s="7">
        <f t="shared" si="12"/>
        <v>14879</v>
      </c>
      <c r="U24" s="46">
        <f t="shared" si="13"/>
        <v>0.61792433240583078</v>
      </c>
      <c r="V24" s="5">
        <f>M32</f>
        <v>5.1372655612938301E-2</v>
      </c>
    </row>
    <row r="25" spans="2:22" x14ac:dyDescent="0.2">
      <c r="B25" s="3">
        <v>33</v>
      </c>
      <c r="C25" s="10" t="s">
        <v>42</v>
      </c>
      <c r="D25" s="10">
        <f t="shared" si="8"/>
        <v>0</v>
      </c>
      <c r="E25" s="10">
        <f t="shared" si="8"/>
        <v>0</v>
      </c>
      <c r="F25" s="11">
        <f t="shared" si="9"/>
        <v>0</v>
      </c>
      <c r="G25" s="10"/>
      <c r="H25" s="12">
        <f>(((I$5+1)/I$5)-(1-$F25)^I$5)</f>
        <v>0.25</v>
      </c>
      <c r="I25" s="13">
        <f t="shared" si="14"/>
        <v>0</v>
      </c>
      <c r="J25" s="13"/>
      <c r="K25" s="41">
        <f>SUM(I21:I25)</f>
        <v>11818</v>
      </c>
      <c r="L25" s="41">
        <f>$D$17-K25</f>
        <v>12261</v>
      </c>
      <c r="M25" s="45">
        <f>E21/SUM(E21:E25)</f>
        <v>5.1372655612938301E-2</v>
      </c>
      <c r="O25" s="33" t="s">
        <v>52</v>
      </c>
      <c r="P25" s="3" t="s">
        <v>48</v>
      </c>
      <c r="Q25" s="7">
        <f>K39</f>
        <v>9097</v>
      </c>
      <c r="R25" s="7">
        <f t="shared" si="10"/>
        <v>103</v>
      </c>
      <c r="S25" s="46">
        <f t="shared" si="11"/>
        <v>1.1195652173913044E-2</v>
      </c>
      <c r="T25" s="7">
        <f t="shared" si="12"/>
        <v>14982</v>
      </c>
      <c r="U25" s="46">
        <f t="shared" si="13"/>
        <v>0.62220191868433072</v>
      </c>
      <c r="V25" s="5">
        <f>M39</f>
        <v>5.1372655612938301E-2</v>
      </c>
    </row>
    <row r="26" spans="2:22" x14ac:dyDescent="0.2">
      <c r="O26" s="39" t="s">
        <v>53</v>
      </c>
      <c r="P26" s="10"/>
      <c r="Q26" s="13">
        <f>K46</f>
        <v>9275</v>
      </c>
      <c r="R26" s="13">
        <f t="shared" si="10"/>
        <v>-178</v>
      </c>
      <c r="S26" s="47">
        <f t="shared" si="11"/>
        <v>-1.9566890183577004E-2</v>
      </c>
      <c r="T26" s="13">
        <f t="shared" si="12"/>
        <v>14804</v>
      </c>
      <c r="U26" s="47">
        <f t="shared" si="13"/>
        <v>0.61480958511566097</v>
      </c>
      <c r="V26" s="11">
        <f>M46</f>
        <v>5.1372655612938301E-2</v>
      </c>
    </row>
    <row r="27" spans="2:22" x14ac:dyDescent="0.2">
      <c r="C27" s="53" t="s">
        <v>54</v>
      </c>
      <c r="D27" s="53"/>
      <c r="E27" s="53"/>
      <c r="F27" s="53"/>
      <c r="G27" s="53"/>
      <c r="H27" s="53"/>
      <c r="I27" s="53"/>
      <c r="J27" s="53"/>
    </row>
    <row r="28" spans="2:22" x14ac:dyDescent="0.2">
      <c r="B28" s="3">
        <v>0</v>
      </c>
      <c r="C28" s="3" t="s">
        <v>40</v>
      </c>
      <c r="D28" s="3">
        <f t="shared" ref="D28:E32" si="15">SUMIF($N$7:$N$16,$B28,D$7:D$16)</f>
        <v>12329</v>
      </c>
      <c r="E28" s="3">
        <f t="shared" si="15"/>
        <v>189</v>
      </c>
      <c r="F28" s="5"/>
      <c r="H28" s="6"/>
      <c r="I28" s="7">
        <v>0</v>
      </c>
      <c r="J28" s="7"/>
    </row>
    <row r="29" spans="2:22" x14ac:dyDescent="0.2">
      <c r="B29" s="3">
        <v>1</v>
      </c>
      <c r="C29" s="3" t="s">
        <v>29</v>
      </c>
      <c r="D29" s="3">
        <f t="shared" si="15"/>
        <v>4668</v>
      </c>
      <c r="E29" s="3">
        <f t="shared" si="15"/>
        <v>2667</v>
      </c>
      <c r="F29" s="5">
        <f t="shared" ref="F29" si="16">IFERROR(E29/D29,0)</f>
        <v>0.57133676092544983</v>
      </c>
      <c r="H29" s="6"/>
      <c r="I29" s="7">
        <f>D29</f>
        <v>4668</v>
      </c>
      <c r="J29" s="7"/>
    </row>
    <row r="30" spans="2:22" x14ac:dyDescent="0.2">
      <c r="B30" s="3">
        <v>11</v>
      </c>
      <c r="C30" s="3" t="s">
        <v>30</v>
      </c>
      <c r="D30" s="3">
        <f t="shared" si="15"/>
        <v>7082</v>
      </c>
      <c r="E30" s="3">
        <f t="shared" si="15"/>
        <v>823</v>
      </c>
      <c r="F30" s="5">
        <f>IFERROR(E30/D30,0)</f>
        <v>0.11621011013837899</v>
      </c>
      <c r="H30" s="6">
        <f>(((I$5+1)/I$5)-(1-$F30)^I$5)</f>
        <v>0.63990689541144841</v>
      </c>
      <c r="I30" s="7">
        <f>CEILING(H30*D30,1)</f>
        <v>4532</v>
      </c>
      <c r="J30" s="7"/>
    </row>
    <row r="31" spans="2:22" x14ac:dyDescent="0.2">
      <c r="B31" s="3">
        <v>22</v>
      </c>
      <c r="C31" s="3" t="s">
        <v>31</v>
      </c>
      <c r="D31" s="3">
        <f t="shared" si="15"/>
        <v>0</v>
      </c>
      <c r="E31" s="3">
        <f t="shared" si="15"/>
        <v>0</v>
      </c>
      <c r="F31" s="5">
        <f t="shared" ref="F31:F32" si="17">IFERROR(E31/D31,0)</f>
        <v>0</v>
      </c>
      <c r="H31" s="6">
        <f>(((I$5+1)/I$5)-(1-$F31)^I$5)</f>
        <v>0.25</v>
      </c>
      <c r="I31" s="7">
        <f t="shared" ref="I31:I32" si="18">CEILING(H31*D31,1)</f>
        <v>0</v>
      </c>
      <c r="J31" s="7"/>
      <c r="K31" s="42" t="s">
        <v>36</v>
      </c>
      <c r="L31" s="42" t="s">
        <v>25</v>
      </c>
      <c r="M31" s="42" t="s">
        <v>28</v>
      </c>
    </row>
    <row r="32" spans="2:22" x14ac:dyDescent="0.2">
      <c r="B32" s="3">
        <v>33</v>
      </c>
      <c r="C32" s="10" t="s">
        <v>42</v>
      </c>
      <c r="D32" s="10">
        <f t="shared" si="15"/>
        <v>0</v>
      </c>
      <c r="E32" s="10">
        <f t="shared" si="15"/>
        <v>0</v>
      </c>
      <c r="F32" s="11">
        <f t="shared" si="17"/>
        <v>0</v>
      </c>
      <c r="G32" s="10"/>
      <c r="H32" s="12">
        <f>(((I$5+1)/I$5)-(1-$F32)^I$5)</f>
        <v>0.25</v>
      </c>
      <c r="I32" s="13">
        <f t="shared" si="18"/>
        <v>0</v>
      </c>
      <c r="J32" s="13"/>
      <c r="K32" s="41">
        <f>SUM(I28:I32)</f>
        <v>9200</v>
      </c>
      <c r="L32" s="41">
        <f>$D$17-K32</f>
        <v>14879</v>
      </c>
      <c r="M32" s="45">
        <f>E28/SUM(E28:E32)</f>
        <v>5.1372655612938301E-2</v>
      </c>
    </row>
    <row r="34" spans="2:13" x14ac:dyDescent="0.2">
      <c r="C34" s="54" t="s">
        <v>55</v>
      </c>
      <c r="D34" s="54"/>
      <c r="E34" s="54"/>
      <c r="F34" s="54"/>
      <c r="G34" s="54"/>
      <c r="H34" s="54"/>
      <c r="I34" s="54"/>
      <c r="J34" s="54"/>
    </row>
    <row r="35" spans="2:13" x14ac:dyDescent="0.2">
      <c r="B35" s="3">
        <v>0</v>
      </c>
      <c r="C35" s="3" t="s">
        <v>40</v>
      </c>
      <c r="D35" s="3">
        <f t="shared" ref="D35:E39" si="19">SUMIF($O$7:$O$16,$B35,D$7:D$16)</f>
        <v>12329</v>
      </c>
      <c r="E35" s="3">
        <f t="shared" si="19"/>
        <v>189</v>
      </c>
      <c r="F35" s="5"/>
      <c r="H35" s="6"/>
      <c r="I35" s="7">
        <v>0</v>
      </c>
      <c r="J35" s="7"/>
    </row>
    <row r="36" spans="2:13" x14ac:dyDescent="0.2">
      <c r="B36" s="3">
        <v>1</v>
      </c>
      <c r="C36" s="3" t="s">
        <v>29</v>
      </c>
      <c r="D36" s="3">
        <f t="shared" si="19"/>
        <v>4668</v>
      </c>
      <c r="E36" s="3">
        <f t="shared" si="19"/>
        <v>2667</v>
      </c>
      <c r="F36" s="5">
        <f t="shared" ref="F36" si="20">IFERROR(E36/D36,0)</f>
        <v>0.57133676092544983</v>
      </c>
      <c r="H36" s="6"/>
      <c r="I36" s="7">
        <f>D36</f>
        <v>4668</v>
      </c>
      <c r="J36" s="7"/>
    </row>
    <row r="37" spans="2:13" x14ac:dyDescent="0.2">
      <c r="B37" s="3">
        <v>11</v>
      </c>
      <c r="C37" s="3" t="s">
        <v>30</v>
      </c>
      <c r="D37" s="3">
        <f t="shared" si="19"/>
        <v>3852</v>
      </c>
      <c r="E37" s="3">
        <f t="shared" si="19"/>
        <v>262</v>
      </c>
      <c r="F37" s="5">
        <f>IFERROR(E37/D37,0)</f>
        <v>6.8016614745586707E-2</v>
      </c>
      <c r="H37" s="6">
        <f>(((I$5+1)/I$5)-(1-$F37)^I$5)</f>
        <v>0.49554614755743687</v>
      </c>
      <c r="I37" s="7">
        <f>CEILING(H37*D37,1)</f>
        <v>1909</v>
      </c>
      <c r="J37" s="7"/>
    </row>
    <row r="38" spans="2:13" x14ac:dyDescent="0.2">
      <c r="B38" s="3">
        <v>22</v>
      </c>
      <c r="C38" s="3" t="s">
        <v>31</v>
      </c>
      <c r="D38" s="3">
        <f t="shared" si="19"/>
        <v>1888</v>
      </c>
      <c r="E38" s="3">
        <f t="shared" si="19"/>
        <v>278</v>
      </c>
      <c r="F38" s="5">
        <f t="shared" ref="F38:F39" si="21">IFERROR(E38/D38,0)</f>
        <v>0.1472457627118644</v>
      </c>
      <c r="H38" s="6">
        <f>(((I$5+1)/I$5)-(1-$F38)^I$5)</f>
        <v>0.72119501046454182</v>
      </c>
      <c r="I38" s="7">
        <f t="shared" ref="I38:I39" si="22">CEILING(H38*D38,1)</f>
        <v>1362</v>
      </c>
      <c r="J38" s="7"/>
      <c r="K38" s="43" t="s">
        <v>36</v>
      </c>
      <c r="L38" s="43" t="s">
        <v>25</v>
      </c>
      <c r="M38" s="43" t="s">
        <v>28</v>
      </c>
    </row>
    <row r="39" spans="2:13" x14ac:dyDescent="0.2">
      <c r="B39" s="3">
        <v>33</v>
      </c>
      <c r="C39" s="10" t="s">
        <v>42</v>
      </c>
      <c r="D39" s="10">
        <f t="shared" si="19"/>
        <v>1342</v>
      </c>
      <c r="E39" s="10">
        <f t="shared" si="19"/>
        <v>283</v>
      </c>
      <c r="F39" s="11">
        <f t="shared" si="21"/>
        <v>0.21087928464977646</v>
      </c>
      <c r="G39" s="10"/>
      <c r="H39" s="12">
        <f>(((I$5+1)/I$5)-(1-$F39)^I$5)</f>
        <v>0.86223038353972759</v>
      </c>
      <c r="I39" s="13">
        <f t="shared" si="22"/>
        <v>1158</v>
      </c>
      <c r="J39" s="13"/>
      <c r="K39" s="41">
        <f>SUM(I35:I39)</f>
        <v>9097</v>
      </c>
      <c r="L39" s="41">
        <f>$D$17-K39</f>
        <v>14982</v>
      </c>
      <c r="M39" s="45">
        <f>E35/SUM(E35:E39)</f>
        <v>5.1372655612938301E-2</v>
      </c>
    </row>
    <row r="41" spans="2:13" x14ac:dyDescent="0.2">
      <c r="C41" s="50" t="s">
        <v>56</v>
      </c>
      <c r="D41" s="50"/>
      <c r="E41" s="50"/>
      <c r="F41" s="50"/>
      <c r="G41" s="50"/>
      <c r="H41" s="50"/>
      <c r="I41" s="50"/>
      <c r="J41" s="50"/>
    </row>
    <row r="42" spans="2:13" x14ac:dyDescent="0.2">
      <c r="B42" s="3">
        <v>0</v>
      </c>
      <c r="C42" s="3" t="s">
        <v>40</v>
      </c>
      <c r="D42" s="3">
        <f t="shared" ref="D42:E46" si="23">SUMIF($P$7:$P$16,$B42,D$7:D$16)</f>
        <v>12329</v>
      </c>
      <c r="E42" s="3">
        <f t="shared" si="23"/>
        <v>189</v>
      </c>
      <c r="F42" s="5"/>
      <c r="H42" s="6"/>
      <c r="I42" s="7">
        <v>0</v>
      </c>
      <c r="J42" s="7"/>
    </row>
    <row r="43" spans="2:13" x14ac:dyDescent="0.2">
      <c r="B43" s="3">
        <v>1</v>
      </c>
      <c r="C43" s="3" t="s">
        <v>29</v>
      </c>
      <c r="D43" s="3">
        <f t="shared" si="23"/>
        <v>6010</v>
      </c>
      <c r="E43" s="3">
        <f t="shared" si="23"/>
        <v>2950</v>
      </c>
      <c r="F43" s="5">
        <f t="shared" ref="F43" si="24">IFERROR(E43/D43,0)</f>
        <v>0.49084858569051582</v>
      </c>
      <c r="H43" s="6"/>
      <c r="I43" s="7">
        <f>D43</f>
        <v>6010</v>
      </c>
      <c r="J43" s="7"/>
    </row>
    <row r="44" spans="2:13" x14ac:dyDescent="0.2">
      <c r="B44" s="3">
        <v>11</v>
      </c>
      <c r="C44" s="3" t="s">
        <v>30</v>
      </c>
      <c r="D44" s="3">
        <f t="shared" si="23"/>
        <v>2960</v>
      </c>
      <c r="E44" s="3">
        <f t="shared" si="23"/>
        <v>182</v>
      </c>
      <c r="F44" s="5">
        <f>IFERROR(E44/D44,0)</f>
        <v>6.148648648648649E-2</v>
      </c>
      <c r="H44" s="6">
        <f>(((I$5+1)/I$5)-(1-$F44)^I$5)</f>
        <v>0.4741779452743704</v>
      </c>
      <c r="I44" s="7">
        <f>CEILING(H44*D44,1)</f>
        <v>1404</v>
      </c>
      <c r="J44" s="7"/>
    </row>
    <row r="45" spans="2:13" x14ac:dyDescent="0.2">
      <c r="B45" s="3">
        <v>22</v>
      </c>
      <c r="C45" s="3" t="s">
        <v>31</v>
      </c>
      <c r="D45" s="3">
        <f t="shared" si="23"/>
        <v>1769</v>
      </c>
      <c r="E45" s="3">
        <f t="shared" si="23"/>
        <v>183</v>
      </c>
      <c r="F45" s="5">
        <f t="shared" ref="F45:F46" si="25">IFERROR(E45/D45,0)</f>
        <v>0.10344827586206896</v>
      </c>
      <c r="H45" s="6">
        <f>(((I$5+1)/I$5)-(1-$F45)^I$5)</f>
        <v>0.60389753153272874</v>
      </c>
      <c r="I45" s="7">
        <f t="shared" ref="I45:I46" si="26">CEILING(H45*D45,1)</f>
        <v>1069</v>
      </c>
      <c r="J45" s="7"/>
      <c r="K45" s="44" t="s">
        <v>36</v>
      </c>
      <c r="L45" s="44" t="s">
        <v>25</v>
      </c>
      <c r="M45" s="44" t="s">
        <v>28</v>
      </c>
    </row>
    <row r="46" spans="2:13" x14ac:dyDescent="0.2">
      <c r="B46" s="3">
        <v>33</v>
      </c>
      <c r="C46" s="10" t="s">
        <v>42</v>
      </c>
      <c r="D46" s="10">
        <f t="shared" si="23"/>
        <v>1011</v>
      </c>
      <c r="E46" s="10">
        <f t="shared" si="23"/>
        <v>175</v>
      </c>
      <c r="F46" s="11">
        <f t="shared" si="25"/>
        <v>0.17309594460929772</v>
      </c>
      <c r="G46" s="10"/>
      <c r="H46" s="12">
        <f>(((I$5+1)/I$5)-(1-$F46)^I$5)</f>
        <v>0.78245815383370276</v>
      </c>
      <c r="I46" s="13">
        <f t="shared" si="26"/>
        <v>792</v>
      </c>
      <c r="J46" s="13"/>
      <c r="K46" s="41">
        <f>SUM(I42:I46)</f>
        <v>9275</v>
      </c>
      <c r="L46" s="41">
        <f>$D$17-K46</f>
        <v>14804</v>
      </c>
      <c r="M46" s="45">
        <f>E42/SUM(E42:E46)</f>
        <v>5.1372655612938301E-2</v>
      </c>
    </row>
    <row r="1048576" spans="7:7" x14ac:dyDescent="0.2">
      <c r="G1048576" s="5"/>
    </row>
  </sheetData>
  <mergeCells count="7">
    <mergeCell ref="C41:J41"/>
    <mergeCell ref="H4:J4"/>
    <mergeCell ref="C20:J20"/>
    <mergeCell ref="R20:S20"/>
    <mergeCell ref="T20:U20"/>
    <mergeCell ref="C27:J27"/>
    <mergeCell ref="C34:J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0BAFF-04AC-4C41-B795-837DA0CEF9FC}">
  <dimension ref="B1:V1048576"/>
  <sheetViews>
    <sheetView zoomScale="88" zoomScaleNormal="100" workbookViewId="0">
      <selection activeCell="O25" sqref="O25"/>
    </sheetView>
  </sheetViews>
  <sheetFormatPr baseColWidth="10" defaultColWidth="10.83203125" defaultRowHeight="16" x14ac:dyDescent="0.2"/>
  <cols>
    <col min="1" max="1" width="4.1640625" style="3" customWidth="1"/>
    <col min="2" max="2" width="10.83203125" style="3"/>
    <col min="3" max="3" width="15.1640625" style="3" bestFit="1" customWidth="1"/>
    <col min="4" max="4" width="14.6640625" style="3" bestFit="1" customWidth="1"/>
    <col min="5" max="5" width="10.83203125" style="3"/>
    <col min="6" max="6" width="16.83203125" style="3" bestFit="1" customWidth="1"/>
    <col min="7" max="7" width="10.83203125" style="3" customWidth="1"/>
    <col min="8" max="11" width="10.83203125" style="3"/>
    <col min="12" max="12" width="13.6640625" style="3" customWidth="1"/>
    <col min="13" max="13" width="15.1640625" style="3" bestFit="1" customWidth="1"/>
    <col min="14" max="14" width="13" style="3" bestFit="1" customWidth="1"/>
    <col min="15" max="15" width="13.6640625" style="3" bestFit="1" customWidth="1"/>
    <col min="16" max="16" width="21" style="3" bestFit="1" customWidth="1"/>
    <col min="17" max="17" width="15.5" style="3" bestFit="1" customWidth="1"/>
    <col min="18" max="20" width="12" style="3" customWidth="1"/>
    <col min="21" max="22" width="12" style="3" bestFit="1" customWidth="1"/>
    <col min="23" max="16384" width="10.83203125" style="3"/>
  </cols>
  <sheetData>
    <row r="1" spans="2:16" x14ac:dyDescent="0.2">
      <c r="B1" s="3" t="s">
        <v>37</v>
      </c>
      <c r="C1" s="3" t="s">
        <v>38</v>
      </c>
      <c r="E1" s="15" t="s">
        <v>43</v>
      </c>
      <c r="L1" s="22">
        <v>0</v>
      </c>
      <c r="M1" s="23" t="s">
        <v>27</v>
      </c>
    </row>
    <row r="2" spans="2:16" x14ac:dyDescent="0.2">
      <c r="C2" s="3" t="s">
        <v>39</v>
      </c>
      <c r="L2" s="24">
        <v>1</v>
      </c>
      <c r="M2" s="25" t="s">
        <v>29</v>
      </c>
    </row>
    <row r="3" spans="2:16" x14ac:dyDescent="0.2">
      <c r="L3" s="24">
        <v>11</v>
      </c>
      <c r="M3" s="25" t="s">
        <v>30</v>
      </c>
    </row>
    <row r="4" spans="2:16" x14ac:dyDescent="0.2">
      <c r="B4" s="4" t="s">
        <v>32</v>
      </c>
      <c r="C4" s="32"/>
      <c r="H4" s="50" t="s">
        <v>26</v>
      </c>
      <c r="I4" s="50"/>
      <c r="J4" s="50"/>
      <c r="L4" s="24">
        <v>22</v>
      </c>
      <c r="M4" s="25" t="s">
        <v>31</v>
      </c>
    </row>
    <row r="5" spans="2:16" x14ac:dyDescent="0.2">
      <c r="B5" s="3" t="s">
        <v>34</v>
      </c>
      <c r="C5" s="33"/>
      <c r="H5" s="28" t="s">
        <v>22</v>
      </c>
      <c r="I5" s="29"/>
      <c r="L5" s="26">
        <v>33</v>
      </c>
      <c r="M5" s="27" t="s">
        <v>42</v>
      </c>
    </row>
    <row r="6" spans="2:16" x14ac:dyDescent="0.2">
      <c r="C6" s="4" t="s">
        <v>35</v>
      </c>
      <c r="D6" s="4" t="s">
        <v>20</v>
      </c>
      <c r="E6" s="4" t="s">
        <v>19</v>
      </c>
      <c r="F6" s="4" t="s">
        <v>21</v>
      </c>
      <c r="G6" s="4" t="s">
        <v>62</v>
      </c>
      <c r="H6" s="4" t="s">
        <v>23</v>
      </c>
      <c r="I6" s="4" t="s">
        <v>24</v>
      </c>
      <c r="J6" s="4" t="s">
        <v>25</v>
      </c>
      <c r="L6" s="49" t="s">
        <v>45</v>
      </c>
      <c r="M6" s="36" t="s">
        <v>49</v>
      </c>
      <c r="N6" s="38" t="s">
        <v>51</v>
      </c>
      <c r="O6" s="33" t="s">
        <v>52</v>
      </c>
      <c r="P6" s="39" t="s">
        <v>53</v>
      </c>
    </row>
    <row r="7" spans="2:16" x14ac:dyDescent="0.2">
      <c r="C7" s="3" t="s">
        <v>18</v>
      </c>
      <c r="D7" s="19"/>
      <c r="E7" s="16"/>
      <c r="F7" s="5" t="e">
        <f>E7/D7</f>
        <v>#DIV/0!</v>
      </c>
      <c r="H7" s="6" t="e">
        <f t="shared" ref="H7:H15" si="0">(((I$5+1)/I$5)-(1-$F7)^I$5)</f>
        <v>#DIV/0!</v>
      </c>
      <c r="I7" s="7" t="e">
        <f>CEILING(H7*D7,1)</f>
        <v>#DIV/0!</v>
      </c>
      <c r="J7" s="7" t="e">
        <f>MAX(0,D7-I7)</f>
        <v>#DIV/0!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</row>
    <row r="8" spans="2:16" x14ac:dyDescent="0.2">
      <c r="C8" s="3" t="s">
        <v>17</v>
      </c>
      <c r="D8" s="20"/>
      <c r="E8" s="17"/>
      <c r="F8" s="5" t="e">
        <f t="shared" ref="F8:F16" si="1">E8/D8</f>
        <v>#DIV/0!</v>
      </c>
      <c r="H8" s="6" t="e">
        <f t="shared" si="0"/>
        <v>#DIV/0!</v>
      </c>
      <c r="I8" s="7" t="e">
        <f t="shared" ref="I8:I15" si="2">CEILING(H8*D8,1)</f>
        <v>#DIV/0!</v>
      </c>
      <c r="J8" s="7" t="e">
        <f t="shared" ref="J8:J15" si="3">MAX(0,D8-I8)</f>
        <v>#DIV/0!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</row>
    <row r="9" spans="2:16" x14ac:dyDescent="0.2">
      <c r="C9" s="3" t="s">
        <v>16</v>
      </c>
      <c r="D9" s="20"/>
      <c r="E9" s="17"/>
      <c r="F9" s="5" t="e">
        <f t="shared" si="1"/>
        <v>#DIV/0!</v>
      </c>
      <c r="G9" s="5" t="e">
        <f>SUM(E9:$E$16)/SUM($E$7:$E$16)</f>
        <v>#DIV/0!</v>
      </c>
      <c r="H9" s="6" t="e">
        <f t="shared" si="0"/>
        <v>#DIV/0!</v>
      </c>
      <c r="I9" s="7" t="e">
        <f t="shared" si="2"/>
        <v>#DIV/0!</v>
      </c>
      <c r="J9" s="7" t="e">
        <f t="shared" si="3"/>
        <v>#DIV/0!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</row>
    <row r="10" spans="2:16" x14ac:dyDescent="0.2">
      <c r="C10" s="3" t="s">
        <v>15</v>
      </c>
      <c r="D10" s="20"/>
      <c r="E10" s="17"/>
      <c r="F10" s="5" t="e">
        <f t="shared" si="1"/>
        <v>#DIV/0!</v>
      </c>
      <c r="G10" s="48" t="e">
        <f>SUM(E10:$E$16)/SUM($E$7:$E$16)</f>
        <v>#DIV/0!</v>
      </c>
      <c r="H10" s="6" t="e">
        <f>(((I$5+1)/I$5)-(1-$F10)^I$5)</f>
        <v>#DIV/0!</v>
      </c>
      <c r="I10" s="7" t="e">
        <f t="shared" si="2"/>
        <v>#DIV/0!</v>
      </c>
      <c r="J10" s="7" t="e">
        <f t="shared" si="3"/>
        <v>#DIV/0!</v>
      </c>
      <c r="L10" s="20">
        <v>1</v>
      </c>
      <c r="M10" s="20">
        <v>11</v>
      </c>
      <c r="N10" s="20">
        <v>11</v>
      </c>
      <c r="O10" s="20">
        <v>11</v>
      </c>
      <c r="P10" s="20">
        <v>11</v>
      </c>
    </row>
    <row r="11" spans="2:16" x14ac:dyDescent="0.2">
      <c r="C11" s="3" t="s">
        <v>14</v>
      </c>
      <c r="D11" s="20"/>
      <c r="E11" s="17"/>
      <c r="F11" s="5" t="e">
        <f t="shared" si="1"/>
        <v>#DIV/0!</v>
      </c>
      <c r="G11" s="5" t="e">
        <f>SUM(E11:$E$16)/SUM($E$7:$E$16)</f>
        <v>#DIV/0!</v>
      </c>
      <c r="H11" s="6" t="e">
        <f t="shared" si="0"/>
        <v>#DIV/0!</v>
      </c>
      <c r="I11" s="7" t="e">
        <f t="shared" si="2"/>
        <v>#DIV/0!</v>
      </c>
      <c r="J11" s="7" t="e">
        <f t="shared" si="3"/>
        <v>#DIV/0!</v>
      </c>
      <c r="L11" s="20">
        <v>1</v>
      </c>
      <c r="M11" s="20">
        <v>11</v>
      </c>
      <c r="N11" s="20">
        <v>11</v>
      </c>
      <c r="O11" s="20">
        <v>11</v>
      </c>
      <c r="P11" s="20">
        <v>11</v>
      </c>
    </row>
    <row r="12" spans="2:16" x14ac:dyDescent="0.2">
      <c r="C12" s="3" t="s">
        <v>13</v>
      </c>
      <c r="D12" s="20"/>
      <c r="E12" s="17"/>
      <c r="F12" s="5" t="e">
        <f t="shared" si="1"/>
        <v>#DIV/0!</v>
      </c>
      <c r="H12" s="6" t="e">
        <f t="shared" si="0"/>
        <v>#DIV/0!</v>
      </c>
      <c r="I12" s="7" t="e">
        <f t="shared" si="2"/>
        <v>#DIV/0!</v>
      </c>
      <c r="J12" s="7" t="e">
        <f t="shared" si="3"/>
        <v>#DIV/0!</v>
      </c>
      <c r="L12" s="20">
        <v>1</v>
      </c>
      <c r="M12" s="20">
        <v>11</v>
      </c>
      <c r="N12" s="20">
        <v>11</v>
      </c>
      <c r="O12" s="20">
        <v>11</v>
      </c>
      <c r="P12" s="20">
        <v>22</v>
      </c>
    </row>
    <row r="13" spans="2:16" x14ac:dyDescent="0.2">
      <c r="C13" s="3" t="s">
        <v>12</v>
      </c>
      <c r="D13" s="20"/>
      <c r="E13" s="17"/>
      <c r="F13" s="5" t="e">
        <f t="shared" si="1"/>
        <v>#DIV/0!</v>
      </c>
      <c r="H13" s="6" t="e">
        <f t="shared" si="0"/>
        <v>#DIV/0!</v>
      </c>
      <c r="I13" s="7" t="e">
        <f t="shared" si="2"/>
        <v>#DIV/0!</v>
      </c>
      <c r="J13" s="7" t="e">
        <f t="shared" si="3"/>
        <v>#DIV/0!</v>
      </c>
      <c r="L13" s="20">
        <v>1</v>
      </c>
      <c r="M13" s="20">
        <v>11</v>
      </c>
      <c r="N13" s="20">
        <v>11</v>
      </c>
      <c r="O13" s="20">
        <v>22</v>
      </c>
      <c r="P13" s="20">
        <v>22</v>
      </c>
    </row>
    <row r="14" spans="2:16" x14ac:dyDescent="0.2">
      <c r="C14" s="3" t="s">
        <v>11</v>
      </c>
      <c r="D14" s="20"/>
      <c r="E14" s="17"/>
      <c r="F14" s="5" t="e">
        <f t="shared" si="1"/>
        <v>#DIV/0!</v>
      </c>
      <c r="H14" s="6" t="e">
        <f t="shared" si="0"/>
        <v>#DIV/0!</v>
      </c>
      <c r="I14" s="7" t="e">
        <f t="shared" si="2"/>
        <v>#DIV/0!</v>
      </c>
      <c r="J14" s="7" t="e">
        <f t="shared" si="3"/>
        <v>#DIV/0!</v>
      </c>
      <c r="L14" s="20">
        <v>1</v>
      </c>
      <c r="M14" s="20">
        <v>11</v>
      </c>
      <c r="N14" s="20">
        <v>11</v>
      </c>
      <c r="O14" s="20">
        <v>22</v>
      </c>
      <c r="P14" s="20">
        <v>33</v>
      </c>
    </row>
    <row r="15" spans="2:16" x14ac:dyDescent="0.2">
      <c r="C15" s="3" t="s">
        <v>10</v>
      </c>
      <c r="D15" s="20"/>
      <c r="E15" s="17"/>
      <c r="F15" s="5" t="e">
        <f t="shared" si="1"/>
        <v>#DIV/0!</v>
      </c>
      <c r="H15" s="6" t="e">
        <f t="shared" si="0"/>
        <v>#DIV/0!</v>
      </c>
      <c r="I15" s="7" t="e">
        <f t="shared" si="2"/>
        <v>#DIV/0!</v>
      </c>
      <c r="J15" s="7" t="e">
        <f t="shared" si="3"/>
        <v>#DIV/0!</v>
      </c>
      <c r="L15" s="20">
        <v>1</v>
      </c>
      <c r="M15" s="20">
        <v>11</v>
      </c>
      <c r="N15" s="20">
        <v>1</v>
      </c>
      <c r="O15" s="20">
        <v>1</v>
      </c>
      <c r="P15" s="20">
        <v>1</v>
      </c>
    </row>
    <row r="16" spans="2:16" x14ac:dyDescent="0.2">
      <c r="C16" s="3" t="s">
        <v>9</v>
      </c>
      <c r="D16" s="21"/>
      <c r="E16" s="18"/>
      <c r="F16" s="5" t="e">
        <f t="shared" si="1"/>
        <v>#DIV/0!</v>
      </c>
      <c r="H16" s="6" t="e">
        <f t="shared" ref="H16" si="4">(((I$5+1)/I$5)-(1-$F16)^I$5)</f>
        <v>#DIV/0!</v>
      </c>
      <c r="I16" s="7" t="e">
        <f t="shared" ref="I16" si="5">CEILING(H16*D16,1)</f>
        <v>#DIV/0!</v>
      </c>
      <c r="J16" s="7" t="e">
        <f t="shared" ref="J16" si="6">MAX(0,D16-I16)</f>
        <v>#DIV/0!</v>
      </c>
      <c r="L16" s="21">
        <v>1</v>
      </c>
      <c r="M16" s="21">
        <v>11</v>
      </c>
      <c r="N16" s="21">
        <v>1</v>
      </c>
      <c r="O16" s="21">
        <v>1</v>
      </c>
      <c r="P16" s="21">
        <v>1</v>
      </c>
    </row>
    <row r="17" spans="2:22" ht="17" thickBot="1" x14ac:dyDescent="0.25">
      <c r="C17" s="34" t="s">
        <v>41</v>
      </c>
      <c r="D17" s="8">
        <f>SUM(D7:D16)</f>
        <v>0</v>
      </c>
      <c r="E17" s="8"/>
      <c r="F17" s="9"/>
      <c r="H17" s="6"/>
      <c r="I17" s="8" t="e">
        <f t="shared" ref="I17:J17" si="7">SUM(I7:I16)</f>
        <v>#DIV/0!</v>
      </c>
      <c r="J17" s="31" t="e">
        <f t="shared" si="7"/>
        <v>#DIV/0!</v>
      </c>
    </row>
    <row r="18" spans="2:22" ht="17" thickBot="1" x14ac:dyDescent="0.25">
      <c r="D18" s="14">
        <v>1</v>
      </c>
      <c r="I18" s="14" t="e">
        <f>I17/D17</f>
        <v>#DIV/0!</v>
      </c>
      <c r="J18" s="30" t="e">
        <f>1-I18</f>
        <v>#DIV/0!</v>
      </c>
    </row>
    <row r="19" spans="2:22" x14ac:dyDescent="0.2">
      <c r="D19" s="35"/>
      <c r="I19" s="35"/>
      <c r="J19" s="35"/>
      <c r="P19" s="3" t="s">
        <v>57</v>
      </c>
    </row>
    <row r="20" spans="2:22" x14ac:dyDescent="0.2">
      <c r="C20" s="51" t="s">
        <v>50</v>
      </c>
      <c r="D20" s="51"/>
      <c r="E20" s="51"/>
      <c r="F20" s="51"/>
      <c r="G20" s="51"/>
      <c r="H20" s="51"/>
      <c r="I20" s="51"/>
      <c r="J20" s="51"/>
      <c r="P20" s="4" t="s">
        <v>58</v>
      </c>
      <c r="Q20" s="4" t="s">
        <v>59</v>
      </c>
      <c r="R20" s="52" t="s">
        <v>60</v>
      </c>
      <c r="S20" s="52"/>
      <c r="T20" s="52" t="s">
        <v>61</v>
      </c>
      <c r="U20" s="52"/>
      <c r="V20" s="4" t="s">
        <v>28</v>
      </c>
    </row>
    <row r="21" spans="2:22" x14ac:dyDescent="0.2">
      <c r="B21" s="3">
        <v>0</v>
      </c>
      <c r="C21" s="3" t="s">
        <v>40</v>
      </c>
      <c r="D21" s="3">
        <f t="shared" ref="D21:E25" si="8">SUMIF($M$7:$M$16,$B21,D$7:D$16)</f>
        <v>0</v>
      </c>
      <c r="E21" s="3">
        <f t="shared" si="8"/>
        <v>0</v>
      </c>
      <c r="F21" s="5"/>
      <c r="H21" s="6"/>
      <c r="I21" s="7">
        <v>0</v>
      </c>
      <c r="J21" s="7"/>
      <c r="P21" s="3" t="s">
        <v>44</v>
      </c>
      <c r="Q21" s="3">
        <f>D17</f>
        <v>0</v>
      </c>
    </row>
    <row r="22" spans="2:22" x14ac:dyDescent="0.2">
      <c r="B22" s="3">
        <v>1</v>
      </c>
      <c r="C22" s="3" t="s">
        <v>29</v>
      </c>
      <c r="D22" s="3">
        <f t="shared" si="8"/>
        <v>0</v>
      </c>
      <c r="E22" s="3">
        <f t="shared" si="8"/>
        <v>0</v>
      </c>
      <c r="F22" s="5">
        <f t="shared" ref="F22:F25" si="9">IFERROR(E22/D22,0)</f>
        <v>0</v>
      </c>
      <c r="H22" s="6"/>
      <c r="I22" s="7">
        <f>D22</f>
        <v>0</v>
      </c>
      <c r="J22" s="7"/>
      <c r="O22" s="49" t="s">
        <v>45</v>
      </c>
      <c r="P22" s="3" t="s">
        <v>45</v>
      </c>
      <c r="Q22" s="7">
        <f>SUMIF($L$7:$L$16,1,D$7:D$16)</f>
        <v>0</v>
      </c>
      <c r="R22" s="7">
        <f>Q21-Q22</f>
        <v>0</v>
      </c>
      <c r="S22" s="46" t="e">
        <f>R22/Q21</f>
        <v>#DIV/0!</v>
      </c>
      <c r="T22" s="7">
        <f>$Q$21-Q22</f>
        <v>0</v>
      </c>
      <c r="U22" s="46" t="e">
        <f>T22/$Q$21</f>
        <v>#DIV/0!</v>
      </c>
      <c r="V22" s="5" t="e">
        <f>SUMIF($L$7:$L$16,0,E$7:E$16)/SUM(E7:E16)</f>
        <v>#DIV/0!</v>
      </c>
    </row>
    <row r="23" spans="2:22" x14ac:dyDescent="0.2">
      <c r="B23" s="3">
        <v>11</v>
      </c>
      <c r="C23" s="3" t="s">
        <v>30</v>
      </c>
      <c r="D23" s="3">
        <f t="shared" si="8"/>
        <v>0</v>
      </c>
      <c r="E23" s="3">
        <f t="shared" si="8"/>
        <v>0</v>
      </c>
      <c r="F23" s="5">
        <f>IFERROR(E23/D23,0)</f>
        <v>0</v>
      </c>
      <c r="H23" s="6" t="e">
        <f>(((I$5+1)/I$5)-(1-$F23)^I$5)</f>
        <v>#DIV/0!</v>
      </c>
      <c r="I23" s="7" t="e">
        <f>CEILING(H23*D23,1)</f>
        <v>#DIV/0!</v>
      </c>
      <c r="J23" s="7"/>
      <c r="O23" s="36" t="s">
        <v>49</v>
      </c>
      <c r="P23" s="3" t="s">
        <v>46</v>
      </c>
      <c r="Q23" s="7" t="e">
        <f>K25</f>
        <v>#DIV/0!</v>
      </c>
      <c r="R23" s="7" t="e">
        <f t="shared" ref="R23:R26" si="10">Q22-Q23</f>
        <v>#DIV/0!</v>
      </c>
      <c r="S23" s="46" t="e">
        <f t="shared" ref="S23:S26" si="11">R23/Q22</f>
        <v>#DIV/0!</v>
      </c>
      <c r="T23" s="7" t="e">
        <f t="shared" ref="T23:T26" si="12">$Q$21-Q23</f>
        <v>#DIV/0!</v>
      </c>
      <c r="U23" s="46" t="e">
        <f t="shared" ref="U23:U26" si="13">T23/$Q$21</f>
        <v>#DIV/0!</v>
      </c>
      <c r="V23" s="37" t="e">
        <f>M25</f>
        <v>#DIV/0!</v>
      </c>
    </row>
    <row r="24" spans="2:22" x14ac:dyDescent="0.2">
      <c r="B24" s="3">
        <v>22</v>
      </c>
      <c r="C24" s="3" t="s">
        <v>31</v>
      </c>
      <c r="D24" s="3">
        <f t="shared" si="8"/>
        <v>0</v>
      </c>
      <c r="E24" s="3">
        <f t="shared" si="8"/>
        <v>0</v>
      </c>
      <c r="F24" s="5">
        <f t="shared" si="9"/>
        <v>0</v>
      </c>
      <c r="H24" s="6" t="e">
        <f>(((I$5+1)/I$5)-(1-$F24)^I$5)</f>
        <v>#DIV/0!</v>
      </c>
      <c r="I24" s="7" t="e">
        <f t="shared" ref="I24:I25" si="14">CEILING(H24*D24,1)</f>
        <v>#DIV/0!</v>
      </c>
      <c r="J24" s="7"/>
      <c r="K24" s="40" t="s">
        <v>36</v>
      </c>
      <c r="L24" s="40" t="s">
        <v>25</v>
      </c>
      <c r="M24" s="40" t="s">
        <v>28</v>
      </c>
      <c r="O24" s="38" t="s">
        <v>51</v>
      </c>
      <c r="P24" s="3" t="s">
        <v>47</v>
      </c>
      <c r="Q24" s="7" t="e">
        <f>K32</f>
        <v>#DIV/0!</v>
      </c>
      <c r="R24" s="7" t="e">
        <f t="shared" si="10"/>
        <v>#DIV/0!</v>
      </c>
      <c r="S24" s="46" t="e">
        <f t="shared" si="11"/>
        <v>#DIV/0!</v>
      </c>
      <c r="T24" s="7" t="e">
        <f t="shared" si="12"/>
        <v>#DIV/0!</v>
      </c>
      <c r="U24" s="46" t="e">
        <f t="shared" si="13"/>
        <v>#DIV/0!</v>
      </c>
      <c r="V24" s="5" t="e">
        <f>M32</f>
        <v>#DIV/0!</v>
      </c>
    </row>
    <row r="25" spans="2:22" x14ac:dyDescent="0.2">
      <c r="B25" s="3">
        <v>33</v>
      </c>
      <c r="C25" s="10" t="s">
        <v>42</v>
      </c>
      <c r="D25" s="10">
        <f t="shared" si="8"/>
        <v>0</v>
      </c>
      <c r="E25" s="10">
        <f t="shared" si="8"/>
        <v>0</v>
      </c>
      <c r="F25" s="11">
        <f t="shared" si="9"/>
        <v>0</v>
      </c>
      <c r="G25" s="10"/>
      <c r="H25" s="12" t="e">
        <f>(((I$5+1)/I$5)-(1-$F25)^I$5)</f>
        <v>#DIV/0!</v>
      </c>
      <c r="I25" s="13" t="e">
        <f t="shared" si="14"/>
        <v>#DIV/0!</v>
      </c>
      <c r="J25" s="13"/>
      <c r="K25" s="41" t="e">
        <f>SUM(I21:I25)</f>
        <v>#DIV/0!</v>
      </c>
      <c r="L25" s="41" t="e">
        <f>$D$17-K25</f>
        <v>#DIV/0!</v>
      </c>
      <c r="M25" s="45" t="e">
        <f>E21/SUM(E21:E25)</f>
        <v>#DIV/0!</v>
      </c>
      <c r="O25" s="33" t="s">
        <v>52</v>
      </c>
      <c r="P25" s="3" t="s">
        <v>48</v>
      </c>
      <c r="Q25" s="7" t="e">
        <f>K39</f>
        <v>#DIV/0!</v>
      </c>
      <c r="R25" s="7" t="e">
        <f t="shared" si="10"/>
        <v>#DIV/0!</v>
      </c>
      <c r="S25" s="46" t="e">
        <f t="shared" si="11"/>
        <v>#DIV/0!</v>
      </c>
      <c r="T25" s="7" t="e">
        <f t="shared" si="12"/>
        <v>#DIV/0!</v>
      </c>
      <c r="U25" s="46" t="e">
        <f t="shared" si="13"/>
        <v>#DIV/0!</v>
      </c>
      <c r="V25" s="5" t="e">
        <f>M39</f>
        <v>#DIV/0!</v>
      </c>
    </row>
    <row r="26" spans="2:22" x14ac:dyDescent="0.2">
      <c r="O26" s="39" t="s">
        <v>53</v>
      </c>
      <c r="P26" s="10"/>
      <c r="Q26" s="13" t="e">
        <f>K46</f>
        <v>#DIV/0!</v>
      </c>
      <c r="R26" s="13" t="e">
        <f t="shared" si="10"/>
        <v>#DIV/0!</v>
      </c>
      <c r="S26" s="47" t="e">
        <f t="shared" si="11"/>
        <v>#DIV/0!</v>
      </c>
      <c r="T26" s="13" t="e">
        <f t="shared" si="12"/>
        <v>#DIV/0!</v>
      </c>
      <c r="U26" s="47" t="e">
        <f t="shared" si="13"/>
        <v>#DIV/0!</v>
      </c>
      <c r="V26" s="11" t="e">
        <f>M46</f>
        <v>#DIV/0!</v>
      </c>
    </row>
    <row r="27" spans="2:22" x14ac:dyDescent="0.2">
      <c r="C27" s="53" t="s">
        <v>54</v>
      </c>
      <c r="D27" s="53"/>
      <c r="E27" s="53"/>
      <c r="F27" s="53"/>
      <c r="G27" s="53"/>
      <c r="H27" s="53"/>
      <c r="I27" s="53"/>
      <c r="J27" s="53"/>
    </row>
    <row r="28" spans="2:22" x14ac:dyDescent="0.2">
      <c r="B28" s="3">
        <v>0</v>
      </c>
      <c r="C28" s="3" t="s">
        <v>40</v>
      </c>
      <c r="D28" s="3">
        <f t="shared" ref="D28:E32" si="15">SUMIF($N$7:$N$16,$B28,D$7:D$16)</f>
        <v>0</v>
      </c>
      <c r="E28" s="3">
        <f t="shared" si="15"/>
        <v>0</v>
      </c>
      <c r="F28" s="5"/>
      <c r="H28" s="6"/>
      <c r="I28" s="7">
        <v>0</v>
      </c>
      <c r="J28" s="7"/>
    </row>
    <row r="29" spans="2:22" x14ac:dyDescent="0.2">
      <c r="B29" s="3">
        <v>1</v>
      </c>
      <c r="C29" s="3" t="s">
        <v>29</v>
      </c>
      <c r="D29" s="3">
        <f t="shared" si="15"/>
        <v>0</v>
      </c>
      <c r="E29" s="3">
        <f t="shared" si="15"/>
        <v>0</v>
      </c>
      <c r="F29" s="5">
        <f t="shared" ref="F29" si="16">IFERROR(E29/D29,0)</f>
        <v>0</v>
      </c>
      <c r="H29" s="6"/>
      <c r="I29" s="7">
        <f>D29</f>
        <v>0</v>
      </c>
      <c r="J29" s="7"/>
    </row>
    <row r="30" spans="2:22" x14ac:dyDescent="0.2">
      <c r="B30" s="3">
        <v>11</v>
      </c>
      <c r="C30" s="3" t="s">
        <v>30</v>
      </c>
      <c r="D30" s="3">
        <f t="shared" si="15"/>
        <v>0</v>
      </c>
      <c r="E30" s="3">
        <f t="shared" si="15"/>
        <v>0</v>
      </c>
      <c r="F30" s="5">
        <f>IFERROR(E30/D30,0)</f>
        <v>0</v>
      </c>
      <c r="H30" s="6" t="e">
        <f>(((I$5+1)/I$5)-(1-$F30)^I$5)</f>
        <v>#DIV/0!</v>
      </c>
      <c r="I30" s="7" t="e">
        <f>CEILING(H30*D30,1)</f>
        <v>#DIV/0!</v>
      </c>
      <c r="J30" s="7"/>
    </row>
    <row r="31" spans="2:22" x14ac:dyDescent="0.2">
      <c r="B31" s="3">
        <v>22</v>
      </c>
      <c r="C31" s="3" t="s">
        <v>31</v>
      </c>
      <c r="D31" s="3">
        <f t="shared" si="15"/>
        <v>0</v>
      </c>
      <c r="E31" s="3">
        <f t="shared" si="15"/>
        <v>0</v>
      </c>
      <c r="F31" s="5">
        <f t="shared" ref="F31:F32" si="17">IFERROR(E31/D31,0)</f>
        <v>0</v>
      </c>
      <c r="H31" s="6" t="e">
        <f>(((I$5+1)/I$5)-(1-$F31)^I$5)</f>
        <v>#DIV/0!</v>
      </c>
      <c r="I31" s="7" t="e">
        <f t="shared" ref="I31:I32" si="18">CEILING(H31*D31,1)</f>
        <v>#DIV/0!</v>
      </c>
      <c r="J31" s="7"/>
      <c r="K31" s="42" t="s">
        <v>36</v>
      </c>
      <c r="L31" s="42" t="s">
        <v>25</v>
      </c>
      <c r="M31" s="42" t="s">
        <v>28</v>
      </c>
    </row>
    <row r="32" spans="2:22" x14ac:dyDescent="0.2">
      <c r="B32" s="3">
        <v>33</v>
      </c>
      <c r="C32" s="10" t="s">
        <v>42</v>
      </c>
      <c r="D32" s="10">
        <f t="shared" si="15"/>
        <v>0</v>
      </c>
      <c r="E32" s="10">
        <f t="shared" si="15"/>
        <v>0</v>
      </c>
      <c r="F32" s="11">
        <f t="shared" si="17"/>
        <v>0</v>
      </c>
      <c r="G32" s="10"/>
      <c r="H32" s="12" t="e">
        <f>(((I$5+1)/I$5)-(1-$F32)^I$5)</f>
        <v>#DIV/0!</v>
      </c>
      <c r="I32" s="13" t="e">
        <f t="shared" si="18"/>
        <v>#DIV/0!</v>
      </c>
      <c r="J32" s="13"/>
      <c r="K32" s="41" t="e">
        <f>SUM(I28:I32)</f>
        <v>#DIV/0!</v>
      </c>
      <c r="L32" s="41" t="e">
        <f>$D$17-K32</f>
        <v>#DIV/0!</v>
      </c>
      <c r="M32" s="45" t="e">
        <f>E28/SUM(E28:E32)</f>
        <v>#DIV/0!</v>
      </c>
    </row>
    <row r="34" spans="2:13" x14ac:dyDescent="0.2">
      <c r="C34" s="54" t="s">
        <v>55</v>
      </c>
      <c r="D34" s="54"/>
      <c r="E34" s="54"/>
      <c r="F34" s="54"/>
      <c r="G34" s="54"/>
      <c r="H34" s="54"/>
      <c r="I34" s="54"/>
      <c r="J34" s="54"/>
    </row>
    <row r="35" spans="2:13" x14ac:dyDescent="0.2">
      <c r="B35" s="3">
        <v>0</v>
      </c>
      <c r="C35" s="3" t="s">
        <v>40</v>
      </c>
      <c r="D35" s="3">
        <f t="shared" ref="D35:E39" si="19">SUMIF($O$7:$O$16,$B35,D$7:D$16)</f>
        <v>0</v>
      </c>
      <c r="E35" s="3">
        <f t="shared" si="19"/>
        <v>0</v>
      </c>
      <c r="F35" s="5"/>
      <c r="H35" s="6"/>
      <c r="I35" s="7">
        <v>0</v>
      </c>
      <c r="J35" s="7"/>
    </row>
    <row r="36" spans="2:13" x14ac:dyDescent="0.2">
      <c r="B36" s="3">
        <v>1</v>
      </c>
      <c r="C36" s="3" t="s">
        <v>29</v>
      </c>
      <c r="D36" s="3">
        <f t="shared" si="19"/>
        <v>0</v>
      </c>
      <c r="E36" s="3">
        <f t="shared" si="19"/>
        <v>0</v>
      </c>
      <c r="F36" s="5">
        <f t="shared" ref="F36" si="20">IFERROR(E36/D36,0)</f>
        <v>0</v>
      </c>
      <c r="H36" s="6"/>
      <c r="I36" s="7">
        <f>D36</f>
        <v>0</v>
      </c>
      <c r="J36" s="7"/>
    </row>
    <row r="37" spans="2:13" x14ac:dyDescent="0.2">
      <c r="B37" s="3">
        <v>11</v>
      </c>
      <c r="C37" s="3" t="s">
        <v>30</v>
      </c>
      <c r="D37" s="3">
        <f t="shared" si="19"/>
        <v>0</v>
      </c>
      <c r="E37" s="3">
        <f t="shared" si="19"/>
        <v>0</v>
      </c>
      <c r="F37" s="5">
        <f>IFERROR(E37/D37,0)</f>
        <v>0</v>
      </c>
      <c r="H37" s="6" t="e">
        <f>(((I$5+1)/I$5)-(1-$F37)^I$5)</f>
        <v>#DIV/0!</v>
      </c>
      <c r="I37" s="7" t="e">
        <f>CEILING(H37*D37,1)</f>
        <v>#DIV/0!</v>
      </c>
      <c r="J37" s="7"/>
    </row>
    <row r="38" spans="2:13" x14ac:dyDescent="0.2">
      <c r="B38" s="3">
        <v>22</v>
      </c>
      <c r="C38" s="3" t="s">
        <v>31</v>
      </c>
      <c r="D38" s="3">
        <f t="shared" si="19"/>
        <v>0</v>
      </c>
      <c r="E38" s="3">
        <f t="shared" si="19"/>
        <v>0</v>
      </c>
      <c r="F38" s="5">
        <f t="shared" ref="F38:F39" si="21">IFERROR(E38/D38,0)</f>
        <v>0</v>
      </c>
      <c r="H38" s="6" t="e">
        <f>(((I$5+1)/I$5)-(1-$F38)^I$5)</f>
        <v>#DIV/0!</v>
      </c>
      <c r="I38" s="7" t="e">
        <f t="shared" ref="I38:I39" si="22">CEILING(H38*D38,1)</f>
        <v>#DIV/0!</v>
      </c>
      <c r="J38" s="7"/>
      <c r="K38" s="43" t="s">
        <v>36</v>
      </c>
      <c r="L38" s="43" t="s">
        <v>25</v>
      </c>
      <c r="M38" s="43" t="s">
        <v>28</v>
      </c>
    </row>
    <row r="39" spans="2:13" x14ac:dyDescent="0.2">
      <c r="B39" s="3">
        <v>33</v>
      </c>
      <c r="C39" s="10" t="s">
        <v>42</v>
      </c>
      <c r="D39" s="10">
        <f t="shared" si="19"/>
        <v>0</v>
      </c>
      <c r="E39" s="10">
        <f t="shared" si="19"/>
        <v>0</v>
      </c>
      <c r="F39" s="11">
        <f t="shared" si="21"/>
        <v>0</v>
      </c>
      <c r="G39" s="10"/>
      <c r="H39" s="12" t="e">
        <f>(((I$5+1)/I$5)-(1-$F39)^I$5)</f>
        <v>#DIV/0!</v>
      </c>
      <c r="I39" s="13" t="e">
        <f t="shared" si="22"/>
        <v>#DIV/0!</v>
      </c>
      <c r="J39" s="13"/>
      <c r="K39" s="41" t="e">
        <f>SUM(I35:I39)</f>
        <v>#DIV/0!</v>
      </c>
      <c r="L39" s="41" t="e">
        <f>$D$17-K39</f>
        <v>#DIV/0!</v>
      </c>
      <c r="M39" s="45" t="e">
        <f>E35/SUM(E35:E39)</f>
        <v>#DIV/0!</v>
      </c>
    </row>
    <row r="40" spans="2:13" x14ac:dyDescent="0.2">
      <c r="E40" s="3" t="e">
        <f>SUM(E37:E38)/SUM(E36:E38)</f>
        <v>#DIV/0!</v>
      </c>
    </row>
    <row r="41" spans="2:13" x14ac:dyDescent="0.2">
      <c r="C41" s="50" t="s">
        <v>56</v>
      </c>
      <c r="D41" s="50"/>
      <c r="E41" s="50"/>
      <c r="F41" s="50"/>
      <c r="G41" s="50"/>
      <c r="H41" s="50"/>
      <c r="I41" s="50"/>
      <c r="J41" s="50"/>
    </row>
    <row r="42" spans="2:13" x14ac:dyDescent="0.2">
      <c r="B42" s="3">
        <v>0</v>
      </c>
      <c r="C42" s="3" t="s">
        <v>40</v>
      </c>
      <c r="D42" s="3">
        <f t="shared" ref="D42:E46" si="23">SUMIF($P$7:$P$16,$B42,D$7:D$16)</f>
        <v>0</v>
      </c>
      <c r="E42" s="3">
        <f t="shared" si="23"/>
        <v>0</v>
      </c>
      <c r="F42" s="5"/>
      <c r="H42" s="6"/>
      <c r="I42" s="7">
        <v>0</v>
      </c>
      <c r="J42" s="7"/>
    </row>
    <row r="43" spans="2:13" x14ac:dyDescent="0.2">
      <c r="B43" s="3">
        <v>1</v>
      </c>
      <c r="C43" s="3" t="s">
        <v>29</v>
      </c>
      <c r="D43" s="3">
        <f t="shared" si="23"/>
        <v>0</v>
      </c>
      <c r="E43" s="3">
        <f t="shared" si="23"/>
        <v>0</v>
      </c>
      <c r="F43" s="5">
        <f t="shared" ref="F43" si="24">IFERROR(E43/D43,0)</f>
        <v>0</v>
      </c>
      <c r="H43" s="6"/>
      <c r="I43" s="7">
        <f>D43</f>
        <v>0</v>
      </c>
      <c r="J43" s="7"/>
    </row>
    <row r="44" spans="2:13" x14ac:dyDescent="0.2">
      <c r="B44" s="3">
        <v>11</v>
      </c>
      <c r="C44" s="3" t="s">
        <v>30</v>
      </c>
      <c r="D44" s="3">
        <f t="shared" si="23"/>
        <v>0</v>
      </c>
      <c r="E44" s="3">
        <f t="shared" si="23"/>
        <v>0</v>
      </c>
      <c r="F44" s="5">
        <f>IFERROR(E44/D44,0)</f>
        <v>0</v>
      </c>
      <c r="H44" s="6" t="e">
        <f>(((I$5+1)/I$5)-(1-$F44)^I$5)</f>
        <v>#DIV/0!</v>
      </c>
      <c r="I44" s="7" t="e">
        <f>CEILING(H44*D44,1)</f>
        <v>#DIV/0!</v>
      </c>
      <c r="J44" s="7"/>
    </row>
    <row r="45" spans="2:13" x14ac:dyDescent="0.2">
      <c r="B45" s="3">
        <v>22</v>
      </c>
      <c r="C45" s="3" t="s">
        <v>31</v>
      </c>
      <c r="D45" s="3">
        <f t="shared" si="23"/>
        <v>0</v>
      </c>
      <c r="E45" s="3">
        <f t="shared" si="23"/>
        <v>0</v>
      </c>
      <c r="F45" s="5">
        <f t="shared" ref="F45:F46" si="25">IFERROR(E45/D45,0)</f>
        <v>0</v>
      </c>
      <c r="H45" s="6" t="e">
        <f>(((I$5+1)/I$5)-(1-$F45)^I$5)</f>
        <v>#DIV/0!</v>
      </c>
      <c r="I45" s="7" t="e">
        <f t="shared" ref="I45:I46" si="26">CEILING(H45*D45,1)</f>
        <v>#DIV/0!</v>
      </c>
      <c r="J45" s="7"/>
      <c r="K45" s="44" t="s">
        <v>36</v>
      </c>
      <c r="L45" s="44" t="s">
        <v>25</v>
      </c>
      <c r="M45" s="44" t="s">
        <v>28</v>
      </c>
    </row>
    <row r="46" spans="2:13" x14ac:dyDescent="0.2">
      <c r="B46" s="3">
        <v>33</v>
      </c>
      <c r="C46" s="10" t="s">
        <v>42</v>
      </c>
      <c r="D46" s="10">
        <f t="shared" si="23"/>
        <v>0</v>
      </c>
      <c r="E46" s="10">
        <f t="shared" si="23"/>
        <v>0</v>
      </c>
      <c r="F46" s="11">
        <f t="shared" si="25"/>
        <v>0</v>
      </c>
      <c r="G46" s="10"/>
      <c r="H46" s="12" t="e">
        <f>(((I$5+1)/I$5)-(1-$F46)^I$5)</f>
        <v>#DIV/0!</v>
      </c>
      <c r="I46" s="13" t="e">
        <f t="shared" si="26"/>
        <v>#DIV/0!</v>
      </c>
      <c r="J46" s="13"/>
      <c r="K46" s="41" t="e">
        <f>SUM(I42:I46)</f>
        <v>#DIV/0!</v>
      </c>
      <c r="L46" s="41" t="e">
        <f>$D$17-K46</f>
        <v>#DIV/0!</v>
      </c>
      <c r="M46" s="45" t="e">
        <f>E42/SUM(E42:E46)</f>
        <v>#DIV/0!</v>
      </c>
    </row>
    <row r="1048576" spans="7:7" x14ac:dyDescent="0.2">
      <c r="G1048576" s="5"/>
    </row>
  </sheetData>
  <mergeCells count="7">
    <mergeCell ref="C41:J41"/>
    <mergeCell ref="H4:J4"/>
    <mergeCell ref="C20:J20"/>
    <mergeCell ref="R20:S20"/>
    <mergeCell ref="T20:U20"/>
    <mergeCell ref="C27:J27"/>
    <mergeCell ref="C34:J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</vt:lpstr>
      <vt:lpstr>Demo</vt:lpstr>
      <vt:lpstr>Empty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Garg</dc:creator>
  <cp:lastModifiedBy>Tushar Garg</cp:lastModifiedBy>
  <dcterms:created xsi:type="dcterms:W3CDTF">2023-11-27T11:08:41Z</dcterms:created>
  <dcterms:modified xsi:type="dcterms:W3CDTF">2024-03-26T06:21:50Z</dcterms:modified>
</cp:coreProperties>
</file>